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E:\Mon Drive\Clé usb\FoFGTA\OUTIL BS\"/>
    </mc:Choice>
  </mc:AlternateContent>
  <xr:revisionPtr revIDLastSave="0" documentId="13_ncr:1_{0F8E2A17-D65E-40D1-BBA8-4823E6CEFAE0}" xr6:coauthVersionLast="47" xr6:coauthVersionMax="47" xr10:uidLastSave="{00000000-0000-0000-0000-000000000000}"/>
  <bookViews>
    <workbookView xWindow="-120" yWindow="-120" windowWidth="24240" windowHeight="1314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pole emploi" sheetId="80"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Taux_cotisations" sheetId="53" r:id="rId59"/>
    <sheet name="S.CAL" sheetId="34" state="hidden"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pole emploi'!$A$1:$J$185</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pajemploi'!$A$1:$B$59</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0" i="53" l="1"/>
  <c r="D60" i="53" s="1"/>
  <c r="E60" i="53" s="1"/>
  <c r="F60" i="53" s="1"/>
  <c r="G60" i="53" s="1"/>
  <c r="H60" i="53" s="1"/>
  <c r="I60" i="53" s="1"/>
  <c r="J60" i="53" s="1"/>
  <c r="K60" i="53" s="1"/>
  <c r="L60" i="53" s="1"/>
  <c r="M60" i="53" s="1"/>
  <c r="CE49" i="15"/>
  <c r="CE47" i="15"/>
  <c r="A53" i="5"/>
  <c r="A53" i="6"/>
  <c r="A53" i="7"/>
  <c r="A53" i="8"/>
  <c r="A53" i="9"/>
  <c r="A53" i="10"/>
  <c r="A53" i="11"/>
  <c r="A53" i="12"/>
  <c r="A53" i="13"/>
  <c r="A53" i="14"/>
  <c r="A53" i="15"/>
  <c r="A53" i="4"/>
  <c r="U53" i="5"/>
  <c r="U53" i="6"/>
  <c r="U53" i="7"/>
  <c r="U53" i="8"/>
  <c r="U53" i="9"/>
  <c r="U53" i="10"/>
  <c r="U53" i="11"/>
  <c r="U53" i="12"/>
  <c r="U53" i="13"/>
  <c r="U53" i="14"/>
  <c r="U53" i="15"/>
  <c r="U53" i="4"/>
  <c r="A52" i="5"/>
  <c r="A52" i="6"/>
  <c r="A52" i="7"/>
  <c r="A52" i="8"/>
  <c r="A52" i="9"/>
  <c r="A52" i="10"/>
  <c r="A52" i="11"/>
  <c r="A52" i="12"/>
  <c r="A52" i="13"/>
  <c r="A52" i="14"/>
  <c r="A52" i="15"/>
  <c r="A52" i="4"/>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F35" i="51" l="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59" i="6"/>
  <c r="A58" i="6"/>
  <c r="A57" i="6"/>
  <c r="A56" i="6"/>
  <c r="A55" i="6"/>
  <c r="A54" i="6"/>
  <c r="A51" i="6"/>
  <c r="A49" i="6"/>
  <c r="A47" i="6"/>
  <c r="A46" i="6"/>
  <c r="A45" i="6"/>
  <c r="A44" i="6"/>
  <c r="A43" i="6"/>
  <c r="A42" i="6"/>
  <c r="A41" i="6"/>
  <c r="A40" i="6"/>
  <c r="A59" i="7"/>
  <c r="A58" i="7"/>
  <c r="A57" i="7"/>
  <c r="A56" i="7"/>
  <c r="A55" i="7"/>
  <c r="A54" i="7"/>
  <c r="A51" i="7"/>
  <c r="A49" i="7"/>
  <c r="A47" i="7"/>
  <c r="A46" i="7"/>
  <c r="A45" i="7"/>
  <c r="A44" i="7"/>
  <c r="A43" i="7"/>
  <c r="A42" i="7"/>
  <c r="A41" i="7"/>
  <c r="A40" i="7"/>
  <c r="A59" i="8"/>
  <c r="A58" i="8"/>
  <c r="A57" i="8"/>
  <c r="A56" i="8"/>
  <c r="A55" i="8"/>
  <c r="A54" i="8"/>
  <c r="A51" i="8"/>
  <c r="A49" i="8"/>
  <c r="A47" i="8"/>
  <c r="A46" i="8"/>
  <c r="A45" i="8"/>
  <c r="A44" i="8"/>
  <c r="A43" i="8"/>
  <c r="A42" i="8"/>
  <c r="A41" i="8"/>
  <c r="A40" i="8"/>
  <c r="A59" i="9"/>
  <c r="A58" i="9"/>
  <c r="A57" i="9"/>
  <c r="A56" i="9"/>
  <c r="A55" i="9"/>
  <c r="A54" i="9"/>
  <c r="A51" i="9"/>
  <c r="A49" i="9"/>
  <c r="A47" i="9"/>
  <c r="A46" i="9"/>
  <c r="A45" i="9"/>
  <c r="A44" i="9"/>
  <c r="A43" i="9"/>
  <c r="A42" i="9"/>
  <c r="A41" i="9"/>
  <c r="A40" i="9"/>
  <c r="A59" i="10"/>
  <c r="A58" i="10"/>
  <c r="A57" i="10"/>
  <c r="A56" i="10"/>
  <c r="A55" i="10"/>
  <c r="A54" i="10"/>
  <c r="A51" i="10"/>
  <c r="A49" i="10"/>
  <c r="A47" i="10"/>
  <c r="A46" i="10"/>
  <c r="A45" i="10"/>
  <c r="A44" i="10"/>
  <c r="A43" i="10"/>
  <c r="A42" i="10"/>
  <c r="A41" i="10"/>
  <c r="A40" i="10"/>
  <c r="A59" i="11"/>
  <c r="A58" i="11"/>
  <c r="A57" i="11"/>
  <c r="A56" i="11"/>
  <c r="A55" i="11"/>
  <c r="A54" i="11"/>
  <c r="A51" i="11"/>
  <c r="A49" i="11"/>
  <c r="A47" i="11"/>
  <c r="A46" i="11"/>
  <c r="A45" i="11"/>
  <c r="A44" i="11"/>
  <c r="A43" i="11"/>
  <c r="A42" i="11"/>
  <c r="A41" i="11"/>
  <c r="A40" i="11"/>
  <c r="A59" i="12"/>
  <c r="A58" i="12"/>
  <c r="A57" i="12"/>
  <c r="A56" i="12"/>
  <c r="A55" i="12"/>
  <c r="A54" i="12"/>
  <c r="A51" i="12"/>
  <c r="A49" i="12"/>
  <c r="A47" i="12"/>
  <c r="A46" i="12"/>
  <c r="A45" i="12"/>
  <c r="A44" i="12"/>
  <c r="A43" i="12"/>
  <c r="A42" i="12"/>
  <c r="A41" i="12"/>
  <c r="A40" i="12"/>
  <c r="A59" i="13"/>
  <c r="A58" i="13"/>
  <c r="A57" i="13"/>
  <c r="A56" i="13"/>
  <c r="A55" i="13"/>
  <c r="A54" i="13"/>
  <c r="A51" i="13"/>
  <c r="A49" i="13"/>
  <c r="A47" i="13"/>
  <c r="A46" i="13"/>
  <c r="A45" i="13"/>
  <c r="A44" i="13"/>
  <c r="A43" i="13"/>
  <c r="A42" i="13"/>
  <c r="A41" i="13"/>
  <c r="A40" i="13"/>
  <c r="A59" i="14"/>
  <c r="A58" i="14"/>
  <c r="A57" i="14"/>
  <c r="A56" i="14"/>
  <c r="A55" i="14"/>
  <c r="A54" i="14"/>
  <c r="A51" i="14"/>
  <c r="A49" i="14"/>
  <c r="A47" i="14"/>
  <c r="A46" i="14"/>
  <c r="A45" i="14"/>
  <c r="A44" i="14"/>
  <c r="A43" i="14"/>
  <c r="A42" i="14"/>
  <c r="A41" i="14"/>
  <c r="A40" i="14"/>
  <c r="A59" i="15"/>
  <c r="A58" i="15"/>
  <c r="A57" i="15"/>
  <c r="A56" i="15"/>
  <c r="A55" i="15"/>
  <c r="A54" i="15"/>
  <c r="A51" i="15"/>
  <c r="A49" i="15"/>
  <c r="A47" i="15"/>
  <c r="A46" i="15"/>
  <c r="A45" i="15"/>
  <c r="A44" i="15"/>
  <c r="A43" i="15"/>
  <c r="A42" i="15"/>
  <c r="A41" i="15"/>
  <c r="A40" i="15"/>
  <c r="A59" i="5"/>
  <c r="A58" i="5"/>
  <c r="A57" i="5"/>
  <c r="A56" i="5"/>
  <c r="A55" i="5"/>
  <c r="A54" i="5"/>
  <c r="A51" i="5"/>
  <c r="A49" i="5"/>
  <c r="A47" i="5"/>
  <c r="A46" i="5"/>
  <c r="A45" i="5"/>
  <c r="A44" i="5"/>
  <c r="A43" i="5"/>
  <c r="A42" i="5"/>
  <c r="A41" i="5"/>
  <c r="A40" i="5"/>
  <c r="A59" i="4"/>
  <c r="A58" i="4"/>
  <c r="A57" i="4"/>
  <c r="A56" i="4"/>
  <c r="A55" i="4"/>
  <c r="A54" i="4"/>
  <c r="A51" i="4"/>
  <c r="A49" i="4"/>
  <c r="A40" i="4"/>
  <c r="A41" i="4"/>
  <c r="A42" i="4"/>
  <c r="A43" i="4"/>
  <c r="A44" i="4"/>
  <c r="A45" i="4"/>
  <c r="A46" i="4"/>
  <c r="A47" i="4"/>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G58" i="53"/>
  <c r="H58" i="53" s="1"/>
  <c r="I58" i="53" s="1"/>
  <c r="J58" i="53" s="1"/>
  <c r="K58" i="53" s="1"/>
  <c r="L58" i="53" s="1"/>
  <c r="M58" i="53" s="1"/>
  <c r="C58" i="53"/>
  <c r="D58" i="53" s="1"/>
  <c r="E58" i="53" s="1"/>
  <c r="A58" i="53"/>
  <c r="C57" i="53"/>
  <c r="D57" i="53" s="1"/>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C55" i="53"/>
  <c r="D55" i="53" s="1"/>
  <c r="E55" i="53" s="1"/>
  <c r="F55" i="53" s="1"/>
  <c r="G55" i="53" s="1"/>
  <c r="H55" i="53" s="1"/>
  <c r="I55" i="53" s="1"/>
  <c r="J55" i="53" s="1"/>
  <c r="K55" i="53" s="1"/>
  <c r="L55" i="53" s="1"/>
  <c r="M55" i="53" s="1"/>
  <c r="A55" i="53"/>
  <c r="C54" i="53"/>
  <c r="D54" i="53" s="1"/>
  <c r="E54" i="53" s="1"/>
  <c r="F54" i="53" s="1"/>
  <c r="G54" i="53" s="1"/>
  <c r="H54" i="53" s="1"/>
  <c r="I54" i="53" s="1"/>
  <c r="J54" i="53" s="1"/>
  <c r="K54" i="53" s="1"/>
  <c r="L54" i="53" s="1"/>
  <c r="M54" i="53" s="1"/>
  <c r="A54" i="53"/>
  <c r="C53" i="53"/>
  <c r="D53" i="53" s="1"/>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C51" i="53"/>
  <c r="D51" i="53" s="1"/>
  <c r="E51" i="53" s="1"/>
  <c r="F51" i="53" s="1"/>
  <c r="G51" i="53" s="1"/>
  <c r="H51" i="53" s="1"/>
  <c r="I51" i="53" s="1"/>
  <c r="J51" i="53" s="1"/>
  <c r="K51" i="53" s="1"/>
  <c r="L51" i="53" s="1"/>
  <c r="M51" i="53" s="1"/>
  <c r="A51" i="53"/>
  <c r="C50" i="53"/>
  <c r="D50" i="53" s="1"/>
  <c r="E50" i="53" s="1"/>
  <c r="F50" i="53" s="1"/>
  <c r="G50" i="53" s="1"/>
  <c r="H50" i="53" s="1"/>
  <c r="I50" i="53" s="1"/>
  <c r="J50" i="53" s="1"/>
  <c r="K50" i="53" s="1"/>
  <c r="L50" i="53" s="1"/>
  <c r="M50" i="53" s="1"/>
  <c r="A50" i="53"/>
  <c r="C49" i="53"/>
  <c r="D49" i="53" s="1"/>
  <c r="E49" i="53" s="1"/>
  <c r="F49" i="53" s="1"/>
  <c r="G49" i="53" s="1"/>
  <c r="H49" i="53" s="1"/>
  <c r="I49" i="53" s="1"/>
  <c r="J49" i="53" s="1"/>
  <c r="K49" i="53" s="1"/>
  <c r="L49" i="53" s="1"/>
  <c r="M49" i="53" s="1"/>
  <c r="A49" i="53"/>
  <c r="C48" i="53"/>
  <c r="D48" i="53" s="1"/>
  <c r="E48" i="53" s="1"/>
  <c r="F48" i="53" s="1"/>
  <c r="G48" i="53" s="1"/>
  <c r="H48" i="53" s="1"/>
  <c r="I48" i="53" s="1"/>
  <c r="J48" i="53" s="1"/>
  <c r="K48" i="53" s="1"/>
  <c r="L48" i="53" s="1"/>
  <c r="M48" i="53" s="1"/>
  <c r="A48" i="53"/>
  <c r="A47" i="53"/>
  <c r="C46" i="53"/>
  <c r="D46" i="53" s="1"/>
  <c r="E46" i="53" s="1"/>
  <c r="F46" i="53" s="1"/>
  <c r="G46" i="53" s="1"/>
  <c r="H46" i="53" s="1"/>
  <c r="I46" i="53" s="1"/>
  <c r="J46" i="53" s="1"/>
  <c r="K46" i="53" s="1"/>
  <c r="L46" i="53" s="1"/>
  <c r="M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C43" i="53"/>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A50" i="7" s="1"/>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B19" i="53"/>
  <c r="C19" i="53" s="1"/>
  <c r="D19" i="53" s="1"/>
  <c r="E19" i="53" s="1"/>
  <c r="F19" i="53" s="1"/>
  <c r="G19" i="53" s="1"/>
  <c r="H19" i="53" s="1"/>
  <c r="I19" i="53" s="1"/>
  <c r="J19" i="53" s="1"/>
  <c r="K19" i="53" s="1"/>
  <c r="L19" i="53" s="1"/>
  <c r="M19" i="53" s="1"/>
  <c r="A19" i="53"/>
  <c r="A48" i="7" s="1"/>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D15" i="53" s="1"/>
  <c r="E15" i="53" s="1"/>
  <c r="F15" i="53" s="1"/>
  <c r="G15" i="53" s="1"/>
  <c r="H15" i="53" s="1"/>
  <c r="I15" i="53" s="1"/>
  <c r="J15" i="53" s="1"/>
  <c r="K15" i="53" s="1"/>
  <c r="L15" i="53" s="1"/>
  <c r="M15" i="53" s="1"/>
  <c r="C11" i="53"/>
  <c r="D11" i="53" s="1"/>
  <c r="B39" i="53"/>
  <c r="B75" i="53" s="1"/>
  <c r="B110" i="53" s="1"/>
  <c r="A50" i="14" l="1"/>
  <c r="A50" i="6"/>
  <c r="A50" i="10"/>
  <c r="A50" i="5"/>
  <c r="A50" i="12"/>
  <c r="A50" i="8"/>
  <c r="B67" i="53"/>
  <c r="A48" i="5"/>
  <c r="A48" i="14"/>
  <c r="A48" i="12"/>
  <c r="A48" i="10"/>
  <c r="A48" i="8"/>
  <c r="A48" i="6"/>
  <c r="B34" i="53"/>
  <c r="A48" i="4"/>
  <c r="A50" i="4"/>
  <c r="A48" i="15"/>
  <c r="A50" i="15"/>
  <c r="A48" i="13"/>
  <c r="A50" i="13"/>
  <c r="A48" i="11"/>
  <c r="A50" i="11"/>
  <c r="A48" i="9"/>
  <c r="A50" i="9"/>
  <c r="C6" i="53"/>
  <c r="C34" i="53"/>
  <c r="E11" i="53"/>
  <c r="D17" i="53"/>
  <c r="E17" i="53" s="1"/>
  <c r="F17" i="53" s="1"/>
  <c r="G17" i="53" s="1"/>
  <c r="H17" i="53" s="1"/>
  <c r="I17" i="53" s="1"/>
  <c r="J17" i="53" s="1"/>
  <c r="K17" i="53" s="1"/>
  <c r="L17" i="53" s="1"/>
  <c r="M17" i="53" s="1"/>
  <c r="A92" i="53"/>
  <c r="A127" i="53"/>
  <c r="A56" i="53"/>
  <c r="A88" i="53"/>
  <c r="A123" i="53"/>
  <c r="C67" i="53"/>
  <c r="D43" i="53"/>
  <c r="A52" i="53"/>
  <c r="C39" i="53" l="1"/>
  <c r="D6" i="53"/>
  <c r="E6" i="53" s="1"/>
  <c r="D67" i="53"/>
  <c r="E43" i="53"/>
  <c r="E34" i="53"/>
  <c r="F11" i="53"/>
  <c r="D34" i="53"/>
  <c r="D39" i="53" l="1"/>
  <c r="D75" i="53" s="1"/>
  <c r="D110" i="53" s="1"/>
  <c r="C75" i="53"/>
  <c r="F34" i="53"/>
  <c r="G11" i="53"/>
  <c r="E67" i="53"/>
  <c r="F43" i="53"/>
  <c r="E39" i="53"/>
  <c r="E75" i="53" s="1"/>
  <c r="E110" i="53" s="1"/>
  <c r="F6" i="53"/>
  <c r="C110" i="53" l="1"/>
  <c r="F39" i="53"/>
  <c r="G6" i="53"/>
  <c r="G34" i="53"/>
  <c r="H11" i="53"/>
  <c r="F67" i="53"/>
  <c r="G43" i="53"/>
  <c r="F75" i="53" l="1"/>
  <c r="G39" i="53"/>
  <c r="H6" i="53"/>
  <c r="H34" i="53"/>
  <c r="I11" i="53"/>
  <c r="G67" i="53"/>
  <c r="H43" i="53"/>
  <c r="F110" i="53" l="1"/>
  <c r="G75" i="53"/>
  <c r="G110" i="53" s="1"/>
  <c r="I34" i="53"/>
  <c r="J11" i="53"/>
  <c r="H67" i="53"/>
  <c r="I43" i="53"/>
  <c r="H39" i="53"/>
  <c r="I6" i="53"/>
  <c r="H75" i="53" l="1"/>
  <c r="I39" i="53"/>
  <c r="J6" i="53"/>
  <c r="J34" i="53"/>
  <c r="K11" i="53"/>
  <c r="I67" i="53"/>
  <c r="J43" i="53"/>
  <c r="I75" i="53" l="1"/>
  <c r="H110" i="53"/>
  <c r="K34" i="53"/>
  <c r="L11" i="53"/>
  <c r="J67" i="53"/>
  <c r="K43" i="53"/>
  <c r="J39" i="53"/>
  <c r="K6" i="53"/>
  <c r="J75" i="53" l="1"/>
  <c r="I110" i="53"/>
  <c r="K67" i="53"/>
  <c r="L43" i="53"/>
  <c r="K39" i="53"/>
  <c r="K75" i="53" s="1"/>
  <c r="K110" i="53" s="1"/>
  <c r="L6" i="53"/>
  <c r="M11" i="53"/>
  <c r="M34" i="53" s="1"/>
  <c r="L34" i="53"/>
  <c r="J110" i="53" l="1"/>
  <c r="L39" i="53"/>
  <c r="L75" i="53" s="1"/>
  <c r="L110" i="53" s="1"/>
  <c r="M6" i="53"/>
  <c r="L67" i="53"/>
  <c r="M43" i="53"/>
  <c r="M67" i="53" s="1"/>
  <c r="M39" i="53" l="1"/>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K41" i="6" l="1"/>
  <c r="K41" i="7"/>
  <c r="K41" i="8"/>
  <c r="K41" i="9"/>
  <c r="K41" i="10"/>
  <c r="K41" i="11"/>
  <c r="K41" i="12"/>
  <c r="K41" i="13"/>
  <c r="K41" i="14"/>
  <c r="K41" i="15"/>
  <c r="K41" i="5"/>
  <c r="K41" i="4"/>
  <c r="M110" i="53"/>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C24" i="82"/>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27" i="50" l="1"/>
  <c r="A21" i="50"/>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J26" i="82"/>
  <c r="J12" i="82"/>
  <c r="DM9" i="34" l="1"/>
  <c r="BE2" i="58" l="1"/>
  <c r="BB2" i="62"/>
  <c r="D28" i="63"/>
  <c r="BB2" i="63"/>
  <c r="D31" i="60"/>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B22" i="82"/>
  <c r="D22" i="82" l="1"/>
  <c r="DY5" i="18"/>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C67" i="31" s="1"/>
  <c r="D14" i="75" l="1"/>
  <c r="C67" i="67"/>
  <c r="C67" i="33"/>
  <c r="C67" i="71"/>
  <c r="C67" i="27"/>
  <c r="C67" i="70"/>
  <c r="C67" i="57"/>
  <c r="C67" i="69"/>
  <c r="C67" i="32"/>
  <c r="C67" i="56"/>
  <c r="C67" i="26"/>
  <c r="C67" i="68"/>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E134" i="84"/>
  <c r="E132" i="84"/>
  <c r="E108" i="84"/>
  <c r="E106" i="84"/>
  <c r="E82" i="84"/>
  <c r="E80" i="84"/>
  <c r="E37" i="84"/>
  <c r="E63" i="84" s="1"/>
  <c r="E89" i="84" s="1"/>
  <c r="E115" i="84" s="1"/>
  <c r="E35" i="84"/>
  <c r="E61" i="84" s="1"/>
  <c r="E87" i="84" s="1"/>
  <c r="E113" i="84" s="1"/>
  <c r="E56" i="84"/>
  <c r="E54" i="84"/>
  <c r="E30" i="84"/>
  <c r="G30" i="84" s="1"/>
  <c r="E28" i="84"/>
  <c r="G28" i="84" s="1"/>
  <c r="DS8" i="34" l="1"/>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DL3" i="8"/>
  <c r="BI59" i="10"/>
  <c r="BI59" i="11"/>
  <c r="BI59" i="12"/>
  <c r="BI59" i="13"/>
  <c r="BI59" i="14"/>
  <c r="BI59" i="15"/>
  <c r="BI59" i="9"/>
  <c r="BI59" i="5"/>
  <c r="BI59" i="6"/>
  <c r="BI59" i="7"/>
  <c r="BI59" i="8"/>
  <c r="BI59" i="4"/>
  <c r="CE49" i="9" l="1"/>
  <c r="EO10" i="9" s="1"/>
  <c r="EP11" i="8"/>
  <c r="EP9" i="8"/>
  <c r="EP10" i="8"/>
  <c r="EP11" i="7"/>
  <c r="EP9" i="7"/>
  <c r="EP10" i="7"/>
  <c r="DL2" i="6"/>
  <c r="DV19" i="6" s="1"/>
  <c r="EO9" i="8"/>
  <c r="DL4" i="7"/>
  <c r="DL2" i="7" s="1"/>
  <c r="DV19" i="7" s="1"/>
  <c r="EO9" i="7"/>
  <c r="DL1" i="8"/>
  <c r="CE49" i="10"/>
  <c r="EO10" i="10" s="1"/>
  <c r="B1" i="81"/>
  <c r="B14" i="81" s="1"/>
  <c r="DL3" i="9" l="1"/>
  <c r="DU19" i="6"/>
  <c r="DL4" i="8"/>
  <c r="DL2" i="8" s="1"/>
  <c r="EP10" i="9"/>
  <c r="EP11" i="9"/>
  <c r="EP9" i="9"/>
  <c r="DU19" i="7"/>
  <c r="CD48" i="7"/>
  <c r="DX19" i="7"/>
  <c r="DY19" i="7"/>
  <c r="DY19" i="6"/>
  <c r="DX19" i="6"/>
  <c r="CD48" i="6"/>
  <c r="EO9" i="9"/>
  <c r="DL1" i="9"/>
  <c r="CE49" i="11"/>
  <c r="EO10" i="11" s="1"/>
  <c r="DL3" i="10"/>
  <c r="B3" i="81"/>
  <c r="B11" i="81"/>
  <c r="B12" i="81"/>
  <c r="B13" i="81"/>
  <c r="B6" i="81"/>
  <c r="B5" i="81"/>
  <c r="B2" i="81"/>
  <c r="B10" i="81"/>
  <c r="DV19" i="8" l="1"/>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EO10" i="14" s="1"/>
  <c r="CA56" i="4"/>
  <c r="CA60" i="4"/>
  <c r="CA60" i="5" s="1"/>
  <c r="CA60" i="6" s="1"/>
  <c r="CA60" i="7" s="1"/>
  <c r="CA60" i="8" s="1"/>
  <c r="CA60" i="9" s="1"/>
  <c r="CA60" i="10" s="1"/>
  <c r="CA60" i="11" s="1"/>
  <c r="CA60" i="12" s="1"/>
  <c r="CA60" i="13" s="1"/>
  <c r="CA60" i="14" s="1"/>
  <c r="CA60" i="15" s="1"/>
  <c r="BY56" i="4"/>
  <c r="EP11" i="13" l="1"/>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4" i="80"/>
  <c r="P171" i="80"/>
  <c r="P75" i="80"/>
  <c r="EX13" i="6"/>
  <c r="AR13" i="7"/>
  <c r="O75" i="80"/>
  <c r="DY5" i="37" l="1"/>
  <c r="B165" i="80"/>
  <c r="C165"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A5" i="85" s="1"/>
  <c r="A6" i="85" s="1"/>
  <c r="A7" i="85" s="1"/>
  <c r="A8" i="85" s="1"/>
  <c r="A9" i="85" s="1"/>
  <c r="A10" i="85" s="1"/>
  <c r="A11" i="85" s="1"/>
  <c r="A12" i="85" s="1"/>
  <c r="A13" i="85" s="1"/>
  <c r="A14" i="85" s="1"/>
  <c r="A15" i="85" s="1"/>
  <c r="A16" i="85" s="1"/>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3"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V22" i="70" l="1"/>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CB7" i="4"/>
  <c r="F32" i="51"/>
  <c r="B35"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K42" i="4"/>
  <c r="K58" i="4"/>
  <c r="K56" i="4"/>
  <c r="U47" i="4"/>
  <c r="U54" i="4"/>
  <c r="U41" i="4"/>
  <c r="U42" i="4"/>
  <c r="K46" i="4"/>
  <c r="K57" i="4"/>
  <c r="U52" i="4"/>
  <c r="U48" i="4"/>
  <c r="U51" i="4"/>
  <c r="K59" i="4"/>
  <c r="U44" i="4"/>
  <c r="U55" i="4"/>
  <c r="K48" i="4"/>
  <c r="K47" i="4"/>
  <c r="U46"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N29" i="55" s="1"/>
  <c r="A872" i="34"/>
  <c r="BX872" i="34" s="1"/>
  <c r="A660" i="34"/>
  <c r="BX660" i="34" s="1"/>
  <c r="A666" i="34"/>
  <c r="BX666" i="34" s="1"/>
  <c r="A672" i="34"/>
  <c r="BX672" i="34" s="1"/>
  <c r="A638" i="34"/>
  <c r="BX638" i="34" s="1"/>
  <c r="A722" i="34"/>
  <c r="BX722" i="34" s="1"/>
  <c r="N29" i="31"/>
  <c r="N29" i="68"/>
  <c r="N29" i="71"/>
  <c r="AO17" i="34" s="1"/>
  <c r="N29" i="32"/>
  <c r="N29" i="69"/>
  <c r="AO15" i="34" s="1"/>
  <c r="N29" i="56"/>
  <c r="E37" i="56" s="1"/>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FZ44" i="4" s="1"/>
  <c r="GA44" i="4" s="1"/>
  <c r="GB44" i="4" s="1"/>
  <c r="FW27" i="34" s="1"/>
  <c r="A5" i="59"/>
  <c r="L19" i="51"/>
  <c r="BO14" i="59"/>
  <c r="AH87" i="5"/>
  <c r="AH87" i="6" s="1"/>
  <c r="AH87" i="7" s="1"/>
  <c r="AH87" i="8" s="1"/>
  <c r="S9" i="59" s="1"/>
  <c r="S5" i="59"/>
  <c r="O5" i="59"/>
  <c r="G19" i="51"/>
  <c r="BO11" i="59"/>
  <c r="AJ4" i="4"/>
  <c r="J4" i="63"/>
  <c r="I4" i="62"/>
  <c r="I4" i="58"/>
  <c r="D5" i="25"/>
  <c r="V65" i="25" s="1"/>
  <c r="I4" i="60"/>
  <c r="H80" i="80"/>
  <c r="O76" i="80" s="1"/>
  <c r="BY8" i="5"/>
  <c r="BY9" i="4"/>
  <c r="AE7" i="74"/>
  <c r="GG12" i="34" s="1"/>
  <c r="G67" i="74"/>
  <c r="Y67" i="74"/>
  <c r="X3" i="15"/>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FZ21" i="4" s="1"/>
  <c r="GA21" i="4" s="1"/>
  <c r="GB21" i="4" s="1"/>
  <c r="FW4" i="34" s="1"/>
  <c r="AB29" i="4"/>
  <c r="FZ29" i="4" s="1"/>
  <c r="GA29" i="4" s="1"/>
  <c r="GB29" i="4" s="1"/>
  <c r="FW12" i="34" s="1"/>
  <c r="AB37" i="4"/>
  <c r="FZ37" i="4" s="1"/>
  <c r="GA37" i="4" s="1"/>
  <c r="GB37" i="4" s="1"/>
  <c r="FW20" i="34" s="1"/>
  <c r="AB45" i="4"/>
  <c r="FZ45" i="4" s="1"/>
  <c r="GA45" i="4" s="1"/>
  <c r="GB45" i="4" s="1"/>
  <c r="FW28" i="34" s="1"/>
  <c r="AB24" i="4"/>
  <c r="FZ24" i="4" s="1"/>
  <c r="GA24" i="4" s="1"/>
  <c r="GB24" i="4" s="1"/>
  <c r="FW7" i="34" s="1"/>
  <c r="AB46" i="4"/>
  <c r="FZ46" i="4" s="1"/>
  <c r="GA46" i="4" s="1"/>
  <c r="GB46" i="4" s="1"/>
  <c r="FW29" i="34" s="1"/>
  <c r="AB38" i="4"/>
  <c r="FZ38" i="4" s="1"/>
  <c r="EO2" i="4"/>
  <c r="EI22" i="4"/>
  <c r="AB25" i="4"/>
  <c r="FZ25" i="4" s="1"/>
  <c r="GA25" i="4" s="1"/>
  <c r="GB25" i="4" s="1"/>
  <c r="FW8" i="34" s="1"/>
  <c r="AB33" i="4"/>
  <c r="FZ33" i="4" s="1"/>
  <c r="GA33" i="4" s="1"/>
  <c r="GB33" i="4" s="1"/>
  <c r="FW16" i="34" s="1"/>
  <c r="AB41" i="4"/>
  <c r="FZ41" i="4" s="1"/>
  <c r="GA41" i="4" s="1"/>
  <c r="GB41" i="4" s="1"/>
  <c r="FW24" i="34" s="1"/>
  <c r="D8" i="72"/>
  <c r="AM5" i="72" s="1"/>
  <c r="BK6" i="72" s="1"/>
  <c r="AB36" i="4"/>
  <c r="FZ36" i="4" s="1"/>
  <c r="GA36" i="4" s="1"/>
  <c r="GB36" i="4" s="1"/>
  <c r="FW19" i="34" s="1"/>
  <c r="AB26" i="4"/>
  <c r="FZ26" i="4" s="1"/>
  <c r="GA26" i="4" s="1"/>
  <c r="GB26" i="4" s="1"/>
  <c r="FW9" i="34" s="1"/>
  <c r="AB34" i="4"/>
  <c r="AB31" i="4"/>
  <c r="FZ31" i="4" s="1"/>
  <c r="GA31" i="4" s="1"/>
  <c r="GB31" i="4" s="1"/>
  <c r="FW14" i="34" s="1"/>
  <c r="AB47" i="4"/>
  <c r="FZ47" i="4" s="1"/>
  <c r="AB22" i="4"/>
  <c r="FZ22" i="4" s="1"/>
  <c r="AB42" i="4"/>
  <c r="EI21" i="4"/>
  <c r="X3" i="13"/>
  <c r="X3" i="10"/>
  <c r="F87" i="4"/>
  <c r="F22" i="51" s="1"/>
  <c r="B9" i="50" s="1"/>
  <c r="X3" i="11"/>
  <c r="AB23" i="4"/>
  <c r="FZ23" i="4" s="1"/>
  <c r="GA23" i="4" s="1"/>
  <c r="GB23" i="4" s="1"/>
  <c r="FW6" i="34" s="1"/>
  <c r="AB39" i="4"/>
  <c r="FZ39" i="4" s="1"/>
  <c r="AB30" i="4"/>
  <c r="FZ30" i="4" s="1"/>
  <c r="GA30" i="4" s="1"/>
  <c r="GB30" i="4" s="1"/>
  <c r="FW13" i="34" s="1"/>
  <c r="AB32" i="4"/>
  <c r="FZ32" i="4" s="1"/>
  <c r="GA32" i="4" s="1"/>
  <c r="GB32" i="4" s="1"/>
  <c r="FW15" i="34" s="1"/>
  <c r="D99" i="4"/>
  <c r="AB43" i="4"/>
  <c r="FZ43" i="4" s="1"/>
  <c r="X3" i="8"/>
  <c r="X3" i="12"/>
  <c r="X3" i="5"/>
  <c r="AB27" i="4"/>
  <c r="FZ27" i="4" s="1"/>
  <c r="AB40" i="4"/>
  <c r="FZ40" i="4" s="1"/>
  <c r="GA40" i="4" s="1"/>
  <c r="GB40" i="4" s="1"/>
  <c r="FW23" i="34" s="1"/>
  <c r="X3" i="6"/>
  <c r="X3" i="14"/>
  <c r="X3" i="7"/>
  <c r="AB28" i="4"/>
  <c r="AB35" i="4"/>
  <c r="FZ35" i="4" s="1"/>
  <c r="GA35" i="4" s="1"/>
  <c r="GB35" i="4" s="1"/>
  <c r="FW18" i="34" s="1"/>
  <c r="X3" i="9"/>
  <c r="AB20" i="4"/>
  <c r="FZ20" i="4" s="1"/>
  <c r="GA20" i="4" s="1"/>
  <c r="G8" i="72"/>
  <c r="D2" i="16"/>
  <c r="K14" i="2"/>
  <c r="K24" i="2"/>
  <c r="F114" i="34"/>
  <c r="BN22" i="70" l="1"/>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CB7" i="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K42" i="14"/>
  <c r="K59" i="14"/>
  <c r="K57" i="14"/>
  <c r="K46" i="14"/>
  <c r="K56" i="14"/>
  <c r="K48" i="14"/>
  <c r="K58" i="14"/>
  <c r="K47" i="14"/>
  <c r="U47" i="14"/>
  <c r="U55" i="14"/>
  <c r="U42" i="14"/>
  <c r="U54" i="14"/>
  <c r="U44" i="14"/>
  <c r="U51" i="14"/>
  <c r="U52" i="14"/>
  <c r="U46" i="14"/>
  <c r="U41" i="14"/>
  <c r="U48" i="14"/>
  <c r="EG6" i="15"/>
  <c r="K46" i="15"/>
  <c r="K56" i="15"/>
  <c r="K57" i="15"/>
  <c r="K58" i="15"/>
  <c r="K47" i="15"/>
  <c r="K42" i="15"/>
  <c r="K59" i="15"/>
  <c r="K48" i="15"/>
  <c r="U41" i="15"/>
  <c r="U54" i="15"/>
  <c r="U47" i="15"/>
  <c r="U52" i="15"/>
  <c r="U44" i="15"/>
  <c r="U55" i="15"/>
  <c r="U42" i="15"/>
  <c r="U46" i="15"/>
  <c r="U48" i="15"/>
  <c r="U51" i="15"/>
  <c r="DK3" i="34"/>
  <c r="DJ3" i="34" s="1"/>
  <c r="DI3" i="34" s="1"/>
  <c r="EG6" i="9"/>
  <c r="K47" i="9"/>
  <c r="K48" i="9"/>
  <c r="U55" i="9"/>
  <c r="U42" i="9"/>
  <c r="U54" i="9"/>
  <c r="U44" i="9"/>
  <c r="K57" i="9"/>
  <c r="U46" i="9"/>
  <c r="K42" i="9"/>
  <c r="U51" i="9"/>
  <c r="K56" i="9"/>
  <c r="U47" i="9"/>
  <c r="U41" i="9"/>
  <c r="K46" i="9"/>
  <c r="K58" i="9"/>
  <c r="U48" i="9"/>
  <c r="U52" i="9"/>
  <c r="K59" i="9"/>
  <c r="EG6" i="8"/>
  <c r="K47" i="8"/>
  <c r="K56" i="8"/>
  <c r="K59" i="8"/>
  <c r="K46" i="8"/>
  <c r="K57" i="8"/>
  <c r="K48" i="8"/>
  <c r="K58" i="8"/>
  <c r="K42" i="8"/>
  <c r="U54" i="8"/>
  <c r="U51" i="8"/>
  <c r="U52" i="8"/>
  <c r="U42" i="8"/>
  <c r="U41" i="8"/>
  <c r="U47" i="8"/>
  <c r="U46" i="8"/>
  <c r="U44" i="8"/>
  <c r="U48" i="8"/>
  <c r="U55" i="8"/>
  <c r="EG6" i="7"/>
  <c r="K58" i="7"/>
  <c r="U42" i="7"/>
  <c r="K56" i="7"/>
  <c r="K57" i="7"/>
  <c r="U44" i="7"/>
  <c r="K59" i="7"/>
  <c r="K48" i="7"/>
  <c r="K42" i="7"/>
  <c r="K47" i="7"/>
  <c r="U55" i="7"/>
  <c r="K46" i="7"/>
  <c r="U54" i="7"/>
  <c r="U48" i="7"/>
  <c r="U47" i="7"/>
  <c r="U46" i="7"/>
  <c r="U52" i="7"/>
  <c r="U51" i="7"/>
  <c r="U41" i="7"/>
  <c r="EG6" i="10"/>
  <c r="K48" i="10"/>
  <c r="K58" i="10"/>
  <c r="K57" i="10"/>
  <c r="K46" i="10"/>
  <c r="U41" i="10"/>
  <c r="K59" i="10"/>
  <c r="K42" i="10"/>
  <c r="K47" i="10"/>
  <c r="U46" i="10"/>
  <c r="U51" i="10"/>
  <c r="U52" i="10"/>
  <c r="U42" i="10"/>
  <c r="U44" i="10"/>
  <c r="U48" i="10"/>
  <c r="K56" i="10"/>
  <c r="U55" i="10"/>
  <c r="U47" i="10"/>
  <c r="U54" i="10"/>
  <c r="EG6" i="5"/>
  <c r="K42" i="5"/>
  <c r="K56" i="5"/>
  <c r="K58" i="5"/>
  <c r="K47" i="5"/>
  <c r="K46" i="5"/>
  <c r="K57" i="5"/>
  <c r="K59" i="5"/>
  <c r="K48" i="5"/>
  <c r="U55" i="5"/>
  <c r="U46" i="5"/>
  <c r="U44" i="5"/>
  <c r="U52" i="5"/>
  <c r="U54" i="5"/>
  <c r="U41" i="5"/>
  <c r="U48" i="5"/>
  <c r="U47" i="5"/>
  <c r="U51" i="5"/>
  <c r="U42" i="5"/>
  <c r="EG6" i="13"/>
  <c r="U42" i="13"/>
  <c r="K42" i="13"/>
  <c r="K56" i="13"/>
  <c r="K57" i="13"/>
  <c r="K47" i="13"/>
  <c r="K48" i="13"/>
  <c r="K59" i="13"/>
  <c r="K46" i="13"/>
  <c r="K58" i="13"/>
  <c r="U55" i="13"/>
  <c r="U51" i="13"/>
  <c r="U46" i="13"/>
  <c r="U48" i="13"/>
  <c r="U47" i="13"/>
  <c r="U54" i="13"/>
  <c r="U52" i="13"/>
  <c r="U41" i="13"/>
  <c r="U44" i="13"/>
  <c r="EG6" i="6"/>
  <c r="K47" i="6"/>
  <c r="K48" i="6"/>
  <c r="U55" i="6"/>
  <c r="U52" i="6"/>
  <c r="U42" i="6"/>
  <c r="K59" i="6"/>
  <c r="K58" i="6"/>
  <c r="K46" i="6"/>
  <c r="K42" i="6"/>
  <c r="U47" i="6"/>
  <c r="U54" i="6"/>
  <c r="U46" i="6"/>
  <c r="U51" i="6"/>
  <c r="K57" i="6"/>
  <c r="U48" i="6"/>
  <c r="K56" i="6"/>
  <c r="U41" i="6"/>
  <c r="U44" i="6"/>
  <c r="EG6" i="12"/>
  <c r="K56" i="12"/>
  <c r="K48" i="12"/>
  <c r="U54" i="12"/>
  <c r="U46" i="12"/>
  <c r="U52" i="12"/>
  <c r="K46" i="12"/>
  <c r="K47" i="12"/>
  <c r="K58" i="12"/>
  <c r="K42" i="12"/>
  <c r="K57" i="12"/>
  <c r="K59" i="12"/>
  <c r="U41" i="12"/>
  <c r="U44" i="12"/>
  <c r="U42" i="12"/>
  <c r="U47" i="12"/>
  <c r="U55" i="12"/>
  <c r="U48" i="12"/>
  <c r="U51" i="12"/>
  <c r="EG6" i="11"/>
  <c r="K47" i="11"/>
  <c r="U44" i="11"/>
  <c r="U47" i="11"/>
  <c r="U46" i="11"/>
  <c r="U48" i="11"/>
  <c r="U41" i="11"/>
  <c r="K56" i="11"/>
  <c r="K57" i="11"/>
  <c r="K42" i="11"/>
  <c r="K59" i="11"/>
  <c r="K46" i="11"/>
  <c r="K58" i="11"/>
  <c r="K48" i="11"/>
  <c r="U54" i="11"/>
  <c r="U42" i="11"/>
  <c r="U51" i="11"/>
  <c r="U55" i="11"/>
  <c r="U52"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D67" i="33"/>
  <c r="E37" i="33"/>
  <c r="E37" i="57"/>
  <c r="BY4" i="4"/>
  <c r="AJ8" i="37"/>
  <c r="BN8" i="37" s="1"/>
  <c r="BD8" i="41"/>
  <c r="BD8" i="36"/>
  <c r="AJ8" i="45"/>
  <c r="BN8" i="45" s="1"/>
  <c r="E37" i="27"/>
  <c r="D67" i="56"/>
  <c r="AJ8" i="44"/>
  <c r="BN8" i="44" s="1"/>
  <c r="AJ8" i="42"/>
  <c r="BN8" i="42" s="1"/>
  <c r="D67" i="57"/>
  <c r="U8" i="45"/>
  <c r="U8" i="37"/>
  <c r="U8" i="44"/>
  <c r="U8" i="36"/>
  <c r="U8" i="43"/>
  <c r="E37" i="69"/>
  <c r="AJ8" i="39"/>
  <c r="BN8" i="39" s="1"/>
  <c r="D67" i="69"/>
  <c r="D67" i="27"/>
  <c r="D67" i="71"/>
  <c r="E37" i="31"/>
  <c r="AO7" i="34"/>
  <c r="E37" i="32"/>
  <c r="AO8" i="34"/>
  <c r="D67" i="70"/>
  <c r="AO16" i="34"/>
  <c r="D67" i="68"/>
  <c r="AO14" i="34"/>
  <c r="D67" i="67"/>
  <c r="AO13" i="34"/>
  <c r="E37" i="55"/>
  <c r="AO10" i="34"/>
  <c r="D67" i="26"/>
  <c r="AO5" i="34"/>
  <c r="D67" i="31"/>
  <c r="D67" i="32"/>
  <c r="C67" i="2"/>
  <c r="AB4" i="34" s="1"/>
  <c r="O29" i="2"/>
  <c r="N29" i="2" s="1"/>
  <c r="BD8" i="35"/>
  <c r="AJ8" i="40"/>
  <c r="BN8" i="40" s="1"/>
  <c r="E37" i="67"/>
  <c r="E37" i="68"/>
  <c r="E37" i="71"/>
  <c r="E37" i="70"/>
  <c r="E37" i="26"/>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C67" i="55"/>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29" i="74"/>
  <c r="AB29" i="74" s="1"/>
  <c r="AC21" i="74"/>
  <c r="AB21" i="74" s="1"/>
  <c r="AC9" i="74"/>
  <c r="AB9" i="74" s="1"/>
  <c r="AC28" i="74"/>
  <c r="AB28" i="74" s="1"/>
  <c r="AC19" i="74"/>
  <c r="AB19" i="74" s="1"/>
  <c r="AC18" i="74"/>
  <c r="AB18" i="74" s="1"/>
  <c r="AC27" i="74"/>
  <c r="AB27" i="74" s="1"/>
  <c r="AC32" i="74"/>
  <c r="AB32" i="74" s="1"/>
  <c r="AC13" i="74"/>
  <c r="AB13" i="74" s="1"/>
  <c r="AC30" i="74"/>
  <c r="AB30" i="74" s="1"/>
  <c r="AC23" i="74"/>
  <c r="AB23" i="74" s="1"/>
  <c r="AC17" i="74"/>
  <c r="AB17" i="74" s="1"/>
  <c r="AC20" i="74"/>
  <c r="AB20"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C69"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FZ40" i="15" s="1"/>
  <c r="GB40" i="15" s="1"/>
  <c r="FW364" i="34" s="1"/>
  <c r="CC44" i="6"/>
  <c r="K65" i="5"/>
  <c r="BY8" i="6"/>
  <c r="EO4" i="4"/>
  <c r="AJ4" i="11"/>
  <c r="DK10" i="34" s="1"/>
  <c r="DJ10" i="34" s="1"/>
  <c r="EO3" i="4"/>
  <c r="D233" i="72"/>
  <c r="AM230" i="72" s="1"/>
  <c r="BK230" i="72" s="1"/>
  <c r="D99" i="14"/>
  <c r="AB31" i="6"/>
  <c r="FZ31" i="6" s="1"/>
  <c r="GB31" i="6" s="1"/>
  <c r="FW76" i="34" s="1"/>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FZ38" i="15" s="1"/>
  <c r="GB38" i="15" s="1"/>
  <c r="FW362" i="34" s="1"/>
  <c r="AJ4" i="7"/>
  <c r="DK6" i="34" s="1"/>
  <c r="DJ6" i="34" s="1"/>
  <c r="BG5" i="62"/>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FZ29" i="15" s="1"/>
  <c r="GB29" i="15" s="1"/>
  <c r="FW353" i="34" s="1"/>
  <c r="AB21" i="15"/>
  <c r="AB28" i="8"/>
  <c r="FZ28" i="8" s="1"/>
  <c r="GB28" i="8" s="1"/>
  <c r="FW135" i="34" s="1"/>
  <c r="AB25" i="15"/>
  <c r="FZ25" i="15" s="1"/>
  <c r="GB25" i="15" s="1"/>
  <c r="FW349" i="34" s="1"/>
  <c r="AB31" i="15"/>
  <c r="AB42" i="15"/>
  <c r="A16" i="59"/>
  <c r="AB33" i="15"/>
  <c r="FZ33" i="15" s="1"/>
  <c r="GB33" i="15" s="1"/>
  <c r="FW357" i="34" s="1"/>
  <c r="AB23" i="14"/>
  <c r="FZ23" i="14" s="1"/>
  <c r="GB23" i="14" s="1"/>
  <c r="FW316" i="34" s="1"/>
  <c r="AB23" i="9"/>
  <c r="FZ23" i="9" s="1"/>
  <c r="GB23" i="9" s="1"/>
  <c r="FW161" i="34" s="1"/>
  <c r="AB47" i="14"/>
  <c r="FZ47" i="14" s="1"/>
  <c r="GB47" i="14" s="1"/>
  <c r="FW340" i="34" s="1"/>
  <c r="EQ45" i="4"/>
  <c r="EW45" i="4" s="1"/>
  <c r="AB26" i="5"/>
  <c r="A5" i="79"/>
  <c r="B27" i="72"/>
  <c r="EG27" i="72" s="1"/>
  <c r="A14" i="79"/>
  <c r="K67" i="6"/>
  <c r="K67" i="7" s="1"/>
  <c r="AE8" i="74"/>
  <c r="AF8" i="74"/>
  <c r="T34" i="74"/>
  <c r="S34" i="74" s="1"/>
  <c r="Q32" i="74"/>
  <c r="P32" i="74" s="1"/>
  <c r="Q23" i="74"/>
  <c r="P23" i="74" s="1"/>
  <c r="Q29" i="74"/>
  <c r="P29" i="74" s="1"/>
  <c r="EQ23" i="4"/>
  <c r="EW23" i="4" s="1"/>
  <c r="EQ47" i="4"/>
  <c r="EW47" i="4" s="1"/>
  <c r="EQ33" i="4"/>
  <c r="EW33" i="4" s="1"/>
  <c r="B29" i="72"/>
  <c r="EG29" i="72" s="1"/>
  <c r="EQ26" i="4"/>
  <c r="EW26" i="4" s="1"/>
  <c r="A9" i="79"/>
  <c r="B14" i="72"/>
  <c r="EG14" i="72" s="1"/>
  <c r="B35" i="72"/>
  <c r="EG35" i="72" s="1"/>
  <c r="D99" i="10"/>
  <c r="AB44" i="15"/>
  <c r="FZ44" i="15" s="1"/>
  <c r="GB44" i="15" s="1"/>
  <c r="FW368" i="34" s="1"/>
  <c r="AB28" i="15"/>
  <c r="FZ28" i="15" s="1"/>
  <c r="GB28" i="15" s="1"/>
  <c r="FW352" i="34" s="1"/>
  <c r="EI22" i="5"/>
  <c r="AB45" i="15"/>
  <c r="AB47" i="15"/>
  <c r="AB37" i="15"/>
  <c r="EI21" i="15"/>
  <c r="AB26" i="15"/>
  <c r="FZ26" i="15" s="1"/>
  <c r="GB26" i="15" s="1"/>
  <c r="FW350" i="34" s="1"/>
  <c r="A4" i="79"/>
  <c r="A6" i="79"/>
  <c r="B31" i="72"/>
  <c r="EG31" i="72" s="1"/>
  <c r="B33" i="72"/>
  <c r="EG33" i="72" s="1"/>
  <c r="AB35" i="15"/>
  <c r="FZ35" i="15" s="1"/>
  <c r="GB35" i="15" s="1"/>
  <c r="FW359" i="34" s="1"/>
  <c r="AB24" i="15"/>
  <c r="FZ24" i="15" s="1"/>
  <c r="GB24" i="15" s="1"/>
  <c r="FW348" i="34" s="1"/>
  <c r="F87" i="15"/>
  <c r="D22" i="51" s="1"/>
  <c r="AB22" i="15"/>
  <c r="AB43" i="15"/>
  <c r="AB36" i="15"/>
  <c r="AB30" i="15"/>
  <c r="D99" i="15"/>
  <c r="A12" i="79"/>
  <c r="A10" i="79"/>
  <c r="AB41" i="15"/>
  <c r="FZ41" i="15" s="1"/>
  <c r="GB41" i="15" s="1"/>
  <c r="FW365" i="34" s="1"/>
  <c r="AB35" i="5"/>
  <c r="AB39" i="15"/>
  <c r="AB32" i="15"/>
  <c r="AB27" i="15"/>
  <c r="AB23" i="15"/>
  <c r="AB34" i="15"/>
  <c r="EI22" i="15"/>
  <c r="AB46" i="15"/>
  <c r="AB20" i="15"/>
  <c r="D13" i="39"/>
  <c r="GL8" i="34" s="1"/>
  <c r="AB39" i="14"/>
  <c r="FZ39" i="14" s="1"/>
  <c r="GB39" i="14" s="1"/>
  <c r="FW332" i="34" s="1"/>
  <c r="AB25" i="14"/>
  <c r="FZ25" i="14" s="1"/>
  <c r="GB25" i="14" s="1"/>
  <c r="FW318" i="34" s="1"/>
  <c r="B22" i="72"/>
  <c r="EG22" i="72" s="1"/>
  <c r="B13" i="72"/>
  <c r="EG13" i="72" s="1"/>
  <c r="EQ24" i="4"/>
  <c r="EW24" i="4" s="1"/>
  <c r="AB29" i="9"/>
  <c r="A10" i="59"/>
  <c r="AB46" i="14"/>
  <c r="FZ46" i="14" s="1"/>
  <c r="GB46" i="14" s="1"/>
  <c r="FW339" i="34" s="1"/>
  <c r="A15" i="59"/>
  <c r="B19" i="72"/>
  <c r="EG19" i="72" s="1"/>
  <c r="AB37" i="9"/>
  <c r="D99" i="9"/>
  <c r="AB36" i="14"/>
  <c r="FZ36" i="14" s="1"/>
  <c r="GB36" i="14" s="1"/>
  <c r="FW329" i="34" s="1"/>
  <c r="D458" i="72"/>
  <c r="AM455" i="72" s="1"/>
  <c r="BK455" i="72" s="1"/>
  <c r="N67" i="5"/>
  <c r="A8" i="79"/>
  <c r="A13" i="79"/>
  <c r="A7" i="79"/>
  <c r="AB45" i="6"/>
  <c r="FZ45" i="6" s="1"/>
  <c r="GB45" i="6" s="1"/>
  <c r="FW90" i="34" s="1"/>
  <c r="AB32" i="9"/>
  <c r="FZ32" i="9" s="1"/>
  <c r="GB32" i="9" s="1"/>
  <c r="FW170" i="34" s="1"/>
  <c r="AB32" i="14"/>
  <c r="AB27" i="14"/>
  <c r="H68" i="5"/>
  <c r="N68" i="5" s="1"/>
  <c r="BZ90" i="4"/>
  <c r="F14" i="51" s="1"/>
  <c r="B31" i="50" s="1"/>
  <c r="D99" i="8"/>
  <c r="EX13" i="11"/>
  <c r="EQ31" i="4"/>
  <c r="EW31" i="4" s="1"/>
  <c r="C29" i="18"/>
  <c r="C68" i="18" s="1"/>
  <c r="B28" i="72"/>
  <c r="EG28" i="72" s="1"/>
  <c r="AB26" i="8"/>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FZ35" i="8" s="1"/>
  <c r="GB35" i="8" s="1"/>
  <c r="FW142" i="34" s="1"/>
  <c r="AB37" i="8"/>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FZ42" i="8" s="1"/>
  <c r="GB42" i="8" s="1"/>
  <c r="FW149" i="34" s="1"/>
  <c r="D13" i="38"/>
  <c r="GL7" i="34" s="1"/>
  <c r="C23" i="18"/>
  <c r="C62" i="18" s="1"/>
  <c r="C18" i="18"/>
  <c r="C57" i="18" s="1"/>
  <c r="C34" i="18"/>
  <c r="C73" i="18" s="1"/>
  <c r="C33" i="18"/>
  <c r="C72" i="18" s="1"/>
  <c r="BC36" i="18"/>
  <c r="BB36" i="18" s="1"/>
  <c r="AB21" i="8"/>
  <c r="AB46" i="8"/>
  <c r="FZ46" i="8" s="1"/>
  <c r="GB46" i="8" s="1"/>
  <c r="FW153" i="34" s="1"/>
  <c r="DK38" i="4"/>
  <c r="AB22" i="6"/>
  <c r="AB44" i="5"/>
  <c r="D53" i="72"/>
  <c r="AM50" i="72" s="1"/>
  <c r="BK50" i="72" s="1"/>
  <c r="AB41" i="6"/>
  <c r="FZ41" i="6" s="1"/>
  <c r="GB41" i="6" s="1"/>
  <c r="FW86" i="34" s="1"/>
  <c r="AB43" i="5"/>
  <c r="FZ43" i="5" s="1"/>
  <c r="GB43" i="5" s="1"/>
  <c r="FW57" i="34" s="1"/>
  <c r="D99" i="5"/>
  <c r="AB36" i="5"/>
  <c r="FZ36" i="5" s="1"/>
  <c r="GB36" i="5" s="1"/>
  <c r="FW50" i="34" s="1"/>
  <c r="AB45" i="5"/>
  <c r="AR13" i="12"/>
  <c r="K68" i="7"/>
  <c r="H68" i="6"/>
  <c r="N68" i="6" s="1"/>
  <c r="EI21" i="9"/>
  <c r="AB33" i="9"/>
  <c r="EI22" i="9"/>
  <c r="AB44" i="9"/>
  <c r="AB28" i="9"/>
  <c r="AB22" i="9"/>
  <c r="AB43" i="9"/>
  <c r="AB41" i="9"/>
  <c r="AB42" i="9"/>
  <c r="AB30" i="9"/>
  <c r="AB25" i="9"/>
  <c r="AB34" i="9"/>
  <c r="AB47" i="9"/>
  <c r="AB35" i="9"/>
  <c r="AB24" i="9"/>
  <c r="AB31" i="9"/>
  <c r="AB38" i="9"/>
  <c r="AB39" i="9"/>
  <c r="F87" i="9"/>
  <c r="H22" i="51" s="1"/>
  <c r="AB26" i="9"/>
  <c r="AB21" i="9"/>
  <c r="AB36" i="9"/>
  <c r="AB46" i="9"/>
  <c r="AB45" i="9"/>
  <c r="AB27" i="9"/>
  <c r="AB20" i="9"/>
  <c r="AB40" i="9"/>
  <c r="EI21" i="14"/>
  <c r="EI22" i="14"/>
  <c r="AB44" i="14"/>
  <c r="AB29" i="14"/>
  <c r="AB34" i="14"/>
  <c r="AB40" i="14"/>
  <c r="AB24" i="14"/>
  <c r="AB43" i="14"/>
  <c r="D13" i="44"/>
  <c r="GL13" i="34" s="1"/>
  <c r="AB30" i="14"/>
  <c r="AB28" i="14"/>
  <c r="F87" i="14"/>
  <c r="K22" i="51" s="1"/>
  <c r="AB37" i="14"/>
  <c r="AB31" i="14"/>
  <c r="AB33" i="14"/>
  <c r="AB26" i="14"/>
  <c r="AB38" i="14"/>
  <c r="AB41" i="14"/>
  <c r="AB22" i="14"/>
  <c r="AB45" i="14"/>
  <c r="AB20" i="14"/>
  <c r="AB21" i="14"/>
  <c r="AB42" i="14"/>
  <c r="AB35" i="14"/>
  <c r="BM27" i="4"/>
  <c r="BM30" i="4"/>
  <c r="EQ42" i="4"/>
  <c r="B34" i="72"/>
  <c r="EG34" i="72" s="1"/>
  <c r="BM42" i="4"/>
  <c r="BM24" i="4"/>
  <c r="BM21" i="4"/>
  <c r="BM35" i="4"/>
  <c r="AB38" i="6"/>
  <c r="EI22" i="6"/>
  <c r="AB21" i="6"/>
  <c r="AB28" i="6"/>
  <c r="AB26" i="6"/>
  <c r="AB25" i="6"/>
  <c r="AB43" i="6"/>
  <c r="AB42" i="6"/>
  <c r="AB34" i="6"/>
  <c r="EI21" i="6"/>
  <c r="AB27" i="6"/>
  <c r="AB40" i="6"/>
  <c r="AB47" i="6"/>
  <c r="AB20" i="6"/>
  <c r="D99" i="6"/>
  <c r="AB44" i="6"/>
  <c r="AB29" i="6"/>
  <c r="AB37" i="6"/>
  <c r="D13" i="36"/>
  <c r="GL5" i="34" s="1"/>
  <c r="AB30" i="6"/>
  <c r="D98" i="72"/>
  <c r="AM95" i="72" s="1"/>
  <c r="BK95" i="72" s="1"/>
  <c r="AB23" i="6"/>
  <c r="AB36" i="6"/>
  <c r="A7" i="59"/>
  <c r="AB32" i="6"/>
  <c r="AB46" i="6"/>
  <c r="F87" i="6"/>
  <c r="J22" i="51" s="1"/>
  <c r="AB33" i="6"/>
  <c r="AB35" i="6"/>
  <c r="AB39" i="6"/>
  <c r="AB24" i="6"/>
  <c r="A6" i="59"/>
  <c r="AB34" i="5"/>
  <c r="D13" i="35"/>
  <c r="GL4" i="34" s="1"/>
  <c r="AB24" i="5"/>
  <c r="AB33" i="5"/>
  <c r="AB32" i="5"/>
  <c r="AB30" i="5"/>
  <c r="AB37" i="5"/>
  <c r="AB40" i="5"/>
  <c r="AB27" i="5"/>
  <c r="AB20" i="5"/>
  <c r="AB21" i="5"/>
  <c r="AB42" i="5"/>
  <c r="AB47" i="5"/>
  <c r="EI21" i="5"/>
  <c r="AB28" i="5"/>
  <c r="AB22" i="5"/>
  <c r="AB38" i="5"/>
  <c r="AB31" i="5"/>
  <c r="AB29" i="5"/>
  <c r="AB25" i="5"/>
  <c r="AB39" i="5"/>
  <c r="AB46" i="5"/>
  <c r="AB41" i="5"/>
  <c r="AB23" i="5"/>
  <c r="BM43" i="4"/>
  <c r="BM39" i="4"/>
  <c r="D278" i="72"/>
  <c r="AM275" i="72" s="1"/>
  <c r="BK275" i="72" s="1"/>
  <c r="EI22" i="10"/>
  <c r="AB24" i="10"/>
  <c r="AB30" i="10"/>
  <c r="AB28" i="10"/>
  <c r="AB44" i="10"/>
  <c r="AB39" i="10"/>
  <c r="AB37" i="10"/>
  <c r="AB36" i="10"/>
  <c r="AB41" i="10"/>
  <c r="D13" i="40"/>
  <c r="GL9" i="34" s="1"/>
  <c r="AB33" i="10"/>
  <c r="AB43" i="10"/>
  <c r="AB35" i="10"/>
  <c r="AB25" i="10"/>
  <c r="AB40" i="10"/>
  <c r="AB42" i="10"/>
  <c r="A11" i="59"/>
  <c r="AB38" i="10"/>
  <c r="AB32" i="10"/>
  <c r="AB22" i="10"/>
  <c r="AB29" i="10"/>
  <c r="AB45" i="10"/>
  <c r="AB20" i="10"/>
  <c r="AB26" i="10"/>
  <c r="AB46" i="10"/>
  <c r="AB34" i="10"/>
  <c r="AB47" i="10"/>
  <c r="EI21" i="10"/>
  <c r="AB21" i="10"/>
  <c r="AB27" i="10"/>
  <c r="AB23" i="10"/>
  <c r="AB31" i="10"/>
  <c r="BM22" i="4"/>
  <c r="EQ34" i="4"/>
  <c r="BM34" i="4"/>
  <c r="B26" i="72"/>
  <c r="EG26" i="72" s="1"/>
  <c r="BM41" i="4"/>
  <c r="BM45" i="4"/>
  <c r="EQ28" i="4"/>
  <c r="B20" i="72"/>
  <c r="EG20" i="72" s="1"/>
  <c r="BM28" i="4"/>
  <c r="A13" i="59"/>
  <c r="D368" i="72"/>
  <c r="AM365" i="72" s="1"/>
  <c r="BK365" i="72" s="1"/>
  <c r="AB44" i="12"/>
  <c r="EI21" i="12"/>
  <c r="D13" i="42"/>
  <c r="GL11" i="34" s="1"/>
  <c r="AB41" i="12"/>
  <c r="F87" i="12"/>
  <c r="M22" i="51" s="1"/>
  <c r="AB37" i="12"/>
  <c r="AB40" i="12"/>
  <c r="AB28" i="12"/>
  <c r="AB45" i="12"/>
  <c r="AB36" i="12"/>
  <c r="AB39" i="12"/>
  <c r="D99" i="12"/>
  <c r="AB23" i="12"/>
  <c r="AB33" i="12"/>
  <c r="AB29" i="12"/>
  <c r="AB42" i="12"/>
  <c r="AB35" i="12"/>
  <c r="AB21" i="12"/>
  <c r="AB34" i="12"/>
  <c r="AB31" i="12"/>
  <c r="AB27" i="12"/>
  <c r="AB30" i="12"/>
  <c r="AB47" i="12"/>
  <c r="AB43" i="12"/>
  <c r="AB20" i="12"/>
  <c r="AB24" i="12"/>
  <c r="EI22" i="12"/>
  <c r="AB38" i="12"/>
  <c r="AB25" i="12"/>
  <c r="AB46" i="12"/>
  <c r="AB26" i="12"/>
  <c r="AB22" i="12"/>
  <c r="AB32" i="12"/>
  <c r="BM23" i="4"/>
  <c r="D99" i="13"/>
  <c r="A14" i="59"/>
  <c r="D13" i="43"/>
  <c r="GL12" i="34" s="1"/>
  <c r="AB36" i="13"/>
  <c r="EI22" i="13"/>
  <c r="AB23" i="13"/>
  <c r="AB35" i="13"/>
  <c r="AB26" i="13"/>
  <c r="AB39" i="13"/>
  <c r="AB45" i="13"/>
  <c r="AB22" i="13"/>
  <c r="AB41" i="13"/>
  <c r="AB44" i="13"/>
  <c r="AB33" i="13"/>
  <c r="AB42" i="13"/>
  <c r="AB47" i="13"/>
  <c r="AB25" i="13"/>
  <c r="F87" i="13"/>
  <c r="L22" i="51" s="1"/>
  <c r="AB20" i="13"/>
  <c r="AB27" i="13"/>
  <c r="AB43" i="13"/>
  <c r="AB32" i="13"/>
  <c r="AB29" i="13"/>
  <c r="AB30" i="13"/>
  <c r="AB46" i="13"/>
  <c r="AB21" i="13"/>
  <c r="AB31" i="13"/>
  <c r="AB34" i="13"/>
  <c r="D413" i="72"/>
  <c r="AM410" i="72" s="1"/>
  <c r="BK410" i="72" s="1"/>
  <c r="AB38" i="13"/>
  <c r="AB28" i="13"/>
  <c r="AB37" i="13"/>
  <c r="AB24" i="13"/>
  <c r="EI21" i="13"/>
  <c r="AB40" i="13"/>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FZ49" i="4" s="1"/>
  <c r="AB48" i="4"/>
  <c r="FZ48" i="4" s="1"/>
  <c r="GA48" i="4" s="1"/>
  <c r="GB48" i="4" s="1"/>
  <c r="FW31" i="34" s="1"/>
  <c r="AB50" i="4"/>
  <c r="FZ50" i="4" s="1"/>
  <c r="BM20" i="4"/>
  <c r="A8" i="59"/>
  <c r="D13" i="37"/>
  <c r="GL6" i="34" s="1"/>
  <c r="EI22" i="7"/>
  <c r="AB34" i="7"/>
  <c r="AB21" i="7"/>
  <c r="AB23" i="7"/>
  <c r="AB32" i="7"/>
  <c r="AB45" i="7"/>
  <c r="AB27" i="7"/>
  <c r="AB38" i="7"/>
  <c r="AB25" i="7"/>
  <c r="EI21" i="7"/>
  <c r="AB30" i="7"/>
  <c r="AB28" i="7"/>
  <c r="AB40" i="7"/>
  <c r="AB20" i="7"/>
  <c r="AB39" i="7"/>
  <c r="AB43" i="7"/>
  <c r="AB33" i="7"/>
  <c r="AB31" i="7"/>
  <c r="AB47" i="7"/>
  <c r="AB44" i="7"/>
  <c r="AB42" i="7"/>
  <c r="AB26" i="7"/>
  <c r="AB37" i="7"/>
  <c r="D143" i="72"/>
  <c r="AM140" i="72" s="1"/>
  <c r="BK140" i="72" s="1"/>
  <c r="AB46" i="7"/>
  <c r="AB22" i="7"/>
  <c r="AB35" i="7"/>
  <c r="AB24" i="7"/>
  <c r="AB41" i="7"/>
  <c r="AB29" i="7"/>
  <c r="AB36" i="7"/>
  <c r="BM40" i="4"/>
  <c r="D188" i="72"/>
  <c r="AM185" i="72" s="1"/>
  <c r="BK185" i="72" s="1"/>
  <c r="EI21" i="8"/>
  <c r="AB24" i="8"/>
  <c r="AB23" i="8"/>
  <c r="F87" i="8"/>
  <c r="I22" i="51" s="1"/>
  <c r="AB32" i="8"/>
  <c r="AB47" i="8"/>
  <c r="AB44" i="8"/>
  <c r="AB27" i="8"/>
  <c r="AB22" i="8"/>
  <c r="AB29" i="8"/>
  <c r="AB41" i="8"/>
  <c r="AB33" i="8"/>
  <c r="AB25" i="8"/>
  <c r="AB38" i="8"/>
  <c r="AB34" i="8"/>
  <c r="AB30" i="8"/>
  <c r="AB36" i="8"/>
  <c r="AB31" i="8"/>
  <c r="EI22" i="8"/>
  <c r="AB45" i="8"/>
  <c r="AB39" i="8"/>
  <c r="AB20" i="8"/>
  <c r="AB40" i="8"/>
  <c r="AB43" i="8"/>
  <c r="EQ32" i="4"/>
  <c r="BM32" i="4"/>
  <c r="D323" i="72"/>
  <c r="AM320" i="72" s="1"/>
  <c r="BK320" i="72" s="1"/>
  <c r="EI21" i="11"/>
  <c r="D13" i="41"/>
  <c r="GL10" i="34" s="1"/>
  <c r="D99" i="11"/>
  <c r="A12" i="59"/>
  <c r="EI22" i="11"/>
  <c r="AB21" i="11"/>
  <c r="AB23" i="11"/>
  <c r="AB37" i="11"/>
  <c r="AB42" i="11"/>
  <c r="AB26" i="11"/>
  <c r="AB45" i="11"/>
  <c r="AB31" i="11"/>
  <c r="AB30" i="11"/>
  <c r="AB35" i="11"/>
  <c r="AB39" i="11"/>
  <c r="AB24" i="11"/>
  <c r="AB28" i="11"/>
  <c r="F87" i="11"/>
  <c r="B22" i="51" s="1"/>
  <c r="AB41" i="11"/>
  <c r="AB44" i="11"/>
  <c r="AB40" i="11"/>
  <c r="AB33" i="11"/>
  <c r="AB43" i="11"/>
  <c r="AB36" i="11"/>
  <c r="AB25" i="11"/>
  <c r="AB20" i="11"/>
  <c r="AB38" i="11"/>
  <c r="AB32" i="11"/>
  <c r="AB34" i="11"/>
  <c r="AB47" i="11"/>
  <c r="AB22" i="11"/>
  <c r="AB27" i="11"/>
  <c r="AB29" i="11"/>
  <c r="AB46" i="11"/>
  <c r="EI20" i="4"/>
  <c r="EH12" i="4"/>
  <c r="EI12" i="4" s="1"/>
  <c r="EF12" i="4"/>
  <c r="BM31" i="4"/>
  <c r="BM36" i="4"/>
  <c r="BM25" i="4"/>
  <c r="BM46" i="4"/>
  <c r="BM29" i="4"/>
  <c r="K16" i="2"/>
  <c r="K21" i="2" s="1"/>
  <c r="K17" i="2"/>
  <c r="BC22" i="67" l="1"/>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D69" i="56"/>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36" i="76"/>
  <c r="O140" i="76"/>
  <c r="O144" i="76"/>
  <c r="O148" i="76"/>
  <c r="O152" i="76"/>
  <c r="O156" i="76"/>
  <c r="O160" i="76"/>
  <c r="O164" i="76"/>
  <c r="O168" i="76"/>
  <c r="O172" i="76"/>
  <c r="O176" i="76"/>
  <c r="O180" i="76"/>
  <c r="O184" i="76"/>
  <c r="O9" i="76"/>
  <c r="O17" i="76"/>
  <c r="O25" i="76"/>
  <c r="O33" i="76"/>
  <c r="O41" i="76"/>
  <c r="O49" i="76"/>
  <c r="O57" i="76"/>
  <c r="O65" i="76"/>
  <c r="O73" i="76"/>
  <c r="O81" i="76"/>
  <c r="O89" i="76"/>
  <c r="O97" i="76"/>
  <c r="O105" i="76"/>
  <c r="O141"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43"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39"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38" i="76"/>
  <c r="O142" i="76"/>
  <c r="O146" i="76"/>
  <c r="O150" i="76"/>
  <c r="O154" i="76"/>
  <c r="O158" i="76"/>
  <c r="O162" i="76"/>
  <c r="O166" i="76"/>
  <c r="O170" i="76"/>
  <c r="O174" i="76"/>
  <c r="O178" i="76"/>
  <c r="O182" i="76"/>
  <c r="O5" i="76"/>
  <c r="O13" i="76"/>
  <c r="O21" i="76"/>
  <c r="O29" i="76"/>
  <c r="O37" i="76"/>
  <c r="O45" i="76"/>
  <c r="O53" i="76"/>
  <c r="O61" i="76"/>
  <c r="O69" i="76"/>
  <c r="O77" i="76"/>
  <c r="O85" i="76"/>
  <c r="O93" i="76"/>
  <c r="O101" i="76"/>
  <c r="O109" i="76"/>
  <c r="O137" i="76"/>
  <c r="O145"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35"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D32" i="62"/>
  <c r="B4" i="62"/>
  <c r="H12" i="62" s="1"/>
  <c r="D30" i="58"/>
  <c r="B4" i="58"/>
  <c r="H12" i="58" s="1"/>
  <c r="E39" i="55"/>
  <c r="E48" i="55" s="1"/>
  <c r="DY5" i="42"/>
  <c r="AL90" i="12"/>
  <c r="AH90" i="12"/>
  <c r="F27" i="62"/>
  <c r="F25" i="58"/>
  <c r="E39" i="57"/>
  <c r="M51" i="57" s="1"/>
  <c r="C64" i="57"/>
  <c r="C69" i="57" s="1"/>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CB7" i="6"/>
  <c r="J32" i="51"/>
  <c r="A127" i="25"/>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F179" i="80"/>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145" i="76"/>
  <c r="N69" i="76"/>
  <c r="N5" i="76"/>
  <c r="N383" i="76"/>
  <c r="N277" i="76"/>
  <c r="N6" i="76"/>
  <c r="N22" i="76"/>
  <c r="N38" i="76"/>
  <c r="N54" i="76"/>
  <c r="N70" i="76"/>
  <c r="N86" i="76"/>
  <c r="N146" i="76"/>
  <c r="N162" i="76"/>
  <c r="N178" i="76"/>
  <c r="N194" i="76"/>
  <c r="N210" i="76"/>
  <c r="N226" i="76"/>
  <c r="N242" i="76"/>
  <c r="N258" i="76"/>
  <c r="N274" i="76"/>
  <c r="N290" i="76"/>
  <c r="N306" i="76"/>
  <c r="N322" i="76"/>
  <c r="N338" i="76"/>
  <c r="N354" i="76"/>
  <c r="N19" i="76"/>
  <c r="N35" i="76"/>
  <c r="N51" i="76"/>
  <c r="N67" i="76"/>
  <c r="N83" i="76"/>
  <c r="N143" i="76"/>
  <c r="N159" i="76"/>
  <c r="N175" i="76"/>
  <c r="N191" i="76"/>
  <c r="N207" i="76"/>
  <c r="N223" i="76"/>
  <c r="N239" i="76"/>
  <c r="N255" i="76"/>
  <c r="N271" i="76"/>
  <c r="N287" i="76"/>
  <c r="N303" i="76"/>
  <c r="N319" i="76"/>
  <c r="N335" i="76"/>
  <c r="N351" i="76"/>
  <c r="N16" i="76"/>
  <c r="N32" i="76"/>
  <c r="N48" i="76"/>
  <c r="N64" i="76"/>
  <c r="N80" i="76"/>
  <c r="N14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44" i="76"/>
  <c r="N160" i="76"/>
  <c r="N176" i="76"/>
  <c r="N192" i="76"/>
  <c r="N208" i="76"/>
  <c r="N224" i="76"/>
  <c r="N240" i="76"/>
  <c r="N256" i="76"/>
  <c r="N272" i="76"/>
  <c r="N288" i="76"/>
  <c r="N304" i="76"/>
  <c r="N320" i="76"/>
  <c r="N336" i="76"/>
  <c r="N352" i="76"/>
  <c r="N61" i="76"/>
  <c r="N137" i="76"/>
  <c r="N201" i="76"/>
  <c r="N265" i="76"/>
  <c r="N329" i="76"/>
  <c r="N364" i="76"/>
  <c r="N380" i="76"/>
  <c r="N396" i="76"/>
  <c r="N412" i="76"/>
  <c r="N41" i="76"/>
  <c r="N213" i="76"/>
  <c r="N367" i="76"/>
  <c r="N415" i="76"/>
  <c r="N65" i="76"/>
  <c r="N141" i="76"/>
  <c r="N205" i="76"/>
  <c r="N269" i="76"/>
  <c r="N333" i="76"/>
  <c r="N365" i="76"/>
  <c r="N381" i="76"/>
  <c r="N397" i="76"/>
  <c r="N14" i="76"/>
  <c r="N30" i="76"/>
  <c r="N46" i="76"/>
  <c r="N62" i="76"/>
  <c r="N78" i="76"/>
  <c r="N138" i="76"/>
  <c r="N154" i="76"/>
  <c r="N170" i="76"/>
  <c r="N186" i="76"/>
  <c r="N202" i="76"/>
  <c r="N218" i="76"/>
  <c r="N234" i="76"/>
  <c r="N250" i="76"/>
  <c r="N266" i="76"/>
  <c r="N282" i="76"/>
  <c r="N298" i="76"/>
  <c r="N314" i="76"/>
  <c r="N330" i="76"/>
  <c r="N346" i="76"/>
  <c r="N11" i="76"/>
  <c r="N27" i="76"/>
  <c r="N43" i="76"/>
  <c r="N59" i="76"/>
  <c r="N75" i="76"/>
  <c r="N13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42" i="76"/>
  <c r="N158" i="76"/>
  <c r="N174" i="76"/>
  <c r="N190" i="76"/>
  <c r="N206" i="76"/>
  <c r="N222" i="76"/>
  <c r="N238" i="76"/>
  <c r="N254" i="76"/>
  <c r="N270" i="76"/>
  <c r="N286" i="76"/>
  <c r="N302" i="76"/>
  <c r="N318" i="76"/>
  <c r="N334" i="76"/>
  <c r="N350" i="76"/>
  <c r="N15" i="76"/>
  <c r="N31" i="76"/>
  <c r="N47" i="76"/>
  <c r="N63" i="76"/>
  <c r="N79" i="76"/>
  <c r="N139" i="76"/>
  <c r="N155" i="76"/>
  <c r="N171" i="76"/>
  <c r="N187" i="76"/>
  <c r="N203" i="76"/>
  <c r="N219" i="76"/>
  <c r="N235" i="76"/>
  <c r="N251" i="76"/>
  <c r="N267" i="76"/>
  <c r="N283" i="76"/>
  <c r="N299" i="76"/>
  <c r="N315" i="76"/>
  <c r="N331" i="76"/>
  <c r="N347" i="76"/>
  <c r="N12" i="76"/>
  <c r="N28" i="76"/>
  <c r="N44" i="76"/>
  <c r="N60" i="76"/>
  <c r="N76" i="76"/>
  <c r="N13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BY4" i="11"/>
  <c r="BY4" i="7"/>
  <c r="BY4" i="13"/>
  <c r="BY4" i="12"/>
  <c r="BY4" i="9"/>
  <c r="BY4" i="10"/>
  <c r="BY4" i="5"/>
  <c r="BY4" i="6"/>
  <c r="BY4" i="8"/>
  <c r="BY4" i="15"/>
  <c r="BY4" i="1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D69" i="71" s="1"/>
  <c r="E46" i="31"/>
  <c r="C64" i="31"/>
  <c r="D69" i="31" s="1"/>
  <c r="E46" i="67"/>
  <c r="C64" i="67"/>
  <c r="E46" i="33"/>
  <c r="C64" i="33"/>
  <c r="AE16" i="34"/>
  <c r="E46" i="68"/>
  <c r="C64" i="68"/>
  <c r="E46" i="70"/>
  <c r="C64" i="70"/>
  <c r="E46" i="32"/>
  <c r="C64" i="32"/>
  <c r="D69" i="32" s="1"/>
  <c r="E46" i="27"/>
  <c r="C64" i="27"/>
  <c r="E39" i="2"/>
  <c r="E48" i="2" s="1"/>
  <c r="AE4" i="34" s="1"/>
  <c r="E37" i="2"/>
  <c r="AO4" i="34"/>
  <c r="P257" i="76"/>
  <c r="Q257" i="76" s="1" a="1"/>
  <c r="Q257" i="76" s="1"/>
  <c r="P127" i="76"/>
  <c r="P183" i="76"/>
  <c r="P225" i="76"/>
  <c r="P144" i="76"/>
  <c r="D67" i="2"/>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4" i="80"/>
  <c r="AV39" i="72"/>
  <c r="AB10" i="34"/>
  <c r="D67" i="55"/>
  <c r="P84" i="80"/>
  <c r="C84" i="80"/>
  <c r="B86" i="80"/>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4" i="57"/>
  <c r="E58" i="57" s="1"/>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K14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I146" i="76"/>
  <c r="L135" i="76"/>
  <c r="G351" i="76"/>
  <c r="E346" i="76"/>
  <c r="K386" i="76"/>
  <c r="F248" i="76"/>
  <c r="T22" i="25"/>
  <c r="G87" i="25" s="1"/>
  <c r="G299" i="76"/>
  <c r="K24" i="76"/>
  <c r="L399" i="76"/>
  <c r="F139" i="76"/>
  <c r="Q16" i="25"/>
  <c r="F81" i="25" s="1"/>
  <c r="N17" i="25"/>
  <c r="E82" i="25" s="1"/>
  <c r="I388" i="76"/>
  <c r="K148" i="76"/>
  <c r="J270" i="76"/>
  <c r="F314" i="76"/>
  <c r="G391" i="76"/>
  <c r="J50" i="76"/>
  <c r="C137" i="76"/>
  <c r="K136" i="76"/>
  <c r="Q22" i="25"/>
  <c r="F87" i="25" s="1"/>
  <c r="W23" i="25"/>
  <c r="H88" i="25" s="1"/>
  <c r="W15" i="25"/>
  <c r="H80" i="25" s="1"/>
  <c r="L415" i="76"/>
  <c r="K414" i="76"/>
  <c r="J143" i="76"/>
  <c r="M146"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E136" i="76"/>
  <c r="D48" i="76"/>
  <c r="D141" i="76"/>
  <c r="E296" i="76"/>
  <c r="G377" i="76"/>
  <c r="E42" i="76"/>
  <c r="C138" i="76"/>
  <c r="H350" i="76"/>
  <c r="K16" i="25"/>
  <c r="D81" i="25" s="1"/>
  <c r="T18" i="25"/>
  <c r="G83" i="25" s="1"/>
  <c r="N26" i="25"/>
  <c r="E91" i="25" s="1"/>
  <c r="L144" i="76"/>
  <c r="J137" i="76"/>
  <c r="G43" i="76"/>
  <c r="J136" i="76"/>
  <c r="G140" i="76"/>
  <c r="H239" i="76"/>
  <c r="L341" i="76"/>
  <c r="L39" i="76"/>
  <c r="L53" i="76"/>
  <c r="M9" i="76"/>
  <c r="H137"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D142" i="76"/>
  <c r="C419" i="76"/>
  <c r="F256" i="76"/>
  <c r="H26" i="25"/>
  <c r="C91" i="25" s="1"/>
  <c r="E330" i="76"/>
  <c r="F18" i="76"/>
  <c r="H23" i="25"/>
  <c r="C88" i="25" s="1"/>
  <c r="N24" i="25"/>
  <c r="E89" i="25" s="1"/>
  <c r="L354" i="76"/>
  <c r="H306" i="76"/>
  <c r="K49" i="76"/>
  <c r="G142"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I135" i="76"/>
  <c r="E376" i="76"/>
  <c r="K10" i="76"/>
  <c r="W25" i="25"/>
  <c r="H90" i="25" s="1"/>
  <c r="C410" i="76"/>
  <c r="L137" i="76"/>
  <c r="F158" i="76"/>
  <c r="G22" i="76"/>
  <c r="L40" i="76"/>
  <c r="N23" i="25"/>
  <c r="E88" i="25" s="1"/>
  <c r="N18" i="25"/>
  <c r="E83" i="25" s="1"/>
  <c r="F50" i="76"/>
  <c r="M143"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M138" i="76"/>
  <c r="H19" i="25"/>
  <c r="C84" i="25" s="1"/>
  <c r="K404" i="76"/>
  <c r="G141"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43"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FZ48" i="15" s="1"/>
  <c r="GB48" i="15" s="1"/>
  <c r="FW372" i="34" s="1"/>
  <c r="AB49" i="15"/>
  <c r="FZ49" i="15" s="1"/>
  <c r="GB49" i="15" s="1"/>
  <c r="FW373" i="34" s="1"/>
  <c r="AB50" i="15"/>
  <c r="FZ50" i="15" s="1"/>
  <c r="GB50" i="15" s="1"/>
  <c r="FW374" i="34" s="1"/>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D137" i="76"/>
  <c r="J326" i="76"/>
  <c r="C19" i="76"/>
  <c r="T23" i="25"/>
  <c r="G88" i="25" s="1"/>
  <c r="G55" i="76"/>
  <c r="H185" i="76"/>
  <c r="L250" i="76"/>
  <c r="D300" i="76"/>
  <c r="L14" i="76"/>
  <c r="J148" i="76"/>
  <c r="K22" i="25"/>
  <c r="D87" i="25" s="1"/>
  <c r="T24" i="25"/>
  <c r="G89" i="25" s="1"/>
  <c r="W18" i="25"/>
  <c r="H83" i="25" s="1"/>
  <c r="K422" i="76"/>
  <c r="E148" i="76"/>
  <c r="H142" i="76"/>
  <c r="K143" i="76"/>
  <c r="J381" i="76"/>
  <c r="L288" i="76"/>
  <c r="F389" i="76"/>
  <c r="F317" i="76"/>
  <c r="E33" i="76"/>
  <c r="E315" i="76"/>
  <c r="J61" i="76"/>
  <c r="M367" i="76"/>
  <c r="J208" i="76"/>
  <c r="D379" i="76"/>
  <c r="F3" i="76"/>
  <c r="W21" i="25"/>
  <c r="H86" i="25" s="1"/>
  <c r="I139" i="76"/>
  <c r="F135" i="76"/>
  <c r="M142" i="76"/>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F144" i="76"/>
  <c r="G416" i="76"/>
  <c r="C363" i="76"/>
  <c r="D323" i="76"/>
  <c r="G197" i="76"/>
  <c r="G145" i="76"/>
  <c r="H36" i="76"/>
  <c r="G390" i="76"/>
  <c r="K395" i="76"/>
  <c r="I7" i="76"/>
  <c r="G38" i="76"/>
  <c r="L334" i="76"/>
  <c r="M349" i="76"/>
  <c r="L316" i="76"/>
  <c r="E239" i="76"/>
  <c r="L196" i="76"/>
  <c r="J360" i="76"/>
  <c r="M408" i="76"/>
  <c r="M398" i="76"/>
  <c r="K218" i="76"/>
  <c r="G410" i="76"/>
  <c r="F136" i="76"/>
  <c r="L12" i="76"/>
  <c r="D32" i="76"/>
  <c r="M321" i="76"/>
  <c r="C16" i="76"/>
  <c r="J368" i="76"/>
  <c r="M365" i="76"/>
  <c r="D177" i="76"/>
  <c r="I41" i="76"/>
  <c r="J139"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D138" i="76"/>
  <c r="L60" i="76"/>
  <c r="C142" i="76"/>
  <c r="E13" i="76"/>
  <c r="I46" i="76"/>
  <c r="I367" i="76"/>
  <c r="F403" i="76"/>
  <c r="D15" i="76"/>
  <c r="C358" i="76"/>
  <c r="H326" i="76"/>
  <c r="C316" i="76"/>
  <c r="C233" i="76"/>
  <c r="K175" i="76"/>
  <c r="M140" i="76"/>
  <c r="E28" i="76"/>
  <c r="J135" i="76"/>
  <c r="G136" i="76"/>
  <c r="D362" i="76"/>
  <c r="I408" i="76"/>
  <c r="L147" i="76"/>
  <c r="L395" i="76"/>
  <c r="K411" i="76"/>
  <c r="G54" i="76"/>
  <c r="J342" i="76"/>
  <c r="G369" i="76"/>
  <c r="G137" i="76"/>
  <c r="E343" i="76"/>
  <c r="C18" i="76"/>
  <c r="M6" i="76"/>
  <c r="L421" i="76"/>
  <c r="I4" i="76"/>
  <c r="J298" i="76"/>
  <c r="M297" i="76"/>
  <c r="C238" i="76"/>
  <c r="E405" i="76"/>
  <c r="I24" i="76"/>
  <c r="E145"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J141"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36"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M141" i="76"/>
  <c r="H44" i="76"/>
  <c r="K142" i="76"/>
  <c r="J389" i="76"/>
  <c r="J62" i="76"/>
  <c r="E143" i="76"/>
  <c r="L141" i="76"/>
  <c r="C136" i="76"/>
  <c r="E357" i="76"/>
  <c r="I410" i="76"/>
  <c r="J310" i="76"/>
  <c r="F220" i="76"/>
  <c r="J300" i="76"/>
  <c r="M338" i="76"/>
  <c r="F352" i="76"/>
  <c r="C366" i="76"/>
  <c r="I20" i="76"/>
  <c r="K56" i="76"/>
  <c r="D380" i="76"/>
  <c r="C248" i="76"/>
  <c r="L349" i="76"/>
  <c r="L308" i="76"/>
  <c r="C397" i="76"/>
  <c r="H59" i="76"/>
  <c r="I418" i="76"/>
  <c r="D46" i="76"/>
  <c r="K387" i="76"/>
  <c r="H9" i="76"/>
  <c r="G44" i="76"/>
  <c r="K55" i="76"/>
  <c r="J142"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L143" i="76"/>
  <c r="E274" i="76"/>
  <c r="H282" i="76"/>
  <c r="E362" i="76"/>
  <c r="H327" i="76"/>
  <c r="BM27" i="15"/>
  <c r="EQ27" i="15"/>
  <c r="EW27" i="15" s="1"/>
  <c r="EQ30" i="15"/>
  <c r="EW30" i="15" s="1"/>
  <c r="B517" i="72"/>
  <c r="BM30" i="15"/>
  <c r="AV31" i="72"/>
  <c r="AL31" i="72"/>
  <c r="EF12" i="15"/>
  <c r="EI20" i="15"/>
  <c r="EH12" i="15"/>
  <c r="EI12" i="15" s="1"/>
  <c r="AV35" i="72"/>
  <c r="AL35" i="72"/>
  <c r="B514" i="72"/>
  <c r="K35" i="76"/>
  <c r="I137" i="76"/>
  <c r="H316" i="76"/>
  <c r="H388" i="76"/>
  <c r="F419" i="76"/>
  <c r="D31" i="76"/>
  <c r="C374" i="76"/>
  <c r="J302" i="76"/>
  <c r="D251" i="76"/>
  <c r="D145"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136" i="76"/>
  <c r="M416" i="76"/>
  <c r="H49" i="76"/>
  <c r="E406" i="76"/>
  <c r="J282" i="76"/>
  <c r="G277" i="76"/>
  <c r="J138"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I144" i="76"/>
  <c r="M380" i="76"/>
  <c r="C324" i="76"/>
  <c r="I395" i="76"/>
  <c r="C8" i="76"/>
  <c r="C232" i="76"/>
  <c r="D332" i="76"/>
  <c r="E326" i="76"/>
  <c r="H5" i="76"/>
  <c r="H383" i="76"/>
  <c r="H35" i="76"/>
  <c r="D407" i="76"/>
  <c r="G144" i="76"/>
  <c r="F25" i="76"/>
  <c r="H379" i="76"/>
  <c r="J140"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E140" i="76"/>
  <c r="G340" i="76"/>
  <c r="J397" i="76"/>
  <c r="L315" i="76"/>
  <c r="L284" i="76"/>
  <c r="H270" i="76"/>
  <c r="G359" i="76"/>
  <c r="E344" i="76"/>
  <c r="D372" i="76"/>
  <c r="F420" i="76"/>
  <c r="L47" i="76"/>
  <c r="K365" i="76"/>
  <c r="D401" i="76"/>
  <c r="C17" i="76"/>
  <c r="K324" i="76"/>
  <c r="L391" i="76"/>
  <c r="E354" i="76"/>
  <c r="I54" i="76"/>
  <c r="H363" i="76"/>
  <c r="C52" i="76"/>
  <c r="L392" i="76"/>
  <c r="C342" i="76"/>
  <c r="H413" i="76"/>
  <c r="I53" i="76"/>
  <c r="F146"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H14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D143" i="76"/>
  <c r="M149" i="76"/>
  <c r="I13" i="76"/>
  <c r="D293" i="76"/>
  <c r="K380" i="76"/>
  <c r="I189" i="76"/>
  <c r="J373" i="76"/>
  <c r="D58" i="76"/>
  <c r="I17" i="76"/>
  <c r="L378" i="76"/>
  <c r="J145" i="76"/>
  <c r="L142"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E141" i="76"/>
  <c r="H201" i="76"/>
  <c r="I278" i="76"/>
  <c r="H319" i="76"/>
  <c r="C284" i="76"/>
  <c r="D292" i="76"/>
  <c r="F363" i="76"/>
  <c r="K343" i="76"/>
  <c r="I328" i="76"/>
  <c r="D220" i="76"/>
  <c r="J404" i="76"/>
  <c r="E32" i="76"/>
  <c r="F372" i="76"/>
  <c r="G420" i="76"/>
  <c r="M47" i="76"/>
  <c r="I389" i="76"/>
  <c r="D17" i="76"/>
  <c r="F340" i="76"/>
  <c r="E137" i="76"/>
  <c r="C11" i="76"/>
  <c r="G288" i="76"/>
  <c r="L331" i="76"/>
  <c r="D377" i="76"/>
  <c r="G20" i="76"/>
  <c r="F405" i="76"/>
  <c r="H135" i="76"/>
  <c r="J34" i="76"/>
  <c r="L56" i="76"/>
  <c r="J147" i="76"/>
  <c r="C34" i="76"/>
  <c r="J153" i="76"/>
  <c r="E196" i="76"/>
  <c r="H57" i="76"/>
  <c r="H279" i="76"/>
  <c r="L146" i="76"/>
  <c r="H335" i="76"/>
  <c r="C24" i="76"/>
  <c r="I309" i="76"/>
  <c r="L59" i="76"/>
  <c r="E293" i="76"/>
  <c r="H214" i="76"/>
  <c r="I29" i="76"/>
  <c r="H381" i="76"/>
  <c r="F327" i="76"/>
  <c r="C59" i="76"/>
  <c r="M176" i="76"/>
  <c r="J369" i="76"/>
  <c r="E58" i="76"/>
  <c r="I140"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K141"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H139"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G139" i="76"/>
  <c r="H48" i="76"/>
  <c r="G373" i="76"/>
  <c r="I42" i="76"/>
  <c r="F19" i="76"/>
  <c r="C415" i="76"/>
  <c r="K61" i="76"/>
  <c r="J387" i="76"/>
  <c r="H418" i="76"/>
  <c r="G342" i="76"/>
  <c r="J38" i="76"/>
  <c r="C139" i="76"/>
  <c r="D346" i="76"/>
  <c r="M389" i="76"/>
  <c r="K420" i="76"/>
  <c r="I32" i="76"/>
  <c r="D250" i="76"/>
  <c r="D344" i="76"/>
  <c r="I293" i="76"/>
  <c r="E320" i="76"/>
  <c r="I152" i="76"/>
  <c r="I136" i="76"/>
  <c r="K23" i="76"/>
  <c r="D418" i="76"/>
  <c r="F397" i="76"/>
  <c r="F30" i="76"/>
  <c r="I396" i="76"/>
  <c r="H33" i="76"/>
  <c r="M285" i="76"/>
  <c r="E390" i="76"/>
  <c r="C421" i="76"/>
  <c r="M344" i="76"/>
  <c r="F278" i="76"/>
  <c r="M302" i="76"/>
  <c r="D224" i="76"/>
  <c r="L153" i="76"/>
  <c r="K59" i="76"/>
  <c r="J6" i="76"/>
  <c r="C403" i="76"/>
  <c r="C389" i="76"/>
  <c r="H317" i="76"/>
  <c r="C144" i="76"/>
  <c r="K140" i="76"/>
  <c r="H407" i="76"/>
  <c r="M135"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G135"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I142" i="76"/>
  <c r="J20" i="76"/>
  <c r="C145" i="76"/>
  <c r="M396" i="76"/>
  <c r="E149" i="76"/>
  <c r="K42" i="76"/>
  <c r="D274" i="76"/>
  <c r="D328" i="76"/>
  <c r="F410" i="76"/>
  <c r="H364" i="76"/>
  <c r="K135" i="76"/>
  <c r="F27" i="76"/>
  <c r="C29" i="76"/>
  <c r="K30" i="76"/>
  <c r="M332" i="76"/>
  <c r="L289" i="76"/>
  <c r="I145" i="76"/>
  <c r="H396" i="76"/>
  <c r="D39" i="76"/>
  <c r="J350" i="76"/>
  <c r="C245" i="76"/>
  <c r="L33" i="76"/>
  <c r="I401" i="76"/>
  <c r="I384" i="76"/>
  <c r="H141"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F1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E144" i="76"/>
  <c r="H395" i="76"/>
  <c r="J144" i="76"/>
  <c r="C190" i="76"/>
  <c r="M271" i="76"/>
  <c r="C9" i="76"/>
  <c r="J372" i="76"/>
  <c r="K212" i="76"/>
  <c r="F312" i="76"/>
  <c r="K344" i="76"/>
  <c r="F214" i="76"/>
  <c r="D386" i="76"/>
  <c r="E60" i="76"/>
  <c r="G29" i="76"/>
  <c r="I417" i="76"/>
  <c r="J58" i="76"/>
  <c r="H4" i="76"/>
  <c r="F149" i="76"/>
  <c r="G414" i="76"/>
  <c r="G149" i="76"/>
  <c r="L368" i="76"/>
  <c r="K379" i="76"/>
  <c r="L44" i="76"/>
  <c r="M139" i="76"/>
  <c r="H358" i="76"/>
  <c r="F44" i="76"/>
  <c r="J410" i="76"/>
  <c r="M14" i="76"/>
  <c r="E38" i="76"/>
  <c r="H61" i="76"/>
  <c r="C31" i="76"/>
  <c r="C135"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D144"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D140" i="76"/>
  <c r="J22" i="76"/>
  <c r="D245" i="76"/>
  <c r="I255" i="76"/>
  <c r="M354" i="76"/>
  <c r="M305" i="76"/>
  <c r="F396" i="76"/>
  <c r="I339" i="76"/>
  <c r="I39" i="76"/>
  <c r="K8" i="76"/>
  <c r="E29" i="76"/>
  <c r="C406" i="76"/>
  <c r="K418" i="76"/>
  <c r="G3" i="76"/>
  <c r="E294" i="76"/>
  <c r="D371" i="76"/>
  <c r="D350" i="76"/>
  <c r="I347" i="76"/>
  <c r="I148" i="76"/>
  <c r="K144"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L140"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C140" i="76"/>
  <c r="D322" i="76"/>
  <c r="D13" i="76"/>
  <c r="I376" i="76"/>
  <c r="G274" i="76"/>
  <c r="K323" i="76"/>
  <c r="J13" i="76"/>
  <c r="K361" i="76"/>
  <c r="C349" i="76"/>
  <c r="K137" i="76"/>
  <c r="E142" i="76"/>
  <c r="J45" i="76"/>
  <c r="F145" i="76"/>
  <c r="H233" i="76"/>
  <c r="I239" i="76"/>
  <c r="C352" i="76"/>
  <c r="F294" i="76"/>
  <c r="G393" i="76"/>
  <c r="M327" i="76"/>
  <c r="J36" i="76"/>
  <c r="L5" i="76"/>
  <c r="J46" i="76"/>
  <c r="J417" i="76"/>
  <c r="J421" i="76"/>
  <c r="J344" i="76"/>
  <c r="L406" i="76"/>
  <c r="C376" i="76"/>
  <c r="D50" i="76"/>
  <c r="D412" i="76"/>
  <c r="G16" i="76"/>
  <c r="J39" i="76"/>
  <c r="J328" i="76"/>
  <c r="L36" i="76"/>
  <c r="F142"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J146"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L138" i="76"/>
  <c r="D149" i="76"/>
  <c r="I235" i="76"/>
  <c r="H419" i="76"/>
  <c r="I21" i="76"/>
  <c r="C223" i="76"/>
  <c r="H348" i="76"/>
  <c r="M36" i="76"/>
  <c r="F394" i="76"/>
  <c r="G143" i="76"/>
  <c r="D391" i="76"/>
  <c r="I143" i="76"/>
  <c r="E422" i="76"/>
  <c r="E388" i="76"/>
  <c r="L264" i="76"/>
  <c r="I298" i="76"/>
  <c r="F375" i="76"/>
  <c r="I340" i="76"/>
  <c r="J416" i="76"/>
  <c r="L385" i="76"/>
  <c r="M59" i="76"/>
  <c r="D29" i="76"/>
  <c r="L387" i="76"/>
  <c r="M25" i="76"/>
  <c r="E13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M145" i="76"/>
  <c r="L178" i="76"/>
  <c r="H343" i="76"/>
  <c r="C32" i="76"/>
  <c r="M4" i="76"/>
  <c r="I314" i="76"/>
  <c r="L401" i="76"/>
  <c r="L419" i="76"/>
  <c r="M41" i="76"/>
  <c r="F10" i="76"/>
  <c r="I191" i="76"/>
  <c r="L321" i="76"/>
  <c r="L363" i="76"/>
  <c r="D409" i="76"/>
  <c r="G52" i="76"/>
  <c r="G15" i="76"/>
  <c r="D139"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I141" i="76"/>
  <c r="H28" i="76"/>
  <c r="G268" i="76"/>
  <c r="I279" i="76"/>
  <c r="K360" i="76"/>
  <c r="G325" i="76"/>
  <c r="D402" i="76"/>
  <c r="L362" i="76"/>
  <c r="G45" i="76"/>
  <c r="I14" i="76"/>
  <c r="E62" i="76"/>
  <c r="G7" i="76"/>
  <c r="I5" i="76"/>
  <c r="E327" i="76"/>
  <c r="L294" i="76"/>
  <c r="H322" i="76"/>
  <c r="H26" i="76"/>
  <c r="H140" i="76"/>
  <c r="D135" i="76"/>
  <c r="D403" i="76"/>
  <c r="G223" i="76"/>
  <c r="L230" i="76"/>
  <c r="I350" i="76"/>
  <c r="H288" i="76"/>
  <c r="M391" i="76"/>
  <c r="I313" i="76"/>
  <c r="E35" i="76"/>
  <c r="G4" i="76"/>
  <c r="M37" i="76"/>
  <c r="F413" i="76"/>
  <c r="E420" i="76"/>
  <c r="C3" i="76"/>
  <c r="H145" i="76"/>
  <c r="E336" i="76"/>
  <c r="E397" i="76"/>
  <c r="H56" i="76"/>
  <c r="K145" i="76"/>
  <c r="I138"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G138" i="76"/>
  <c r="K333" i="76"/>
  <c r="H138" i="76"/>
  <c r="C311" i="76"/>
  <c r="D6" i="76"/>
  <c r="G47" i="76"/>
  <c r="M212" i="76"/>
  <c r="K328" i="76"/>
  <c r="D358" i="76"/>
  <c r="G13" i="76"/>
  <c r="J413" i="76"/>
  <c r="L61" i="76"/>
  <c r="M144" i="76"/>
  <c r="I383" i="76"/>
  <c r="L26" i="76"/>
  <c r="I10" i="76"/>
  <c r="D57" i="76"/>
  <c r="H136"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E138" i="76"/>
  <c r="L145"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37" i="76"/>
  <c r="F147" i="76"/>
  <c r="G290" i="76"/>
  <c r="H332" i="76"/>
  <c r="M20" i="76"/>
  <c r="F378" i="76"/>
  <c r="L374" i="76"/>
  <c r="C141" i="76"/>
  <c r="G34" i="76"/>
  <c r="K391" i="76"/>
  <c r="C28" i="76"/>
  <c r="F409" i="76"/>
  <c r="D387" i="76"/>
  <c r="E164" i="76"/>
  <c r="J161" i="76"/>
  <c r="J321" i="76"/>
  <c r="H285" i="76"/>
  <c r="H296" i="76"/>
  <c r="G364" i="76"/>
  <c r="L344" i="76"/>
  <c r="J329" i="76"/>
  <c r="C283" i="76"/>
  <c r="K405" i="76"/>
  <c r="F33" i="76"/>
  <c r="H374" i="76"/>
  <c r="H421" i="76"/>
  <c r="C49" i="76"/>
  <c r="J390" i="76"/>
  <c r="E18" i="76"/>
  <c r="K357" i="76"/>
  <c r="K139"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L139" i="76"/>
  <c r="C378" i="76"/>
  <c r="D52" i="76"/>
  <c r="F140" i="76"/>
  <c r="G39" i="76"/>
  <c r="C336" i="76"/>
  <c r="I16" i="76"/>
  <c r="I30" i="76"/>
  <c r="C394" i="76"/>
  <c r="K185" i="76"/>
  <c r="I284" i="76"/>
  <c r="G320" i="76"/>
  <c r="C331" i="76"/>
  <c r="G362" i="76"/>
  <c r="H19" i="76"/>
  <c r="J407" i="76"/>
  <c r="L376" i="76"/>
  <c r="M50" i="76"/>
  <c r="H12" i="76"/>
  <c r="K138" i="76"/>
  <c r="M371" i="76"/>
  <c r="K47" i="76"/>
  <c r="E139"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H146" i="76"/>
  <c r="K402" i="76"/>
  <c r="C146" i="76"/>
  <c r="L3" i="76"/>
  <c r="D12" i="76"/>
  <c r="M405" i="76"/>
  <c r="K17" i="76"/>
  <c r="I48" i="76"/>
  <c r="I373" i="76"/>
  <c r="D360" i="76"/>
  <c r="D333" i="76"/>
  <c r="C289" i="76"/>
  <c r="M152" i="76"/>
  <c r="F143" i="76"/>
  <c r="E147" i="76"/>
  <c r="D393" i="76"/>
  <c r="I345" i="76"/>
  <c r="E146" i="76"/>
  <c r="I147" i="76"/>
  <c r="M57" i="76"/>
  <c r="L383" i="76"/>
  <c r="F141" i="76"/>
  <c r="L32" i="76"/>
  <c r="D136" i="76"/>
  <c r="J43" i="76"/>
  <c r="M355" i="76"/>
  <c r="G400" i="76"/>
  <c r="E12" i="76"/>
  <c r="D355" i="76"/>
  <c r="D320" i="76"/>
  <c r="D313" i="76"/>
  <c r="I268" i="76"/>
  <c r="D164" i="76"/>
  <c r="F34" i="76"/>
  <c r="C299" i="76"/>
  <c r="C143"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M137" i="76"/>
  <c r="J42" i="76"/>
  <c r="I58" i="76"/>
  <c r="C12" i="76"/>
  <c r="J32" i="76"/>
  <c r="G146" i="76"/>
  <c r="M17" i="76"/>
  <c r="E19" i="76"/>
  <c r="M375" i="76"/>
  <c r="I334" i="76"/>
  <c r="M196" i="76"/>
  <c r="F417" i="76"/>
  <c r="D400" i="76"/>
  <c r="F354" i="76"/>
  <c r="G148" i="76"/>
  <c r="C148" i="76"/>
  <c r="D146"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FZ50" i="8" s="1"/>
  <c r="GB50" i="8" s="1"/>
  <c r="FW157" i="34" s="1"/>
  <c r="AB48" i="8"/>
  <c r="FZ48" i="8" s="1"/>
  <c r="GB48" i="8" s="1"/>
  <c r="FW155" i="34" s="1"/>
  <c r="AB49" i="8"/>
  <c r="FZ49" i="8" s="1"/>
  <c r="GB49" i="8" s="1"/>
  <c r="FW156" i="34" s="1"/>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FZ50" i="7" s="1"/>
  <c r="GB50" i="7" s="1"/>
  <c r="FW126" i="34" s="1"/>
  <c r="AB49" i="7"/>
  <c r="FZ49" i="7" s="1"/>
  <c r="GB49" i="7" s="1"/>
  <c r="FW125" i="34" s="1"/>
  <c r="BM20" i="7"/>
  <c r="AB48" i="7"/>
  <c r="FZ48" i="7" s="1"/>
  <c r="GB48" i="7" s="1"/>
  <c r="FW124" i="34" s="1"/>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AB48" i="12"/>
  <c r="FZ48" i="12" s="1"/>
  <c r="GB48" i="12" s="1"/>
  <c r="FW279" i="34" s="1"/>
  <c r="AB49" i="12"/>
  <c r="FZ49" i="12" s="1"/>
  <c r="GB49" i="12" s="1"/>
  <c r="FW280" i="34" s="1"/>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FZ50" i="10" s="1"/>
  <c r="GB50" i="10" s="1"/>
  <c r="FW219" i="34" s="1"/>
  <c r="AB48" i="10"/>
  <c r="FZ48" i="10" s="1"/>
  <c r="GB48" i="10" s="1"/>
  <c r="FW217" i="34" s="1"/>
  <c r="AB49" i="10"/>
  <c r="FZ49" i="10" s="1"/>
  <c r="GB49" i="10" s="1"/>
  <c r="FW218" i="34" s="1"/>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FZ50" i="13" s="1"/>
  <c r="GB50" i="13" s="1"/>
  <c r="FW312" i="34" s="1"/>
  <c r="AB48" i="13"/>
  <c r="FZ48" i="13" s="1"/>
  <c r="GB48" i="13" s="1"/>
  <c r="FW310" i="34" s="1"/>
  <c r="AB49" i="13"/>
  <c r="FZ49" i="13" s="1"/>
  <c r="GB49" i="13" s="1"/>
  <c r="FW311" i="34" s="1"/>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FZ49" i="5" s="1"/>
  <c r="AB48" i="5"/>
  <c r="FZ48" i="5" s="1"/>
  <c r="GB48" i="5" s="1"/>
  <c r="FW62" i="34" s="1"/>
  <c r="BM20" i="5"/>
  <c r="AB50" i="5"/>
  <c r="FZ50" i="5" s="1"/>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FZ50" i="11" s="1"/>
  <c r="GB50" i="11" s="1"/>
  <c r="FW250" i="34" s="1"/>
  <c r="AB48" i="11"/>
  <c r="FZ48" i="11" s="1"/>
  <c r="GB48" i="11" s="1"/>
  <c r="FW248" i="34" s="1"/>
  <c r="AB49" i="11"/>
  <c r="FZ49" i="11" s="1"/>
  <c r="GB49" i="11" s="1"/>
  <c r="FW249" i="34" s="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FZ48" i="6" s="1"/>
  <c r="GB48" i="6" s="1"/>
  <c r="FW93" i="34" s="1"/>
  <c r="AB50" i="6"/>
  <c r="FZ50" i="6" s="1"/>
  <c r="GB50" i="6" s="1"/>
  <c r="FW95" i="34" s="1"/>
  <c r="BM20" i="6"/>
  <c r="AB49" i="6"/>
  <c r="FZ49" i="6" s="1"/>
  <c r="GB49" i="6" s="1"/>
  <c r="FW94" i="34" s="1"/>
  <c r="EF12" i="6"/>
  <c r="EH12" i="6"/>
  <c r="EI12" i="6" s="1"/>
  <c r="EI20" i="6"/>
  <c r="EQ43" i="6"/>
  <c r="BM43" i="6"/>
  <c r="B125" i="72"/>
  <c r="EQ21" i="6"/>
  <c r="BM21" i="6"/>
  <c r="B103" i="72"/>
  <c r="EQ20" i="14"/>
  <c r="AB49" i="14"/>
  <c r="FZ49" i="14" s="1"/>
  <c r="GB49" i="14" s="1"/>
  <c r="FW342" i="34" s="1"/>
  <c r="BM20" i="14"/>
  <c r="AB48" i="14"/>
  <c r="FZ48" i="14" s="1"/>
  <c r="GB48" i="14" s="1"/>
  <c r="FW341" i="34" s="1"/>
  <c r="AB50" i="14"/>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FZ50" i="9" s="1"/>
  <c r="GB50" i="9" s="1"/>
  <c r="FW188" i="34" s="1"/>
  <c r="AB48" i="9"/>
  <c r="FZ48" i="9" s="1"/>
  <c r="GB48" i="9" s="1"/>
  <c r="FW186" i="34" s="1"/>
  <c r="AB49" i="9"/>
  <c r="FZ49" i="9" s="1"/>
  <c r="GB49" i="9" s="1"/>
  <c r="FW187" i="34" s="1"/>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E49" i="70" l="1"/>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D69" i="57"/>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B7" i="7"/>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D69" i="55"/>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E52" i="55"/>
  <c r="BG6" i="62"/>
  <c r="B100" i="62" s="1"/>
  <c r="H16" i="62" s="1"/>
  <c r="BJ6" i="58"/>
  <c r="D115" i="58"/>
  <c r="BL6" i="58"/>
  <c r="F111" i="58" s="1"/>
  <c r="H115" i="58" s="1"/>
  <c r="B42" i="45"/>
  <c r="B81" i="45" s="1"/>
  <c r="B88" i="80"/>
  <c r="BZ96" i="8"/>
  <c r="BZ96" i="9"/>
  <c r="BZ96" i="11"/>
  <c r="BZ96" i="6"/>
  <c r="BZ96" i="12"/>
  <c r="BZ96" i="14"/>
  <c r="BZ96" i="5"/>
  <c r="BZ96" i="13"/>
  <c r="BZ96" i="15"/>
  <c r="BZ96" i="10"/>
  <c r="BZ96" i="7"/>
  <c r="C69" i="55"/>
  <c r="E52" i="60"/>
  <c r="D52" i="60"/>
  <c r="E51" i="60"/>
  <c r="D51" i="60"/>
  <c r="E50" i="60"/>
  <c r="E53" i="60"/>
  <c r="AA16" i="34"/>
  <c r="D69" i="70"/>
  <c r="C69" i="70"/>
  <c r="AA14" i="34"/>
  <c r="D69" i="68"/>
  <c r="C69" i="68"/>
  <c r="AA17" i="34"/>
  <c r="C69" i="71"/>
  <c r="D69" i="69"/>
  <c r="AA15" i="34"/>
  <c r="C69" i="69"/>
  <c r="C69" i="27"/>
  <c r="AA6" i="34"/>
  <c r="D69" i="27"/>
  <c r="AA8" i="34"/>
  <c r="C69" i="32"/>
  <c r="D69" i="33"/>
  <c r="AA9" i="34"/>
  <c r="C69" i="33"/>
  <c r="C69" i="67"/>
  <c r="AA13" i="34"/>
  <c r="D69" i="67"/>
  <c r="AA7" i="34"/>
  <c r="C69" i="31"/>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D69" i="2"/>
  <c r="AG48" i="45"/>
  <c r="AG34" i="45"/>
  <c r="CH28" i="15"/>
  <c r="AG48" i="18"/>
  <c r="CE28" i="4"/>
  <c r="AG34" i="18"/>
  <c r="AL214" i="72"/>
  <c r="BS28" i="4"/>
  <c r="W34" i="18" s="1"/>
  <c r="W48" i="18" s="1"/>
  <c r="CI48" i="18" s="1"/>
  <c r="AL488" i="72"/>
  <c r="AL254" i="72"/>
  <c r="BY8" i="8"/>
  <c r="C86" i="80"/>
  <c r="AE10" i="34"/>
  <c r="E50" i="55"/>
  <c r="E49" i="60"/>
  <c r="AA5" i="34"/>
  <c r="D69" i="26"/>
  <c r="C69" i="26"/>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69" i="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BF45" i="18"/>
  <c r="BF19" i="18"/>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AF6" i="34" l="1"/>
  <c r="E52" i="27"/>
  <c r="E54" i="27" s="1"/>
  <c r="D48" i="70"/>
  <c r="AF16" i="34"/>
  <c r="E50" i="70"/>
  <c r="E56" i="70"/>
  <c r="E52" i="70"/>
  <c r="AX257" i="72"/>
  <c r="AX391" i="72"/>
  <c r="AF10" i="34"/>
  <c r="M56" i="55"/>
  <c r="M50" i="55"/>
  <c r="E49" i="56"/>
  <c r="D39" i="56"/>
  <c r="M55" i="56"/>
  <c r="E56" i="55"/>
  <c r="D48" i="55"/>
  <c r="AX478" i="72"/>
  <c r="BE6" i="58"/>
  <c r="B90" i="58"/>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CB7" i="8"/>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GH47" i="4"/>
  <c r="BE26" i="18"/>
  <c r="GH28" i="4"/>
  <c r="GH21" i="4"/>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H13" i="58"/>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4" i="31"/>
  <c r="E58" i="31" s="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4" i="69"/>
  <c r="E58" i="69" s="1"/>
  <c r="AK15" i="34"/>
  <c r="CE3" i="74"/>
  <c r="M55" i="57"/>
  <c r="D39" i="57"/>
  <c r="E49" i="2"/>
  <c r="D39" i="2"/>
  <c r="C88" i="80"/>
  <c r="CQ48" i="18"/>
  <c r="B90" i="80"/>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E54" i="55"/>
  <c r="E58" i="55" s="1"/>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2" i="5"/>
  <c r="BG20" i="35" s="1"/>
  <c r="BL20" i="8"/>
  <c r="BG18" i="38" s="1"/>
  <c r="BL20" i="6"/>
  <c r="BG18" i="36" s="1"/>
  <c r="BL20" i="14"/>
  <c r="BG18" i="44" s="1"/>
  <c r="BL20" i="9"/>
  <c r="BG18" i="39" s="1"/>
  <c r="BL26" i="15"/>
  <c r="BG24" i="45" s="1"/>
  <c r="CC44" i="9"/>
  <c r="K65" i="8"/>
  <c r="AL536" i="72"/>
  <c r="BL25" i="15"/>
  <c r="BG23" i="45" s="1"/>
  <c r="BL27" i="15"/>
  <c r="BG25" i="45" s="1"/>
  <c r="AT6" i="15" a="1"/>
  <c r="AT6" i="15" s="1"/>
  <c r="BF21" i="35"/>
  <c r="BF41" i="35"/>
  <c r="BF19" i="35"/>
  <c r="BF27" i="35"/>
  <c r="BF44" i="35"/>
  <c r="BF22" i="35"/>
  <c r="BF20" i="35"/>
  <c r="BF34" i="35"/>
  <c r="BF38" i="35"/>
  <c r="BF31" i="35"/>
  <c r="BF25" i="35"/>
  <c r="BF18" i="35"/>
  <c r="BF42" i="35"/>
  <c r="BF46" i="18"/>
  <c r="BF47" i="18"/>
  <c r="GH49" i="4" s="1"/>
  <c r="BF23" i="35"/>
  <c r="BF32" i="35"/>
  <c r="BF45" i="35"/>
  <c r="BF40" i="35"/>
  <c r="BF36" i="35"/>
  <c r="BF24" i="35"/>
  <c r="BF26" i="35"/>
  <c r="BF33" i="35"/>
  <c r="BF35" i="35"/>
  <c r="BF29" i="35"/>
  <c r="BF28" i="35"/>
  <c r="BF30" i="35"/>
  <c r="BF39" i="35"/>
  <c r="BF43" i="35"/>
  <c r="BF37" i="35"/>
  <c r="BE18" i="18"/>
  <c r="BL27" i="4"/>
  <c r="BG25" i="18" s="1"/>
  <c r="BL21" i="6"/>
  <c r="BG19" i="36"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BL21" i="5"/>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ET25" i="5"/>
  <c r="AJ25" i="5" s="1"/>
  <c r="AK16" i="34" l="1"/>
  <c r="E54" i="70"/>
  <c r="E58" i="70" s="1"/>
  <c r="E58" i="27"/>
  <c r="L50" i="56"/>
  <c r="L51" i="56" s="1"/>
  <c r="L52" i="56" s="1"/>
  <c r="D48" i="56"/>
  <c r="E56" i="56"/>
  <c r="E50" i="56"/>
  <c r="M50" i="56"/>
  <c r="M56" i="56"/>
  <c r="AF11" i="34"/>
  <c r="E52" i="56"/>
  <c r="AD49" i="35"/>
  <c r="CP49" i="35"/>
  <c r="AD35" i="35"/>
  <c r="BF52" i="18"/>
  <c r="GH20" i="5"/>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CB7" i="9"/>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GH32" i="5"/>
  <c r="BE40" i="35"/>
  <c r="GH42" i="5"/>
  <c r="BE25" i="35"/>
  <c r="GH27" i="5"/>
  <c r="BE19" i="35"/>
  <c r="GH21" i="5"/>
  <c r="BE37" i="35"/>
  <c r="GH39" i="5"/>
  <c r="BE28" i="35"/>
  <c r="GH30" i="5"/>
  <c r="BE26" i="35"/>
  <c r="GH28" i="5"/>
  <c r="BE45" i="35"/>
  <c r="GH47" i="5"/>
  <c r="BE46" i="18"/>
  <c r="GH48" i="4"/>
  <c r="BE31" i="35"/>
  <c r="GH33" i="5"/>
  <c r="BE22" i="35"/>
  <c r="GH24" i="5"/>
  <c r="BE41" i="35"/>
  <c r="GH43" i="5"/>
  <c r="BE33" i="35"/>
  <c r="GH35" i="5"/>
  <c r="BE43" i="35"/>
  <c r="GH45" i="5"/>
  <c r="BE29" i="35"/>
  <c r="GH31" i="5"/>
  <c r="BE24" i="35"/>
  <c r="GH26" i="5"/>
  <c r="BE32" i="35"/>
  <c r="GH34" i="5"/>
  <c r="BE42" i="35"/>
  <c r="GH44" i="5"/>
  <c r="BE38" i="35"/>
  <c r="GH40" i="5"/>
  <c r="BE44" i="35"/>
  <c r="GH46" i="5"/>
  <c r="BE21" i="35"/>
  <c r="GH23" i="5"/>
  <c r="BE47" i="18"/>
  <c r="BE20" i="35"/>
  <c r="GH22" i="5"/>
  <c r="BE39" i="35"/>
  <c r="GH41" i="5"/>
  <c r="BE35" i="35"/>
  <c r="GH37" i="5"/>
  <c r="BE36" i="35"/>
  <c r="GH38" i="5"/>
  <c r="BE23" i="35"/>
  <c r="GH25" i="5"/>
  <c r="BE34" i="35"/>
  <c r="GH36" i="5"/>
  <c r="BE27" i="35"/>
  <c r="GH29" i="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4" i="32"/>
  <c r="E58" i="32" s="1"/>
  <c r="AK9" i="34"/>
  <c r="E54" i="33"/>
  <c r="E58" i="33" s="1"/>
  <c r="AK5" i="34"/>
  <c r="E54" i="26"/>
  <c r="E58" i="26" s="1"/>
  <c r="AK17" i="34"/>
  <c r="E54" i="71"/>
  <c r="E58" i="71" s="1"/>
  <c r="AK13" i="34"/>
  <c r="E54" i="67"/>
  <c r="E58" i="67" s="1"/>
  <c r="AK14" i="34"/>
  <c r="E54" i="68"/>
  <c r="E58" i="68" s="1"/>
  <c r="CF3" i="74"/>
  <c r="C90" i="80"/>
  <c r="B92" i="80"/>
  <c r="C92" i="80" s="1"/>
  <c r="E56" i="2"/>
  <c r="D48" i="2"/>
  <c r="AF4" i="34"/>
  <c r="E50" i="2"/>
  <c r="E52" i="2"/>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BF20" i="36"/>
  <c r="BF27" i="36"/>
  <c r="BF38" i="36"/>
  <c r="BF48" i="39"/>
  <c r="GH50" i="9" s="1"/>
  <c r="BF37" i="36"/>
  <c r="BF42" i="36"/>
  <c r="BF48" i="37"/>
  <c r="GH50" i="7" s="1"/>
  <c r="BF48" i="35"/>
  <c r="GH50" i="5" s="1"/>
  <c r="BF47" i="35"/>
  <c r="GH49" i="5" s="1"/>
  <c r="BF21" i="36"/>
  <c r="BF30" i="42"/>
  <c r="BF21" i="42"/>
  <c r="BF28" i="42"/>
  <c r="BF24" i="40"/>
  <c r="BF42" i="39"/>
  <c r="BF35" i="37"/>
  <c r="BF38" i="42"/>
  <c r="BF27" i="41"/>
  <c r="GH29" i="11" s="1"/>
  <c r="BF23" i="39"/>
  <c r="BF44" i="38"/>
  <c r="BF30" i="37"/>
  <c r="BF28" i="40"/>
  <c r="BF26" i="42"/>
  <c r="BF34" i="40"/>
  <c r="BF35" i="38"/>
  <c r="BF46" i="37"/>
  <c r="BF40" i="42"/>
  <c r="BF28" i="41"/>
  <c r="GH30" i="11" s="1"/>
  <c r="BF45" i="37"/>
  <c r="BF34" i="39"/>
  <c r="BF47" i="38"/>
  <c r="GH49" i="8" s="1"/>
  <c r="BF22" i="40"/>
  <c r="BF20" i="41"/>
  <c r="BF37" i="39"/>
  <c r="BF23" i="38"/>
  <c r="BF34" i="41"/>
  <c r="BF22" i="41"/>
  <c r="BF33" i="39"/>
  <c r="BF35" i="43"/>
  <c r="BF33" i="43"/>
  <c r="BF24" i="38"/>
  <c r="BF31" i="40"/>
  <c r="BF29" i="42"/>
  <c r="BF40" i="38"/>
  <c r="BF29" i="40"/>
  <c r="BF24" i="43"/>
  <c r="BF35" i="42"/>
  <c r="BF41" i="41"/>
  <c r="BF30" i="38"/>
  <c r="BF25" i="40"/>
  <c r="BF48" i="36"/>
  <c r="GH50" i="6" s="1"/>
  <c r="BF46" i="38"/>
  <c r="BF41" i="40"/>
  <c r="BF18" i="43"/>
  <c r="BF31" i="37"/>
  <c r="BF19" i="43"/>
  <c r="BF28" i="43"/>
  <c r="BF34" i="43"/>
  <c r="BF36" i="37"/>
  <c r="BF43" i="39"/>
  <c r="BF19" i="41"/>
  <c r="BF21" i="37"/>
  <c r="BF20" i="39"/>
  <c r="BF20" i="43"/>
  <c r="BF36" i="43"/>
  <c r="BF47" i="43"/>
  <c r="GH49" i="13" s="1"/>
  <c r="BF31" i="43"/>
  <c r="BF46" i="43"/>
  <c r="BF30" i="43"/>
  <c r="BF45" i="43"/>
  <c r="BF29" i="43"/>
  <c r="BF39" i="41"/>
  <c r="BP29" i="18"/>
  <c r="BP35" i="18"/>
  <c r="BX30" i="18"/>
  <c r="BF47" i="36"/>
  <c r="GH49" i="6" s="1"/>
  <c r="BF28" i="36"/>
  <c r="BF34" i="37"/>
  <c r="BF28" i="37"/>
  <c r="BF19" i="38"/>
  <c r="BF32" i="38"/>
  <c r="BF38" i="39"/>
  <c r="BF19" i="39"/>
  <c r="BF36" i="40"/>
  <c r="BF19" i="40"/>
  <c r="BF48" i="41"/>
  <c r="GH50" i="11" s="1"/>
  <c r="BF20" i="42"/>
  <c r="BF23" i="41"/>
  <c r="BF35" i="36"/>
  <c r="BF44" i="36"/>
  <c r="BF47" i="37"/>
  <c r="GH49" i="7" s="1"/>
  <c r="BF44" i="37"/>
  <c r="BF29" i="38"/>
  <c r="BF48" i="38"/>
  <c r="GH50" i="8" s="1"/>
  <c r="BF39" i="39"/>
  <c r="BF35" i="39"/>
  <c r="BF21" i="40"/>
  <c r="BF35" i="40"/>
  <c r="BF30" i="41"/>
  <c r="GH32" i="11" s="1"/>
  <c r="BF23" i="42"/>
  <c r="BF41" i="42"/>
  <c r="BF40" i="41"/>
  <c r="BF22" i="36"/>
  <c r="BF33" i="36"/>
  <c r="BF37" i="37"/>
  <c r="BF27" i="37"/>
  <c r="BF45" i="38"/>
  <c r="BF31" i="38"/>
  <c r="BF36" i="39"/>
  <c r="BF18" i="39"/>
  <c r="BF23" i="40"/>
  <c r="BF26" i="40"/>
  <c r="BF44" i="41"/>
  <c r="BF42" i="42"/>
  <c r="BF44" i="42"/>
  <c r="BF30" i="40"/>
  <c r="BF37" i="41"/>
  <c r="BF32" i="39"/>
  <c r="BF42" i="38"/>
  <c r="BF45" i="36"/>
  <c r="BF45" i="39"/>
  <c r="BF39" i="38"/>
  <c r="BF31" i="36"/>
  <c r="BF27" i="39"/>
  <c r="BF40" i="37"/>
  <c r="BF24" i="41"/>
  <c r="BF32" i="42"/>
  <c r="BF40" i="40"/>
  <c r="BF32" i="43"/>
  <c r="BF48" i="43"/>
  <c r="GH50" i="13" s="1"/>
  <c r="BF43" i="43"/>
  <c r="BF27" i="43"/>
  <c r="BF42" i="43"/>
  <c r="BF26" i="43"/>
  <c r="BF41" i="43"/>
  <c r="BF25" i="43"/>
  <c r="BP33" i="18"/>
  <c r="BX31" i="18"/>
  <c r="BX35" i="18"/>
  <c r="BX28" i="18"/>
  <c r="BE52" i="18"/>
  <c r="BP34" i="18"/>
  <c r="BF19" i="36"/>
  <c r="BF30" i="36"/>
  <c r="BF23" i="37"/>
  <c r="BF22" i="37"/>
  <c r="BF27" i="38"/>
  <c r="BF34" i="38"/>
  <c r="BF30" i="39"/>
  <c r="BF22" i="39"/>
  <c r="BF38" i="40"/>
  <c r="BF39" i="40"/>
  <c r="BF34" i="42"/>
  <c r="BF36" i="42"/>
  <c r="BF25" i="41"/>
  <c r="GH27" i="11" s="1"/>
  <c r="BF24" i="36"/>
  <c r="BF46" i="36"/>
  <c r="BF39" i="37"/>
  <c r="BF26" i="37"/>
  <c r="BF43" i="38"/>
  <c r="BF20" i="38"/>
  <c r="BF46" i="39"/>
  <c r="BF44" i="39"/>
  <c r="BF43" i="40"/>
  <c r="BF46" i="41"/>
  <c r="BF32" i="41"/>
  <c r="BF39" i="42"/>
  <c r="BF45" i="42"/>
  <c r="BF29" i="41"/>
  <c r="GH31" i="11" s="1"/>
  <c r="BE18" i="35"/>
  <c r="BF32" i="36"/>
  <c r="BF29" i="36"/>
  <c r="BF33" i="37"/>
  <c r="BF29" i="37"/>
  <c r="BF26" i="38"/>
  <c r="BF41" i="38"/>
  <c r="BF29" i="39"/>
  <c r="BF28" i="39"/>
  <c r="BF37" i="40"/>
  <c r="BF44" i="40"/>
  <c r="BF18" i="41"/>
  <c r="BF27" i="42"/>
  <c r="BF18" i="42"/>
  <c r="BF31" i="42"/>
  <c r="BF33" i="41"/>
  <c r="BF47" i="39"/>
  <c r="GH49" i="9" s="1"/>
  <c r="BF18" i="37"/>
  <c r="BF25" i="36"/>
  <c r="BF42" i="41"/>
  <c r="BF21" i="39"/>
  <c r="BF43" i="37"/>
  <c r="BF34" i="36"/>
  <c r="BF43" i="41"/>
  <c r="BF36" i="38"/>
  <c r="BF20" i="37"/>
  <c r="BF35" i="41"/>
  <c r="BF20" i="40"/>
  <c r="BF42" i="40"/>
  <c r="BF44" i="43"/>
  <c r="BF40" i="43"/>
  <c r="BF39" i="43"/>
  <c r="BF23" i="43"/>
  <c r="BF38" i="43"/>
  <c r="BF22" i="43"/>
  <c r="BF37" i="43"/>
  <c r="BF21" i="43"/>
  <c r="BP32" i="18"/>
  <c r="BX33" i="18"/>
  <c r="BP30" i="18"/>
  <c r="BX32" i="18"/>
  <c r="BF41" i="36"/>
  <c r="BF18" i="36"/>
  <c r="BF25" i="37"/>
  <c r="BF22" i="38"/>
  <c r="BF21" i="38"/>
  <c r="BF41" i="39"/>
  <c r="BF40" i="39"/>
  <c r="BF33" i="40"/>
  <c r="BF45" i="40"/>
  <c r="BF21" i="41"/>
  <c r="BF19" i="42"/>
  <c r="BF25" i="42"/>
  <c r="BF38" i="41"/>
  <c r="BF46" i="35"/>
  <c r="BF26" i="36"/>
  <c r="BF19" i="37"/>
  <c r="BF41" i="37"/>
  <c r="BF38" i="38"/>
  <c r="BF37" i="38"/>
  <c r="BF26" i="39"/>
  <c r="BF24" i="39"/>
  <c r="BF18" i="40"/>
  <c r="BF46" i="40"/>
  <c r="BF36" i="41"/>
  <c r="BF22" i="42"/>
  <c r="BF24" i="42"/>
  <c r="BF45" i="41"/>
  <c r="BF40" i="36"/>
  <c r="BF43" i="36"/>
  <c r="BF24" i="37"/>
  <c r="BF32" i="37"/>
  <c r="BF28" i="38"/>
  <c r="BF33" i="38"/>
  <c r="BF31" i="39"/>
  <c r="BF32" i="40"/>
  <c r="BF47" i="40"/>
  <c r="GH49" i="10" s="1"/>
  <c r="BF26" i="41"/>
  <c r="GH28" i="11" s="1"/>
  <c r="BF47" i="41"/>
  <c r="GH49" i="11" s="1"/>
  <c r="BF43" i="42"/>
  <c r="BF33" i="42"/>
  <c r="BF37" i="42"/>
  <c r="BF47" i="42"/>
  <c r="GH49" i="12" s="1"/>
  <c r="BF25" i="39"/>
  <c r="BF38" i="37"/>
  <c r="BF36" i="36"/>
  <c r="BF27" i="40"/>
  <c r="BF25" i="38"/>
  <c r="BF42" i="37"/>
  <c r="BF48" i="40"/>
  <c r="GH50" i="10" s="1"/>
  <c r="BF18" i="38"/>
  <c r="BF23" i="36"/>
  <c r="BF31" i="41"/>
  <c r="BF48" i="42"/>
  <c r="BF46" i="42"/>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BF24" i="44"/>
  <c r="BF28" i="44"/>
  <c r="BF32" i="44"/>
  <c r="BF36" i="44"/>
  <c r="BF40" i="44"/>
  <c r="BF44" i="44"/>
  <c r="BF48" i="44"/>
  <c r="BF21" i="44"/>
  <c r="BF25" i="44"/>
  <c r="BF29" i="44"/>
  <c r="BF33" i="44"/>
  <c r="BF37" i="44"/>
  <c r="BF41" i="44"/>
  <c r="BF45" i="44"/>
  <c r="BF18" i="44"/>
  <c r="BF22" i="44"/>
  <c r="BF26" i="44"/>
  <c r="BF30" i="44"/>
  <c r="BF34" i="44"/>
  <c r="BF38" i="44"/>
  <c r="BF42" i="44"/>
  <c r="BF46" i="44"/>
  <c r="BF23" i="44"/>
  <c r="BF39" i="44"/>
  <c r="BF47" i="44"/>
  <c r="GH49" i="14" s="1"/>
  <c r="BF35" i="44"/>
  <c r="BF27" i="44"/>
  <c r="BF43" i="44"/>
  <c r="BF31" i="44"/>
  <c r="BF19" i="44"/>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BL28" i="6"/>
  <c r="BG26" i="36" s="1"/>
  <c r="BL28" i="14"/>
  <c r="BG26" i="44"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30" i="5"/>
  <c r="BG28" i="35"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AK11" i="34" l="1"/>
  <c r="E54" i="56"/>
  <c r="E58" i="56" s="1"/>
  <c r="AD50" i="35"/>
  <c r="AD36" i="35"/>
  <c r="CP50" i="35"/>
  <c r="BF52" i="35"/>
  <c r="GH20" i="8"/>
  <c r="BF52" i="38"/>
  <c r="BF51" i="38"/>
  <c r="GH20" i="10"/>
  <c r="BF52" i="40"/>
  <c r="BF51" i="40"/>
  <c r="GH20" i="6"/>
  <c r="BF52" i="36"/>
  <c r="BF51" i="36"/>
  <c r="GH20" i="7"/>
  <c r="BF52" i="37"/>
  <c r="BF51" i="37"/>
  <c r="GH20" i="12"/>
  <c r="BF52" i="42"/>
  <c r="BF51" i="42"/>
  <c r="BF51" i="35"/>
  <c r="GH20" i="9"/>
  <c r="BF52" i="39"/>
  <c r="BF51" i="39"/>
  <c r="GH20" i="13"/>
  <c r="BF52" i="43"/>
  <c r="BF51" i="43"/>
  <c r="GH20" i="14"/>
  <c r="BF52" i="44"/>
  <c r="BF51" i="44"/>
  <c r="GH20" i="11"/>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CB7" i="11"/>
  <c r="B32" i="51"/>
  <c r="CB7" i="10"/>
  <c r="G32" i="51"/>
  <c r="AQ12" i="25"/>
  <c r="AQ6" i="25"/>
  <c r="AQ7" i="25"/>
  <c r="AQ8" i="25"/>
  <c r="AQ4" i="25"/>
  <c r="AQ10" i="25"/>
  <c r="AQ1" i="25"/>
  <c r="AQ3" i="25"/>
  <c r="AQ2" i="25"/>
  <c r="AQ9" i="25"/>
  <c r="AQ5" i="25"/>
  <c r="AQ11" i="25"/>
  <c r="BL36" i="15"/>
  <c r="BG34" i="45" s="1"/>
  <c r="BH11" i="9"/>
  <c r="BG11" i="9" s="1"/>
  <c r="BH11" i="7"/>
  <c r="BG11" i="7" s="1"/>
  <c r="BH11" i="11"/>
  <c r="BG11" i="11" s="1"/>
  <c r="BE48" i="44"/>
  <c r="GH50" i="14"/>
  <c r="BH12" i="4"/>
  <c r="BG12" i="4" s="1"/>
  <c r="BH11" i="13"/>
  <c r="BG11" i="13" s="1"/>
  <c r="BH11" i="12"/>
  <c r="BG11" i="12" s="1"/>
  <c r="BL33" i="5"/>
  <c r="BG31" i="35" s="1"/>
  <c r="BH11" i="5"/>
  <c r="BG11" i="5" s="1"/>
  <c r="BH11" i="8"/>
  <c r="BG11" i="8" s="1"/>
  <c r="BH11" i="14"/>
  <c r="BG11" i="14" s="1"/>
  <c r="BH11" i="6"/>
  <c r="BG11" i="6" s="1"/>
  <c r="BH11" i="10"/>
  <c r="BG11" i="10" s="1"/>
  <c r="BE48" i="42"/>
  <c r="GH50" i="12"/>
  <c r="BH12" i="15"/>
  <c r="BG12" i="15" s="1"/>
  <c r="BE27" i="44"/>
  <c r="GH29" i="14"/>
  <c r="BE23" i="44"/>
  <c r="GH25" i="14"/>
  <c r="BE34" i="44"/>
  <c r="GH36" i="14"/>
  <c r="BE33" i="44"/>
  <c r="GH35" i="14"/>
  <c r="BE32" i="44"/>
  <c r="GH34" i="14"/>
  <c r="BE23" i="36"/>
  <c r="GH25" i="6"/>
  <c r="BE25" i="38"/>
  <c r="GH27" i="8"/>
  <c r="BE25" i="39"/>
  <c r="GH27" i="9"/>
  <c r="BE43" i="42"/>
  <c r="GH45" i="12"/>
  <c r="BE32" i="40"/>
  <c r="GH34" i="10"/>
  <c r="BE32" i="37"/>
  <c r="GH34" i="7"/>
  <c r="BE45" i="41"/>
  <c r="GH47" i="11"/>
  <c r="BE46" i="40"/>
  <c r="GH48" i="10"/>
  <c r="BE37" i="38"/>
  <c r="GH39" i="8"/>
  <c r="BE26" i="36"/>
  <c r="GH28" i="6"/>
  <c r="BE19" i="42"/>
  <c r="GH21" i="12"/>
  <c r="BE40" i="39"/>
  <c r="GH42" i="9"/>
  <c r="BE25" i="37"/>
  <c r="GH27" i="7"/>
  <c r="BE37" i="43"/>
  <c r="GH39" i="13"/>
  <c r="BE39" i="43"/>
  <c r="GH41" i="13"/>
  <c r="BE20" i="40"/>
  <c r="GH22" i="10"/>
  <c r="BE43" i="41"/>
  <c r="GH45" i="11"/>
  <c r="BE42" i="41"/>
  <c r="GH44" i="11"/>
  <c r="BE33" i="41"/>
  <c r="GH35" i="11"/>
  <c r="BE29" i="39"/>
  <c r="GH31" i="9"/>
  <c r="BE33" i="37"/>
  <c r="GH35" i="7"/>
  <c r="BE46" i="41"/>
  <c r="GH48" i="11"/>
  <c r="BE20" i="38"/>
  <c r="GH22" i="8"/>
  <c r="BE46" i="36"/>
  <c r="GH48" i="6"/>
  <c r="BE34" i="42"/>
  <c r="GH36" i="12"/>
  <c r="BE30" i="39"/>
  <c r="GH32" i="9"/>
  <c r="BE23" i="37"/>
  <c r="GH25" i="7"/>
  <c r="BE42" i="43"/>
  <c r="GH44" i="13"/>
  <c r="BE32" i="43"/>
  <c r="GH34" i="13"/>
  <c r="BE40" i="37"/>
  <c r="GH42" i="7"/>
  <c r="BE45" i="39"/>
  <c r="GH47" i="9"/>
  <c r="BE37" i="41"/>
  <c r="GH39" i="11"/>
  <c r="BE44" i="41"/>
  <c r="GH46" i="11"/>
  <c r="BE36" i="39"/>
  <c r="GH38" i="9"/>
  <c r="BE37" i="37"/>
  <c r="GH39" i="7"/>
  <c r="BE41" i="42"/>
  <c r="GH43" i="12"/>
  <c r="BE21" i="40"/>
  <c r="GH23" i="10"/>
  <c r="BE29" i="38"/>
  <c r="GH31" i="8"/>
  <c r="BE35" i="36"/>
  <c r="GH37" i="6"/>
  <c r="BE19" i="40"/>
  <c r="GH21" i="10"/>
  <c r="BE32" i="38"/>
  <c r="GH34" i="8"/>
  <c r="BE28" i="36"/>
  <c r="GH30" i="6"/>
  <c r="BE29" i="43"/>
  <c r="GH31" i="13"/>
  <c r="BE31" i="43"/>
  <c r="GH33" i="13"/>
  <c r="BE20" i="39"/>
  <c r="GH22" i="9"/>
  <c r="BE36" i="37"/>
  <c r="GH38" i="7"/>
  <c r="BE31" i="37"/>
  <c r="GH33" i="7"/>
  <c r="BE48" i="36"/>
  <c r="BE35" i="42"/>
  <c r="GH37" i="12"/>
  <c r="BE29" i="42"/>
  <c r="GH31" i="12"/>
  <c r="BE35" i="43"/>
  <c r="GH37" i="13"/>
  <c r="BE23" i="38"/>
  <c r="GH25" i="8"/>
  <c r="BE47" i="38"/>
  <c r="BE40" i="42"/>
  <c r="GH42" i="12"/>
  <c r="BE26" i="42"/>
  <c r="GH28" i="12"/>
  <c r="BE23" i="39"/>
  <c r="GH25" i="9"/>
  <c r="BE42" i="39"/>
  <c r="GH44" i="9"/>
  <c r="BE30" i="42"/>
  <c r="GH32" i="12"/>
  <c r="BE48" i="37"/>
  <c r="BE38" i="36"/>
  <c r="GH40" i="6"/>
  <c r="BE19" i="44"/>
  <c r="GH21" i="14"/>
  <c r="BE35" i="44"/>
  <c r="GH37" i="14"/>
  <c r="BE46" i="44"/>
  <c r="GH48" i="14"/>
  <c r="BE30" i="44"/>
  <c r="GH32" i="14"/>
  <c r="BE45" i="44"/>
  <c r="GH47" i="14"/>
  <c r="BE29" i="44"/>
  <c r="GH31" i="14"/>
  <c r="BE44" i="44"/>
  <c r="GH46" i="14"/>
  <c r="BE28" i="44"/>
  <c r="GH30" i="14"/>
  <c r="BE46" i="42"/>
  <c r="GH48" i="12"/>
  <c r="BE27" i="40"/>
  <c r="GH29" i="10"/>
  <c r="BE47" i="42"/>
  <c r="BE47" i="41"/>
  <c r="BE31" i="39"/>
  <c r="GH33" i="9"/>
  <c r="BE24" i="37"/>
  <c r="GH26" i="7"/>
  <c r="BE24" i="42"/>
  <c r="GH26" i="12"/>
  <c r="BE38" i="38"/>
  <c r="GH40" i="8"/>
  <c r="BE46" i="35"/>
  <c r="GH48" i="5"/>
  <c r="BE21" i="41"/>
  <c r="GH23" i="11"/>
  <c r="BE41" i="39"/>
  <c r="GH43" i="9"/>
  <c r="BE22" i="43"/>
  <c r="GH24" i="13"/>
  <c r="BE40" i="43"/>
  <c r="GH42" i="13"/>
  <c r="BE35" i="41"/>
  <c r="GH37" i="11"/>
  <c r="BE34" i="36"/>
  <c r="GH36" i="6"/>
  <c r="BE25" i="36"/>
  <c r="GH27" i="6"/>
  <c r="BE31" i="42"/>
  <c r="GH33" i="12"/>
  <c r="BE44" i="40"/>
  <c r="GH46" i="10"/>
  <c r="BE41" i="38"/>
  <c r="GH43" i="8"/>
  <c r="BE29" i="36"/>
  <c r="GH31" i="6"/>
  <c r="BE45" i="42"/>
  <c r="GH47" i="12"/>
  <c r="BE43" i="40"/>
  <c r="GH45" i="10"/>
  <c r="BE43" i="38"/>
  <c r="GH45" i="8"/>
  <c r="BE24" i="36"/>
  <c r="GH26" i="6"/>
  <c r="BE39" i="40"/>
  <c r="GH41" i="10"/>
  <c r="BE34" i="38"/>
  <c r="GH36" i="8"/>
  <c r="BE30" i="36"/>
  <c r="GH32" i="6"/>
  <c r="BE25" i="43"/>
  <c r="GH27" i="13"/>
  <c r="BE27" i="43"/>
  <c r="GH29" i="13"/>
  <c r="BE40" i="40"/>
  <c r="GH42" i="10"/>
  <c r="BE27" i="39"/>
  <c r="GH29" i="9"/>
  <c r="BE45" i="36"/>
  <c r="GH47" i="6"/>
  <c r="BE30" i="40"/>
  <c r="GH32" i="10"/>
  <c r="BE26" i="40"/>
  <c r="GH28" i="10"/>
  <c r="BE31" i="38"/>
  <c r="GH33" i="8"/>
  <c r="BE33" i="36"/>
  <c r="GH35" i="6"/>
  <c r="BE23" i="42"/>
  <c r="GH25" i="12"/>
  <c r="BE35" i="39"/>
  <c r="GH37" i="9"/>
  <c r="BE44" i="37"/>
  <c r="GH46" i="7"/>
  <c r="BE23" i="41"/>
  <c r="GH25" i="11"/>
  <c r="BE36" i="40"/>
  <c r="GH38" i="10"/>
  <c r="BE19" i="38"/>
  <c r="GH21" i="8"/>
  <c r="BE47" i="36"/>
  <c r="BE45" i="43"/>
  <c r="GH47" i="13"/>
  <c r="BE47" i="43"/>
  <c r="BE21" i="37"/>
  <c r="GH23" i="7"/>
  <c r="BE34" i="43"/>
  <c r="GH36" i="13"/>
  <c r="BE25" i="40"/>
  <c r="GH27" i="10"/>
  <c r="BE24" i="43"/>
  <c r="GH26" i="13"/>
  <c r="BE31" i="40"/>
  <c r="GH33" i="10"/>
  <c r="BE33" i="39"/>
  <c r="GH35" i="9"/>
  <c r="BE37" i="39"/>
  <c r="GH39" i="9"/>
  <c r="BE34" i="39"/>
  <c r="GH36" i="9"/>
  <c r="BE46" i="37"/>
  <c r="GH48" i="7"/>
  <c r="BE28" i="40"/>
  <c r="GH30" i="10"/>
  <c r="BE24" i="40"/>
  <c r="GH26" i="10"/>
  <c r="BE21" i="36"/>
  <c r="GH23" i="6"/>
  <c r="BE42" i="36"/>
  <c r="GH44" i="6"/>
  <c r="BE27" i="36"/>
  <c r="GH29" i="6"/>
  <c r="BE31" i="44"/>
  <c r="GH33" i="14"/>
  <c r="BE47" i="44"/>
  <c r="BE42" i="44"/>
  <c r="GH44" i="14"/>
  <c r="BE26" i="44"/>
  <c r="GH28" i="14"/>
  <c r="BE41" i="44"/>
  <c r="GH43" i="14"/>
  <c r="BE25" i="44"/>
  <c r="GH27" i="14"/>
  <c r="BE40" i="44"/>
  <c r="GH42" i="14"/>
  <c r="BE24" i="44"/>
  <c r="GH26" i="14"/>
  <c r="BE48" i="40"/>
  <c r="BE36" i="36"/>
  <c r="GH38" i="6"/>
  <c r="BE37" i="42"/>
  <c r="GH39" i="12"/>
  <c r="BE33" i="38"/>
  <c r="GH35" i="8"/>
  <c r="BE43" i="36"/>
  <c r="GH45" i="6"/>
  <c r="BE22" i="42"/>
  <c r="GH24" i="12"/>
  <c r="BE24" i="39"/>
  <c r="GH26" i="9"/>
  <c r="BE41" i="37"/>
  <c r="GH43" i="7"/>
  <c r="BE38" i="41"/>
  <c r="GH40" i="11"/>
  <c r="BE45" i="40"/>
  <c r="GH47" i="10"/>
  <c r="BE21" i="38"/>
  <c r="GH23" i="8"/>
  <c r="BE41" i="36"/>
  <c r="GH43" i="6"/>
  <c r="BE38" i="43"/>
  <c r="GH40" i="13"/>
  <c r="BE44" i="43"/>
  <c r="GH46" i="13"/>
  <c r="BE20" i="37"/>
  <c r="GH22" i="7"/>
  <c r="BE43" i="37"/>
  <c r="GH45" i="7"/>
  <c r="BE37" i="40"/>
  <c r="GH39" i="10"/>
  <c r="BE26" i="38"/>
  <c r="GH28" i="8"/>
  <c r="BE32" i="36"/>
  <c r="GH34" i="6"/>
  <c r="BE39" i="42"/>
  <c r="GH41" i="12"/>
  <c r="BE44" i="39"/>
  <c r="GH46" i="9"/>
  <c r="BE26" i="37"/>
  <c r="GH28" i="7"/>
  <c r="BE38" i="40"/>
  <c r="GH40" i="10"/>
  <c r="BE27" i="38"/>
  <c r="GH29" i="8"/>
  <c r="BE19" i="36"/>
  <c r="GH21" i="6"/>
  <c r="BE41" i="43"/>
  <c r="GH43" i="13"/>
  <c r="BE43" i="43"/>
  <c r="GH45" i="13"/>
  <c r="BE32" i="42"/>
  <c r="GH34" i="12"/>
  <c r="BE31" i="36"/>
  <c r="GH33" i="6"/>
  <c r="BE42" i="38"/>
  <c r="GH44" i="8"/>
  <c r="BE44" i="42"/>
  <c r="GH46" i="12"/>
  <c r="BE23" i="40"/>
  <c r="GH25" i="10"/>
  <c r="BE45" i="38"/>
  <c r="GH47" i="8"/>
  <c r="BE22" i="36"/>
  <c r="GH24" i="6"/>
  <c r="BE39" i="39"/>
  <c r="GH41" i="9"/>
  <c r="BE47" i="37"/>
  <c r="BE20" i="42"/>
  <c r="GH22" i="12"/>
  <c r="BE19" i="39"/>
  <c r="GH21" i="9"/>
  <c r="BE28" i="37"/>
  <c r="GH30" i="7"/>
  <c r="BE30" i="43"/>
  <c r="GH32" i="13"/>
  <c r="BE36" i="43"/>
  <c r="GH38" i="13"/>
  <c r="BE19" i="41"/>
  <c r="GH21" i="11"/>
  <c r="BE28" i="43"/>
  <c r="GH30" i="13"/>
  <c r="BE41" i="40"/>
  <c r="GH43" i="10"/>
  <c r="BE30" i="38"/>
  <c r="GH32" i="8"/>
  <c r="BE29" i="40"/>
  <c r="GH31" i="10"/>
  <c r="BE24" i="38"/>
  <c r="GH26" i="8"/>
  <c r="BE22" i="41"/>
  <c r="GH24" i="11"/>
  <c r="BE20" i="41"/>
  <c r="GH22" i="11"/>
  <c r="BE45" i="37"/>
  <c r="GH47" i="7"/>
  <c r="BE35" i="38"/>
  <c r="GH37" i="8"/>
  <c r="BE30" i="37"/>
  <c r="GH32" i="7"/>
  <c r="BE38" i="42"/>
  <c r="GH40" i="12"/>
  <c r="BE28" i="42"/>
  <c r="GH30" i="12"/>
  <c r="BE47" i="35"/>
  <c r="BE37" i="36"/>
  <c r="GH39" i="6"/>
  <c r="BE20" i="36"/>
  <c r="GH22" i="6"/>
  <c r="BE43" i="44"/>
  <c r="GH45" i="14"/>
  <c r="BE39" i="44"/>
  <c r="GH41" i="14"/>
  <c r="BE38" i="44"/>
  <c r="GH40" i="14"/>
  <c r="BE22" i="44"/>
  <c r="GH24" i="14"/>
  <c r="BE37" i="44"/>
  <c r="GH39" i="14"/>
  <c r="BE21" i="44"/>
  <c r="GH23" i="14"/>
  <c r="BE36" i="44"/>
  <c r="GH38" i="14"/>
  <c r="BE20" i="44"/>
  <c r="GH22" i="14"/>
  <c r="BE31" i="41"/>
  <c r="GH33" i="11"/>
  <c r="BE42" i="37"/>
  <c r="GH44" i="7"/>
  <c r="BE38" i="37"/>
  <c r="GH40" i="7"/>
  <c r="BE33" i="42"/>
  <c r="GH35" i="12"/>
  <c r="BE47" i="40"/>
  <c r="BE28" i="38"/>
  <c r="GH30" i="8"/>
  <c r="BE40" i="36"/>
  <c r="GH42" i="6"/>
  <c r="BE36" i="41"/>
  <c r="GH38" i="11"/>
  <c r="BE26" i="39"/>
  <c r="GH28" i="9"/>
  <c r="BE19" i="37"/>
  <c r="GH21" i="7"/>
  <c r="BE25" i="42"/>
  <c r="GH27" i="12"/>
  <c r="BE33" i="40"/>
  <c r="GH35" i="10"/>
  <c r="BE22" i="38"/>
  <c r="GH24" i="8"/>
  <c r="BE21" i="43"/>
  <c r="GH23" i="13"/>
  <c r="BE23" i="43"/>
  <c r="GH25" i="13"/>
  <c r="BE42" i="40"/>
  <c r="GH44" i="10"/>
  <c r="BE36" i="38"/>
  <c r="GH38" i="8"/>
  <c r="BE21" i="39"/>
  <c r="GH23" i="9"/>
  <c r="BE47" i="39"/>
  <c r="BE27" i="42"/>
  <c r="GH29" i="12"/>
  <c r="BE28" i="39"/>
  <c r="GH30" i="9"/>
  <c r="BE29" i="37"/>
  <c r="GH31" i="7"/>
  <c r="BE32" i="41"/>
  <c r="GH34" i="11"/>
  <c r="BE46" i="39"/>
  <c r="GH48" i="9"/>
  <c r="BE39" i="37"/>
  <c r="GH41" i="7"/>
  <c r="BE36" i="42"/>
  <c r="GH38" i="12"/>
  <c r="BE22" i="39"/>
  <c r="GH24" i="9"/>
  <c r="BE22" i="37"/>
  <c r="GH24" i="7"/>
  <c r="BE26" i="43"/>
  <c r="GH28" i="13"/>
  <c r="BE48" i="43"/>
  <c r="BE24" i="41"/>
  <c r="GH26" i="11"/>
  <c r="BE39" i="38"/>
  <c r="GH41" i="8"/>
  <c r="BE32" i="39"/>
  <c r="GH34" i="9"/>
  <c r="BE42" i="42"/>
  <c r="GH44" i="12"/>
  <c r="BE27" i="37"/>
  <c r="GH29" i="7"/>
  <c r="BE40" i="41"/>
  <c r="GH42" i="11"/>
  <c r="BE35" i="40"/>
  <c r="GH37" i="10"/>
  <c r="BE48" i="38"/>
  <c r="BE44" i="36"/>
  <c r="GH46" i="6"/>
  <c r="BE48" i="41"/>
  <c r="BE38" i="39"/>
  <c r="GH40" i="9"/>
  <c r="BE34" i="37"/>
  <c r="GH36" i="7"/>
  <c r="BE39" i="41"/>
  <c r="GH41" i="11"/>
  <c r="BE46" i="43"/>
  <c r="GH48" i="13"/>
  <c r="BE20" i="43"/>
  <c r="GH22" i="13"/>
  <c r="BE43" i="39"/>
  <c r="GH45" i="9"/>
  <c r="BE19" i="43"/>
  <c r="GH21" i="13"/>
  <c r="BE46" i="38"/>
  <c r="GH48" i="8"/>
  <c r="BE41" i="41"/>
  <c r="GH43" i="11"/>
  <c r="BE40" i="38"/>
  <c r="GH42" i="8"/>
  <c r="BE33" i="43"/>
  <c r="GH35" i="13"/>
  <c r="BE34" i="41"/>
  <c r="GH36" i="11"/>
  <c r="BE22" i="40"/>
  <c r="GH24" i="10"/>
  <c r="BE34" i="40"/>
  <c r="GH36" i="10"/>
  <c r="BE44" i="38"/>
  <c r="GH46" i="8"/>
  <c r="BE35" i="37"/>
  <c r="GH37" i="7"/>
  <c r="BE21" i="42"/>
  <c r="GH23" i="12"/>
  <c r="BE48" i="35"/>
  <c r="BE48" i="39"/>
  <c r="BE39" i="36"/>
  <c r="GH41" i="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94" i="80" s="1"/>
  <c r="CH3" i="74"/>
  <c r="CG3" i="74"/>
  <c r="E54" i="2"/>
  <c r="E58" i="2" s="1"/>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25"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BF23" i="45"/>
  <c r="BF27" i="45"/>
  <c r="BF31" i="45"/>
  <c r="BF35" i="45"/>
  <c r="BF39" i="45"/>
  <c r="BF43" i="45"/>
  <c r="BF47" i="45"/>
  <c r="GH49" i="15" s="1"/>
  <c r="BF20" i="45"/>
  <c r="BF24" i="45"/>
  <c r="BF28" i="45"/>
  <c r="BF32" i="45"/>
  <c r="BF36" i="45"/>
  <c r="BF40" i="45"/>
  <c r="BF44" i="45"/>
  <c r="BF48" i="45"/>
  <c r="GH50" i="15" s="1"/>
  <c r="BF21" i="45"/>
  <c r="BF25" i="45"/>
  <c r="BF29" i="45"/>
  <c r="BF33" i="45"/>
  <c r="BF37" i="45"/>
  <c r="BF41" i="45"/>
  <c r="BF45" i="45"/>
  <c r="BF18" i="45"/>
  <c r="BF22" i="45"/>
  <c r="BF38" i="45"/>
  <c r="BF30" i="45"/>
  <c r="BF34" i="45"/>
  <c r="BF26" i="45"/>
  <c r="BF42" i="45"/>
  <c r="BF46" i="45"/>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BL35" i="14"/>
  <c r="BG33" i="44"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4" i="14"/>
  <c r="BG32" i="44" s="1"/>
  <c r="BL32" i="8"/>
  <c r="BG30" i="38" s="1"/>
  <c r="BL32" i="12"/>
  <c r="BG30" i="42" s="1"/>
  <c r="BL34" i="6"/>
  <c r="BG32" i="36" s="1"/>
  <c r="AT7" i="6" a="1"/>
  <c r="AT7" i="6" s="1"/>
  <c r="BL35" i="6"/>
  <c r="BG33" i="36" s="1"/>
  <c r="BL33" i="12"/>
  <c r="BG31" i="42" s="1"/>
  <c r="BY8" i="12"/>
  <c r="BY9" i="12"/>
  <c r="AD51" i="35" l="1"/>
  <c r="CP51" i="35"/>
  <c r="AD37" i="35"/>
  <c r="GH20" i="1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CB7" i="12"/>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GH24" i="15"/>
  <c r="BE37" i="45"/>
  <c r="GH39" i="15"/>
  <c r="BE21" i="45"/>
  <c r="GH23" i="15"/>
  <c r="BE36" i="45"/>
  <c r="GH38" i="15"/>
  <c r="BE35" i="45"/>
  <c r="GH37" i="15"/>
  <c r="BE19" i="45"/>
  <c r="GH21" i="15"/>
  <c r="BE34" i="45"/>
  <c r="GH36" i="15"/>
  <c r="BE33" i="45"/>
  <c r="GH35" i="15"/>
  <c r="BE48" i="45"/>
  <c r="BE32" i="45"/>
  <c r="GH34" i="15"/>
  <c r="BE47" i="45"/>
  <c r="BE31" i="45"/>
  <c r="GH33" i="15"/>
  <c r="BE46" i="45"/>
  <c r="GH48" i="15"/>
  <c r="BE45" i="45"/>
  <c r="GH47" i="15"/>
  <c r="BE44" i="45"/>
  <c r="GH46" i="15"/>
  <c r="BE28" i="45"/>
  <c r="GH30" i="15"/>
  <c r="BE27" i="45"/>
  <c r="GH29" i="15"/>
  <c r="BE30" i="45"/>
  <c r="GH32" i="15"/>
  <c r="BE29" i="45"/>
  <c r="GH31" i="15"/>
  <c r="BE43" i="45"/>
  <c r="GH45" i="15"/>
  <c r="BE42" i="45"/>
  <c r="GH44" i="15"/>
  <c r="BE38" i="45"/>
  <c r="GH40" i="15"/>
  <c r="BE41" i="45"/>
  <c r="GH43" i="15"/>
  <c r="BE25" i="45"/>
  <c r="GH27" i="15"/>
  <c r="BE40" i="45"/>
  <c r="GH42" i="15"/>
  <c r="BE24" i="45"/>
  <c r="GH26" i="15"/>
  <c r="BE39" i="45"/>
  <c r="GH41" i="15"/>
  <c r="BE23" i="45"/>
  <c r="GH25" i="15"/>
  <c r="BE26" i="45"/>
  <c r="GH28" i="15"/>
  <c r="BE20" i="45"/>
  <c r="GH22" i="15"/>
  <c r="BL45" i="4"/>
  <c r="BG43" i="18" s="1"/>
  <c r="BH13" i="4"/>
  <c r="BG13" i="4" s="1"/>
  <c r="B96" i="80"/>
  <c r="C96" i="80" s="1"/>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L42" i="14"/>
  <c r="BG40" i="44"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1" i="11"/>
  <c r="BG39" i="41" s="1"/>
  <c r="AT8" i="11" a="1"/>
  <c r="AT8" i="11" s="1"/>
  <c r="BL40" i="11"/>
  <c r="BG38" i="41" s="1"/>
  <c r="BL37" i="11"/>
  <c r="BG35" i="41" s="1"/>
  <c r="DK38" i="11"/>
  <c r="BZ90" i="11"/>
  <c r="B14" i="51" s="1"/>
  <c r="BL38" i="11"/>
  <c r="BG36" i="41" s="1"/>
  <c r="K68" i="13"/>
  <c r="H68" i="12"/>
  <c r="BL35" i="11"/>
  <c r="BG33" i="41" s="1"/>
  <c r="BL42" i="6"/>
  <c r="BG40" i="36" s="1"/>
  <c r="BL36" i="11"/>
  <c r="BG34" i="41" s="1"/>
  <c r="BL41" i="6"/>
  <c r="BG39" i="36" s="1"/>
  <c r="AT8" i="6" a="1"/>
  <c r="AT8" i="6" s="1"/>
  <c r="BW41" i="14"/>
  <c r="BL43" i="5"/>
  <c r="BG41" i="35" s="1"/>
  <c r="BL42" i="5"/>
  <c r="BG40" i="35" s="1"/>
  <c r="BL39" i="12"/>
  <c r="BG37" i="42" s="1"/>
  <c r="BL40" i="8"/>
  <c r="BG38" i="38" s="1"/>
  <c r="BL37" i="8"/>
  <c r="BG35" i="38" s="1"/>
  <c r="BY8" i="13"/>
  <c r="BY9" i="13"/>
  <c r="BL45" i="5" l="1"/>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CB7" i="13"/>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M322" i="72"/>
  <c r="EJ322" i="72"/>
  <c r="BU322" i="72" s="1"/>
  <c r="BV322" i="72" s="1"/>
  <c r="BW322" i="72" s="1"/>
  <c r="EL322" i="72"/>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B100" i="80"/>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AD53" i="35" l="1"/>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CB7" i="14"/>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M457" i="72"/>
  <c r="EL457" i="72"/>
  <c r="EJ457" i="72"/>
  <c r="BU457" i="72" s="1"/>
  <c r="BV457" i="72" s="1"/>
  <c r="BW457" i="72" s="1"/>
  <c r="EL98" i="72"/>
  <c r="EJ98" i="72"/>
  <c r="EM98" i="72"/>
  <c r="EN8" i="72"/>
  <c r="EO8" i="72"/>
  <c r="EO187" i="72"/>
  <c r="EN187" i="72"/>
  <c r="EO322" i="72"/>
  <c r="EN322" i="72"/>
  <c r="BZ47" i="13"/>
  <c r="BZ44" i="13"/>
  <c r="K65" i="13" s="1"/>
  <c r="BQ48" i="13"/>
  <c r="B66" i="13"/>
  <c r="CK3" i="74"/>
  <c r="AE39" i="35"/>
  <c r="BL48" i="5"/>
  <c r="BG46" i="35" s="1"/>
  <c r="BL49" i="5"/>
  <c r="BG47" i="35" s="1"/>
  <c r="FG9" i="5"/>
  <c r="CQ53" i="37"/>
  <c r="CP53" i="37"/>
  <c r="AD53" i="37"/>
  <c r="AE53" i="37"/>
  <c r="CP53" i="41"/>
  <c r="CO53" i="41"/>
  <c r="AC53" i="41"/>
  <c r="AD53" i="41"/>
  <c r="BL50" i="10"/>
  <c r="BG48" i="40" s="1"/>
  <c r="CQ53" i="35"/>
  <c r="AE53" i="35"/>
  <c r="CQ53" i="44"/>
  <c r="CP53" i="44"/>
  <c r="AD53" i="44"/>
  <c r="AE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AT10" i="7" a="1"/>
  <c r="AT10" i="7" s="1"/>
  <c r="FG7" i="8" s="1"/>
  <c r="O8" i="59"/>
  <c r="AL89" i="8"/>
  <c r="O12" i="59"/>
  <c r="AL89" i="12"/>
  <c r="M8" i="59"/>
  <c r="AH89" i="8"/>
  <c r="BZ90" i="12"/>
  <c r="M14" i="51" s="1"/>
  <c r="DK38" i="12"/>
  <c r="BL50" i="11"/>
  <c r="BG48" i="41" s="1"/>
  <c r="H67" i="14"/>
  <c r="N67" i="14" s="1"/>
  <c r="K67" i="15"/>
  <c r="BL50" i="14"/>
  <c r="BG48" i="44" s="1"/>
  <c r="AT10" i="11" a="1"/>
  <c r="AT10" i="11" s="1"/>
  <c r="BZ90" i="13"/>
  <c r="L14" i="51" s="1"/>
  <c r="DK38" i="13"/>
  <c r="K68" i="15"/>
  <c r="H68" i="14"/>
  <c r="N68" i="14" s="1"/>
  <c r="BY8" i="15"/>
  <c r="BY9" i="15"/>
  <c r="BL50" i="9" l="1"/>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CB7" i="15"/>
  <c r="D32" i="51"/>
  <c r="FG6" i="6"/>
  <c r="FG4" i="10"/>
  <c r="FG7" i="6"/>
  <c r="FG5" i="6"/>
  <c r="EN457" i="72"/>
  <c r="EO457" i="72"/>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AH99" i="14"/>
  <c r="AL99" i="14" s="1"/>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s="1"/>
  <c r="EO503" i="72" l="1"/>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s="1"/>
  <c r="Q85" i="76" l="1"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s="1"/>
  <c r="Q86" i="76" l="1"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s="1"/>
  <c r="Q87" i="76" l="1"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s="1"/>
  <c r="Q88" i="76" l="1"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s="1"/>
  <c r="Q89" i="76" l="1"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Q97" i="76" l="1"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B148" i="80"/>
  <c r="C146" i="80"/>
  <c r="B71" i="75" l="1"/>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0" i="80"/>
  <c r="C148" i="80"/>
  <c r="F89" i="77" l="1"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C150" i="80"/>
  <c r="B152" i="80"/>
  <c r="FC179" i="34" l="1"/>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C152" i="80"/>
  <c r="B154" i="80"/>
  <c r="FC185" i="34" l="1"/>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4" i="80"/>
  <c r="FC187" i="34" l="1"/>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AC39" i="41"/>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AE39" i="4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CB33" i="11"/>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CD33" i="1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D134" i="80" l="1"/>
  <c r="Y134" i="80" s="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D120" i="80"/>
  <c r="Y120" i="80" s="1"/>
  <c r="D126" i="80"/>
  <c r="Y126" i="80" s="1"/>
  <c r="C85" i="77" l="1"/>
  <c r="C73" i="77"/>
  <c r="D122" i="80"/>
  <c r="Y122" i="80" s="1"/>
  <c r="E20" i="25"/>
  <c r="B85" i="25" s="1"/>
  <c r="D53" i="62" l="1"/>
  <c r="E25" i="25"/>
  <c r="B90" i="25" s="1"/>
  <c r="D130" i="80"/>
  <c r="Y130" i="80" s="1"/>
  <c r="D54" i="62" l="1"/>
  <c r="W5" i="58"/>
  <c r="D61" i="58"/>
  <c r="T5" i="62"/>
  <c r="E26" i="25"/>
  <c r="B91" i="25" s="1"/>
  <c r="W6" i="58" l="1"/>
  <c r="D62" i="58"/>
  <c r="T6" i="62"/>
  <c r="D146" i="80" l="1"/>
  <c r="Y146" i="80" s="1"/>
  <c r="D55" i="62"/>
  <c r="D144" i="80" l="1"/>
  <c r="Y144" i="80" s="1"/>
  <c r="D63" i="58"/>
  <c r="W7" i="58"/>
  <c r="T7" i="62"/>
  <c r="D124" i="80"/>
  <c r="Y124" i="80" s="1"/>
  <c r="D84" i="77"/>
  <c r="D72" i="77"/>
  <c r="D56" i="62" l="1"/>
  <c r="D77" i="77"/>
  <c r="D65" i="77"/>
  <c r="D75" i="77"/>
  <c r="D63" i="77"/>
  <c r="I124" i="80"/>
  <c r="AA124" i="80" s="1"/>
  <c r="T8" i="62" l="1"/>
  <c r="W8" i="58"/>
  <c r="D64" i="58"/>
  <c r="D128" i="80"/>
  <c r="Y128" i="80" s="1"/>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D142" i="80"/>
  <c r="Y142" i="80" s="1"/>
  <c r="I142" i="80"/>
  <c r="AA142" i="80" s="1"/>
  <c r="D140" i="80"/>
  <c r="Y140" i="80" s="1"/>
  <c r="I140" i="80"/>
  <c r="AA140" i="80" s="1"/>
  <c r="D138" i="80"/>
  <c r="Y138" i="80" s="1"/>
  <c r="D136" i="80"/>
  <c r="Y136" i="80" s="1"/>
  <c r="D132" i="80"/>
  <c r="Y132" i="80" s="1"/>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BZ72" i="4" s="1"/>
  <c r="DP12" i="4"/>
  <c r="N15" i="4" s="1"/>
  <c r="DP10" i="4"/>
  <c r="U14" i="4" s="1"/>
  <c r="DP8" i="4"/>
  <c r="DP17" i="4"/>
  <c r="BN20" i="4"/>
  <c r="BJ20" i="4" s="1"/>
  <c r="DP9" i="4"/>
  <c r="I14" i="4" s="1"/>
  <c r="DP19" i="4"/>
  <c r="AE129" i="4" s="1"/>
  <c r="F17" i="51"/>
  <c r="B39" i="50" s="1"/>
  <c r="DI6" i="34"/>
  <c r="BY2" i="6"/>
  <c r="T32" i="4" l="1"/>
  <c r="T32" i="5"/>
  <c r="BZ72" i="5"/>
  <c r="CI6" i="59"/>
  <c r="BZ98" i="5"/>
  <c r="BZ102" i="5"/>
  <c r="E20" i="51" s="1"/>
  <c r="CI5" i="59"/>
  <c r="T34" i="5"/>
  <c r="DP25" i="5" s="1"/>
  <c r="CO6" i="59" s="1"/>
  <c r="A19" i="5"/>
  <c r="A20" i="5"/>
  <c r="A19" i="4"/>
  <c r="A20" i="4"/>
  <c r="BZ98" i="4"/>
  <c r="BN5" i="59" s="1"/>
  <c r="EO12" i="5"/>
  <c r="A18" i="5"/>
  <c r="L18" i="5" s="1"/>
  <c r="L19" i="5"/>
  <c r="BZ102" i="4"/>
  <c r="F20" i="51" s="1"/>
  <c r="B45" i="50"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F92" i="74"/>
  <c r="DP15" i="5"/>
  <c r="Y6" i="59" s="1"/>
  <c r="DP18" i="5"/>
  <c r="I42" i="74" s="1"/>
  <c r="FN25" i="5"/>
  <c r="FN41" i="5"/>
  <c r="FN26" i="5"/>
  <c r="FN42" i="5"/>
  <c r="DK73" i="72"/>
  <c r="DK71" i="72"/>
  <c r="DK80" i="72"/>
  <c r="DK64" i="72"/>
  <c r="V5" i="59"/>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C112" i="77" l="1"/>
  <c r="C124" i="77"/>
  <c r="C111" i="77"/>
  <c r="C123" i="77"/>
  <c r="N112" i="76"/>
  <c r="N124" i="76"/>
  <c r="DP30" i="6"/>
  <c r="CX7" i="59" s="1"/>
  <c r="AD135" i="6"/>
  <c r="L84" i="74" s="1"/>
  <c r="L87" i="74" s="1"/>
  <c r="N111" i="76"/>
  <c r="N123" i="76"/>
  <c r="FB20" i="5"/>
  <c r="BH20" i="5" s="1"/>
  <c r="GC20" i="5" s="1"/>
  <c r="FX34" i="34" s="1"/>
  <c r="A57" i="72"/>
  <c r="DX57" i="72" s="1"/>
  <c r="BP6" i="59"/>
  <c r="F18" i="51"/>
  <c r="B41"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BE20" i="5"/>
  <c r="BC20" i="5" s="1"/>
  <c r="C87" i="77"/>
  <c r="C99" i="77"/>
  <c r="EC12" i="72"/>
  <c r="DY12" i="72"/>
  <c r="DU12" i="72"/>
  <c r="EB12" i="72"/>
  <c r="DX12" i="72"/>
  <c r="EH12" i="72"/>
  <c r="EI12" i="72" s="1"/>
  <c r="EA12" i="72"/>
  <c r="DW12" i="72"/>
  <c r="DZ12" i="72"/>
  <c r="DV12" i="72"/>
  <c r="H18" i="35"/>
  <c r="EM18" i="35"/>
  <c r="EB57" i="72"/>
  <c r="DW57" i="72"/>
  <c r="DY57" i="72"/>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H57" i="72"/>
  <c r="S57" i="72" s="1"/>
  <c r="AD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21"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FS20" i="5" l="1"/>
  <c r="DP30" i="7"/>
  <c r="CX8" i="59" s="1"/>
  <c r="AD135" i="7"/>
  <c r="O84" i="74" s="1"/>
  <c r="O87" i="74" s="1"/>
  <c r="T32" i="6"/>
  <c r="AL91" i="6" s="1"/>
  <c r="I57" i="72"/>
  <c r="T57" i="72" s="1"/>
  <c r="AE57" i="72" s="1"/>
  <c r="K57" i="72"/>
  <c r="V57" i="72" s="1"/>
  <c r="AG57" i="72" s="1"/>
  <c r="DV57" i="72"/>
  <c r="EH57" i="72"/>
  <c r="EI57" i="72" s="1"/>
  <c r="D57" i="72"/>
  <c r="O57" i="72" s="1"/>
  <c r="Z57" i="72" s="1"/>
  <c r="E57" i="72"/>
  <c r="P57" i="72" s="1"/>
  <c r="F57" i="72"/>
  <c r="Q57" i="72" s="1"/>
  <c r="AB57" i="72" s="1"/>
  <c r="G57" i="72"/>
  <c r="R57" i="72" s="1"/>
  <c r="AC57" i="72" s="1"/>
  <c r="DU57" i="72"/>
  <c r="EC57" i="72"/>
  <c r="DZ57" i="72"/>
  <c r="EA57" i="72"/>
  <c r="BN23" i="4"/>
  <c r="AH85" i="4"/>
  <c r="AH88" i="4" s="1"/>
  <c r="F6" i="59"/>
  <c r="J18" i="18"/>
  <c r="BZ72" i="6"/>
  <c r="CI7" i="59"/>
  <c r="T34" i="6"/>
  <c r="DP25" i="6" s="1"/>
  <c r="CO7" i="59" s="1"/>
  <c r="BZ102" i="6"/>
  <c r="J20" i="51" s="1"/>
  <c r="DP23" i="7"/>
  <c r="B34" i="7" s="1"/>
  <c r="T34" i="7" s="1"/>
  <c r="DP25" i="7" s="1"/>
  <c r="CO8" i="59"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A57" i="72"/>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BN24"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BS30" i="18" l="1"/>
  <c r="BT30" i="18" s="1"/>
  <c r="BS29" i="35"/>
  <c r="BT29" i="35" s="1"/>
  <c r="CA31" i="18"/>
  <c r="CB31" i="18" s="1"/>
  <c r="BS31" i="18"/>
  <c r="BT31" i="18" s="1"/>
  <c r="C113" i="77"/>
  <c r="C125" i="77"/>
  <c r="T32" i="7"/>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E13"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K39" i="6"/>
  <c r="DP9" i="8"/>
  <c r="I14" i="8" s="1"/>
  <c r="DP2" i="8"/>
  <c r="Y15" i="8" s="1"/>
  <c r="DP13" i="8"/>
  <c r="U9" i="59" s="1"/>
  <c r="D7" i="60" s="1"/>
  <c r="DP10" i="8"/>
  <c r="U14" i="8" s="1"/>
  <c r="DP12" i="8"/>
  <c r="R92" i="74" s="1"/>
  <c r="DP19" i="8"/>
  <c r="AE129" i="8" s="1"/>
  <c r="BT21" i="36"/>
  <c r="BT11" i="36" s="1"/>
  <c r="BT10" i="36" s="1"/>
  <c r="N15" i="7"/>
  <c r="P20" i="7" s="1"/>
  <c r="V8" i="59"/>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AL28" i="35"/>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C114" i="77" l="1"/>
  <c r="C126" i="77"/>
  <c r="D113" i="77"/>
  <c r="D125" i="77"/>
  <c r="N114" i="76"/>
  <c r="N126" i="76"/>
  <c r="T32" i="8"/>
  <c r="DP30" i="9"/>
  <c r="CX10" i="59" s="1"/>
  <c r="AD135" i="9"/>
  <c r="U84" i="74" s="1"/>
  <c r="U87" i="74" s="1"/>
  <c r="F8" i="59"/>
  <c r="AY57" i="72"/>
  <c r="BG57" i="72"/>
  <c r="AL28" i="18"/>
  <c r="AI87" i="18" s="1"/>
  <c r="AP48" i="18"/>
  <c r="EG16" i="8"/>
  <c r="EG18" i="8" s="1"/>
  <c r="BZ72" i="8"/>
  <c r="H33" i="60"/>
  <c r="H32" i="60"/>
  <c r="D18" i="62"/>
  <c r="H33" i="62" s="1"/>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DP25" i="8" s="1"/>
  <c r="CO9" i="59" s="1"/>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N127" i="76" s="1"/>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Q48" i="18"/>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AI87" i="35"/>
  <c r="DP4" i="10"/>
  <c r="H17" i="51"/>
  <c r="BI59" i="35"/>
  <c r="BI50" i="35"/>
  <c r="AC10" i="36"/>
  <c r="Q16" i="36"/>
  <c r="BJ21" i="8"/>
  <c r="BN22" i="8"/>
  <c r="AL22" i="38"/>
  <c r="R91" i="74"/>
  <c r="R93" i="74" s="1"/>
  <c r="BJ10" i="38"/>
  <c r="AL15" i="8"/>
  <c r="BA19" i="36"/>
  <c r="BN26" i="4"/>
  <c r="BJ25" i="4"/>
  <c r="L102" i="72"/>
  <c r="M102" i="72" s="1"/>
  <c r="F9" i="59"/>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C115" i="77" l="1"/>
  <c r="C127" i="77"/>
  <c r="DP30" i="10"/>
  <c r="CX11" i="59" s="1"/>
  <c r="AD135" i="10"/>
  <c r="X84" i="74" s="1"/>
  <c r="X87" i="74" s="1"/>
  <c r="N116" i="76"/>
  <c r="N128" i="76"/>
  <c r="T32" i="9"/>
  <c r="A148" i="72"/>
  <c r="CI10" i="59"/>
  <c r="H35" i="62"/>
  <c r="BZ72" i="9"/>
  <c r="F24" i="62"/>
  <c r="D35" i="62" s="1"/>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V148" i="72"/>
  <c r="EC148" i="72"/>
  <c r="DY148" i="72"/>
  <c r="DU148" i="72"/>
  <c r="EH148" i="72"/>
  <c r="EI148" i="72" s="1"/>
  <c r="EB148" i="72"/>
  <c r="DX148" i="72"/>
  <c r="EA148" i="72"/>
  <c r="DW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AL26" i="37" s="1"/>
  <c r="AO48" i="37" s="1"/>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C116" i="77" l="1"/>
  <c r="C128" i="77"/>
  <c r="DP30" i="11"/>
  <c r="CX12" i="59" s="1"/>
  <c r="AD135" i="11"/>
  <c r="AA84" i="74" s="1"/>
  <c r="AA87" i="74" s="1"/>
  <c r="T32" i="10"/>
  <c r="N117" i="76"/>
  <c r="N129" i="76"/>
  <c r="AB6" i="59"/>
  <c r="GT4" i="34"/>
  <c r="AW15" i="38"/>
  <c r="C22" i="75"/>
  <c r="Q7" i="59"/>
  <c r="AQ16" i="6"/>
  <c r="AQ51" i="6" s="1"/>
  <c r="BQ32" i="38"/>
  <c r="BR32" i="38" s="1"/>
  <c r="AT17" i="38"/>
  <c r="CI11" i="59"/>
  <c r="H27" i="62"/>
  <c r="H32"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AL91" i="10"/>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ED148" i="72"/>
  <c r="EE148"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C117" i="77" l="1"/>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DK39" i="10"/>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L25" i="38"/>
  <c r="AI87" i="37"/>
  <c r="AL28" i="38"/>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CA31" i="39" l="1"/>
  <c r="CB31" i="39" s="1"/>
  <c r="BS31" i="39"/>
  <c r="BT31" i="39" s="1"/>
  <c r="AP48" i="38"/>
  <c r="AQ48" i="38" s="1"/>
  <c r="C118" i="77"/>
  <c r="C130" i="77"/>
  <c r="DP30" i="13"/>
  <c r="CX14" i="59" s="1"/>
  <c r="AD135" i="13"/>
  <c r="AG84" i="74" s="1"/>
  <c r="AG87" i="74" s="1"/>
  <c r="T32" i="12"/>
  <c r="AL91" i="12" s="1"/>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Q17" i="40"/>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GV5" i="34" l="1"/>
  <c r="T28" i="6" s="1"/>
  <c r="C119" i="77"/>
  <c r="C131" i="77"/>
  <c r="D117" i="77"/>
  <c r="D129" i="77"/>
  <c r="DP30" i="14"/>
  <c r="CX15" i="59" s="1"/>
  <c r="AD135" i="14"/>
  <c r="AJ84" i="74" s="1"/>
  <c r="AJ87" i="74" s="1"/>
  <c r="T32" i="13"/>
  <c r="AL91" i="13" s="1"/>
  <c r="N119" i="76"/>
  <c r="C24" i="75" s="1"/>
  <c r="N131" i="76"/>
  <c r="DP30" i="15"/>
  <c r="CX16" i="59" s="1"/>
  <c r="AD135" i="15"/>
  <c r="AM84" i="74" s="1"/>
  <c r="AM87" i="74" s="1"/>
  <c r="AB8" i="59"/>
  <c r="GT6" i="34"/>
  <c r="T27" i="6"/>
  <c r="GU5" i="34"/>
  <c r="BC23" i="8"/>
  <c r="I21" i="38" s="1"/>
  <c r="J19" i="40"/>
  <c r="BZ72" i="13"/>
  <c r="J22" i="37"/>
  <c r="BJ56" i="38"/>
  <c r="GS7" i="34" s="1"/>
  <c r="V14" i="59"/>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DK39" i="12"/>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J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J22" i="38"/>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GV6" i="34" l="1"/>
  <c r="T28" i="7" s="1"/>
  <c r="J26" i="35"/>
  <c r="D118" i="77"/>
  <c r="D130" i="77"/>
  <c r="C120" i="77"/>
  <c r="C132" i="77"/>
  <c r="T32" i="15"/>
  <c r="T32" i="14"/>
  <c r="AL91" i="14" s="1"/>
  <c r="N120" i="76"/>
  <c r="C25" i="75" s="1"/>
  <c r="N132" i="76"/>
  <c r="J20" i="40"/>
  <c r="A373" i="72"/>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C30" i="75"/>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EC373" i="72"/>
  <c r="DY373" i="72"/>
  <c r="DU373" i="72"/>
  <c r="EB373" i="72"/>
  <c r="DX373" i="72"/>
  <c r="EH373" i="72"/>
  <c r="EI373" i="72" s="1"/>
  <c r="EA373" i="72"/>
  <c r="DW373" i="72"/>
  <c r="DZ373" i="72"/>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K373" i="72"/>
  <c r="V373" i="72" s="1"/>
  <c r="AG373" i="72" s="1"/>
  <c r="G373" i="72"/>
  <c r="R373" i="72" s="1"/>
  <c r="AC373" i="72" s="1"/>
  <c r="J373" i="72"/>
  <c r="U373" i="72" s="1"/>
  <c r="AF373" i="72" s="1"/>
  <c r="F373" i="72"/>
  <c r="Q373" i="72" s="1"/>
  <c r="AB373" i="72" s="1"/>
  <c r="I373" i="72"/>
  <c r="T373" i="72" s="1"/>
  <c r="AE373" i="72" s="1"/>
  <c r="E373" i="72"/>
  <c r="P373" i="72" s="1"/>
  <c r="H373" i="72"/>
  <c r="S373" i="72" s="1"/>
  <c r="AD373" i="72" s="1"/>
  <c r="D373" i="72"/>
  <c r="O373" i="72" s="1"/>
  <c r="Z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DK39" i="13"/>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CA32" i="42" l="1"/>
  <c r="CB32" i="42" s="1"/>
  <c r="BS32" i="42"/>
  <c r="BT32" i="42" s="1"/>
  <c r="C121" i="77"/>
  <c r="C133" i="77"/>
  <c r="D119" i="77"/>
  <c r="D131" i="77"/>
  <c r="N121" i="76"/>
  <c r="C26" i="75" s="1"/>
  <c r="N133" i="76"/>
  <c r="N122" i="76"/>
  <c r="C27" i="75" s="1"/>
  <c r="N134" i="76"/>
  <c r="A462" i="72"/>
  <c r="BC238" i="72"/>
  <c r="BD238" i="72" s="1"/>
  <c r="AM238" i="72" s="1"/>
  <c r="AP238" i="72" s="1"/>
  <c r="EU21" i="9" s="1"/>
  <c r="BE20" i="13"/>
  <c r="BC20" i="1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373" i="72"/>
  <c r="EE373" i="72" s="1"/>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EC462" i="72"/>
  <c r="DY462" i="72"/>
  <c r="DU462" i="72"/>
  <c r="EH462" i="72"/>
  <c r="EI462" i="72" s="1"/>
  <c r="EB462" i="72"/>
  <c r="DX462" i="72"/>
  <c r="EA462" i="72"/>
  <c r="DW462" i="72"/>
  <c r="DZ462" i="72"/>
  <c r="DV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K462" i="72"/>
  <c r="V462" i="72" s="1"/>
  <c r="AG462" i="72" s="1"/>
  <c r="G462" i="72"/>
  <c r="R462" i="72" s="1"/>
  <c r="AC462" i="72" s="1"/>
  <c r="J462" i="72"/>
  <c r="U462" i="72" s="1"/>
  <c r="AF462" i="72" s="1"/>
  <c r="F462" i="72"/>
  <c r="Q462" i="72" s="1"/>
  <c r="AB462" i="72" s="1"/>
  <c r="I462" i="72"/>
  <c r="T462" i="72" s="1"/>
  <c r="AE462" i="72" s="1"/>
  <c r="E462" i="72"/>
  <c r="P462" i="72" s="1"/>
  <c r="H462" i="72"/>
  <c r="S462" i="72" s="1"/>
  <c r="AD462" i="72" s="1"/>
  <c r="D462" i="72"/>
  <c r="O462" i="72" s="1"/>
  <c r="Z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C32" i="75"/>
  <c r="BQ32" i="43"/>
  <c r="BR32" i="43" s="1"/>
  <c r="BX15" i="43"/>
  <c r="D10" i="45"/>
  <c r="P16" i="45"/>
  <c r="DK39" i="14"/>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AM41" i="44"/>
  <c r="AO41" i="44" s="1"/>
  <c r="CA13" i="44"/>
  <c r="CB13" i="44" s="1"/>
  <c r="BQ29" i="44"/>
  <c r="BR29"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J28" i="18"/>
  <c r="I18" i="43"/>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BX14"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AP48" i="42" l="1"/>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AA462" i="72"/>
  <c r="W462" i="72"/>
  <c r="X462"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ED462" i="72"/>
  <c r="EE462"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BJ64" i="42" l="1"/>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GV13" i="34" l="1"/>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ER39" i="9"/>
  <c r="FB46" i="7"/>
  <c r="BH46" i="7" s="1"/>
  <c r="A173" i="72"/>
  <c r="A44" i="37"/>
  <c r="FB38" i="15"/>
  <c r="BH38" i="15" s="1"/>
  <c r="GC38" i="15" s="1"/>
  <c r="FX362" i="34" s="1"/>
  <c r="A36" i="45"/>
  <c r="A525" i="72"/>
  <c r="ER37" i="11" l="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AQ391"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AQ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AQ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M97"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J43" i="40" l="1"/>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EN48" i="41"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AL43" i="42" l="1"/>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F150" i="80"/>
  <c r="Z150" i="80" s="1"/>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BZ88" i="7" l="1"/>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M456"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GU10" i="34" l="1"/>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7" i="44"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BZ88" i="9" l="1"/>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ER48" i="13"/>
  <c r="BG491" i="72"/>
  <c r="BB491" i="72"/>
  <c r="BB535" i="72"/>
  <c r="BG535" i="72"/>
  <c r="AY535" i="72"/>
  <c r="BG492" i="72"/>
  <c r="AY492" i="72"/>
  <c r="BB492" i="72"/>
  <c r="AP492" i="72" s="1"/>
  <c r="K45" i="44"/>
  <c r="L45" i="44" s="1"/>
  <c r="E45" i="44" s="1"/>
  <c r="D84" i="44" s="1"/>
  <c r="E84" i="44" s="1"/>
  <c r="BZ88" i="8" l="1"/>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F152" i="80"/>
  <c r="Z152" i="80" s="1"/>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E75" i="14"/>
  <c r="B109" i="75"/>
  <c r="G92" i="76"/>
  <c r="J91" i="76"/>
  <c r="F89" i="76"/>
  <c r="G90" i="76"/>
  <c r="I92" i="76"/>
  <c r="D110" i="75" s="1"/>
  <c r="I91" i="76"/>
  <c r="D109" i="75" s="1"/>
  <c r="K91" i="76"/>
  <c r="H91" i="76"/>
  <c r="K89" i="76"/>
  <c r="DK37" i="14"/>
  <c r="C16" i="16"/>
  <c r="K13" i="51"/>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29"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F148" i="80"/>
  <c r="Z148" i="80" s="1"/>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F154" i="80"/>
  <c r="Z154" i="80" s="1"/>
  <c r="R50" i="18"/>
  <c r="L26" i="4" s="1"/>
  <c r="D87" i="76" l="1"/>
  <c r="M89" i="76"/>
  <c r="F107" i="75" s="1"/>
  <c r="I89" i="76"/>
  <c r="D107" i="75" s="1"/>
  <c r="H87" i="76"/>
  <c r="I88" i="76"/>
  <c r="D106" i="75" s="1"/>
  <c r="H28" i="62"/>
  <c r="P26" i="4"/>
  <c r="C87" i="76" l="1"/>
  <c r="J87" i="76"/>
  <c r="K88" i="76"/>
  <c r="J88" i="76"/>
  <c r="HG16" i="5"/>
  <c r="HO16" i="5" s="1"/>
  <c r="B105" i="75" l="1"/>
  <c r="M88" i="76"/>
  <c r="F106" i="75" s="1"/>
  <c r="F88" i="76"/>
  <c r="I87" i="76"/>
  <c r="D105" i="75" s="1"/>
  <c r="G87" i="76"/>
  <c r="L87" i="76"/>
  <c r="E105" i="75" s="1"/>
  <c r="F35" i="62"/>
  <c r="D41" i="62" s="1"/>
  <c r="B27" i="28"/>
  <c r="BK6" i="59"/>
  <c r="DM28" i="5"/>
  <c r="C6" i="59"/>
  <c r="B85" i="60" s="1"/>
  <c r="CC80" i="5"/>
  <c r="D39" i="62" l="1"/>
  <c r="BI6" i="59"/>
  <c r="E88" i="76"/>
  <c r="K87" i="76"/>
  <c r="M87" i="76"/>
  <c r="F105" i="75" s="1"/>
  <c r="L88" i="76"/>
  <c r="E106" i="75" s="1"/>
  <c r="F87" i="76"/>
  <c r="H36" i="62"/>
  <c r="D68" i="62"/>
  <c r="D37" i="62"/>
  <c r="B87" i="62"/>
  <c r="E87" i="76" l="1"/>
  <c r="AK2" i="58"/>
  <c r="H37" i="58" s="1"/>
  <c r="HG16" i="6"/>
  <c r="HO16" i="6" s="1"/>
  <c r="C7" i="59" l="1"/>
  <c r="B86" i="60" s="1"/>
  <c r="BK7" i="59"/>
  <c r="B28" i="28"/>
  <c r="DM28" i="6"/>
  <c r="CC80" i="6"/>
  <c r="D150" i="80"/>
  <c r="Y150" i="80" s="1"/>
  <c r="D110" i="80"/>
  <c r="Y110" i="80" s="1"/>
  <c r="HG16" i="7"/>
  <c r="HO16" i="7" s="1"/>
  <c r="BI7" i="59" l="1"/>
  <c r="B88" i="62"/>
  <c r="B29" i="28"/>
  <c r="CC80" i="7"/>
  <c r="C8" i="59"/>
  <c r="B87" i="60" s="1"/>
  <c r="DM28" i="7"/>
  <c r="BK8" i="59"/>
  <c r="T9" i="62" l="1"/>
  <c r="D57" i="62"/>
  <c r="W9" i="58"/>
  <c r="D65" i="58"/>
  <c r="D106" i="80"/>
  <c r="Y106" i="80" s="1"/>
  <c r="D152" i="80"/>
  <c r="Y152" i="80" s="1"/>
  <c r="B89" i="62"/>
  <c r="BI8" i="59"/>
  <c r="H53" i="62" l="1"/>
  <c r="I106" i="80"/>
  <c r="AA106" i="80" s="1"/>
  <c r="HG16" i="8"/>
  <c r="HO16" i="8" s="1"/>
  <c r="BZ77" i="6" l="1"/>
  <c r="T10" i="62"/>
  <c r="D58" i="62"/>
  <c r="H54" i="62" s="1"/>
  <c r="D148" i="80"/>
  <c r="Y148" i="80" s="1"/>
  <c r="D84" i="80"/>
  <c r="Y84" i="80" s="1"/>
  <c r="D66" i="58"/>
  <c r="W10" i="58"/>
  <c r="BK9" i="59"/>
  <c r="C9" i="59"/>
  <c r="CC80" i="8"/>
  <c r="DM28" i="8"/>
  <c r="B30" i="28"/>
  <c r="HG16" i="9"/>
  <c r="HO16" i="9" s="1"/>
  <c r="J8" i="51" l="1"/>
  <c r="CA72" i="6"/>
  <c r="W152" i="58"/>
  <c r="E26" i="28"/>
  <c r="B90" i="62"/>
  <c r="B88" i="60"/>
  <c r="D90" i="60" s="1"/>
  <c r="BI9" i="59"/>
  <c r="C10" i="59"/>
  <c r="B79" i="62" s="1"/>
  <c r="D108" i="80"/>
  <c r="Y108" i="80" s="1"/>
  <c r="CC80" i="9"/>
  <c r="D154" i="80"/>
  <c r="Y154" i="80" s="1"/>
  <c r="D114" i="80"/>
  <c r="Y114" i="80" s="1"/>
  <c r="D100" i="80"/>
  <c r="Y100" i="80" s="1"/>
  <c r="B109" i="62" l="1"/>
  <c r="B42" i="54"/>
  <c r="T11" i="62"/>
  <c r="D59" i="62"/>
  <c r="D67" i="58"/>
  <c r="W11" i="58"/>
  <c r="HG16" i="10"/>
  <c r="HO16" i="10" s="1"/>
  <c r="K13" i="60"/>
  <c r="C11" i="59" l="1"/>
  <c r="B80" i="62" s="1"/>
  <c r="I152" i="80"/>
  <c r="AA152" i="80" s="1"/>
  <c r="I116" i="80"/>
  <c r="AA116" i="80" s="1"/>
  <c r="W153" i="58"/>
  <c r="DM28" i="10"/>
  <c r="BI11" i="59" s="1"/>
  <c r="BK11" i="59"/>
  <c r="E27" i="28"/>
  <c r="CC80" i="10"/>
  <c r="HG16" i="11"/>
  <c r="HO16" i="11" s="1"/>
  <c r="T12" i="62" l="1"/>
  <c r="D60" i="62"/>
  <c r="D88" i="80"/>
  <c r="Y88" i="80" s="1"/>
  <c r="D116" i="80"/>
  <c r="Y116" i="80" s="1"/>
  <c r="D68" i="58"/>
  <c r="W12" i="58"/>
  <c r="E28" i="28"/>
  <c r="CC80" i="11"/>
  <c r="BK12" i="59"/>
  <c r="DM28" i="11"/>
  <c r="C12" i="59"/>
  <c r="B81" i="62" s="1"/>
  <c r="D92" i="62" s="1"/>
  <c r="K13" i="62" s="1"/>
  <c r="W154" i="58" l="1"/>
  <c r="HG16" i="12"/>
  <c r="HO16" i="12" s="1"/>
  <c r="BI12" i="59"/>
  <c r="D118" i="80" l="1"/>
  <c r="Y118" i="80" s="1"/>
  <c r="D104" i="80"/>
  <c r="Y104" i="80" s="1"/>
  <c r="T13" i="62"/>
  <c r="D61" i="62"/>
  <c r="W13" i="58"/>
  <c r="D69" i="58"/>
  <c r="H61" i="58" s="1"/>
  <c r="H60" i="58"/>
  <c r="D86" i="80"/>
  <c r="Y86" i="80" s="1"/>
  <c r="D90" i="80"/>
  <c r="Y90" i="80" s="1"/>
  <c r="C13" i="59"/>
  <c r="DM28" i="12"/>
  <c r="BI13" i="59" s="1"/>
  <c r="CC80" i="12"/>
  <c r="BK13" i="59"/>
  <c r="E29" i="28"/>
  <c r="HG16" i="13" l="1"/>
  <c r="HO16" i="13" s="1"/>
  <c r="C14" i="59" l="1"/>
  <c r="F165" i="80"/>
  <c r="D92" i="80"/>
  <c r="Y92" i="80" s="1"/>
  <c r="E30" i="28"/>
  <c r="CC80" i="13"/>
  <c r="DM28" i="13"/>
  <c r="BI14" i="59" s="1"/>
  <c r="BK14" i="59"/>
  <c r="HG16" i="14" l="1"/>
  <c r="HO16" i="14" s="1"/>
  <c r="E31" i="28" l="1"/>
  <c r="BK15" i="59"/>
  <c r="CC80" i="14"/>
  <c r="DM28" i="14"/>
  <c r="C15" i="59"/>
  <c r="HG16" i="15" l="1"/>
  <c r="HO16" i="15" s="1"/>
  <c r="BI15" i="59"/>
  <c r="C16" i="59" l="1"/>
  <c r="BK16" i="59"/>
  <c r="CC80" i="15"/>
  <c r="DM28" i="15"/>
  <c r="BI16" i="59" s="1"/>
  <c r="E32" i="28"/>
  <c r="I150" i="80" l="1"/>
  <c r="AA150" i="80" s="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D51" i="62" l="1"/>
  <c r="D58" i="58"/>
  <c r="W2" i="58"/>
  <c r="T2" i="62"/>
  <c r="CA72" i="10"/>
  <c r="G8" i="51"/>
  <c r="T3" i="62" l="1"/>
  <c r="W3" i="58"/>
  <c r="D59" i="58"/>
  <c r="D52" i="62"/>
  <c r="BZ77" i="12"/>
  <c r="EO13" i="10"/>
  <c r="EO13" i="11" s="1"/>
  <c r="EO13" i="12" s="1"/>
  <c r="EO13" i="13" s="1"/>
  <c r="EO13" i="14" s="1"/>
  <c r="EO13" i="15" s="1"/>
  <c r="EO13" i="9"/>
  <c r="BB10" i="59"/>
  <c r="Q83" i="9"/>
  <c r="H28" i="51" s="1"/>
  <c r="Q83" i="7"/>
  <c r="C28" i="51" s="1"/>
  <c r="BB8" i="59"/>
  <c r="D116" i="77" l="1"/>
  <c r="D128" i="77"/>
  <c r="D114" i="77"/>
  <c r="D126" i="77"/>
  <c r="D92" i="77"/>
  <c r="D104" i="77"/>
  <c r="D90" i="77"/>
  <c r="D102" i="77"/>
  <c r="W4" i="58"/>
  <c r="D60" i="58"/>
  <c r="D70" i="58" s="1"/>
  <c r="T4" i="62"/>
  <c r="M8" i="51"/>
  <c r="CA72" i="12"/>
  <c r="BZ77" i="13"/>
  <c r="EO6" i="7"/>
  <c r="H63" i="58" l="1"/>
  <c r="D62" i="62"/>
  <c r="G33" i="25"/>
  <c r="I31" i="25"/>
  <c r="I154" i="80"/>
  <c r="AA154" i="80" s="1"/>
  <c r="L8" i="51"/>
  <c r="CA72" i="13"/>
  <c r="BZ77" i="14"/>
  <c r="I102" i="80"/>
  <c r="AA102" i="80" s="1"/>
  <c r="I108" i="80"/>
  <c r="AA108" i="80" s="1"/>
  <c r="AZ9" i="59"/>
  <c r="EO7" i="7"/>
  <c r="H56" i="62" l="1"/>
  <c r="AP9" i="25"/>
  <c r="N71" i="12" s="1"/>
  <c r="AP3" i="25"/>
  <c r="N71" i="6" s="1"/>
  <c r="AP2" i="25"/>
  <c r="N71" i="5" s="1"/>
  <c r="AP10" i="25"/>
  <c r="AP4" i="25"/>
  <c r="N71" i="7" s="1"/>
  <c r="AP7" i="25"/>
  <c r="AP11" i="25"/>
  <c r="N71" i="14" s="1"/>
  <c r="AP8" i="25"/>
  <c r="N71" i="11" s="1"/>
  <c r="AP1" i="25"/>
  <c r="N71" i="4" s="1"/>
  <c r="AP6" i="25"/>
  <c r="AP5" i="25"/>
  <c r="N71" i="8" s="1"/>
  <c r="AP12" i="25"/>
  <c r="N71" i="15" s="1"/>
  <c r="K8" i="51"/>
  <c r="CA72" i="14"/>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43" i="50" s="1"/>
  <c r="BO5" i="59"/>
  <c r="D19" i="51"/>
  <c r="BO16" i="59"/>
  <c r="EO7" i="9"/>
  <c r="AZ12" i="59"/>
  <c r="EO6" i="10"/>
  <c r="F182" i="80" l="1"/>
  <c r="EO6" i="11"/>
  <c r="EO7" i="11" s="1"/>
  <c r="AZ13" i="59"/>
  <c r="EO8" i="10"/>
  <c r="EO7" i="10"/>
  <c r="I88" i="80" l="1"/>
  <c r="AA88" i="80" s="1"/>
  <c r="I112" i="80"/>
  <c r="AA112" i="80" s="1"/>
  <c r="I148" i="80"/>
  <c r="AA148" i="80" s="1"/>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DK39" i="9"/>
  <c r="BZ94" i="9"/>
  <c r="H16" i="51" s="1"/>
  <c r="V91" i="9"/>
  <c r="AL91" i="9"/>
  <c r="DK39" i="11"/>
  <c r="BL10" i="59"/>
  <c r="CA72" i="11" l="1"/>
  <c r="B8" i="51"/>
  <c r="F41" i="62" l="1"/>
  <c r="H43" i="62" l="1"/>
  <c r="F32" i="62"/>
  <c r="H40" i="62" s="1"/>
  <c r="H44" i="62"/>
  <c r="J59" i="62" l="1"/>
  <c r="G72" i="62"/>
  <c r="I59" i="62"/>
  <c r="D94" i="62" l="1"/>
  <c r="D96" i="62" s="1"/>
  <c r="I72" i="62"/>
  <c r="K12" i="62"/>
  <c r="K14" i="62" s="1"/>
  <c r="G73" i="62"/>
  <c r="DM29" i="8" l="1"/>
  <c r="BJ9" i="59" s="1"/>
  <c r="B19" i="25" l="1"/>
  <c r="A84" i="25" s="1"/>
  <c r="I165" i="80"/>
  <c r="D165" i="80" s="1"/>
  <c r="B15" i="25"/>
  <c r="A80" i="25" s="1"/>
  <c r="B16" i="25"/>
  <c r="A81" i="25" s="1"/>
  <c r="B17" i="25"/>
  <c r="A82" i="25" s="1"/>
  <c r="B18" i="25"/>
  <c r="A83" i="25" s="1"/>
  <c r="B21" i="25"/>
  <c r="A86" i="25" s="1"/>
  <c r="BZ77" i="8"/>
  <c r="BZ77" i="15"/>
  <c r="D170" i="80"/>
  <c r="D94" i="80"/>
  <c r="Y94" i="80" s="1"/>
  <c r="F66" i="62"/>
  <c r="I100" i="80"/>
  <c r="AA100" i="80" s="1"/>
  <c r="I104" i="80"/>
  <c r="AA104" i="80" s="1"/>
  <c r="F19" i="58"/>
  <c r="F23" i="58" s="1"/>
  <c r="D33" i="58" s="1"/>
  <c r="D150" i="58"/>
  <c r="D151" i="58"/>
  <c r="F105" i="58"/>
  <c r="F109" i="58" s="1"/>
  <c r="D98" i="80"/>
  <c r="Y98" i="80" s="1"/>
  <c r="D96" i="80"/>
  <c r="Y96" i="80" s="1"/>
  <c r="I96" i="80"/>
  <c r="AA96" i="80" s="1"/>
  <c r="F115" i="58"/>
  <c r="D102" i="80"/>
  <c r="Y102" i="80" s="1"/>
  <c r="D112" i="80"/>
  <c r="Y112" i="80" s="1"/>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I71" i="58" l="1"/>
  <c r="J71" i="58"/>
  <c r="D73" i="58"/>
  <c r="D72" i="58"/>
  <c r="D121" i="58"/>
  <c r="F121" i="58" s="1"/>
  <c r="D119" i="58"/>
  <c r="D35" i="58"/>
  <c r="F35" i="58" s="1"/>
  <c r="H114" i="58"/>
  <c r="W26" i="58"/>
  <c r="EO8" i="15"/>
  <c r="W150" i="58"/>
  <c r="EO8" i="8"/>
  <c r="W151" i="58"/>
  <c r="BZ94" i="8"/>
  <c r="I16" i="51" s="1"/>
  <c r="AL91" i="15"/>
  <c r="W27" i="58"/>
  <c r="BZ94" i="15"/>
  <c r="D16" i="51" s="1"/>
  <c r="H105" i="58"/>
  <c r="DK39" i="15"/>
  <c r="H19" i="58"/>
  <c r="AH91" i="15"/>
  <c r="V91" i="15"/>
  <c r="AH91" i="8"/>
  <c r="AH92" i="8" s="1"/>
  <c r="AL91" i="8"/>
  <c r="BL16" i="59"/>
  <c r="V91" i="8"/>
  <c r="D155" i="58"/>
  <c r="CA72" i="8"/>
  <c r="I8" i="51"/>
  <c r="CA72" i="15"/>
  <c r="D8" i="51"/>
  <c r="AL87" i="8"/>
  <c r="DK39" i="8"/>
  <c r="B28" i="25"/>
  <c r="E31" i="25" s="1"/>
  <c r="BL9" i="59"/>
  <c r="Q9" i="59" l="1"/>
  <c r="AQ16" i="8"/>
  <c r="AQ51" i="8" s="1"/>
  <c r="D157" i="58"/>
  <c r="D125" i="58"/>
  <c r="F125" i="58" s="1"/>
  <c r="H116" i="58"/>
  <c r="D39" i="58"/>
  <c r="F39" i="58" s="1"/>
  <c r="H73" i="58" s="1"/>
  <c r="F30" i="58"/>
  <c r="H29" i="58"/>
  <c r="I152" i="58"/>
  <c r="J152" i="58"/>
  <c r="H148" i="58"/>
  <c r="H75" i="58" l="1"/>
  <c r="J67" i="58"/>
  <c r="I67" i="58"/>
  <c r="H28" i="58"/>
  <c r="G80" i="58"/>
  <c r="K12" i="58" s="1"/>
  <c r="H154" i="58"/>
  <c r="G164" i="58"/>
  <c r="K13" i="58" s="1"/>
  <c r="H156" i="58"/>
  <c r="C130" i="58"/>
  <c r="AK86" i="58"/>
  <c r="H125" i="58" s="1"/>
  <c r="H119" i="58"/>
  <c r="C44" i="58"/>
  <c r="H32" i="58"/>
  <c r="AK1" i="58"/>
  <c r="H36" i="58" s="1"/>
  <c r="K14" i="58" l="1"/>
  <c r="E4" i="79" s="1"/>
  <c r="EQ18" i="35"/>
  <c r="D18" i="35" s="1"/>
  <c r="EQ18" i="41"/>
  <c r="D18" i="41" s="1"/>
  <c r="EQ18" i="38"/>
  <c r="D18" i="38" s="1"/>
  <c r="EQ18" i="36"/>
  <c r="D18" i="36" s="1"/>
  <c r="GG20" i="6" s="1"/>
  <c r="GQ20" i="6" s="1"/>
  <c r="EQ18" i="43"/>
  <c r="D18" i="43" s="1"/>
  <c r="EQ18" i="45"/>
  <c r="D18" i="45" s="1"/>
  <c r="GG20" i="1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0" l="1"/>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FA20" i="8" s="1"/>
  <c r="AM20" i="8" s="1"/>
  <c r="GJ20" i="8" s="1"/>
  <c r="GM20" i="8" s="1"/>
  <c r="AD20" i="13"/>
  <c r="DV20" i="13" s="1"/>
  <c r="AD20" i="15"/>
  <c r="DY20" i="15" s="1"/>
  <c r="AD20" i="14"/>
  <c r="AS20" i="14" s="1"/>
  <c r="AD20" i="5"/>
  <c r="FA20" i="5" s="1"/>
  <c r="AM20" i="5" s="1"/>
  <c r="GJ20" i="5" s="1"/>
  <c r="GM20" i="5" s="1"/>
  <c r="AD20" i="7"/>
  <c r="FA20" i="7" s="1"/>
  <c r="AM20" i="7" s="1"/>
  <c r="AD20" i="9"/>
  <c r="FA20" i="9" s="1"/>
  <c r="AM20" i="9" s="1"/>
  <c r="AD20" i="12"/>
  <c r="AD20" i="10"/>
  <c r="BD18" i="18"/>
  <c r="AD20" i="11"/>
  <c r="AD20" i="4"/>
  <c r="BD18" i="39"/>
  <c r="AD20" i="6"/>
  <c r="BD18" i="40"/>
  <c r="BD18" i="43"/>
  <c r="BD18" i="44"/>
  <c r="BD18" i="42"/>
  <c r="BD18" i="37"/>
  <c r="BD18" i="45"/>
  <c r="BD18" i="36"/>
  <c r="BD18" i="38"/>
  <c r="BD18" i="41"/>
  <c r="BD18" i="35"/>
  <c r="DY20" i="13" l="1"/>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O8" i="74"/>
  <c r="GJ20" i="7"/>
  <c r="GM20" i="7" s="1"/>
  <c r="U8" i="74"/>
  <c r="GJ20" i="9"/>
  <c r="GM20" i="9" s="1"/>
  <c r="DW20" i="7"/>
  <c r="AS20" i="7"/>
  <c r="FG20" i="7"/>
  <c r="DY20" i="7"/>
  <c r="DX20" i="7"/>
  <c r="EB20" i="7"/>
  <c r="DU20" i="7"/>
  <c r="EB20" i="14"/>
  <c r="DW20" i="14"/>
  <c r="DX20" i="14"/>
  <c r="GF20" i="5"/>
  <c r="EA18" i="38"/>
  <c r="EB18" i="38" s="1"/>
  <c r="GF20" i="7"/>
  <c r="GF20" i="9"/>
  <c r="GF20" i="8"/>
  <c r="EA18" i="35"/>
  <c r="CG18" i="35" s="1"/>
  <c r="E57" i="35" s="1"/>
  <c r="EA20" i="8"/>
  <c r="EB20" i="8"/>
  <c r="DV20" i="8"/>
  <c r="R8" i="74"/>
  <c r="DV20" i="9"/>
  <c r="EA20" i="14"/>
  <c r="DV20" i="14"/>
  <c r="FG20" i="14"/>
  <c r="DU20" i="14"/>
  <c r="FA20" i="14"/>
  <c r="AM20" i="14" s="1"/>
  <c r="GJ20" i="14" s="1"/>
  <c r="GM20" i="14" s="1"/>
  <c r="DY20" i="14"/>
  <c r="FG20" i="9"/>
  <c r="DU20" i="9"/>
  <c r="EA18" i="39"/>
  <c r="CG18" i="39" s="1"/>
  <c r="FA20" i="15"/>
  <c r="AM20" i="15" s="1"/>
  <c r="GJ20" i="15" s="1"/>
  <c r="GM20" i="15" s="1"/>
  <c r="EA20" i="15"/>
  <c r="DX20" i="9"/>
  <c r="EB20" i="9"/>
  <c r="DY20" i="9"/>
  <c r="EB20" i="15"/>
  <c r="EA18" i="37"/>
  <c r="EB18" i="37" s="1"/>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G57" i="35" l="1"/>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DX41" i="9" s="1"/>
  <c r="GO41" i="9"/>
  <c r="GP41" i="9" s="1"/>
  <c r="FP41" i="9"/>
  <c r="GO45" i="15"/>
  <c r="GP45" i="15" s="1"/>
  <c r="FP45" i="15"/>
  <c r="FP24" i="10"/>
  <c r="GO24" i="10"/>
  <c r="GP24" i="10" s="1"/>
  <c r="AD49" i="11"/>
  <c r="DW49" i="11" s="1"/>
  <c r="GO49" i="11"/>
  <c r="GP49" i="11" s="1"/>
  <c r="FP49" i="11"/>
  <c r="GO32" i="11"/>
  <c r="GP32" i="11" s="1"/>
  <c r="FP32" i="11"/>
  <c r="GO40" i="9"/>
  <c r="GP40" i="9" s="1"/>
  <c r="FP40" i="9"/>
  <c r="GO45" i="12"/>
  <c r="GP45" i="12" s="1"/>
  <c r="FP45" i="12"/>
  <c r="FP42" i="7"/>
  <c r="GO42" i="7"/>
  <c r="GP42" i="7" s="1"/>
  <c r="GO29" i="6"/>
  <c r="GP29" i="6" s="1"/>
  <c r="FP29" i="6"/>
  <c r="GO34" i="4"/>
  <c r="GP34" i="4" s="1"/>
  <c r="FP34" i="4"/>
  <c r="AD47" i="9"/>
  <c r="DX47" i="9" s="1"/>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DY42" i="6" s="1"/>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DX35" i="6" s="1"/>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DY47" i="15" s="1"/>
  <c r="GO47" i="15"/>
  <c r="GP47" i="15" s="1"/>
  <c r="FP47" i="15"/>
  <c r="FP50" i="15"/>
  <c r="GO50" i="15"/>
  <c r="GP50" i="15" s="1"/>
  <c r="GO37" i="7"/>
  <c r="GP37" i="7" s="1"/>
  <c r="FP37" i="7"/>
  <c r="AD46" i="12"/>
  <c r="FG46" i="12" s="1"/>
  <c r="GO46" i="12"/>
  <c r="GP46" i="12" s="1"/>
  <c r="FP46" i="12"/>
  <c r="FP28" i="12"/>
  <c r="GO28" i="12"/>
  <c r="GP28" i="12" s="1"/>
  <c r="GO33" i="4"/>
  <c r="GP33" i="4" s="1"/>
  <c r="FP33" i="4"/>
  <c r="GO33" i="7"/>
  <c r="GP33" i="7" s="1"/>
  <c r="FP33" i="7"/>
  <c r="FP40" i="8"/>
  <c r="GO40" i="8"/>
  <c r="GP40" i="8" s="1"/>
  <c r="FP48" i="12"/>
  <c r="GO48" i="12"/>
  <c r="GP48" i="12" s="1"/>
  <c r="GO43" i="10"/>
  <c r="GP43" i="10" s="1"/>
  <c r="FP43" i="10"/>
  <c r="AD35" i="9"/>
  <c r="FA35" i="9" s="1"/>
  <c r="AM35" i="9" s="1"/>
  <c r="GJ35" i="9" s="1"/>
  <c r="GM35" i="9" s="1"/>
  <c r="GO35" i="9"/>
  <c r="GP35" i="9" s="1"/>
  <c r="FP35" i="9"/>
  <c r="GO44" i="13"/>
  <c r="GP44" i="13" s="1"/>
  <c r="FP44" i="13"/>
  <c r="GO45" i="8"/>
  <c r="GP45" i="8" s="1"/>
  <c r="FP45" i="8"/>
  <c r="GO28" i="6"/>
  <c r="GP28" i="6" s="1"/>
  <c r="FP28" i="6"/>
  <c r="AD43" i="5"/>
  <c r="FA43" i="5" s="1"/>
  <c r="AM43" i="5" s="1"/>
  <c r="GJ43" i="5" s="1"/>
  <c r="GM43" i="5" s="1"/>
  <c r="GO43" i="5"/>
  <c r="GP43" i="5" s="1"/>
  <c r="FP43" i="5"/>
  <c r="GO49" i="4"/>
  <c r="GP49" i="4" s="1"/>
  <c r="FP49" i="4"/>
  <c r="GO24" i="15"/>
  <c r="GP24" i="15" s="1"/>
  <c r="FP24" i="15"/>
  <c r="AD30" i="7"/>
  <c r="FA30" i="7" s="1"/>
  <c r="AM30" i="7" s="1"/>
  <c r="GJ30" i="7" s="1"/>
  <c r="GM30" i="7" s="1"/>
  <c r="FP30" i="7"/>
  <c r="GO30" i="7"/>
  <c r="GP30" i="7" s="1"/>
  <c r="FP34" i="9"/>
  <c r="GO34" i="9"/>
  <c r="GP34" i="9" s="1"/>
  <c r="AD44" i="12"/>
  <c r="FA44" i="12" s="1"/>
  <c r="AM44" i="12" s="1"/>
  <c r="GJ44" i="12" s="1"/>
  <c r="GM44" i="12" s="1"/>
  <c r="FP44" i="12"/>
  <c r="GO44" i="12"/>
  <c r="GP44" i="12" s="1"/>
  <c r="GO41" i="14"/>
  <c r="GP41" i="14" s="1"/>
  <c r="FP41" i="14"/>
  <c r="GO37" i="6"/>
  <c r="GP37" i="6" s="1"/>
  <c r="FP37" i="6"/>
  <c r="GO46" i="10"/>
  <c r="GP46" i="10" s="1"/>
  <c r="FP46" i="10"/>
  <c r="AD41" i="4"/>
  <c r="EB41" i="4" s="1"/>
  <c r="GO41" i="4"/>
  <c r="GP41" i="4" s="1"/>
  <c r="FP41" i="4"/>
  <c r="GO39" i="7"/>
  <c r="GP39" i="7" s="1"/>
  <c r="FP39" i="7"/>
  <c r="AD27" i="11"/>
  <c r="EB27" i="11" s="1"/>
  <c r="GO27" i="11"/>
  <c r="GP27" i="11" s="1"/>
  <c r="FP27" i="11"/>
  <c r="GO23" i="5"/>
  <c r="GP23" i="5" s="1"/>
  <c r="FP23" i="5"/>
  <c r="AD47" i="14"/>
  <c r="EA47" i="14" s="1"/>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DY21" i="6" s="1"/>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G22" i="15" s="1"/>
  <c r="FP22" i="15"/>
  <c r="GO22" i="15"/>
  <c r="GP22" i="15" s="1"/>
  <c r="GO23" i="14"/>
  <c r="GP23" i="14" s="1"/>
  <c r="FP23" i="14"/>
  <c r="GO45" i="11"/>
  <c r="GP45" i="11" s="1"/>
  <c r="FP45" i="11"/>
  <c r="AD29" i="14"/>
  <c r="FA29" i="14" s="1"/>
  <c r="AM29" i="14" s="1"/>
  <c r="GJ29" i="14" s="1"/>
  <c r="GM29" i="14" s="1"/>
  <c r="GO29" i="14"/>
  <c r="GP29" i="14" s="1"/>
  <c r="FP29" i="14"/>
  <c r="GO50" i="12"/>
  <c r="GP50" i="12" s="1"/>
  <c r="FP50" i="12"/>
  <c r="FP38" i="15"/>
  <c r="GO38" i="15"/>
  <c r="GP38" i="15" s="1"/>
  <c r="FP44" i="10"/>
  <c r="GO44" i="10"/>
  <c r="GP44" i="10" s="1"/>
  <c r="GO37" i="5"/>
  <c r="GP37" i="5" s="1"/>
  <c r="FP37" i="5"/>
  <c r="GO21" i="4"/>
  <c r="FP21" i="4"/>
  <c r="AD30" i="8"/>
  <c r="EB30" i="8" s="1"/>
  <c r="GO30" i="8"/>
  <c r="GP30" i="8" s="1"/>
  <c r="FP30" i="8"/>
  <c r="AD28" i="14"/>
  <c r="FA28" i="14" s="1"/>
  <c r="AM28" i="14" s="1"/>
  <c r="GJ28" i="14" s="1"/>
  <c r="GM28" i="14" s="1"/>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FA40" i="7" s="1"/>
  <c r="AM40" i="7" s="1"/>
  <c r="GJ40" i="7" s="1"/>
  <c r="GM40" i="7" s="1"/>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FA29" i="11" s="1"/>
  <c r="AM29" i="11" s="1"/>
  <c r="GJ29" i="11" s="1"/>
  <c r="GM29" i="11" s="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FG32" i="9" s="1"/>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EA37" i="14" s="1"/>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FG49" i="6" s="1"/>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FA37" i="15" s="1"/>
  <c r="AM37" i="15" s="1"/>
  <c r="GJ37" i="15" s="1"/>
  <c r="GM37" i="15" s="1"/>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FA27" i="15" s="1"/>
  <c r="AM27" i="15" s="1"/>
  <c r="GJ27" i="15" s="1"/>
  <c r="GM27" i="15" s="1"/>
  <c r="GO27" i="15"/>
  <c r="GP27" i="15" s="1"/>
  <c r="FP27" i="15"/>
  <c r="GO23" i="15"/>
  <c r="GP23" i="15" s="1"/>
  <c r="FP23" i="15"/>
  <c r="GO49" i="7"/>
  <c r="GP49" i="7" s="1"/>
  <c r="FP49" i="7"/>
  <c r="FP22" i="7"/>
  <c r="GO22" i="7"/>
  <c r="GP22" i="7" s="1"/>
  <c r="GO25" i="15"/>
  <c r="GP25" i="15" s="1"/>
  <c r="FP25" i="15"/>
  <c r="AD41" i="10"/>
  <c r="FG41" i="10" s="1"/>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FA35" i="8" s="1"/>
  <c r="AM35" i="8" s="1"/>
  <c r="GJ35" i="8" s="1"/>
  <c r="GM35" i="8" s="1"/>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DX48" i="13" s="1"/>
  <c r="GO48" i="13"/>
  <c r="GP48" i="13" s="1"/>
  <c r="FP48" i="13"/>
  <c r="AD41" i="12"/>
  <c r="DY41" i="12" s="1"/>
  <c r="GO41" i="12"/>
  <c r="GP41" i="12" s="1"/>
  <c r="FP41" i="12"/>
  <c r="FP22" i="11"/>
  <c r="GO22" i="11"/>
  <c r="GP22" i="11" s="1"/>
  <c r="FP40" i="12"/>
  <c r="GO40" i="12"/>
  <c r="GP40" i="12" s="1"/>
  <c r="GO39" i="12"/>
  <c r="GP39" i="12" s="1"/>
  <c r="FP39" i="12"/>
  <c r="GO43" i="14"/>
  <c r="GP43" i="14" s="1"/>
  <c r="FP43" i="14"/>
  <c r="AD31" i="14"/>
  <c r="FA31" i="14" s="1"/>
  <c r="AM31" i="14" s="1"/>
  <c r="GJ31" i="14" s="1"/>
  <c r="GM31" i="14" s="1"/>
  <c r="GO31" i="14"/>
  <c r="GP31" i="14" s="1"/>
  <c r="FP31" i="14"/>
  <c r="GO31" i="6"/>
  <c r="GP31" i="6" s="1"/>
  <c r="FP31" i="6"/>
  <c r="GO31" i="9"/>
  <c r="GP31" i="9" s="1"/>
  <c r="FP31" i="9"/>
  <c r="GO43" i="11"/>
  <c r="GP43" i="11" s="1"/>
  <c r="FP43" i="11"/>
  <c r="AD30" i="12"/>
  <c r="DY30" i="12" s="1"/>
  <c r="GO30" i="12"/>
  <c r="GP30" i="12" s="1"/>
  <c r="FP30" i="12"/>
  <c r="GO42" i="14"/>
  <c r="GP42" i="14" s="1"/>
  <c r="FP42" i="14"/>
  <c r="FP36" i="12"/>
  <c r="GO36" i="12"/>
  <c r="GP36" i="12" s="1"/>
  <c r="GO32" i="7"/>
  <c r="GP32" i="7" s="1"/>
  <c r="FP32" i="7"/>
  <c r="FP50" i="11"/>
  <c r="GO50" i="11"/>
  <c r="GP50" i="11" s="1"/>
  <c r="GO48" i="9"/>
  <c r="GP48" i="9" s="1"/>
  <c r="FP48" i="9"/>
  <c r="AD47" i="13"/>
  <c r="DV47" i="13" s="1"/>
  <c r="GO47" i="13"/>
  <c r="GP47" i="13" s="1"/>
  <c r="FP47" i="13"/>
  <c r="GO26" i="6"/>
  <c r="GP26" i="6" s="1"/>
  <c r="FP26" i="6"/>
  <c r="GO23" i="13"/>
  <c r="GP23" i="13" s="1"/>
  <c r="FP23" i="13"/>
  <c r="AD37" i="8"/>
  <c r="FG37" i="8" s="1"/>
  <c r="GO37" i="8"/>
  <c r="GP37" i="8" s="1"/>
  <c r="FP37" i="8"/>
  <c r="AD30" i="4"/>
  <c r="FA30" i="4" s="1"/>
  <c r="AM30" i="4" s="1"/>
  <c r="GJ30" i="4" s="1"/>
  <c r="GM30" i="4" s="1"/>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G46" i="13" s="1"/>
  <c r="FP46" i="13"/>
  <c r="GO46" i="13"/>
  <c r="GP46" i="13" s="1"/>
  <c r="GO43" i="9"/>
  <c r="GP43" i="9" s="1"/>
  <c r="FP43" i="9"/>
  <c r="FP44" i="6"/>
  <c r="GO44" i="6"/>
  <c r="GP44" i="6" s="1"/>
  <c r="GO36" i="6"/>
  <c r="GP36" i="6" s="1"/>
  <c r="FP36" i="6"/>
  <c r="FP38" i="7"/>
  <c r="GO38" i="7"/>
  <c r="GP38" i="7" s="1"/>
  <c r="GO34" i="5"/>
  <c r="GP34" i="5" s="1"/>
  <c r="FP34" i="5"/>
  <c r="FP36" i="8"/>
  <c r="GO36" i="8"/>
  <c r="GP36" i="8" s="1"/>
  <c r="AD32" i="4"/>
  <c r="DU32" i="4" s="1"/>
  <c r="GO32" i="4"/>
  <c r="GP32" i="4" s="1"/>
  <c r="FP32" i="4"/>
  <c r="GO41" i="11"/>
  <c r="GP41" i="11" s="1"/>
  <c r="FP41" i="11"/>
  <c r="FP34" i="11"/>
  <c r="GO34" i="11"/>
  <c r="GP34" i="11" s="1"/>
  <c r="GO31" i="12"/>
  <c r="GP31" i="12" s="1"/>
  <c r="FP31" i="12"/>
  <c r="GO38" i="14"/>
  <c r="GP38" i="14" s="1"/>
  <c r="FP38" i="14"/>
  <c r="GO25" i="4"/>
  <c r="GP25" i="4" s="1"/>
  <c r="FP25" i="4"/>
  <c r="AD31" i="4"/>
  <c r="FA31" i="4" s="1"/>
  <c r="AM31" i="4" s="1"/>
  <c r="GJ31" i="4" s="1"/>
  <c r="GM31" i="4" s="1"/>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EB50" i="8" s="1"/>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AM15" i="7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FA30" i="11" s="1"/>
  <c r="AM30" i="11" s="1"/>
  <c r="D42" i="35"/>
  <c r="D48" i="35"/>
  <c r="GG50" i="5" s="1"/>
  <c r="GQ50" i="5" s="1"/>
  <c r="D20" i="35"/>
  <c r="D28" i="35"/>
  <c r="D47" i="35"/>
  <c r="GG49" i="5" s="1"/>
  <c r="GQ49" i="5" s="1"/>
  <c r="D43" i="35"/>
  <c r="D22" i="35"/>
  <c r="D27" i="35"/>
  <c r="AD42" i="12"/>
  <c r="DX42" i="12" s="1"/>
  <c r="D32" i="35"/>
  <c r="D24" i="35"/>
  <c r="D45" i="35"/>
  <c r="D34" i="35"/>
  <c r="D41" i="35"/>
  <c r="D38" i="35"/>
  <c r="D40" i="35"/>
  <c r="AD47" i="5"/>
  <c r="DV47" i="5" s="1"/>
  <c r="D21" i="35"/>
  <c r="D26" i="35"/>
  <c r="AD31" i="15"/>
  <c r="FG31" i="15" s="1"/>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AS29" i="7" s="1"/>
  <c r="D40" i="37"/>
  <c r="D19" i="45"/>
  <c r="GG21" i="15" s="1"/>
  <c r="D32" i="44"/>
  <c r="D24" i="39"/>
  <c r="D32" i="43"/>
  <c r="D19" i="37"/>
  <c r="BD19" i="37" s="1"/>
  <c r="D40" i="45"/>
  <c r="D21" i="39"/>
  <c r="D46" i="43"/>
  <c r="D41" i="44"/>
  <c r="D34" i="42"/>
  <c r="D48" i="41"/>
  <c r="GG50" i="11" s="1"/>
  <c r="GQ50" i="11" s="1"/>
  <c r="D45" i="43"/>
  <c r="AD34" i="44" s="1"/>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D47" i="40"/>
  <c r="GG49" i="10" s="1"/>
  <c r="GQ49" i="10" s="1"/>
  <c r="D46" i="44"/>
  <c r="D34" i="39"/>
  <c r="D26" i="40"/>
  <c r="D30" i="43"/>
  <c r="D31" i="39"/>
  <c r="D43" i="45"/>
  <c r="D47" i="41"/>
  <c r="GG49" i="11" s="1"/>
  <c r="GQ49" i="11" s="1"/>
  <c r="D21" i="41"/>
  <c r="D22" i="36"/>
  <c r="D23" i="43"/>
  <c r="D20" i="41"/>
  <c r="D41" i="39"/>
  <c r="D48" i="45"/>
  <c r="GG50" i="15" s="1"/>
  <c r="GQ50" i="15" s="1"/>
  <c r="AD38" i="7"/>
  <c r="FA38" i="7" s="1"/>
  <c r="AM38" i="7" s="1"/>
  <c r="D35" i="37"/>
  <c r="D33" i="36"/>
  <c r="D48" i="37"/>
  <c r="GG50" i="7" s="1"/>
  <c r="GQ50" i="7" s="1"/>
  <c r="D32" i="42"/>
  <c r="D46" i="42"/>
  <c r="D42" i="43"/>
  <c r="D20" i="45"/>
  <c r="D38" i="37"/>
  <c r="D42" i="38"/>
  <c r="D30" i="40"/>
  <c r="D48" i="39"/>
  <c r="BD48" i="39" s="1"/>
  <c r="D26" i="36"/>
  <c r="D47" i="39"/>
  <c r="GG49" i="9" s="1"/>
  <c r="GQ49" i="9" s="1"/>
  <c r="D25" i="41"/>
  <c r="D39" i="43"/>
  <c r="D27" i="43"/>
  <c r="D44" i="45"/>
  <c r="D45" i="38"/>
  <c r="D44" i="40"/>
  <c r="AD36" i="14"/>
  <c r="EA36" i="14" s="1"/>
  <c r="AD25" i="8"/>
  <c r="AS25" i="8" s="1"/>
  <c r="AD48" i="5"/>
  <c r="FA48" i="5" s="1"/>
  <c r="AM48" i="5" s="1"/>
  <c r="AD48" i="8"/>
  <c r="AS48" i="8" s="1"/>
  <c r="AD48" i="14"/>
  <c r="DY48" i="14" s="1"/>
  <c r="AD36" i="10"/>
  <c r="FA36" i="10" s="1"/>
  <c r="AM36" i="10" s="1"/>
  <c r="AD36" i="7"/>
  <c r="EA36" i="7" s="1"/>
  <c r="AD37" i="7"/>
  <c r="EA37" i="7" s="1"/>
  <c r="AD28" i="5"/>
  <c r="DY28" i="5" s="1"/>
  <c r="AD25" i="14"/>
  <c r="DW25" i="14" s="1"/>
  <c r="AD49" i="7"/>
  <c r="DY49" i="7" s="1"/>
  <c r="AD28" i="10"/>
  <c r="FA28" i="10" s="1"/>
  <c r="AM28" i="10" s="1"/>
  <c r="AD47" i="8"/>
  <c r="FA47" i="8" s="1"/>
  <c r="AM47" i="8" s="1"/>
  <c r="AD30" i="14"/>
  <c r="EA30" i="14" s="1"/>
  <c r="AD35" i="15"/>
  <c r="EA35" i="15" s="1"/>
  <c r="AD50" i="11"/>
  <c r="FA50" i="11" s="1"/>
  <c r="AM50" i="11" s="1"/>
  <c r="AD35" i="4"/>
  <c r="FG35" i="4" s="1"/>
  <c r="AD31" i="10"/>
  <c r="FA31" i="10" s="1"/>
  <c r="AM31" i="10" s="1"/>
  <c r="AD35" i="10"/>
  <c r="FA35" i="10" s="1"/>
  <c r="AM35" i="10" s="1"/>
  <c r="AD29" i="15"/>
  <c r="DX29" i="15" s="1"/>
  <c r="AD38" i="4"/>
  <c r="DW38" i="4" s="1"/>
  <c r="AD44" i="5"/>
  <c r="FA44" i="5" s="1"/>
  <c r="AM44" i="5" s="1"/>
  <c r="AD39" i="12"/>
  <c r="FA39" i="12" s="1"/>
  <c r="AM39" i="12" s="1"/>
  <c r="AD28" i="12"/>
  <c r="DV28" i="12" s="1"/>
  <c r="AD31" i="12"/>
  <c r="FA31" i="12" s="1"/>
  <c r="AM31" i="12" s="1"/>
  <c r="AD19" i="74" s="1"/>
  <c r="AD44" i="14"/>
  <c r="AD33" i="14"/>
  <c r="FA33" i="14" s="1"/>
  <c r="AM33" i="14" s="1"/>
  <c r="AD26" i="11"/>
  <c r="FG26" i="11" s="1"/>
  <c r="AD27" i="9"/>
  <c r="DY27" i="9" s="1"/>
  <c r="AD29" i="9"/>
  <c r="FG29" i="9" s="1"/>
  <c r="AD43" i="12"/>
  <c r="DW43" i="12" s="1"/>
  <c r="AD42" i="11"/>
  <c r="DV42" i="11" s="1"/>
  <c r="AD23" i="8"/>
  <c r="DU23" i="8" s="1"/>
  <c r="AD43" i="8"/>
  <c r="DW43" i="8" s="1"/>
  <c r="AD43" i="13"/>
  <c r="DW43" i="13" s="1"/>
  <c r="AD25" i="12"/>
  <c r="DY25" i="12" s="1"/>
  <c r="AD34" i="14"/>
  <c r="AD50" i="7"/>
  <c r="FA50" i="7" s="1"/>
  <c r="AM50" i="7" s="1"/>
  <c r="AD24" i="13"/>
  <c r="DU24" i="13" s="1"/>
  <c r="AD49" i="4"/>
  <c r="FA49" i="4" s="1"/>
  <c r="AM49" i="4" s="1"/>
  <c r="AD21" i="11"/>
  <c r="DU21" i="11" s="1"/>
  <c r="AD21" i="10"/>
  <c r="DY21" i="10" s="1"/>
  <c r="AD44" i="8"/>
  <c r="DV44" i="8" s="1"/>
  <c r="AD49" i="8"/>
  <c r="DV49" i="8" s="1"/>
  <c r="AD28" i="11"/>
  <c r="DV28" i="11" s="1"/>
  <c r="AD26" i="14"/>
  <c r="DX26" i="14" s="1"/>
  <c r="AD39" i="11"/>
  <c r="FG39" i="11" s="1"/>
  <c r="AD42" i="10"/>
  <c r="EA42" i="10" s="1"/>
  <c r="AD50" i="13"/>
  <c r="DW50" i="13" s="1"/>
  <c r="AD46" i="7"/>
  <c r="AS46" i="7" s="1"/>
  <c r="AD38" i="11"/>
  <c r="DW38" i="11" s="1"/>
  <c r="AD39" i="15"/>
  <c r="DU39" i="15" s="1"/>
  <c r="AD50" i="12"/>
  <c r="DX50" i="12" s="1"/>
  <c r="AD24" i="5"/>
  <c r="FG24" i="5" s="1"/>
  <c r="AD36" i="11"/>
  <c r="AD39" i="13"/>
  <c r="EA39" i="13" s="1"/>
  <c r="AD28" i="8"/>
  <c r="EB28" i="8" s="1"/>
  <c r="AD34" i="7"/>
  <c r="DX34" i="7" s="1"/>
  <c r="AD23" i="15"/>
  <c r="EA23" i="15" s="1"/>
  <c r="AD37" i="10"/>
  <c r="FG37" i="10" s="1"/>
  <c r="AD36" i="9"/>
  <c r="FG36" i="9" s="1"/>
  <c r="AD32" i="13"/>
  <c r="FA32" i="13" s="1"/>
  <c r="AM32" i="13" s="1"/>
  <c r="AD40" i="9"/>
  <c r="FA40" i="9" s="1"/>
  <c r="AM40" i="9" s="1"/>
  <c r="AD30" i="13"/>
  <c r="AS30" i="13" s="1"/>
  <c r="AD46" i="14"/>
  <c r="DY46" i="14" s="1"/>
  <c r="AD29" i="13"/>
  <c r="DV29" i="13" s="1"/>
  <c r="AD36" i="12"/>
  <c r="FA36" i="12" s="1"/>
  <c r="AM36" i="12" s="1"/>
  <c r="AD25" i="4"/>
  <c r="DX25" i="4" s="1"/>
  <c r="AD44" i="13"/>
  <c r="DX44" i="13" s="1"/>
  <c r="AD40" i="15"/>
  <c r="FA40" i="15" s="1"/>
  <c r="AM40" i="15" s="1"/>
  <c r="AM28" i="74" s="1"/>
  <c r="AD28" i="6"/>
  <c r="FA28" i="6" s="1"/>
  <c r="AM28" i="6" s="1"/>
  <c r="AD35" i="13"/>
  <c r="FA35" i="13" s="1"/>
  <c r="AM35" i="13" s="1"/>
  <c r="AD42" i="13"/>
  <c r="FA42" i="13" s="1"/>
  <c r="AM42" i="13" s="1"/>
  <c r="AG30" i="74" s="1"/>
  <c r="AD31" i="7"/>
  <c r="EB31" i="7" s="1"/>
  <c r="AD26" i="7"/>
  <c r="FA26" i="7" s="1"/>
  <c r="AM26" i="7" s="1"/>
  <c r="EA24" i="37" s="1"/>
  <c r="AD25" i="15"/>
  <c r="FA25" i="15" s="1"/>
  <c r="AM25" i="15" s="1"/>
  <c r="AD38" i="10"/>
  <c r="FA38" i="10" s="1"/>
  <c r="AM38" i="10" s="1"/>
  <c r="AD44" i="4"/>
  <c r="AD50" i="10"/>
  <c r="AS50" i="10" s="1"/>
  <c r="AD30" i="9"/>
  <c r="DX30" i="9" s="1"/>
  <c r="AD46" i="9"/>
  <c r="FA46" i="9" s="1"/>
  <c r="AM46" i="9" s="1"/>
  <c r="AD27" i="12"/>
  <c r="AD46" i="4"/>
  <c r="EA46" i="4" s="1"/>
  <c r="AD39" i="10"/>
  <c r="DY39" i="10" s="1"/>
  <c r="AD42" i="5"/>
  <c r="FG42" i="5" s="1"/>
  <c r="AD32" i="12"/>
  <c r="AD23" i="6"/>
  <c r="FG23" i="6" s="1"/>
  <c r="AD48" i="4"/>
  <c r="EB48" i="4" s="1"/>
  <c r="AD41" i="7"/>
  <c r="EA41" i="7" s="1"/>
  <c r="AD34" i="10"/>
  <c r="AD31" i="9"/>
  <c r="FG31" i="9" s="1"/>
  <c r="AD44" i="11"/>
  <c r="FG44" i="11" s="1"/>
  <c r="AD24" i="15"/>
  <c r="DX24" i="15" s="1"/>
  <c r="AD35" i="11"/>
  <c r="DW35" i="11" s="1"/>
  <c r="AD36" i="13"/>
  <c r="DU36" i="13" s="1"/>
  <c r="AD50" i="5"/>
  <c r="DX50" i="5" s="1"/>
  <c r="AD41" i="13"/>
  <c r="DX41" i="13" s="1"/>
  <c r="AD40" i="13"/>
  <c r="EB40" i="13" s="1"/>
  <c r="AD25" i="9"/>
  <c r="AD28" i="15"/>
  <c r="DX28" i="15" s="1"/>
  <c r="AD25" i="6"/>
  <c r="FA25" i="6" s="1"/>
  <c r="AM25" i="6" s="1"/>
  <c r="AD34" i="12"/>
  <c r="DY34" i="12" s="1"/>
  <c r="AD47" i="10"/>
  <c r="DW47" i="10" s="1"/>
  <c r="AD32" i="5"/>
  <c r="EA32" i="5" s="1"/>
  <c r="AD46" i="15"/>
  <c r="FA46" i="15" s="1"/>
  <c r="AM46" i="15" s="1"/>
  <c r="AM34" i="74" s="1"/>
  <c r="AD36" i="6"/>
  <c r="DU36" i="6" s="1"/>
  <c r="AD43" i="10"/>
  <c r="EA43" i="10" s="1"/>
  <c r="AD21" i="13"/>
  <c r="EA21" i="13" s="1"/>
  <c r="AD26" i="9"/>
  <c r="EB26" i="9" s="1"/>
  <c r="AD45" i="10"/>
  <c r="EB45" i="10" s="1"/>
  <c r="AD28" i="4"/>
  <c r="AS28" i="4" s="1"/>
  <c r="AD47" i="7"/>
  <c r="AS47" i="7" s="1"/>
  <c r="AD50" i="14"/>
  <c r="EA50" i="14" s="1"/>
  <c r="AD35" i="14"/>
  <c r="EB35" i="14" s="1"/>
  <c r="AD38" i="8"/>
  <c r="FA38" i="8" s="1"/>
  <c r="AM38" i="8" s="1"/>
  <c r="AD49" i="5"/>
  <c r="EB49" i="5" s="1"/>
  <c r="AD37" i="11"/>
  <c r="FA37" i="11" s="1"/>
  <c r="AM37" i="11" s="1"/>
  <c r="AD50" i="9"/>
  <c r="FG50" i="9" s="1"/>
  <c r="AD45" i="4"/>
  <c r="DV45" i="4" s="1"/>
  <c r="AD42" i="4"/>
  <c r="FA42" i="4" s="1"/>
  <c r="AM42" i="4" s="1"/>
  <c r="EA40" i="18" s="1"/>
  <c r="AD24" i="7"/>
  <c r="FA24" i="7" s="1"/>
  <c r="AM24" i="7" s="1"/>
  <c r="O12" i="74" s="1"/>
  <c r="AD36" i="8"/>
  <c r="AD34" i="8"/>
  <c r="FA34" i="8" s="1"/>
  <c r="AM34" i="8" s="1"/>
  <c r="AD29" i="5"/>
  <c r="DY29" i="5" s="1"/>
  <c r="AD24" i="12"/>
  <c r="AS24" i="12" s="1"/>
  <c r="AD35" i="7"/>
  <c r="FA35" i="7" s="1"/>
  <c r="AM35" i="7" s="1"/>
  <c r="AD35" i="5"/>
  <c r="FA35" i="5" s="1"/>
  <c r="AM35" i="5" s="1"/>
  <c r="GJ35" i="5" s="1"/>
  <c r="GM35" i="5" s="1"/>
  <c r="AD43" i="14"/>
  <c r="DY43" i="14" s="1"/>
  <c r="AD43" i="11"/>
  <c r="FA43" i="11" s="1"/>
  <c r="AM43" i="11" s="1"/>
  <c r="AD42" i="14"/>
  <c r="DX42" i="14" s="1"/>
  <c r="AD37" i="12"/>
  <c r="DW37" i="12" s="1"/>
  <c r="AD30" i="15"/>
  <c r="EA30" i="15" s="1"/>
  <c r="AD44" i="6"/>
  <c r="DY44" i="6" s="1"/>
  <c r="AD27" i="10"/>
  <c r="FA27" i="10" s="1"/>
  <c r="AM27" i="10" s="1"/>
  <c r="EA25" i="40" s="1"/>
  <c r="AD47" i="6"/>
  <c r="FG47" i="6" s="1"/>
  <c r="AD27" i="13"/>
  <c r="DW27" i="13" s="1"/>
  <c r="AD32" i="7"/>
  <c r="AD30" i="5"/>
  <c r="FA30" i="5" s="1"/>
  <c r="AM30" i="5" s="1"/>
  <c r="EA28" i="35" s="1"/>
  <c r="AD50" i="15"/>
  <c r="FA50" i="15" s="1"/>
  <c r="AM50" i="15" s="1"/>
  <c r="AD33" i="4"/>
  <c r="DY33" i="4" s="1"/>
  <c r="AD33" i="7"/>
  <c r="AD39" i="9"/>
  <c r="FA39" i="9" s="1"/>
  <c r="AM39" i="9" s="1"/>
  <c r="U27" i="74" s="1"/>
  <c r="AD40" i="4"/>
  <c r="FA40" i="4" s="1"/>
  <c r="AM40" i="4" s="1"/>
  <c r="AD45" i="8"/>
  <c r="FA45" i="8" s="1"/>
  <c r="AM45" i="8" s="1"/>
  <c r="AD37" i="4"/>
  <c r="FA37" i="4" s="1"/>
  <c r="AM37" i="4" s="1"/>
  <c r="EA35" i="18" s="1"/>
  <c r="AD23" i="4"/>
  <c r="AS23" i="4" s="1"/>
  <c r="AD26" i="15"/>
  <c r="FA26" i="15" s="1"/>
  <c r="AM26" i="15" s="1"/>
  <c r="AD49" i="9"/>
  <c r="EB49" i="9" s="1"/>
  <c r="AD41" i="15"/>
  <c r="FA41" i="15" s="1"/>
  <c r="AM41" i="15" s="1"/>
  <c r="EA39" i="45" s="1"/>
  <c r="AD46" i="10"/>
  <c r="FA46" i="10" s="1"/>
  <c r="AM46" i="10" s="1"/>
  <c r="AD27" i="14"/>
  <c r="AD23" i="10"/>
  <c r="DY23" i="10" s="1"/>
  <c r="AD25" i="5"/>
  <c r="DX25" i="5" s="1"/>
  <c r="AD22" i="4"/>
  <c r="AD22" i="9"/>
  <c r="FA22" i="9" s="1"/>
  <c r="AM22" i="9" s="1"/>
  <c r="U10" i="74" s="1"/>
  <c r="AD25" i="7"/>
  <c r="FA25" i="7" s="1"/>
  <c r="AM25" i="7" s="1"/>
  <c r="AD21" i="5"/>
  <c r="DU21" i="5" s="1"/>
  <c r="AD23" i="14"/>
  <c r="DU23" i="14" s="1"/>
  <c r="AD21" i="8"/>
  <c r="FG21" i="8" s="1"/>
  <c r="AD21" i="4"/>
  <c r="DY21" i="4" s="1"/>
  <c r="AD26" i="13"/>
  <c r="AS26" i="13" s="1"/>
  <c r="AD22" i="7"/>
  <c r="EA22" i="7" s="1"/>
  <c r="AD26" i="4"/>
  <c r="FA26" i="4" s="1"/>
  <c r="AM26" i="4" s="1"/>
  <c r="AD26" i="5"/>
  <c r="FA26" i="5" s="1"/>
  <c r="AM26" i="5" s="1"/>
  <c r="EA24" i="35" s="1"/>
  <c r="BD43" i="39"/>
  <c r="AD49" i="15"/>
  <c r="AD47" i="12"/>
  <c r="AD41" i="5"/>
  <c r="AD29" i="12"/>
  <c r="BD21" i="42"/>
  <c r="AD27" i="8"/>
  <c r="BD37" i="35"/>
  <c r="AD26" i="12"/>
  <c r="AC53" i="44"/>
  <c r="AD53" i="45"/>
  <c r="AD39" i="45"/>
  <c r="BD48" i="44"/>
  <c r="AD33" i="15"/>
  <c r="AD39" i="6"/>
  <c r="AD27" i="5"/>
  <c r="FG47" i="9"/>
  <c r="DW47" i="9"/>
  <c r="BD29" i="39"/>
  <c r="BD20" i="38"/>
  <c r="AD28" i="7"/>
  <c r="AD44" i="10"/>
  <c r="AD49" i="10"/>
  <c r="AD45" i="13"/>
  <c r="AD26" i="8"/>
  <c r="AD24" i="8"/>
  <c r="AD24" i="4"/>
  <c r="AD33" i="5"/>
  <c r="BD19" i="39"/>
  <c r="AC34" i="39"/>
  <c r="AE52" i="38"/>
  <c r="AE38" i="38"/>
  <c r="AC48" i="39"/>
  <c r="AD40" i="10"/>
  <c r="AC53" i="40"/>
  <c r="BD26" i="18"/>
  <c r="AD45" i="7"/>
  <c r="AD26" i="10"/>
  <c r="AD22" i="8"/>
  <c r="AD49" i="13"/>
  <c r="AD36" i="5"/>
  <c r="AD31" i="5"/>
  <c r="AD40" i="14"/>
  <c r="AE52" i="39"/>
  <c r="AD45" i="9"/>
  <c r="AD45" i="11"/>
  <c r="BD23" i="35"/>
  <c r="AD43" i="4"/>
  <c r="BD36" i="39"/>
  <c r="AD24" i="14"/>
  <c r="AD44" i="7"/>
  <c r="BD19" i="43"/>
  <c r="AD43" i="7"/>
  <c r="AD36" i="4"/>
  <c r="AD48" i="10"/>
  <c r="AD32" i="8"/>
  <c r="AD21" i="7"/>
  <c r="DV41" i="9"/>
  <c r="FG41" i="9"/>
  <c r="BD19" i="41"/>
  <c r="AE39" i="40"/>
  <c r="AE53" i="40"/>
  <c r="DV46" i="12"/>
  <c r="EB46" i="12"/>
  <c r="BD37" i="36"/>
  <c r="BD41" i="40"/>
  <c r="BD23" i="44"/>
  <c r="AC53" i="43"/>
  <c r="AC39" i="43"/>
  <c r="BD47" i="43"/>
  <c r="BD27" i="40"/>
  <c r="BD34" i="40"/>
  <c r="BD34" i="37"/>
  <c r="BD28" i="45"/>
  <c r="AD48" i="43"/>
  <c r="AD34" i="43"/>
  <c r="BD42" i="42"/>
  <c r="BD32" i="38"/>
  <c r="BD19" i="42"/>
  <c r="AC34" i="42"/>
  <c r="AE38" i="41"/>
  <c r="AE52" i="41"/>
  <c r="BD40" i="18"/>
  <c r="AD40" i="5"/>
  <c r="AD33" i="13"/>
  <c r="EB21" i="6"/>
  <c r="DX21" i="6"/>
  <c r="AD32" i="15"/>
  <c r="AD43" i="6"/>
  <c r="AD27" i="7"/>
  <c r="AD50" i="6"/>
  <c r="BD40" i="43"/>
  <c r="BD19" i="36"/>
  <c r="AD29" i="8"/>
  <c r="BD30" i="35"/>
  <c r="AE39" i="41"/>
  <c r="AA39" i="41" s="1"/>
  <c r="AB39" i="41" s="1"/>
  <c r="AF39" i="41" s="1"/>
  <c r="AC53" i="42"/>
  <c r="BD48" i="42"/>
  <c r="AC39" i="42"/>
  <c r="AE53" i="41"/>
  <c r="AA53" i="41" s="1"/>
  <c r="AB53" i="41" s="1"/>
  <c r="AF53" i="41" s="1"/>
  <c r="AD23" i="12"/>
  <c r="AD21" i="9"/>
  <c r="BD24" i="41"/>
  <c r="AD39" i="5"/>
  <c r="EA29" i="14"/>
  <c r="DV29" i="14"/>
  <c r="AD42" i="9"/>
  <c r="AD38" i="9"/>
  <c r="AD45" i="5"/>
  <c r="BD19" i="44"/>
  <c r="AE39" i="43"/>
  <c r="AE53" i="43"/>
  <c r="AC39" i="44"/>
  <c r="BD19" i="35"/>
  <c r="BD25" i="38"/>
  <c r="BD19" i="18"/>
  <c r="AS27" i="11"/>
  <c r="FA27" i="11"/>
  <c r="AM27" i="11" s="1"/>
  <c r="GJ27" i="11" s="1"/>
  <c r="GM27" i="11" s="1"/>
  <c r="R23" i="74"/>
  <c r="AD41" i="6"/>
  <c r="AD27" i="6"/>
  <c r="AD38" i="15"/>
  <c r="AD37" i="5"/>
  <c r="AD43" i="15"/>
  <c r="AD48" i="15"/>
  <c r="AD21" i="14"/>
  <c r="AD21" i="12"/>
  <c r="AD24" i="11"/>
  <c r="AD37" i="13"/>
  <c r="AD22" i="13"/>
  <c r="AD36" i="15"/>
  <c r="AD30" i="6"/>
  <c r="AD38" i="12"/>
  <c r="AD29" i="10"/>
  <c r="AD22" i="6"/>
  <c r="AD35" i="12"/>
  <c r="AD38" i="6"/>
  <c r="AD45" i="15"/>
  <c r="AD41" i="8"/>
  <c r="AD24" i="10"/>
  <c r="AD32" i="11"/>
  <c r="AD23" i="11"/>
  <c r="AD47" i="4"/>
  <c r="AD31" i="13"/>
  <c r="AD42" i="7"/>
  <c r="AD34" i="4"/>
  <c r="AD21" i="15"/>
  <c r="AD44" i="15"/>
  <c r="AD44" i="9"/>
  <c r="AD48" i="11"/>
  <c r="AD46" i="6"/>
  <c r="AD27" i="4"/>
  <c r="AD25" i="13"/>
  <c r="AD49" i="12"/>
  <c r="AD33" i="12"/>
  <c r="AD39" i="8"/>
  <c r="AD38" i="5"/>
  <c r="AD42" i="8"/>
  <c r="AD33" i="8"/>
  <c r="AD22" i="11"/>
  <c r="AD31" i="6"/>
  <c r="AD22" i="5"/>
  <c r="BD46" i="35"/>
  <c r="AD48" i="9"/>
  <c r="AD26" i="6"/>
  <c r="AD30" i="10"/>
  <c r="AD45" i="14"/>
  <c r="AD48" i="7"/>
  <c r="AD46" i="5"/>
  <c r="AD47" i="11"/>
  <c r="AD22" i="10"/>
  <c r="AD24" i="9"/>
  <c r="AD40" i="11"/>
  <c r="AD49" i="14"/>
  <c r="AD33" i="11"/>
  <c r="AD31" i="8"/>
  <c r="AD43" i="9"/>
  <c r="AD34" i="5"/>
  <c r="AD41" i="11"/>
  <c r="AD48" i="12"/>
  <c r="AD37" i="9"/>
  <c r="AD34" i="9"/>
  <c r="AD48" i="6"/>
  <c r="AD28" i="13"/>
  <c r="AD41" i="14"/>
  <c r="AD31" i="11"/>
  <c r="AD45" i="6"/>
  <c r="BD33" i="18"/>
  <c r="BD20" i="37"/>
  <c r="BD30" i="44"/>
  <c r="AC48" i="45"/>
  <c r="AD34" i="37"/>
  <c r="AD48" i="37"/>
  <c r="BD23" i="36"/>
  <c r="AE52" i="36"/>
  <c r="BD44" i="44"/>
  <c r="BD33" i="43"/>
  <c r="BD31" i="41"/>
  <c r="AD32" i="14"/>
  <c r="AD28" i="9"/>
  <c r="AD22" i="14"/>
  <c r="BD42" i="45"/>
  <c r="BD37" i="44"/>
  <c r="FG43" i="5"/>
  <c r="AS43" i="5"/>
  <c r="DV43" i="5"/>
  <c r="EA44" i="12"/>
  <c r="DW44" i="12"/>
  <c r="BD35" i="42"/>
  <c r="AS29" i="11"/>
  <c r="AD39" i="14"/>
  <c r="AD33" i="9"/>
  <c r="AD25" i="10"/>
  <c r="AD24" i="6"/>
  <c r="AD45" i="12"/>
  <c r="AD29" i="6"/>
  <c r="AE52" i="44"/>
  <c r="AD46" i="8"/>
  <c r="AD22" i="12"/>
  <c r="AD34" i="13"/>
  <c r="AD42" i="15"/>
  <c r="AD39" i="4"/>
  <c r="AD40" i="6"/>
  <c r="AD33" i="6"/>
  <c r="AD23" i="9"/>
  <c r="AD29" i="4"/>
  <c r="AD38" i="13"/>
  <c r="AD40" i="12"/>
  <c r="AD23" i="13"/>
  <c r="AD33" i="10"/>
  <c r="AD46" i="11"/>
  <c r="AD40" i="8"/>
  <c r="AD34" i="11"/>
  <c r="AD38" i="14"/>
  <c r="AS35" i="9"/>
  <c r="AD50" i="4"/>
  <c r="AD23" i="7"/>
  <c r="BD44" i="35"/>
  <c r="BD45" i="41"/>
  <c r="AD32" i="10"/>
  <c r="AD37" i="6"/>
  <c r="AD34" i="6"/>
  <c r="BD28" i="42"/>
  <c r="AD39" i="7"/>
  <c r="AD23" i="5"/>
  <c r="BD39" i="38"/>
  <c r="AD25" i="11"/>
  <c r="AD32" i="6"/>
  <c r="AC39" i="18"/>
  <c r="BD21" i="45"/>
  <c r="BD22" i="39"/>
  <c r="BD44" i="36"/>
  <c r="BD46" i="38"/>
  <c r="BD26" i="43"/>
  <c r="BD20" i="40"/>
  <c r="BD30" i="36"/>
  <c r="AD34" i="15"/>
  <c r="AC53" i="18"/>
  <c r="BD19" i="38"/>
  <c r="BD27" i="37"/>
  <c r="GF43" i="5" l="1"/>
  <c r="EB29" i="11"/>
  <c r="AS44" i="12"/>
  <c r="DU44" i="12"/>
  <c r="DY44" i="12"/>
  <c r="DU43" i="5"/>
  <c r="DX43" i="5"/>
  <c r="DY27" i="11"/>
  <c r="AD32" i="74"/>
  <c r="EB28" i="14"/>
  <c r="AS29" i="14"/>
  <c r="FG29" i="14"/>
  <c r="FA21" i="6"/>
  <c r="AM21" i="6" s="1"/>
  <c r="GJ21" i="6" s="1"/>
  <c r="GM21" i="6" s="1"/>
  <c r="AS21" i="6"/>
  <c r="DV21" i="6"/>
  <c r="DU21" i="6"/>
  <c r="DY46" i="12"/>
  <c r="DW46" i="12"/>
  <c r="AS46" i="12"/>
  <c r="EA41" i="9"/>
  <c r="DW41" i="9"/>
  <c r="AS41" i="9"/>
  <c r="EA27" i="44"/>
  <c r="CG27" i="44" s="1"/>
  <c r="EA41" i="35"/>
  <c r="CG41" i="35" s="1"/>
  <c r="E80" i="35" s="1"/>
  <c r="EA47" i="9"/>
  <c r="DV47" i="9"/>
  <c r="DU47" i="9"/>
  <c r="AC52" i="38"/>
  <c r="AS30" i="7"/>
  <c r="FA47" i="14"/>
  <c r="AM47" i="14" s="1"/>
  <c r="GJ47" i="14" s="1"/>
  <c r="GM47" i="14" s="1"/>
  <c r="DW42" i="6"/>
  <c r="AC48" i="42"/>
  <c r="AC34" i="45"/>
  <c r="AC38" i="41"/>
  <c r="DX30" i="7"/>
  <c r="DW35" i="9"/>
  <c r="O18" i="74"/>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EA42" i="42"/>
  <c r="CG42" i="42" s="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AJ17" i="74"/>
  <c r="I31" i="74"/>
  <c r="FA47" i="9"/>
  <c r="AM47" i="9" s="1"/>
  <c r="GJ47" i="9" s="1"/>
  <c r="GM47" i="9" s="1"/>
  <c r="DY47" i="9"/>
  <c r="AS47" i="9"/>
  <c r="EB47" i="9"/>
  <c r="AS37" i="15"/>
  <c r="AS30" i="4"/>
  <c r="DX41" i="10"/>
  <c r="FG37" i="14"/>
  <c r="EA30" i="4"/>
  <c r="FG31" i="14"/>
  <c r="DY37" i="14"/>
  <c r="AC37" i="38"/>
  <c r="AD48" i="39"/>
  <c r="CQ53" i="18"/>
  <c r="AD34" i="35"/>
  <c r="AD48" i="35"/>
  <c r="DY32" i="4"/>
  <c r="DX37" i="15"/>
  <c r="EA35" i="45"/>
  <c r="CG35" i="45" s="1"/>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F26" i="4"/>
  <c r="GJ26" i="4"/>
  <c r="GM26" i="4" s="1"/>
  <c r="EA23" i="37"/>
  <c r="CG23" i="37" s="1"/>
  <c r="E62" i="37" s="1"/>
  <c r="GJ25" i="7"/>
  <c r="GM25" i="7" s="1"/>
  <c r="EA44" i="40"/>
  <c r="CG44" i="40" s="1"/>
  <c r="GJ46" i="10"/>
  <c r="GM46" i="10" s="1"/>
  <c r="GF40" i="4"/>
  <c r="GJ40" i="4"/>
  <c r="GM40" i="4" s="1"/>
  <c r="EA48" i="45"/>
  <c r="CG48" i="45" s="1"/>
  <c r="GJ50" i="15"/>
  <c r="GM50" i="15" s="1"/>
  <c r="R26" i="74"/>
  <c r="GJ38" i="8"/>
  <c r="GM38" i="8" s="1"/>
  <c r="EA44" i="45"/>
  <c r="CG44" i="45" s="1"/>
  <c r="GJ46" i="15"/>
  <c r="GM46" i="15" s="1"/>
  <c r="GF49" i="4"/>
  <c r="GJ49" i="4"/>
  <c r="GM49" i="4" s="1"/>
  <c r="GF44" i="5"/>
  <c r="GJ44" i="5"/>
  <c r="GM44" i="5" s="1"/>
  <c r="GF28" i="10"/>
  <c r="GJ28" i="10"/>
  <c r="GM28" i="10" s="1"/>
  <c r="GF26" i="5"/>
  <c r="GJ26" i="5"/>
  <c r="GM26" i="5" s="1"/>
  <c r="GF22" i="9"/>
  <c r="GJ22" i="9"/>
  <c r="GM22" i="9" s="1"/>
  <c r="GF41" i="15"/>
  <c r="GJ41" i="15"/>
  <c r="GM41" i="15" s="1"/>
  <c r="AM14" i="74"/>
  <c r="GJ26" i="15"/>
  <c r="GM26" i="15" s="1"/>
  <c r="GF37" i="4"/>
  <c r="GJ37" i="4"/>
  <c r="GM37" i="4" s="1"/>
  <c r="R33" i="74"/>
  <c r="GJ45" i="8"/>
  <c r="GM45" i="8" s="1"/>
  <c r="GF39" i="9"/>
  <c r="GJ39" i="9"/>
  <c r="GM39" i="9" s="1"/>
  <c r="GF30" i="5"/>
  <c r="GJ30" i="5"/>
  <c r="GM30" i="5" s="1"/>
  <c r="GF27" i="10"/>
  <c r="GJ27" i="10"/>
  <c r="GM27" i="10" s="1"/>
  <c r="AA31" i="74"/>
  <c r="GJ43" i="11"/>
  <c r="GM43" i="11" s="1"/>
  <c r="O23" i="74"/>
  <c r="GJ35" i="7"/>
  <c r="GM35" i="7" s="1"/>
  <c r="EA32" i="38"/>
  <c r="EB32" i="38" s="1"/>
  <c r="GJ34" i="8"/>
  <c r="GM34" i="8" s="1"/>
  <c r="EA22" i="37"/>
  <c r="CG22" i="37" s="1"/>
  <c r="E61" i="37" s="1"/>
  <c r="GJ24" i="7"/>
  <c r="GM24" i="7" s="1"/>
  <c r="F30" i="74"/>
  <c r="GJ42" i="4"/>
  <c r="GM42" i="4" s="1"/>
  <c r="EA35" i="41"/>
  <c r="CG35" i="41" s="1"/>
  <c r="GJ37" i="11"/>
  <c r="GM37" i="11" s="1"/>
  <c r="EA23" i="36"/>
  <c r="EB23" i="36" s="1"/>
  <c r="GJ25" i="6"/>
  <c r="GM25" i="6" s="1"/>
  <c r="EA44" i="39"/>
  <c r="CG44" i="39" s="1"/>
  <c r="GJ46" i="9"/>
  <c r="GM46" i="9" s="1"/>
  <c r="EA36" i="40"/>
  <c r="CG36" i="40" s="1"/>
  <c r="GJ38" i="10"/>
  <c r="GM38" i="10" s="1"/>
  <c r="AM13" i="74"/>
  <c r="GJ25" i="15"/>
  <c r="GM25" i="15" s="1"/>
  <c r="O14" i="74"/>
  <c r="GJ26" i="7"/>
  <c r="GM26" i="7" s="1"/>
  <c r="EA40" i="43"/>
  <c r="CG40" i="43" s="1"/>
  <c r="GJ42" i="13"/>
  <c r="GM42" i="13" s="1"/>
  <c r="EA33" i="43"/>
  <c r="EB33" i="43" s="1"/>
  <c r="GJ35" i="13"/>
  <c r="GM35" i="13" s="1"/>
  <c r="L16" i="74"/>
  <c r="GJ28" i="6"/>
  <c r="GM28" i="6" s="1"/>
  <c r="EA38" i="45"/>
  <c r="CG38" i="45" s="1"/>
  <c r="GJ40" i="15"/>
  <c r="GM40" i="15" s="1"/>
  <c r="EA34" i="42"/>
  <c r="CG34" i="42" s="1"/>
  <c r="GJ36" i="12"/>
  <c r="GM36" i="12" s="1"/>
  <c r="U28" i="74"/>
  <c r="GJ40" i="9"/>
  <c r="GM40" i="9" s="1"/>
  <c r="EA30" i="43"/>
  <c r="CG30" i="43" s="1"/>
  <c r="GJ32" i="13"/>
  <c r="GM32" i="13" s="1"/>
  <c r="CC33" i="8"/>
  <c r="GJ50" i="7"/>
  <c r="GM50" i="7" s="1"/>
  <c r="AJ21" i="74"/>
  <c r="GJ33" i="14"/>
  <c r="GM33" i="14" s="1"/>
  <c r="EA29" i="42"/>
  <c r="CG29" i="42" s="1"/>
  <c r="GJ31" i="12"/>
  <c r="GM31" i="12" s="1"/>
  <c r="EA37" i="42"/>
  <c r="CG37" i="42" s="1"/>
  <c r="GJ39" i="12"/>
  <c r="GM39" i="12" s="1"/>
  <c r="EA33" i="40"/>
  <c r="CG33" i="40" s="1"/>
  <c r="GJ35" i="10"/>
  <c r="GM35" i="10" s="1"/>
  <c r="X19" i="74"/>
  <c r="GJ31" i="10"/>
  <c r="GM31" i="10" s="1"/>
  <c r="EA48" i="41"/>
  <c r="EB48" i="41" s="1"/>
  <c r="GJ50" i="11"/>
  <c r="GM50" i="11" s="1"/>
  <c r="EA45" i="38"/>
  <c r="EB45" i="38" s="1"/>
  <c r="GJ47" i="8"/>
  <c r="GM47" i="8" s="1"/>
  <c r="EA34" i="40"/>
  <c r="EB34" i="40" s="1"/>
  <c r="GJ36" i="10"/>
  <c r="GM36" i="10" s="1"/>
  <c r="GF48" i="5"/>
  <c r="GJ48" i="5"/>
  <c r="GM48" i="5" s="1"/>
  <c r="EA36" i="37"/>
  <c r="EB36" i="37" s="1"/>
  <c r="GJ38" i="7"/>
  <c r="GM38" i="7"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EA26" i="36"/>
  <c r="CG26" i="36" s="1"/>
  <c r="E65" i="36" s="1"/>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0" i="39"/>
  <c r="EB20" i="39" s="1"/>
  <c r="EA25" i="12"/>
  <c r="EB23" i="14"/>
  <c r="DV23" i="14"/>
  <c r="DU47" i="10"/>
  <c r="EA38" i="4"/>
  <c r="DU38" i="4"/>
  <c r="DW45" i="10"/>
  <c r="DW21" i="10"/>
  <c r="AM29" i="74"/>
  <c r="DY24" i="15"/>
  <c r="EA33" i="37"/>
  <c r="CG33" i="37" s="1"/>
  <c r="E72" i="37" s="1"/>
  <c r="FA22" i="7"/>
  <c r="AM22" i="7" s="1"/>
  <c r="DU22" i="7"/>
  <c r="DV22" i="7"/>
  <c r="EA29" i="40"/>
  <c r="EB29" i="40" s="1"/>
  <c r="DU24" i="5"/>
  <c r="DU29" i="5"/>
  <c r="AS29" i="5"/>
  <c r="DV29" i="5"/>
  <c r="U34" i="74"/>
  <c r="DU26" i="14"/>
  <c r="F25" i="7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X15" i="74"/>
  <c r="DY43" i="10"/>
  <c r="I18" i="74"/>
  <c r="X24" i="74"/>
  <c r="L13" i="74"/>
  <c r="DY41" i="13"/>
  <c r="DV34" i="7"/>
  <c r="DV25" i="12"/>
  <c r="FA23" i="14"/>
  <c r="AM23" i="14" s="1"/>
  <c r="AJ11" i="74" s="1"/>
  <c r="EA23" i="14"/>
  <c r="AG20" i="74"/>
  <c r="FG38" i="4"/>
  <c r="EA45" i="10"/>
  <c r="AS21" i="10"/>
  <c r="DV24" i="15"/>
  <c r="X26" i="74"/>
  <c r="AS22" i="7"/>
  <c r="DY22" i="7"/>
  <c r="FG26" i="13"/>
  <c r="DY24" i="5"/>
  <c r="DX29" i="5"/>
  <c r="EB26" i="14"/>
  <c r="DY48" i="4"/>
  <c r="I36" i="7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EA36" i="38"/>
  <c r="EB36" i="38" s="1"/>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EA47" i="18"/>
  <c r="CG47" i="18" s="1"/>
  <c r="E86" i="18" s="1"/>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F37" i="7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38" i="8"/>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1"/>
  <c r="GF50" i="15"/>
  <c r="GF42" i="13"/>
  <c r="GF38" i="10"/>
  <c r="GF26" i="7"/>
  <c r="GF43" i="11"/>
  <c r="GF35" i="5"/>
  <c r="GF34" i="8"/>
  <c r="GF24" i="7"/>
  <c r="GF37" i="11"/>
  <c r="GF25" i="6"/>
  <c r="GF25" i="15"/>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6" i="12"/>
  <c r="GF28" i="6"/>
  <c r="GF38" i="7"/>
  <c r="GF36" i="10"/>
  <c r="GF31" i="10"/>
  <c r="GF45" i="8"/>
  <c r="GF40" i="9"/>
  <c r="GF35" i="10"/>
  <c r="GF21" i="6"/>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39" i="12"/>
  <c r="GF47" i="8"/>
  <c r="GF46" i="9"/>
  <c r="GF35" i="13"/>
  <c r="GF40" i="15"/>
  <c r="GF47" i="14"/>
  <c r="GF35" i="7"/>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31" i="12"/>
  <c r="GF46" i="10"/>
  <c r="GF33" i="14"/>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26" i="15"/>
  <c r="GF32" i="13"/>
  <c r="GF30" i="11"/>
  <c r="DX21" i="4"/>
  <c r="FG21" i="4"/>
  <c r="DU21" i="4"/>
  <c r="I14" i="74"/>
  <c r="I23" i="74"/>
  <c r="EA24" i="18"/>
  <c r="EB24" i="18" s="1"/>
  <c r="EA38" i="18"/>
  <c r="CG38" i="18" s="1"/>
  <c r="E77" i="18" s="1"/>
  <c r="EA46" i="35"/>
  <c r="EB46" i="35" s="1"/>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X23" i="74"/>
  <c r="EB43" i="11"/>
  <c r="DW21" i="5"/>
  <c r="DY21" i="5"/>
  <c r="DV34" i="8"/>
  <c r="DU26" i="5"/>
  <c r="EB26" i="15"/>
  <c r="AS26" i="15"/>
  <c r="FG36" i="12"/>
  <c r="DV35" i="10"/>
  <c r="FG35" i="5"/>
  <c r="DX35" i="5"/>
  <c r="DX24" i="7"/>
  <c r="AS24" i="7"/>
  <c r="DU24" i="7"/>
  <c r="DU33" i="4"/>
  <c r="DX33" i="4"/>
  <c r="DV33" i="4"/>
  <c r="EA37" i="12"/>
  <c r="AS37" i="12"/>
  <c r="EB37" i="12"/>
  <c r="DX27" i="13"/>
  <c r="FG27" i="13"/>
  <c r="AS45" i="4"/>
  <c r="EA45" i="4"/>
  <c r="EA43" i="38"/>
  <c r="EB43" i="38" s="1"/>
  <c r="EA24" i="45"/>
  <c r="EB24" i="45" s="1"/>
  <c r="FA37" i="10"/>
  <c r="AM37" i="10" s="1"/>
  <c r="X25" i="74" s="1"/>
  <c r="DV50" i="10"/>
  <c r="FA34" i="12"/>
  <c r="AM34" i="12" s="1"/>
  <c r="EA32" i="42" s="1"/>
  <c r="EA38" i="39"/>
  <c r="CG38" i="39" s="1"/>
  <c r="R22" i="74"/>
  <c r="EA41" i="41"/>
  <c r="EB41" i="41"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G23" i="74"/>
  <c r="AC50" i="39"/>
  <c r="AA50" i="39" s="1"/>
  <c r="AB50" i="39" s="1"/>
  <c r="AF50" i="39" s="1"/>
  <c r="DX31" i="9"/>
  <c r="EA23" i="45"/>
  <c r="EB23" i="45" s="1"/>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X34" i="74"/>
  <c r="AC37" i="40"/>
  <c r="AA37" i="40" s="1"/>
  <c r="AB37" i="40" s="1"/>
  <c r="AF37" i="40" s="1"/>
  <c r="FA31" i="7"/>
  <c r="AM31" i="7" s="1"/>
  <c r="O19" i="74" s="1"/>
  <c r="DV31" i="7"/>
  <c r="AC35" i="44"/>
  <c r="AC52" i="40"/>
  <c r="CB33" i="7"/>
  <c r="BZ33" i="7" s="1"/>
  <c r="CA33" i="7" s="1"/>
  <c r="AC35" i="43"/>
  <c r="AC37" i="39"/>
  <c r="AA37" i="39" s="1"/>
  <c r="AB37" i="39" s="1"/>
  <c r="AF37" i="39" s="1"/>
  <c r="AS36" i="14"/>
  <c r="AC36" i="18"/>
  <c r="AA36" i="18" s="1"/>
  <c r="EI19" i="9"/>
  <c r="EI23" i="9" s="1"/>
  <c r="D50" i="39"/>
  <c r="EI19" i="8"/>
  <c r="EA31" i="44"/>
  <c r="CG31" i="44" s="1"/>
  <c r="AA38" i="74"/>
  <c r="DW31" i="9"/>
  <c r="AD27" i="74"/>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F14" i="74"/>
  <c r="R35" i="74"/>
  <c r="AE52" i="35"/>
  <c r="AC38" i="43"/>
  <c r="AC52" i="18"/>
  <c r="AA52" i="18" s="1"/>
  <c r="AB52" i="18" s="1"/>
  <c r="AF52" i="18" s="1"/>
  <c r="AD24" i="74"/>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AM38" i="74"/>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O13" i="74"/>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28" i="74"/>
  <c r="FA23" i="10"/>
  <c r="AM23" i="10" s="1"/>
  <c r="GJ23" i="10" s="1"/>
  <c r="GM23" i="10" s="1"/>
  <c r="DV23" i="10"/>
  <c r="AS23" i="10"/>
  <c r="FA21" i="8"/>
  <c r="AM21" i="8" s="1"/>
  <c r="DV21" i="8"/>
  <c r="DU21" i="8"/>
  <c r="FA36" i="8"/>
  <c r="AM36" i="8" s="1"/>
  <c r="DW36" i="8"/>
  <c r="DY36" i="8"/>
  <c r="AA25" i="74"/>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CB33" i="6" s="1"/>
  <c r="AA36" i="38"/>
  <c r="CG40" i="18"/>
  <c r="E79" i="18" s="1"/>
  <c r="EB40" i="18"/>
  <c r="EA45" i="44"/>
  <c r="AJ35" i="74"/>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CG35" i="18"/>
  <c r="E74" i="18" s="1"/>
  <c r="EB35" i="18"/>
  <c r="EB39" i="6"/>
  <c r="DV39" i="6"/>
  <c r="AS39" i="6"/>
  <c r="DX39" i="6"/>
  <c r="DW39" i="6"/>
  <c r="EA39" i="6"/>
  <c r="FG39" i="6"/>
  <c r="DU39" i="6"/>
  <c r="DY39" i="6"/>
  <c r="FA39" i="6"/>
  <c r="AM39" i="6" s="1"/>
  <c r="CG24" i="37"/>
  <c r="E63" i="37" s="1"/>
  <c r="EB24" i="37"/>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EB24" i="35"/>
  <c r="CG24" i="35"/>
  <c r="E63" i="35"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CG25" i="40"/>
  <c r="EB25" i="40"/>
  <c r="EB28" i="35"/>
  <c r="CG28" i="35"/>
  <c r="E67" i="35" s="1"/>
  <c r="L9" i="74"/>
  <c r="EA19" i="36"/>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U35" i="74"/>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15"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EB39" i="45"/>
  <c r="CG39" i="45"/>
  <c r="F20" i="74"/>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EB27" i="44"/>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AD34" i="74" l="1"/>
  <c r="GF46" i="12"/>
  <c r="EA39" i="39"/>
  <c r="EB42" i="42"/>
  <c r="DV42" i="42" s="1"/>
  <c r="EB41" i="35"/>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63" i="35"/>
  <c r="G63" i="35"/>
  <c r="F86" i="18"/>
  <c r="G86" i="18"/>
  <c r="H86" i="18"/>
  <c r="F65" i="36"/>
  <c r="G65" i="36"/>
  <c r="F61" i="37"/>
  <c r="G61" i="37"/>
  <c r="F62" i="37"/>
  <c r="G62" i="37"/>
  <c r="G67" i="35"/>
  <c r="F67" i="35"/>
  <c r="F63" i="37"/>
  <c r="G63" i="37"/>
  <c r="G74" i="18"/>
  <c r="F74" i="18"/>
  <c r="H74" i="18"/>
  <c r="F80" i="35"/>
  <c r="G80" i="35"/>
  <c r="F79" i="18"/>
  <c r="G79" i="18"/>
  <c r="H79" i="18"/>
  <c r="G72" i="35"/>
  <c r="F72" i="35"/>
  <c r="F77" i="18"/>
  <c r="H77" i="18"/>
  <c r="G77" i="18"/>
  <c r="F81" i="35"/>
  <c r="G81" i="35"/>
  <c r="G72" i="37"/>
  <c r="F72" i="37"/>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B33" i="40"/>
  <c r="DV33" i="40" s="1"/>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B33" i="37"/>
  <c r="DU33" i="37" s="1"/>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86" i="37" s="1"/>
  <c r="EB29" i="42"/>
  <c r="DU29" i="42" s="1"/>
  <c r="CG48" i="4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23" i="36"/>
  <c r="E62" i="36" s="1"/>
  <c r="CG32" i="38"/>
  <c r="E71" i="38" s="1"/>
  <c r="CG36" i="37"/>
  <c r="E75" i="37" s="1"/>
  <c r="EA34" i="41"/>
  <c r="CG34" i="41" s="1"/>
  <c r="CB33" i="14"/>
  <c r="BZ33" i="14" s="1"/>
  <c r="CA33" i="14" s="1"/>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CG24" i="45"/>
  <c r="EB38" i="39"/>
  <c r="DV38" i="39" s="1"/>
  <c r="EA27" i="35"/>
  <c r="EB27" i="35" s="1"/>
  <c r="I20" i="74"/>
  <c r="EA25" i="43"/>
  <c r="EB25" i="43" s="1"/>
  <c r="EB26" i="36"/>
  <c r="DV26" i="36" s="1"/>
  <c r="AA14" i="74"/>
  <c r="EB40" i="43"/>
  <c r="DU40" i="43" s="1"/>
  <c r="GF32" i="5"/>
  <c r="GF35" i="4"/>
  <c r="GJ27" i="13"/>
  <c r="GM27" i="13" s="1"/>
  <c r="EA39" i="37"/>
  <c r="EB39" i="37" s="1"/>
  <c r="EB22" i="37"/>
  <c r="DV22" i="37" s="1"/>
  <c r="EA24" i="41"/>
  <c r="CG24" i="41" s="1"/>
  <c r="EA48" i="39"/>
  <c r="EB48" i="39" s="1"/>
  <c r="EB34" i="42"/>
  <c r="DU34" i="42" s="1"/>
  <c r="GF29" i="5"/>
  <c r="CG45" i="38"/>
  <c r="E84" i="38" s="1"/>
  <c r="EB35" i="41"/>
  <c r="DU35" i="41" s="1"/>
  <c r="O29" i="74"/>
  <c r="EB37" i="42"/>
  <c r="DV37" i="42" s="1"/>
  <c r="EB44" i="39"/>
  <c r="DU44" i="39" s="1"/>
  <c r="CB33" i="9"/>
  <c r="F32" i="74"/>
  <c r="EA42" i="43"/>
  <c r="EB42" i="43" s="1"/>
  <c r="DU42" i="43" s="1"/>
  <c r="CG30" i="42"/>
  <c r="EB30" i="42"/>
  <c r="DU30" i="42" s="1"/>
  <c r="GF36" i="6"/>
  <c r="GF49" i="5"/>
  <c r="GJ30" i="9"/>
  <c r="GM30" i="9" s="1"/>
  <c r="GJ48" i="14"/>
  <c r="GM48" i="14" s="1"/>
  <c r="GJ36" i="9"/>
  <c r="GM36" i="9" s="1"/>
  <c r="GJ32" i="12"/>
  <c r="GM32" i="12" s="1"/>
  <c r="EB38" i="18"/>
  <c r="DU38" i="18"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E63" i="18" s="1"/>
  <c r="AA38" i="18"/>
  <c r="AB38" i="18" s="1"/>
  <c r="AF38" i="18" s="1"/>
  <c r="AA39" i="38"/>
  <c r="AB39" i="38" s="1"/>
  <c r="AF39" i="38" s="1"/>
  <c r="BD50" i="43"/>
  <c r="BD50" i="40"/>
  <c r="BD50" i="36"/>
  <c r="AA38" i="43"/>
  <c r="AB38" i="43" s="1"/>
  <c r="AF38" i="43" s="1"/>
  <c r="CG43" i="38"/>
  <c r="E82" i="38" s="1"/>
  <c r="R11" i="74"/>
  <c r="CG23" i="45"/>
  <c r="U17" i="74"/>
  <c r="EB47" i="39"/>
  <c r="DU47" i="39" s="1"/>
  <c r="AD22" i="74"/>
  <c r="EB47" i="18"/>
  <c r="DV47" i="18" s="1"/>
  <c r="AD30" i="74"/>
  <c r="GF43" i="13"/>
  <c r="EA22" i="43"/>
  <c r="CG22" i="43" s="1"/>
  <c r="X33" i="74"/>
  <c r="EA42" i="44"/>
  <c r="CG42" i="44" s="1"/>
  <c r="CG23" i="39"/>
  <c r="EB23" i="39"/>
  <c r="DU23" i="39" s="1"/>
  <c r="AG12" i="74"/>
  <c r="CG41" i="41"/>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EB39" i="39"/>
  <c r="CG39" i="39"/>
  <c r="DU28" i="18"/>
  <c r="DV28" i="18"/>
  <c r="AF49" i="42"/>
  <c r="AF54" i="42" s="1"/>
  <c r="DV27" i="44"/>
  <c r="DU27" i="44"/>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V24" i="4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V35" i="45"/>
  <c r="DU32" i="38"/>
  <c r="DV32" i="38"/>
  <c r="AB36" i="45"/>
  <c r="AF36" i="45" s="1"/>
  <c r="V35" i="45"/>
  <c r="T35" i="45" s="1"/>
  <c r="AA35" i="45" s="1"/>
  <c r="AL69" i="10"/>
  <c r="O12" i="16" s="1"/>
  <c r="P12" i="16" s="1"/>
  <c r="R12" i="16" s="1"/>
  <c r="H12" i="16" s="1"/>
  <c r="DV24" i="18"/>
  <c r="DU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U43" i="38"/>
  <c r="DV43" i="38"/>
  <c r="DX51" i="5"/>
  <c r="AD10" i="74"/>
  <c r="EA20" i="42"/>
  <c r="EA38" i="36"/>
  <c r="L28" i="74"/>
  <c r="CB32" i="14"/>
  <c r="I29" i="74"/>
  <c r="EA39" i="35"/>
  <c r="CG21" i="38"/>
  <c r="E60" i="38" s="1"/>
  <c r="EB21" i="38"/>
  <c r="CB31" i="6"/>
  <c r="BZ31" i="6" s="1"/>
  <c r="CA31" i="6" s="1"/>
  <c r="EA37" i="36"/>
  <c r="L27" i="74"/>
  <c r="DV35" i="18"/>
  <c r="DU35" i="18"/>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O33" i="39"/>
  <c r="EA46" i="40"/>
  <c r="X36" i="74"/>
  <c r="DV39" i="45"/>
  <c r="DU39" i="45"/>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DU24" i="35"/>
  <c r="DV24" i="35"/>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DU40" i="18"/>
  <c r="DV40" i="18"/>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DU42" i="42"/>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DU28" i="35"/>
  <c r="DV28" i="35"/>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V24" i="37"/>
  <c r="DU24" i="37"/>
  <c r="DV23" i="45"/>
  <c r="DU23" i="45"/>
  <c r="DS48" i="41"/>
  <c r="DU48" i="41"/>
  <c r="DV48" i="41"/>
  <c r="DU41" i="35"/>
  <c r="DV41" i="35"/>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U41" i="41"/>
  <c r="DV41" i="41"/>
  <c r="P30" i="42"/>
  <c r="AM51" i="8"/>
  <c r="DU38" i="37"/>
  <c r="DV38" i="37"/>
  <c r="DV25" i="40"/>
  <c r="DU25" i="40"/>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BY44" i="11" l="1"/>
  <c r="DU33" i="38"/>
  <c r="EB44" i="42"/>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DV33" i="37"/>
  <c r="DW33" i="37"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K131" i="76"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E12" i="85" s="1"/>
  <c r="CV12" i="59" s="1"/>
  <c r="EB47" i="37"/>
  <c r="DV47" i="37" s="1"/>
  <c r="EB35" i="40"/>
  <c r="DV35" i="40" s="1"/>
  <c r="EB21" i="45"/>
  <c r="DV21" i="45" s="1"/>
  <c r="EB44" i="18"/>
  <c r="DU44" i="18" s="1"/>
  <c r="CG23" i="44"/>
  <c r="D15" i="85"/>
  <c r="E15" i="85" s="1"/>
  <c r="CV15" i="59" s="1"/>
  <c r="EB22" i="43"/>
  <c r="DU22" i="43" s="1"/>
  <c r="DV36" i="40"/>
  <c r="DW36" i="40" s="1"/>
  <c r="CG37" i="41"/>
  <c r="CG41" i="38"/>
  <c r="E80" i="38" s="1"/>
  <c r="D13" i="85"/>
  <c r="E13" i="85" s="1"/>
  <c r="CV13" i="59" s="1"/>
  <c r="D14" i="85"/>
  <c r="E14" i="85" s="1"/>
  <c r="CV14" i="59" s="1"/>
  <c r="B94" i="40"/>
  <c r="D16" i="85"/>
  <c r="E16" i="85" s="1"/>
  <c r="CV16" i="59" s="1"/>
  <c r="D10" i="85"/>
  <c r="E10" i="85" s="1"/>
  <c r="CV10" i="59" s="1"/>
  <c r="B93" i="41"/>
  <c r="F84" i="36"/>
  <c r="G84" i="36"/>
  <c r="F81" i="36"/>
  <c r="G81" i="36"/>
  <c r="AD48" i="18"/>
  <c r="AA48" i="18" s="1"/>
  <c r="AB48" i="18" s="1"/>
  <c r="F62" i="36"/>
  <c r="G62" i="36"/>
  <c r="E11" i="85"/>
  <c r="CV11" i="59" s="1"/>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K130" i="76"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K132" i="76"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K133" i="76"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DW35" i="18"/>
  <c r="CA51" i="5"/>
  <c r="BC62" i="5" s="1"/>
  <c r="I15" i="16"/>
  <c r="F38" i="83" s="1"/>
  <c r="EB20" i="18"/>
  <c r="CG20" i="18"/>
  <c r="E59" i="18" s="1"/>
  <c r="EB25" i="44"/>
  <c r="CG25" i="44"/>
  <c r="I14" i="16"/>
  <c r="F37" i="83" s="1"/>
  <c r="DW36" i="37"/>
  <c r="DW24" i="35"/>
  <c r="DW25" i="40"/>
  <c r="R40" i="74"/>
  <c r="L40" i="74"/>
  <c r="F40" i="74"/>
  <c r="DW24" i="37"/>
  <c r="DW42" i="42"/>
  <c r="O40" i="74"/>
  <c r="BZ28" i="5"/>
  <c r="CA28" i="5" s="1"/>
  <c r="I9" i="16"/>
  <c r="F32" i="83" s="1"/>
  <c r="DW41" i="35"/>
  <c r="DW29" i="44"/>
  <c r="DW28" i="35"/>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DV33" i="36"/>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K129" i="76" s="1"/>
  <c r="CG31" i="39"/>
  <c r="EB31" i="39"/>
  <c r="EB19" i="45"/>
  <c r="CG19" i="45"/>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K127" i="76"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DV44" i="42"/>
  <c r="DU44" i="42"/>
  <c r="CG22" i="44"/>
  <c r="EB22" i="44"/>
  <c r="CG24" i="42"/>
  <c r="EB24" i="42"/>
  <c r="CG32" i="36"/>
  <c r="E71" i="36" s="1"/>
  <c r="EB32" i="36"/>
  <c r="DU35" i="37"/>
  <c r="DV35" i="37"/>
  <c r="BZ28" i="12"/>
  <c r="CA28" i="12" s="1"/>
  <c r="DW40" i="18"/>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DW39" i="45"/>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Z74" i="5" s="1"/>
  <c r="CG36" i="39"/>
  <c r="EB36" i="39"/>
  <c r="I11" i="16"/>
  <c r="AB35" i="40"/>
  <c r="AF35" i="40" s="1"/>
  <c r="V34" i="40"/>
  <c r="T34" i="40" s="1"/>
  <c r="AA34" i="40" s="1"/>
  <c r="AB34" i="40" s="1"/>
  <c r="CG43" i="37"/>
  <c r="E82" i="37" s="1"/>
  <c r="EB43" i="37"/>
  <c r="DW27" i="44"/>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O53" i="44"/>
  <c r="CP53" i="45"/>
  <c r="CG24" i="40"/>
  <c r="EB24" i="40"/>
  <c r="R52" i="38"/>
  <c r="T25" i="8" s="1"/>
  <c r="Z74"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K126" i="76"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Z74"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K123" i="76" s="1"/>
  <c r="CQ52" i="39"/>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K125" i="76" s="1"/>
  <c r="DU46" i="43"/>
  <c r="DV46" i="43"/>
  <c r="DV27" i="39"/>
  <c r="DU27" i="39"/>
  <c r="BZ33" i="13"/>
  <c r="CA33" i="13" s="1"/>
  <c r="DP24" i="15"/>
  <c r="AM75" i="74" s="1"/>
  <c r="AW16" i="59" s="1"/>
  <c r="K134" i="76" s="1"/>
  <c r="CG36" i="44"/>
  <c r="EB36" i="44"/>
  <c r="CG47" i="44"/>
  <c r="EB47" i="44"/>
  <c r="AA40" i="74"/>
  <c r="DP24" i="5"/>
  <c r="I75" i="74" s="1"/>
  <c r="AW6" i="59" s="1"/>
  <c r="K124" i="76"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DV48" i="38"/>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K128" i="76" s="1"/>
  <c r="B65" i="11"/>
  <c r="CA44" i="11"/>
  <c r="CA49" i="11"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R52" i="37" l="1"/>
  <c r="T25" i="7" s="1"/>
  <c r="Z74"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87" i="36"/>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AL75" i="15"/>
  <c r="DK27" i="12"/>
  <c r="AL74" i="12"/>
  <c r="AD50" i="74" s="1"/>
  <c r="DK27" i="7"/>
  <c r="AL74" i="7"/>
  <c r="O50" i="74" s="1"/>
  <c r="AL74" i="8"/>
  <c r="R50" i="74" s="1"/>
  <c r="AL74" i="4"/>
  <c r="AL75" i="6"/>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W48" i="44" s="1"/>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Q82"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CM53" i="39" s="1"/>
  <c r="CN53" i="39" s="1"/>
  <c r="CR53" i="39" s="1"/>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E10" i="51"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BQ82"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H58" i="8" s="1"/>
  <c r="N58" i="8" s="1"/>
  <c r="CA34" i="7"/>
  <c r="L20" i="7" s="1"/>
  <c r="T20" i="7" s="1"/>
  <c r="H58" i="7" s="1"/>
  <c r="N58" i="7" s="1"/>
  <c r="CA34" i="6"/>
  <c r="L20" i="6" s="1"/>
  <c r="T20" i="6" s="1"/>
  <c r="CA34" i="13"/>
  <c r="L20" i="13" s="1"/>
  <c r="T20" i="13" s="1"/>
  <c r="BQ82" i="13" s="1"/>
  <c r="CA34" i="10"/>
  <c r="L20" i="10" s="1"/>
  <c r="T20" i="10" s="1"/>
  <c r="BQ82" i="10" s="1"/>
  <c r="CA34" i="14"/>
  <c r="L20" i="14" s="1"/>
  <c r="T20" i="14" s="1"/>
  <c r="H59" i="14" s="1"/>
  <c r="N59" i="14" s="1"/>
  <c r="CA34" i="11"/>
  <c r="L20" i="11" s="1"/>
  <c r="T20" i="11" s="1"/>
  <c r="BQ82" i="11" s="1"/>
  <c r="CA34" i="12"/>
  <c r="L20" i="12" s="1"/>
  <c r="T20" i="12" s="1"/>
  <c r="BQ82"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CM48" i="38" l="1"/>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AL75" i="7"/>
  <c r="AL75" i="12"/>
  <c r="AL75" i="5"/>
  <c r="AL75" i="11"/>
  <c r="AL75" i="10"/>
  <c r="DK27" i="14"/>
  <c r="BG15" i="59" s="1"/>
  <c r="AL74" i="14"/>
  <c r="AL86" i="5"/>
  <c r="AL86" i="6" s="1"/>
  <c r="AL86" i="7" s="1"/>
  <c r="AL86" i="8" s="1"/>
  <c r="DK27" i="13"/>
  <c r="BG14" i="59" s="1"/>
  <c r="AL74" i="13"/>
  <c r="EG7" i="9"/>
  <c r="U51" i="74" s="1"/>
  <c r="AL74" i="9"/>
  <c r="AL75" i="4"/>
  <c r="F50" i="74"/>
  <c r="AL75" i="8"/>
  <c r="CM48" i="40"/>
  <c r="CN48" i="40" s="1"/>
  <c r="CR48" i="40" s="1"/>
  <c r="DW19" i="38"/>
  <c r="H59" i="9"/>
  <c r="N59" i="9" s="1"/>
  <c r="Z71" i="9" s="1"/>
  <c r="CM52" i="38"/>
  <c r="CN52" i="38" s="1"/>
  <c r="CR52" i="38" s="1"/>
  <c r="E77" i="9"/>
  <c r="G11" i="16" s="1"/>
  <c r="D9" i="52" s="1"/>
  <c r="DK27" i="9"/>
  <c r="BG10" i="59" s="1"/>
  <c r="DP21" i="9"/>
  <c r="U74" i="74" s="1"/>
  <c r="U76" i="74" s="1"/>
  <c r="AX10" i="59" s="1"/>
  <c r="L128" i="76" s="1"/>
  <c r="FG61" i="9" a="1"/>
  <c r="FG61" i="9" s="1"/>
  <c r="R66" i="9" s="1"/>
  <c r="T66" i="9" s="1"/>
  <c r="DP22" i="10"/>
  <c r="H59" i="8"/>
  <c r="N59" i="8" s="1"/>
  <c r="Z71" i="8" s="1"/>
  <c r="E77" i="10"/>
  <c r="G12" i="16" s="1"/>
  <c r="BZ81" i="8"/>
  <c r="I10" i="51" s="1"/>
  <c r="E77" i="8"/>
  <c r="G10" i="16" s="1"/>
  <c r="BQ82" i="8"/>
  <c r="DP22" i="8"/>
  <c r="H59" i="10"/>
  <c r="N59" i="10" s="1"/>
  <c r="Z71" i="10" s="1"/>
  <c r="CM52" i="43"/>
  <c r="CN52" i="43" s="1"/>
  <c r="CR52" i="43" s="1"/>
  <c r="DP22" i="9"/>
  <c r="H58" i="9"/>
  <c r="N58" i="9" s="1"/>
  <c r="BZ81" i="9"/>
  <c r="K34" i="83" s="1"/>
  <c r="DP21" i="13"/>
  <c r="AG74" i="74" s="1"/>
  <c r="AV14" i="59" s="1"/>
  <c r="J132" i="76" s="1"/>
  <c r="EG7" i="13"/>
  <c r="AG51" i="74" s="1"/>
  <c r="AB40" i="18"/>
  <c r="AC21" i="18" s="1"/>
  <c r="E77" i="5"/>
  <c r="G7" i="16" s="1"/>
  <c r="G88" i="36"/>
  <c r="H59" i="5"/>
  <c r="N59" i="5" s="1"/>
  <c r="Z71" i="5" s="1"/>
  <c r="DP21" i="14"/>
  <c r="AJ74" i="74" s="1"/>
  <c r="AJ76" i="74" s="1"/>
  <c r="AX15" i="59" s="1"/>
  <c r="L133" i="76" s="1"/>
  <c r="FG61" i="5" a="1"/>
  <c r="FG61" i="5" s="1"/>
  <c r="FG62" i="5" s="1" a="1"/>
  <c r="FG62" i="5" s="1"/>
  <c r="R67" i="5" s="1"/>
  <c r="T67" i="5" s="1"/>
  <c r="DP22" i="5"/>
  <c r="BQ82" i="5"/>
  <c r="H58" i="5"/>
  <c r="N58" i="5" s="1"/>
  <c r="CM48" i="45"/>
  <c r="CN48" i="45" s="1"/>
  <c r="CR48" i="45" s="1"/>
  <c r="EG7" i="14"/>
  <c r="AJ51" i="74" s="1"/>
  <c r="H58" i="10"/>
  <c r="N58" i="10" s="1"/>
  <c r="BZ81" i="10"/>
  <c r="K35" i="83" s="1"/>
  <c r="BQ82" i="7"/>
  <c r="EI25" i="9"/>
  <c r="AL86" i="9" s="1"/>
  <c r="AL86" i="10" s="1"/>
  <c r="AL86" i="11" s="1"/>
  <c r="AL86" i="12" s="1"/>
  <c r="AL86" i="13" s="1"/>
  <c r="AL86" i="14" s="1"/>
  <c r="AL86" i="15" s="1"/>
  <c r="E77" i="12"/>
  <c r="G14" i="16" s="1"/>
  <c r="FG62" i="13" a="1"/>
  <c r="FG62" i="13" s="1"/>
  <c r="R67" i="13" s="1"/>
  <c r="T67" i="13" s="1"/>
  <c r="E77" i="7"/>
  <c r="G9" i="16" s="1"/>
  <c r="BZ81" i="7"/>
  <c r="C10" i="51" s="1"/>
  <c r="FG61" i="12" a="1"/>
  <c r="FG61" i="12" s="1"/>
  <c r="R66" i="12" s="1"/>
  <c r="T66" i="12" s="1"/>
  <c r="H58" i="12"/>
  <c r="N58" i="12" s="1"/>
  <c r="DP22" i="12"/>
  <c r="H59" i="12"/>
  <c r="N59" i="12" s="1"/>
  <c r="Z71" i="12" s="1"/>
  <c r="BZ81" i="12"/>
  <c r="K37" i="83" s="1"/>
  <c r="DP22" i="7"/>
  <c r="H59" i="7"/>
  <c r="N59" i="7" s="1"/>
  <c r="Z71" i="7" s="1"/>
  <c r="CM48" i="41"/>
  <c r="CN48" i="41" s="1"/>
  <c r="CR48" i="41" s="1"/>
  <c r="DW26" i="45"/>
  <c r="DP22" i="14"/>
  <c r="BZ81" i="14"/>
  <c r="K10" i="51" s="1"/>
  <c r="BQ82" i="14"/>
  <c r="E77" i="14"/>
  <c r="G16" i="16" s="1"/>
  <c r="H58" i="14"/>
  <c r="N58" i="14"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H59" i="4"/>
  <c r="N59" i="4" s="1"/>
  <c r="Z71" i="4" s="1"/>
  <c r="H58" i="4"/>
  <c r="N58" i="4" s="1"/>
  <c r="BZ81" i="4"/>
  <c r="K29" i="83" s="1"/>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K30" i="83"/>
  <c r="H10" i="51"/>
  <c r="BZ81" i="13"/>
  <c r="L10" i="51" s="1"/>
  <c r="BZ81" i="11"/>
  <c r="K36" i="83" s="1"/>
  <c r="BZ81" i="6"/>
  <c r="K31" i="83" s="1"/>
  <c r="H59" i="11"/>
  <c r="N59" i="11" s="1"/>
  <c r="H58" i="11"/>
  <c r="N58" i="11" s="1"/>
  <c r="H59" i="6"/>
  <c r="N59" i="6" s="1"/>
  <c r="H58" i="6"/>
  <c r="N58" i="6" s="1"/>
  <c r="H59" i="13"/>
  <c r="N59" i="13" s="1"/>
  <c r="H58" i="13"/>
  <c r="N58" i="13" s="1"/>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J134" i="76" s="1"/>
  <c r="AM76" i="74"/>
  <c r="AX16" i="59" s="1"/>
  <c r="L134" i="76"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J124" i="76" s="1"/>
  <c r="I76" i="74"/>
  <c r="AX6" i="59" s="1"/>
  <c r="L124" i="76"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J123" i="76" s="1"/>
  <c r="F76" i="74"/>
  <c r="AX5" i="59" s="1"/>
  <c r="L123" i="76" s="1"/>
  <c r="CM50" i="43"/>
  <c r="CN50" i="43" s="1"/>
  <c r="CR50" i="43" s="1"/>
  <c r="AV8" i="59"/>
  <c r="J126" i="76" s="1"/>
  <c r="O76" i="74"/>
  <c r="AX8" i="59" s="1"/>
  <c r="L126" i="76"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Z71" i="14"/>
  <c r="DW41" i="39"/>
  <c r="DW32" i="18"/>
  <c r="AV12" i="59"/>
  <c r="J130" i="76" s="1"/>
  <c r="AA76" i="74"/>
  <c r="AX12" i="59" s="1"/>
  <c r="L130" i="76" s="1"/>
  <c r="AD76" i="74"/>
  <c r="AX13" i="59" s="1"/>
  <c r="L131" i="76" s="1"/>
  <c r="AV13" i="59"/>
  <c r="J131" i="76" s="1"/>
  <c r="DW34" i="18"/>
  <c r="CM51" i="45"/>
  <c r="CN51" i="45" s="1"/>
  <c r="CR51" i="45" s="1"/>
  <c r="K33" i="83"/>
  <c r="DW25" i="38"/>
  <c r="F42" i="83"/>
  <c r="G29" i="83"/>
  <c r="G30" i="83" s="1"/>
  <c r="G31" i="83" s="1"/>
  <c r="G32" i="83" s="1"/>
  <c r="G33" i="83" s="1"/>
  <c r="G34" i="83" s="1"/>
  <c r="G35" i="83" s="1"/>
  <c r="G36" i="83" s="1"/>
  <c r="G37" i="83" s="1"/>
  <c r="G38" i="83" s="1"/>
  <c r="G39" i="83" s="1"/>
  <c r="G40" i="83" s="1"/>
  <c r="BG6" i="59"/>
  <c r="DW36" i="42"/>
  <c r="DW42" i="45"/>
  <c r="DW30" i="44"/>
  <c r="DW46" i="40"/>
  <c r="AV7" i="59"/>
  <c r="J125" i="76" s="1"/>
  <c r="L76" i="74"/>
  <c r="AX7" i="59" s="1"/>
  <c r="L125" i="76" s="1"/>
  <c r="W21" i="36"/>
  <c r="W19" i="36"/>
  <c r="DW32" i="39"/>
  <c r="CM53" i="18"/>
  <c r="CN53" i="18" s="1"/>
  <c r="CR53" i="18" s="1"/>
  <c r="X76" i="74"/>
  <c r="AX11" i="59" s="1"/>
  <c r="L129" i="76" s="1"/>
  <c r="AV11" i="59"/>
  <c r="J129" i="76" s="1"/>
  <c r="BG11" i="59"/>
  <c r="CM49" i="38"/>
  <c r="CN49" i="38" s="1"/>
  <c r="CR49" i="38" s="1"/>
  <c r="CM48" i="44"/>
  <c r="CN48" i="44" s="1"/>
  <c r="CR48" i="44" s="1"/>
  <c r="DW46" i="42"/>
  <c r="CM51" i="39"/>
  <c r="CN51" i="39" s="1"/>
  <c r="CR51" i="39" s="1"/>
  <c r="DW39" i="41"/>
  <c r="DW44" i="41"/>
  <c r="DW20" i="44"/>
  <c r="R76" i="74"/>
  <c r="AX9" i="59" s="1"/>
  <c r="L127" i="76" s="1"/>
  <c r="AV9" i="59"/>
  <c r="J127" i="76" s="1"/>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EG3" i="9" l="1"/>
  <c r="BF10" i="59" s="1"/>
  <c r="E9" i="85"/>
  <c r="CV9" i="59" s="1"/>
  <c r="B94" i="38"/>
  <c r="B94" i="37"/>
  <c r="D8" i="85"/>
  <c r="B94" i="18"/>
  <c r="D5" i="85"/>
  <c r="F90" i="37"/>
  <c r="C8" i="85" s="1"/>
  <c r="B93" i="38"/>
  <c r="B94" i="35"/>
  <c r="D6" i="85"/>
  <c r="F90" i="18"/>
  <c r="C5" i="85" s="1"/>
  <c r="F90" i="35"/>
  <c r="C6" i="85" s="1"/>
  <c r="M10" i="51"/>
  <c r="K39" i="83"/>
  <c r="R66" i="5"/>
  <c r="T66" i="5" s="1"/>
  <c r="H34" i="83"/>
  <c r="AG76" i="74"/>
  <c r="AX14" i="59" s="1"/>
  <c r="L132" i="76" s="1"/>
  <c r="EG3" i="13"/>
  <c r="BF14" i="59" s="1"/>
  <c r="F52" i="74"/>
  <c r="F55" i="74" s="1"/>
  <c r="AR5" i="59" s="1"/>
  <c r="F123" i="76" s="1"/>
  <c r="AV10" i="59"/>
  <c r="AG50" i="74"/>
  <c r="AG52" i="74" s="1"/>
  <c r="AL75" i="13"/>
  <c r="U50" i="74"/>
  <c r="U52" i="74" s="1"/>
  <c r="AL75" i="9"/>
  <c r="AJ50" i="74"/>
  <c r="AJ52" i="74" s="1"/>
  <c r="AL75" i="14"/>
  <c r="AC19" i="18"/>
  <c r="AB24" i="18" s="1"/>
  <c r="FG62" i="11" a="1"/>
  <c r="FG62" i="11" s="1"/>
  <c r="R67" i="11" s="1"/>
  <c r="T67" i="11" s="1"/>
  <c r="FG62" i="9" a="1"/>
  <c r="FG62" i="9" s="1"/>
  <c r="R67" i="9" s="1"/>
  <c r="T67" i="9" s="1"/>
  <c r="G10" i="51"/>
  <c r="EG3" i="14"/>
  <c r="BF15" i="59" s="1"/>
  <c r="K38" i="83"/>
  <c r="AV15" i="59"/>
  <c r="G90" i="36"/>
  <c r="D7" i="85" s="1"/>
  <c r="E7" i="85" s="1"/>
  <c r="CV7" i="59"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23" i="50" s="1"/>
  <c r="B19"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D126" i="76" s="1"/>
  <c r="L9" i="59"/>
  <c r="AL84" i="8"/>
  <c r="L6" i="59"/>
  <c r="AL84" i="5"/>
  <c r="L7" i="59"/>
  <c r="AL84" i="6"/>
  <c r="L8" i="59"/>
  <c r="AL84" i="7"/>
  <c r="EI18" i="4"/>
  <c r="AL85" i="4" s="1"/>
  <c r="AL88" i="4" s="1"/>
  <c r="EI16" i="5"/>
  <c r="AL83" i="5" s="1"/>
  <c r="L5" i="59"/>
  <c r="EI15" i="4"/>
  <c r="E40" i="75"/>
  <c r="CN54" i="41"/>
  <c r="AA45" i="74" s="1"/>
  <c r="AA70" i="74" s="1"/>
  <c r="AT12" i="59" s="1"/>
  <c r="H130" i="76" s="1"/>
  <c r="BZ81" i="15"/>
  <c r="K40" i="83" s="1"/>
  <c r="H59" i="15"/>
  <c r="N59" i="15" s="1"/>
  <c r="H58" i="15"/>
  <c r="N58" i="15" s="1"/>
  <c r="EH16" i="12"/>
  <c r="EH18" i="12" s="1"/>
  <c r="I12" i="59"/>
  <c r="EH15" i="11"/>
  <c r="AA12" i="59" s="1"/>
  <c r="EH15" i="6"/>
  <c r="AA7" i="59" s="1"/>
  <c r="EH16" i="7"/>
  <c r="EH18" i="7" s="1"/>
  <c r="I7" i="59"/>
  <c r="CN54" i="35"/>
  <c r="I45" i="74" s="1"/>
  <c r="AP6" i="59" s="1"/>
  <c r="D124" i="76" s="1"/>
  <c r="CN54" i="42"/>
  <c r="AD45" i="74" s="1"/>
  <c r="AP13" i="59" s="1"/>
  <c r="D131" i="76" s="1"/>
  <c r="CN54" i="39"/>
  <c r="U45" i="74" s="1"/>
  <c r="AP10" i="59" s="1"/>
  <c r="D128" i="76" s="1"/>
  <c r="DW49" i="37"/>
  <c r="E52" i="37" s="1"/>
  <c r="AM56" i="7" s="1"/>
  <c r="DW49" i="36"/>
  <c r="E52" i="36" s="1"/>
  <c r="E51" i="36" s="1"/>
  <c r="CN54" i="18"/>
  <c r="F45" i="74" s="1"/>
  <c r="F70" i="74" s="1"/>
  <c r="AT5" i="59" s="1"/>
  <c r="H123" i="76"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D125" i="76" s="1"/>
  <c r="CR48" i="42"/>
  <c r="CR54" i="42" s="1"/>
  <c r="AD44" i="74" s="1"/>
  <c r="CR54" i="36"/>
  <c r="L44" i="74" s="1"/>
  <c r="AO7" i="59" s="1"/>
  <c r="C125" i="76" s="1"/>
  <c r="CR52" i="37"/>
  <c r="CR54" i="37" s="1"/>
  <c r="O44" i="74" s="1"/>
  <c r="DW49" i="40"/>
  <c r="E52" i="40" s="1"/>
  <c r="AM56" i="10" s="1"/>
  <c r="DW49" i="44"/>
  <c r="E52" i="44" s="1"/>
  <c r="BR15" i="59" s="1"/>
  <c r="CN54" i="45"/>
  <c r="AM45" i="74" s="1"/>
  <c r="AP16" i="59" s="1"/>
  <c r="D134" i="76"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F130" i="76"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F129" i="76" s="1"/>
  <c r="X57" i="74"/>
  <c r="DP22" i="15"/>
  <c r="E77" i="15"/>
  <c r="L55" i="74"/>
  <c r="AR7" i="59" s="1"/>
  <c r="F125" i="76" s="1"/>
  <c r="L57" i="74"/>
  <c r="I55" i="74"/>
  <c r="AR6" i="59" s="1"/>
  <c r="F124" i="76" s="1"/>
  <c r="I57" i="74"/>
  <c r="H37" i="83"/>
  <c r="D12" i="52"/>
  <c r="V24" i="45"/>
  <c r="W24" i="45"/>
  <c r="AB24" i="37"/>
  <c r="AC24" i="37"/>
  <c r="R55" i="74"/>
  <c r="AR9" i="59" s="1"/>
  <c r="F127" i="76" s="1"/>
  <c r="R57" i="74"/>
  <c r="V24" i="38"/>
  <c r="W24" i="38"/>
  <c r="AD55" i="74"/>
  <c r="AR13" i="59" s="1"/>
  <c r="F131" i="76" s="1"/>
  <c r="AD57" i="74"/>
  <c r="W24" i="41"/>
  <c r="V24" i="41"/>
  <c r="D7" i="52"/>
  <c r="H32" i="83"/>
  <c r="AM55" i="74"/>
  <c r="AR16" i="59" s="1"/>
  <c r="F134" i="76"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F126" i="76"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J121" i="76" l="1"/>
  <c r="J133" i="76"/>
  <c r="J116" i="76"/>
  <c r="J128" i="76"/>
  <c r="E28" i="75"/>
  <c r="E31" i="75"/>
  <c r="E30" i="75"/>
  <c r="F57" i="74"/>
  <c r="F60" i="74" s="1"/>
  <c r="F59" i="74" s="1"/>
  <c r="E43" i="75"/>
  <c r="E21" i="75"/>
  <c r="E26" i="75"/>
  <c r="E29" i="75"/>
  <c r="E32" i="75"/>
  <c r="E25" i="75"/>
  <c r="E24" i="75"/>
  <c r="B93" i="35"/>
  <c r="B93" i="18"/>
  <c r="E27" i="75"/>
  <c r="B93" i="37"/>
  <c r="E5" i="85"/>
  <c r="CV5" i="59" s="1"/>
  <c r="E8" i="85"/>
  <c r="CV8" i="59" s="1"/>
  <c r="E23" i="75"/>
  <c r="E22" i="75"/>
  <c r="E6" i="85"/>
  <c r="CV6" i="59" s="1"/>
  <c r="U55" i="74"/>
  <c r="AR10" i="59" s="1"/>
  <c r="U57" i="74"/>
  <c r="U60" i="74" s="1"/>
  <c r="U59" i="74" s="1"/>
  <c r="AJ55" i="74"/>
  <c r="AR15" i="59" s="1"/>
  <c r="F133" i="76" s="1"/>
  <c r="AJ57" i="74"/>
  <c r="AJ60" i="74" s="1"/>
  <c r="AJ59" i="74" s="1"/>
  <c r="AG57" i="74"/>
  <c r="AG55" i="74"/>
  <c r="AR14" i="59" s="1"/>
  <c r="AC24" i="18"/>
  <c r="BR5" i="59"/>
  <c r="AM56" i="9"/>
  <c r="AM56" i="5"/>
  <c r="B94" i="36"/>
  <c r="ED19" i="36"/>
  <c r="AL92" i="9"/>
  <c r="AL92" i="10"/>
  <c r="CU12" i="59"/>
  <c r="AM70" i="74"/>
  <c r="AT16" i="59" s="1"/>
  <c r="U70" i="74"/>
  <c r="AT10" i="59" s="1"/>
  <c r="L70" i="74"/>
  <c r="AT7" i="59" s="1"/>
  <c r="I70" i="74"/>
  <c r="AT6" i="59"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H126" i="76" s="1"/>
  <c r="AP12" i="59"/>
  <c r="D130" i="76" s="1"/>
  <c r="EI18" i="5"/>
  <c r="AL85" i="5" s="1"/>
  <c r="EI15" i="5"/>
  <c r="J6" i="59"/>
  <c r="EI16" i="6"/>
  <c r="AL83" i="6" s="1"/>
  <c r="AM56" i="4"/>
  <c r="B35" i="75"/>
  <c r="BR8" i="59"/>
  <c r="AD70" i="74"/>
  <c r="AT13" i="59" s="1"/>
  <c r="H131" i="76" s="1"/>
  <c r="E51" i="37"/>
  <c r="BR10" i="59"/>
  <c r="EH15" i="7"/>
  <c r="AA8" i="59" s="1"/>
  <c r="EH16" i="8"/>
  <c r="EH18" i="8" s="1"/>
  <c r="I8" i="59"/>
  <c r="EH16" i="13"/>
  <c r="EH18" i="13" s="1"/>
  <c r="I13" i="59"/>
  <c r="EH15" i="12"/>
  <c r="AA13" i="59" s="1"/>
  <c r="BR6" i="59"/>
  <c r="AO13" i="59"/>
  <c r="C131" i="76" s="1"/>
  <c r="AD69" i="74"/>
  <c r="AM56" i="6"/>
  <c r="BR12" i="59"/>
  <c r="E51" i="41"/>
  <c r="O69" i="74"/>
  <c r="AO8" i="59"/>
  <c r="C126" i="76" s="1"/>
  <c r="E51" i="40"/>
  <c r="AM56" i="14"/>
  <c r="AP5" i="59"/>
  <c r="D123" i="76" s="1"/>
  <c r="L69" i="74"/>
  <c r="AS7" i="59" s="1"/>
  <c r="G125" i="76" s="1"/>
  <c r="BR11" i="59"/>
  <c r="R54" i="74"/>
  <c r="AQ9" i="59" s="1"/>
  <c r="E127" i="76" s="1"/>
  <c r="E51" i="44"/>
  <c r="O54" i="74"/>
  <c r="AQ8" i="59" s="1"/>
  <c r="E126" i="76" s="1"/>
  <c r="AA54" i="74"/>
  <c r="AQ12" i="59" s="1"/>
  <c r="E130" i="76" s="1"/>
  <c r="AP15" i="59"/>
  <c r="D133" i="76" s="1"/>
  <c r="AJ70" i="74"/>
  <c r="AT15" i="59" s="1"/>
  <c r="H133" i="76" s="1"/>
  <c r="EH18" i="41"/>
  <c r="EE18" i="41"/>
  <c r="EH18" i="18"/>
  <c r="EE18" i="18"/>
  <c r="EG18" i="45"/>
  <c r="EF18" i="45"/>
  <c r="AG70" i="74"/>
  <c r="AT14" i="59" s="1"/>
  <c r="H132" i="76" s="1"/>
  <c r="AP14" i="59"/>
  <c r="D132" i="76" s="1"/>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C134" i="76" s="1"/>
  <c r="EF20" i="18"/>
  <c r="EG18" i="37"/>
  <c r="EF18" i="37"/>
  <c r="DT22" i="18"/>
  <c r="DR23" i="18"/>
  <c r="AO10" i="59"/>
  <c r="C128" i="76" s="1"/>
  <c r="U69" i="74"/>
  <c r="EF19" i="43"/>
  <c r="EG19" i="43"/>
  <c r="EG19" i="35"/>
  <c r="EF19" i="35"/>
  <c r="EF20" i="38"/>
  <c r="D11" i="52"/>
  <c r="H36" i="83"/>
  <c r="EF19" i="42"/>
  <c r="EH18" i="38"/>
  <c r="EE18" i="38"/>
  <c r="O60" i="74"/>
  <c r="O59" i="74" s="1"/>
  <c r="EH20" i="39"/>
  <c r="EE20" i="39"/>
  <c r="EG19" i="39" s="1"/>
  <c r="AM54" i="74"/>
  <c r="AQ16" i="59" s="1"/>
  <c r="E134" i="76" s="1"/>
  <c r="AD60" i="74"/>
  <c r="AD59" i="74" s="1"/>
  <c r="I54" i="74"/>
  <c r="AQ6" i="59" s="1"/>
  <c r="E124" i="76" s="1"/>
  <c r="Z71" i="15"/>
  <c r="X54" i="74"/>
  <c r="AQ11" i="59" s="1"/>
  <c r="E129" i="76" s="1"/>
  <c r="EH20" i="42"/>
  <c r="EE20" i="42"/>
  <c r="EH22" i="43"/>
  <c r="EE22" i="43"/>
  <c r="EG21" i="43" s="1"/>
  <c r="EH21" i="44"/>
  <c r="EE21" i="44"/>
  <c r="EG20" i="44" s="1"/>
  <c r="AO14" i="59"/>
  <c r="C132" i="76" s="1"/>
  <c r="AG69" i="74"/>
  <c r="EE20" i="37"/>
  <c r="EG19" i="37" s="1"/>
  <c r="EH20" i="37"/>
  <c r="EH18" i="43"/>
  <c r="EE18" i="43"/>
  <c r="EH18" i="36"/>
  <c r="EE18" i="36"/>
  <c r="E51" i="38"/>
  <c r="BR9" i="59"/>
  <c r="AM56" i="8"/>
  <c r="AG60" i="74"/>
  <c r="AG59" i="74" s="1"/>
  <c r="EF20" i="35"/>
  <c r="EG20" i="35"/>
  <c r="EE21" i="18"/>
  <c r="EH21" i="18"/>
  <c r="R69" i="74"/>
  <c r="AO9" i="59"/>
  <c r="C127" i="76" s="1"/>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C129" i="76" s="1"/>
  <c r="F54" i="74"/>
  <c r="AQ5" i="59" s="1"/>
  <c r="E123" i="76" s="1"/>
  <c r="AD54" i="74"/>
  <c r="AQ13" i="59" s="1"/>
  <c r="E131" i="76" s="1"/>
  <c r="L60" i="74"/>
  <c r="L59" i="74" s="1"/>
  <c r="H77" i="15"/>
  <c r="G17" i="16"/>
  <c r="EF21" i="35"/>
  <c r="DT22" i="40"/>
  <c r="DR23" i="40"/>
  <c r="AA60" i="74"/>
  <c r="AA59" i="74" s="1"/>
  <c r="EH18" i="35"/>
  <c r="EE18" i="35"/>
  <c r="DT23" i="35"/>
  <c r="DR24" i="35"/>
  <c r="I69" i="74"/>
  <c r="AO6" i="59"/>
  <c r="C124" i="76" s="1"/>
  <c r="AP9" i="59"/>
  <c r="D127" i="76" s="1"/>
  <c r="R70" i="74"/>
  <c r="AT9" i="59" s="1"/>
  <c r="H127" i="76" s="1"/>
  <c r="EF19" i="45"/>
  <c r="I29" i="83"/>
  <c r="I30" i="83" s="1"/>
  <c r="AP11" i="59"/>
  <c r="D129" i="76" s="1"/>
  <c r="X70" i="74"/>
  <c r="AT11" i="59" s="1"/>
  <c r="H129" i="76" s="1"/>
  <c r="AO5" i="59"/>
  <c r="C123" i="76" s="1"/>
  <c r="F69" i="74"/>
  <c r="EG18" i="44"/>
  <c r="EF18" i="44"/>
  <c r="EG18" i="42"/>
  <c r="EF18" i="42"/>
  <c r="EH20" i="45"/>
  <c r="EE20" i="45"/>
  <c r="EG19" i="45" s="1"/>
  <c r="BR13" i="59"/>
  <c r="AM56" i="12"/>
  <c r="E51" i="42"/>
  <c r="EE23" i="41"/>
  <c r="EH23" i="41"/>
  <c r="EF19" i="39"/>
  <c r="EF21" i="43"/>
  <c r="EE19" i="40"/>
  <c r="EG21" i="41"/>
  <c r="EF21" i="41"/>
  <c r="AO12" i="59"/>
  <c r="C130" i="76" s="1"/>
  <c r="AA69" i="74"/>
  <c r="EF19" i="37"/>
  <c r="BR16" i="59"/>
  <c r="AM56" i="15"/>
  <c r="E51" i="45"/>
  <c r="AM60" i="74"/>
  <c r="AM59" i="74" s="1"/>
  <c r="I60" i="74"/>
  <c r="I59" i="74" s="1"/>
  <c r="L54" i="74"/>
  <c r="AQ7" i="59" s="1"/>
  <c r="E125" i="76" s="1"/>
  <c r="X60" i="74"/>
  <c r="X59" i="74" s="1"/>
  <c r="EE19" i="41"/>
  <c r="EE19" i="18"/>
  <c r="EE19" i="38"/>
  <c r="EE21" i="40"/>
  <c r="EG20" i="40" s="1"/>
  <c r="EH21" i="40"/>
  <c r="D13" i="52"/>
  <c r="H38" i="83"/>
  <c r="EE22" i="35"/>
  <c r="EG21" i="35" s="1"/>
  <c r="EH22" i="35"/>
  <c r="EF19" i="44"/>
  <c r="EG19" i="44"/>
  <c r="AJ69" i="74"/>
  <c r="AO15" i="59"/>
  <c r="C133" i="76" s="1"/>
  <c r="U54" i="74" l="1"/>
  <c r="AQ10" i="59" s="1"/>
  <c r="E128" i="76" s="1"/>
  <c r="H113" i="76"/>
  <c r="H125" i="76"/>
  <c r="H122" i="76"/>
  <c r="H134" i="76"/>
  <c r="F120" i="76"/>
  <c r="F132" i="76"/>
  <c r="H112" i="76"/>
  <c r="H124" i="76"/>
  <c r="H116" i="76"/>
  <c r="H128" i="76"/>
  <c r="F116" i="76"/>
  <c r="F128" i="76"/>
  <c r="AJ54" i="74"/>
  <c r="AQ15" i="59" s="1"/>
  <c r="E133" i="76" s="1"/>
  <c r="AG54" i="74"/>
  <c r="AQ14" i="59" s="1"/>
  <c r="E132" i="76" s="1"/>
  <c r="G15" i="75"/>
  <c r="R11" i="59"/>
  <c r="AQ17" i="10"/>
  <c r="AQ52" i="10" s="1"/>
  <c r="R10" i="59"/>
  <c r="AQ17" i="9"/>
  <c r="AQ52" i="9" s="1"/>
  <c r="AD71" i="74"/>
  <c r="AU13" i="59" s="1"/>
  <c r="I131" i="76" s="1"/>
  <c r="EH19" i="36"/>
  <c r="ED20" i="36"/>
  <c r="L71" i="74"/>
  <c r="AU7" i="59" s="1"/>
  <c r="I125" i="76"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B29" i="75" s="1"/>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G126" i="76" s="1"/>
  <c r="AS13" i="59"/>
  <c r="G131" i="76" s="1"/>
  <c r="EI18" i="6"/>
  <c r="AL85" i="6" s="1"/>
  <c r="EI15" i="6"/>
  <c r="J7" i="59"/>
  <c r="EI16" i="7"/>
  <c r="AL83" i="7" s="1"/>
  <c r="EH15" i="13"/>
  <c r="AA14" i="59" s="1"/>
  <c r="I14" i="59"/>
  <c r="EH16" i="14"/>
  <c r="EH18" i="14" s="1"/>
  <c r="I9" i="59"/>
  <c r="EH15" i="8"/>
  <c r="AA9" i="59" s="1"/>
  <c r="F19" i="63" s="1"/>
  <c r="F23" i="63" s="1"/>
  <c r="EF19" i="41"/>
  <c r="EG19" i="41"/>
  <c r="EF23" i="41"/>
  <c r="AS5" i="59"/>
  <c r="G123" i="76" s="1"/>
  <c r="F71" i="74"/>
  <c r="AS15" i="59"/>
  <c r="G133" i="76" s="1"/>
  <c r="AJ71" i="74"/>
  <c r="AS6" i="59"/>
  <c r="G124" i="76" s="1"/>
  <c r="I71" i="74"/>
  <c r="ED22" i="40"/>
  <c r="DT25" i="41"/>
  <c r="ED25" i="41" s="1"/>
  <c r="DR26" i="41"/>
  <c r="DT23" i="36"/>
  <c r="DR24" i="36"/>
  <c r="AS9" i="59"/>
  <c r="G127" i="76" s="1"/>
  <c r="R71" i="74"/>
  <c r="EF21" i="18"/>
  <c r="EF21" i="44"/>
  <c r="EF20" i="42"/>
  <c r="EG19" i="42"/>
  <c r="ED22" i="18"/>
  <c r="EE21" i="37"/>
  <c r="EG20" i="37" s="1"/>
  <c r="EH21" i="37"/>
  <c r="EH22" i="44"/>
  <c r="EE22" i="44"/>
  <c r="ED22" i="38"/>
  <c r="EF18" i="41"/>
  <c r="EG18" i="41"/>
  <c r="EF19" i="38"/>
  <c r="EG19" i="38"/>
  <c r="EG19" i="40"/>
  <c r="EF19" i="40"/>
  <c r="EF18" i="35"/>
  <c r="EG18" i="35"/>
  <c r="X71" i="74"/>
  <c r="AS11" i="59"/>
  <c r="G129" i="76" s="1"/>
  <c r="EH24" i="41"/>
  <c r="EE24" i="41"/>
  <c r="EG23" i="41" s="1"/>
  <c r="EG22" i="41"/>
  <c r="EH22" i="36"/>
  <c r="EF18" i="36"/>
  <c r="EF18" i="38"/>
  <c r="EG18" i="38"/>
  <c r="AS10" i="59"/>
  <c r="G128" i="76" s="1"/>
  <c r="U71" i="74"/>
  <c r="AS16" i="59"/>
  <c r="G134" i="76" s="1"/>
  <c r="AM71" i="74"/>
  <c r="DT22" i="39"/>
  <c r="ED22" i="39" s="1"/>
  <c r="DR23" i="39"/>
  <c r="EF22" i="35"/>
  <c r="EF21" i="40"/>
  <c r="EF19" i="18"/>
  <c r="EG19" i="18"/>
  <c r="AA71" i="74"/>
  <c r="AS12" i="59"/>
  <c r="G130" i="76" s="1"/>
  <c r="DT24" i="35"/>
  <c r="ED24" i="35" s="1"/>
  <c r="DR25" i="35"/>
  <c r="DT22" i="45"/>
  <c r="ED22" i="45" s="1"/>
  <c r="DR23" i="45"/>
  <c r="EG18" i="40"/>
  <c r="EF18" i="40"/>
  <c r="EF20" i="37"/>
  <c r="AG71" i="74"/>
  <c r="AS14" i="59"/>
  <c r="G132" i="76" s="1"/>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43" i="75" l="1"/>
  <c r="B40" i="75"/>
  <c r="B37" i="75"/>
  <c r="B30" i="75"/>
  <c r="B39" i="75"/>
  <c r="B24" i="75"/>
  <c r="B32" i="75"/>
  <c r="B36" i="75"/>
  <c r="B23" i="75"/>
  <c r="B26" i="75"/>
  <c r="B22" i="75"/>
  <c r="B21" i="75"/>
  <c r="B45" i="75"/>
  <c r="R12" i="59"/>
  <c r="AQ17" i="11"/>
  <c r="AQ52" i="11" s="1"/>
  <c r="AD78" i="74"/>
  <c r="AY13" i="59" s="1"/>
  <c r="M131" i="76" s="1"/>
  <c r="L78" i="74"/>
  <c r="AY7" i="59" s="1"/>
  <c r="M125" i="76" s="1"/>
  <c r="B27" i="75"/>
  <c r="EF19" i="36"/>
  <c r="EH20" i="36"/>
  <c r="EE20" i="36"/>
  <c r="EF20" i="36" s="1"/>
  <c r="EE21" i="36"/>
  <c r="EG18" i="36"/>
  <c r="B28" i="75"/>
  <c r="B31" i="75"/>
  <c r="I40" i="83"/>
  <c r="B25" i="75"/>
  <c r="AL92" i="12"/>
  <c r="AL92" i="13"/>
  <c r="AU8" i="59"/>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I132" i="76" s="1"/>
  <c r="AY8" i="59"/>
  <c r="M126" i="76" s="1"/>
  <c r="EH22" i="45"/>
  <c r="EE22" i="45"/>
  <c r="H42" i="83"/>
  <c r="DT23" i="39"/>
  <c r="DR24" i="39"/>
  <c r="EH22" i="38"/>
  <c r="EE22" i="38"/>
  <c r="EF22" i="44"/>
  <c r="EG21" i="44"/>
  <c r="AU9" i="59"/>
  <c r="I127" i="76" s="1"/>
  <c r="R78" i="74"/>
  <c r="AU15" i="59"/>
  <c r="I133" i="76" s="1"/>
  <c r="AJ78" i="74"/>
  <c r="DT24" i="18"/>
  <c r="ED24" i="18" s="1"/>
  <c r="DR25" i="18"/>
  <c r="EH24" i="43"/>
  <c r="EE24" i="43"/>
  <c r="EH22" i="39"/>
  <c r="EE22" i="39"/>
  <c r="AU10" i="59"/>
  <c r="I128" i="76" s="1"/>
  <c r="U78" i="74"/>
  <c r="AU11" i="59"/>
  <c r="I129" i="76" s="1"/>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I130" i="76" s="1"/>
  <c r="AM78" i="74"/>
  <c r="AU16" i="59"/>
  <c r="I134" i="76" s="1"/>
  <c r="EF24" i="41"/>
  <c r="DT24" i="36"/>
  <c r="ED24" i="36" s="1"/>
  <c r="DR25" i="36"/>
  <c r="DT26" i="41"/>
  <c r="DR27" i="41"/>
  <c r="I78" i="74"/>
  <c r="AU6" i="59"/>
  <c r="I124" i="76" s="1"/>
  <c r="AU5" i="59"/>
  <c r="I123" i="76" s="1"/>
  <c r="F78" i="74"/>
  <c r="ED23" i="44"/>
  <c r="DT23" i="45"/>
  <c r="DR24" i="45"/>
  <c r="EE24" i="35"/>
  <c r="EH24" i="35"/>
  <c r="EF21" i="37"/>
  <c r="ED23" i="36"/>
  <c r="EE25" i="41"/>
  <c r="EG24" i="41" s="1"/>
  <c r="EH25" i="41"/>
  <c r="I114" i="76" l="1"/>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D24" i="75" s="1"/>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EI15" i="8"/>
  <c r="D43" i="75"/>
  <c r="EI15" i="15"/>
  <c r="EH15" i="15"/>
  <c r="AA16" i="59" s="1"/>
  <c r="I16" i="59"/>
  <c r="E10" i="59"/>
  <c r="EF16" i="10"/>
  <c r="EF18" i="10" s="1"/>
  <c r="EF24" i="35"/>
  <c r="DT25" i="36"/>
  <c r="ED25" i="36" s="1"/>
  <c r="DR26" i="36"/>
  <c r="AY16" i="59"/>
  <c r="M134" i="76" s="1"/>
  <c r="DT26" i="35"/>
  <c r="ED26" i="35" s="1"/>
  <c r="DR27" i="35"/>
  <c r="EH23" i="42"/>
  <c r="EE23" i="42"/>
  <c r="EH22" i="37"/>
  <c r="EE22" i="37"/>
  <c r="EF23" i="38"/>
  <c r="EF24" i="43"/>
  <c r="AY15" i="59"/>
  <c r="M133" i="76" s="1"/>
  <c r="AY9" i="59"/>
  <c r="M127" i="76" s="1"/>
  <c r="ED23" i="39"/>
  <c r="EF22" i="45"/>
  <c r="DT26" i="43"/>
  <c r="ED26" i="43" s="1"/>
  <c r="DR27" i="43"/>
  <c r="EE24" i="38"/>
  <c r="EH24" i="38"/>
  <c r="DT24" i="45"/>
  <c r="ED24" i="45" s="1"/>
  <c r="DR25" i="45"/>
  <c r="EE25" i="35"/>
  <c r="EG24" i="35" s="1"/>
  <c r="EH25" i="35"/>
  <c r="DT25" i="44"/>
  <c r="DR26" i="44"/>
  <c r="EF23" i="40"/>
  <c r="AY10" i="59"/>
  <c r="M128" i="76" s="1"/>
  <c r="AY14" i="59"/>
  <c r="M132" i="76" s="1"/>
  <c r="EE25" i="43"/>
  <c r="EH25" i="43"/>
  <c r="EG23" i="43"/>
  <c r="EF25" i="41"/>
  <c r="AY6" i="59"/>
  <c r="M124" i="76" s="1"/>
  <c r="EH24" i="36"/>
  <c r="ED23" i="45"/>
  <c r="EE23" i="44"/>
  <c r="EH23" i="44"/>
  <c r="AY5" i="59"/>
  <c r="M123" i="76" s="1"/>
  <c r="F82" i="74"/>
  <c r="F87" i="74" s="1"/>
  <c r="DT27" i="41"/>
  <c r="ED27" i="41" s="1"/>
  <c r="DR28" i="41"/>
  <c r="AY12" i="59"/>
  <c r="M130" i="76" s="1"/>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M129" i="76" s="1"/>
  <c r="EF22" i="39"/>
  <c r="EE24" i="18"/>
  <c r="EG23" i="18" s="1"/>
  <c r="EH24" i="18"/>
  <c r="DT24" i="39"/>
  <c r="ED24" i="39" s="1"/>
  <c r="DR25" i="39"/>
  <c r="EH24" i="40"/>
  <c r="EE24" i="40"/>
  <c r="EG23" i="40" s="1"/>
  <c r="DT25" i="38"/>
  <c r="DR26" i="38"/>
  <c r="EF21" i="45"/>
  <c r="EG21" i="45"/>
  <c r="EG20" i="45"/>
  <c r="AL83" i="15" l="1"/>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H30" i="60"/>
  <c r="H26" i="60"/>
  <c r="EF16" i="11"/>
  <c r="EF18" i="11" s="1"/>
  <c r="E11" i="59"/>
  <c r="F95" i="74"/>
  <c r="F96" i="74" s="1"/>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22" i="75" l="1"/>
  <c r="F32" i="75"/>
  <c r="F34" i="75"/>
  <c r="F31" i="75"/>
  <c r="F43" i="75"/>
  <c r="F27" i="75"/>
  <c r="F23" i="75"/>
  <c r="F24" i="75"/>
  <c r="D15" i="75"/>
  <c r="F21" i="75"/>
  <c r="F45" i="75"/>
  <c r="R15" i="59"/>
  <c r="AQ17" i="14"/>
  <c r="AQ52" i="14" s="1"/>
  <c r="R16" i="59"/>
  <c r="AQ17" i="15"/>
  <c r="AQ52" i="15" s="1"/>
  <c r="EG22" i="36"/>
  <c r="EF23" i="36"/>
  <c r="EG24" i="36"/>
  <c r="EG23" i="36"/>
  <c r="B45" i="54"/>
  <c r="CU16" i="59"/>
  <c r="GH3" i="34"/>
  <c r="T31" i="4" s="1"/>
  <c r="AH83" i="9"/>
  <c r="EG18" i="9"/>
  <c r="AH85" i="9" s="1"/>
  <c r="F10" i="59"/>
  <c r="EG16" i="10"/>
  <c r="F34" i="60"/>
  <c r="D36" i="60"/>
  <c r="E12" i="59"/>
  <c r="EF16" i="12"/>
  <c r="EF18" i="12" s="1"/>
  <c r="F89" i="74"/>
  <c r="I80" i="74" s="1"/>
  <c r="I82" i="74" s="1"/>
  <c r="I95" i="74" s="1"/>
  <c r="I96"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H21" i="75" l="1"/>
  <c r="H22" i="75" s="1"/>
  <c r="H23" i="75" s="1"/>
  <c r="H24" i="75" s="1"/>
  <c r="H25" i="75" s="1"/>
  <c r="H26" i="75" s="1"/>
  <c r="H27" i="75" s="1"/>
  <c r="CN5" i="59"/>
  <c r="CW5" i="59"/>
  <c r="H56" i="4"/>
  <c r="CA68" i="4"/>
  <c r="F30" i="51" s="1"/>
  <c r="A12" i="50" s="1"/>
  <c r="DP20" i="4"/>
  <c r="B5" i="59" s="1"/>
  <c r="B47" i="63" s="1"/>
  <c r="H57" i="4"/>
  <c r="CC71" i="4"/>
  <c r="BZ73" i="4" s="1"/>
  <c r="BZ75" i="4" s="1"/>
  <c r="F7" i="51" s="1"/>
  <c r="B14" i="50" s="1"/>
  <c r="DK28" i="4"/>
  <c r="DK29" i="4" s="1"/>
  <c r="BZ68" i="4" s="1"/>
  <c r="AL88" i="5"/>
  <c r="CU5" i="59"/>
  <c r="H34" i="60"/>
  <c r="GH4" i="34"/>
  <c r="AH83" i="10"/>
  <c r="EG18" i="10"/>
  <c r="AH85" i="10" s="1"/>
  <c r="F11" i="59"/>
  <c r="EG16" i="11"/>
  <c r="EF16" i="13"/>
  <c r="EF18" i="13" s="1"/>
  <c r="E13" i="59"/>
  <c r="I89" i="74"/>
  <c r="L80" i="74" s="1"/>
  <c r="L82" i="74" s="1"/>
  <c r="L95" i="74"/>
  <c r="L96" i="74" s="1"/>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CC71" i="5" l="1"/>
  <c r="BZ73" i="5" s="1"/>
  <c r="BZ75" i="5" s="1"/>
  <c r="E7" i="51" s="1"/>
  <c r="T31" i="5"/>
  <c r="CN6" i="59" s="1"/>
  <c r="O111" i="76"/>
  <c r="G33" i="75" s="1"/>
  <c r="O123" i="76"/>
  <c r="B5" i="85"/>
  <c r="F5" i="85" s="1"/>
  <c r="BH5" i="59"/>
  <c r="B55" i="60"/>
  <c r="S9" i="60" s="1"/>
  <c r="DK28" i="5"/>
  <c r="DK29" i="5" s="1"/>
  <c r="BZ68" i="5" s="1"/>
  <c r="CU6" i="59"/>
  <c r="GH5" i="34"/>
  <c r="AH83" i="11"/>
  <c r="EG18" i="11"/>
  <c r="AH85" i="11" s="1"/>
  <c r="EG16" i="12"/>
  <c r="F12" i="59"/>
  <c r="F6" i="51"/>
  <c r="B11" i="50" s="1"/>
  <c r="J29" i="83"/>
  <c r="EG2" i="4"/>
  <c r="AM55" i="4" s="1"/>
  <c r="E14" i="59"/>
  <c r="EF16" i="14"/>
  <c r="EF18" i="14" s="1"/>
  <c r="T9" i="63"/>
  <c r="D47" i="63"/>
  <c r="L89" i="74"/>
  <c r="O80" i="74" s="1"/>
  <c r="O82" i="74" s="1"/>
  <c r="O95" i="74"/>
  <c r="O96" i="74" s="1"/>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DP20" i="5" l="1"/>
  <c r="B6" i="59" s="1"/>
  <c r="B48" i="63" s="1"/>
  <c r="S10" i="63" s="1"/>
  <c r="H56" i="5"/>
  <c r="N56" i="5" s="1"/>
  <c r="H57" i="5"/>
  <c r="N57" i="5" s="1"/>
  <c r="CW6" i="59"/>
  <c r="O124" i="76" s="1"/>
  <c r="CA68" i="5"/>
  <c r="E30" i="51" s="1"/>
  <c r="CC71" i="6"/>
  <c r="BZ73" i="6" s="1"/>
  <c r="BZ75" i="6" s="1"/>
  <c r="T31" i="6"/>
  <c r="CW7" i="59" s="1"/>
  <c r="O112" i="76"/>
  <c r="G34" i="75" s="1"/>
  <c r="DK28" i="6"/>
  <c r="DK29" i="6" s="1"/>
  <c r="BZ68" i="6" s="1"/>
  <c r="AL88" i="6"/>
  <c r="AL92" i="6" s="1"/>
  <c r="D55" i="60"/>
  <c r="BH6" i="59"/>
  <c r="AL88" i="7"/>
  <c r="CU7" i="59"/>
  <c r="GH6" i="34"/>
  <c r="T31" i="7" s="1"/>
  <c r="AH83" i="12"/>
  <c r="EG18" i="12"/>
  <c r="AH85" i="12" s="1"/>
  <c r="EG16" i="13"/>
  <c r="F13" i="59"/>
  <c r="E6" i="51"/>
  <c r="J30" i="83"/>
  <c r="EG2" i="5"/>
  <c r="AM55" i="5" s="1"/>
  <c r="BE5" i="59"/>
  <c r="BC5" i="59"/>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D48" i="63" l="1"/>
  <c r="B6" i="85"/>
  <c r="F6" i="85" s="1"/>
  <c r="B56" i="60"/>
  <c r="S10" i="60" s="1"/>
  <c r="DP20" i="6"/>
  <c r="B7" i="59" s="1"/>
  <c r="B7" i="85" s="1"/>
  <c r="F7" i="85" s="1"/>
  <c r="CN7" i="59"/>
  <c r="CA68" i="6"/>
  <c r="J30" i="51" s="1"/>
  <c r="O113" i="76"/>
  <c r="G35" i="75" s="1"/>
  <c r="O125" i="76"/>
  <c r="H57" i="6"/>
  <c r="N57" i="6" s="1"/>
  <c r="T35" i="6"/>
  <c r="H41" i="6" s="1"/>
  <c r="N41" i="6" s="1"/>
  <c r="H56" i="6"/>
  <c r="N56" i="6" s="1"/>
  <c r="BH7" i="59"/>
  <c r="CN8" i="59"/>
  <c r="CW8" i="59"/>
  <c r="R7" i="59"/>
  <c r="AQ17" i="6"/>
  <c r="AQ52" i="6" s="1"/>
  <c r="DP20" i="7"/>
  <c r="B8" i="59" s="1"/>
  <c r="B8" i="85" s="1"/>
  <c r="F8" i="85" s="1"/>
  <c r="B57" i="60"/>
  <c r="S11" i="60" s="1"/>
  <c r="CC71" i="7"/>
  <c r="BZ73" i="7" s="1"/>
  <c r="BZ75" i="7" s="1"/>
  <c r="C7" i="51" s="1"/>
  <c r="DK28" i="7"/>
  <c r="DK29" i="7" s="1"/>
  <c r="BZ68" i="7" s="1"/>
  <c r="CA68" i="7"/>
  <c r="C30" i="51" s="1"/>
  <c r="AL88" i="8"/>
  <c r="CU8" i="59"/>
  <c r="J7" i="51"/>
  <c r="CA75" i="6"/>
  <c r="AH83" i="13"/>
  <c r="EG18" i="13"/>
  <c r="AH85" i="13" s="1"/>
  <c r="F14" i="59"/>
  <c r="EG16" i="14"/>
  <c r="J6" i="51"/>
  <c r="EG2" i="6"/>
  <c r="AM55" i="6" s="1"/>
  <c r="J31" i="83"/>
  <c r="BE6" i="59"/>
  <c r="BC6" i="59"/>
  <c r="E16" i="59"/>
  <c r="R95" i="74"/>
  <c r="R96" i="74" s="1"/>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D56" i="60" l="1"/>
  <c r="H49" i="60" s="1"/>
  <c r="H48" i="60"/>
  <c r="B49" i="63"/>
  <c r="S11" i="63" s="1"/>
  <c r="R50" i="6"/>
  <c r="U50" i="6" s="1"/>
  <c r="X50" i="6" s="1"/>
  <c r="R53" i="6"/>
  <c r="X53" i="6" s="1"/>
  <c r="R52" i="6"/>
  <c r="X52" i="6" s="1"/>
  <c r="R41" i="6"/>
  <c r="X41" i="6" s="1"/>
  <c r="R43" i="6"/>
  <c r="U43" i="6" s="1"/>
  <c r="X43" i="6" s="1"/>
  <c r="AN7" i="59"/>
  <c r="CM7" i="59" s="1"/>
  <c r="U49" i="6"/>
  <c r="H48" i="6"/>
  <c r="N48" i="6" s="1"/>
  <c r="Z70" i="6"/>
  <c r="R47" i="6"/>
  <c r="X47" i="6" s="1"/>
  <c r="H50" i="6"/>
  <c r="K50" i="6" s="1"/>
  <c r="N50" i="6" s="1"/>
  <c r="B15" i="28"/>
  <c r="R51" i="6"/>
  <c r="X51" i="6" s="1"/>
  <c r="H49" i="6"/>
  <c r="H46" i="6"/>
  <c r="N46" i="6" s="1"/>
  <c r="CB78" i="6"/>
  <c r="J21" i="51" s="1"/>
  <c r="R46" i="6"/>
  <c r="X46" i="6" s="1"/>
  <c r="K49" i="6"/>
  <c r="N49" i="6" s="1"/>
  <c r="R54" i="6"/>
  <c r="X54" i="6" s="1"/>
  <c r="R48" i="6"/>
  <c r="X48" i="6" s="1"/>
  <c r="H42" i="6"/>
  <c r="N42" i="6" s="1"/>
  <c r="B8" i="83"/>
  <c r="R44" i="6"/>
  <c r="X44" i="6" s="1"/>
  <c r="R49" i="6"/>
  <c r="R42" i="6"/>
  <c r="X42" i="6" s="1"/>
  <c r="EG1" i="6"/>
  <c r="AM57" i="6" s="1"/>
  <c r="R55" i="6"/>
  <c r="X55" i="6" s="1"/>
  <c r="H47" i="6"/>
  <c r="N47" i="6" s="1"/>
  <c r="O114" i="76"/>
  <c r="G36" i="75" s="1"/>
  <c r="O126" i="76"/>
  <c r="D57" i="60"/>
  <c r="D49" i="63"/>
  <c r="B58" i="60"/>
  <c r="D58" i="60" s="1"/>
  <c r="B50" i="63"/>
  <c r="S12" i="63" s="1"/>
  <c r="BH8" i="59"/>
  <c r="CU9" i="59"/>
  <c r="F25" i="63" s="1"/>
  <c r="AL92" i="8"/>
  <c r="GH7" i="34"/>
  <c r="T31" i="8" s="1"/>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X49" i="6" l="1"/>
  <c r="X61" i="6" s="1"/>
  <c r="BD7" i="59"/>
  <c r="N61" i="6"/>
  <c r="N62" i="6" s="1"/>
  <c r="Q74" i="6" s="1"/>
  <c r="L8" i="83" s="1"/>
  <c r="CN9" i="59"/>
  <c r="CW9" i="59"/>
  <c r="R9" i="59"/>
  <c r="AQ17" i="8"/>
  <c r="AQ52" i="8" s="1"/>
  <c r="S12" i="60"/>
  <c r="D50" i="63"/>
  <c r="CA68" i="8"/>
  <c r="I30" i="51" s="1"/>
  <c r="AH85" i="14"/>
  <c r="AH98" i="14" s="1"/>
  <c r="DP20" i="8"/>
  <c r="B9" i="59" s="1"/>
  <c r="B9" i="85" s="1"/>
  <c r="F9" i="85" s="1"/>
  <c r="CC71" i="8"/>
  <c r="BZ73" i="8" s="1"/>
  <c r="BZ75" i="8" s="1"/>
  <c r="DK28" i="8"/>
  <c r="DK29" i="8" s="1"/>
  <c r="BZ68" i="8" s="1"/>
  <c r="T35" i="8"/>
  <c r="H41" i="8" s="1"/>
  <c r="N41" i="8" s="1"/>
  <c r="F27" i="60"/>
  <c r="H31" i="63"/>
  <c r="D33" i="63"/>
  <c r="F33" i="63" s="1"/>
  <c r="D31" i="63"/>
  <c r="H56" i="8"/>
  <c r="N56" i="8" s="1"/>
  <c r="H57" i="8"/>
  <c r="N57" i="8" s="1"/>
  <c r="AH83" i="15"/>
  <c r="B24" i="54" s="1"/>
  <c r="EG18" i="15"/>
  <c r="AH85" i="15" s="1"/>
  <c r="F16" i="59"/>
  <c r="BC8" i="59"/>
  <c r="BE8" i="59"/>
  <c r="E74" i="6"/>
  <c r="D31" i="83" s="1"/>
  <c r="U95" i="74"/>
  <c r="U96" i="74" s="1"/>
  <c r="GH8" i="34" s="1"/>
  <c r="D8" i="83"/>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AC7" i="59" l="1"/>
  <c r="Q76" i="6"/>
  <c r="F8" i="83" s="1"/>
  <c r="DK25" i="6"/>
  <c r="DK31" i="6" s="1"/>
  <c r="DK32" i="6" s="1"/>
  <c r="DK33" i="6" s="1"/>
  <c r="R50" i="8"/>
  <c r="U50" i="8" s="1"/>
  <c r="X50" i="8" s="1"/>
  <c r="R53" i="8"/>
  <c r="X53" i="8" s="1"/>
  <c r="R52" i="8"/>
  <c r="X52" i="8" s="1"/>
  <c r="T31" i="9"/>
  <c r="CW10" i="59" s="1"/>
  <c r="O115" i="76"/>
  <c r="G37" i="75" s="1"/>
  <c r="O127" i="76"/>
  <c r="G21" i="75"/>
  <c r="D40" i="60"/>
  <c r="F40" i="60" s="1"/>
  <c r="CK9" i="59" s="1"/>
  <c r="AH86" i="9"/>
  <c r="AH86" i="10" s="1"/>
  <c r="AH86" i="11" s="1"/>
  <c r="AH86" i="12" s="1"/>
  <c r="AH86" i="13" s="1"/>
  <c r="AH86" i="14" s="1"/>
  <c r="AH86" i="15" s="1"/>
  <c r="R48" i="8"/>
  <c r="X48" i="8" s="1"/>
  <c r="B51" i="63"/>
  <c r="D51" i="63" s="1"/>
  <c r="B17" i="28"/>
  <c r="B59" i="60"/>
  <c r="S13" i="60" s="1"/>
  <c r="D38" i="60"/>
  <c r="R47" i="8"/>
  <c r="X47" i="8" s="1"/>
  <c r="R54" i="8"/>
  <c r="X54" i="8" s="1"/>
  <c r="R46" i="8"/>
  <c r="X46" i="8" s="1"/>
  <c r="H46" i="8"/>
  <c r="N46" i="8" s="1"/>
  <c r="H47" i="8"/>
  <c r="N47" i="8" s="1"/>
  <c r="K49" i="8"/>
  <c r="R49" i="8"/>
  <c r="H49" i="8"/>
  <c r="R55" i="8"/>
  <c r="X55" i="8" s="1"/>
  <c r="AN9" i="59"/>
  <c r="CM9" i="59" s="1"/>
  <c r="R43" i="8"/>
  <c r="U43" i="8" s="1"/>
  <c r="X43" i="8" s="1"/>
  <c r="R42" i="8"/>
  <c r="X42" i="8" s="1"/>
  <c r="R41" i="8"/>
  <c r="X41" i="8" s="1"/>
  <c r="H50" i="8"/>
  <c r="K50" i="8" s="1"/>
  <c r="N50" i="8" s="1"/>
  <c r="U49" i="8"/>
  <c r="X49" i="8" s="1"/>
  <c r="B10" i="83"/>
  <c r="EG1" i="8"/>
  <c r="BD9" i="59" s="1"/>
  <c r="H48" i="8"/>
  <c r="N48" i="8" s="1"/>
  <c r="R44" i="8"/>
  <c r="X44" i="8" s="1"/>
  <c r="H42" i="8"/>
  <c r="N42" i="8" s="1"/>
  <c r="R51" i="8"/>
  <c r="X51" i="8" s="1"/>
  <c r="BH9" i="59"/>
  <c r="J24" i="51"/>
  <c r="G100" i="9"/>
  <c r="M16" i="63"/>
  <c r="D72" i="63"/>
  <c r="F28" i="63"/>
  <c r="H32" i="63"/>
  <c r="B32" i="54"/>
  <c r="CA75" i="8"/>
  <c r="CB78" i="8" s="1"/>
  <c r="I21" i="51" s="1"/>
  <c r="I7" i="51"/>
  <c r="B8" i="16"/>
  <c r="J8" i="16" s="1"/>
  <c r="C6" i="52" s="1"/>
  <c r="CC71" i="9"/>
  <c r="I6" i="51"/>
  <c r="EG2" i="8"/>
  <c r="AM55" i="8" s="1"/>
  <c r="J33" i="83"/>
  <c r="BZ86" i="6"/>
  <c r="J12" i="51" s="1"/>
  <c r="J23" i="51" s="1"/>
  <c r="U89" i="74"/>
  <c r="X80" i="74" s="1"/>
  <c r="X82" i="74" s="1"/>
  <c r="Z70" i="8"/>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DK30" i="6" l="1"/>
  <c r="DK34" i="6" s="1"/>
  <c r="DK35" i="6"/>
  <c r="O116" i="76"/>
  <c r="G38" i="75" s="1"/>
  <c r="O128" i="76"/>
  <c r="CK5" i="59"/>
  <c r="D42" i="60"/>
  <c r="H41" i="60" s="1"/>
  <c r="G100" i="10"/>
  <c r="CK8" i="59"/>
  <c r="CK6" i="59"/>
  <c r="H40" i="60"/>
  <c r="M12" i="60"/>
  <c r="CK7" i="59"/>
  <c r="F31" i="60"/>
  <c r="AH87" i="9" s="1"/>
  <c r="AH88" i="9" s="1"/>
  <c r="S13" i="63"/>
  <c r="N49" i="8"/>
  <c r="N61" i="8" s="1"/>
  <c r="N62" i="8" s="1"/>
  <c r="Q74" i="8" s="1"/>
  <c r="L10" i="83" s="1"/>
  <c r="D59" i="60"/>
  <c r="D60" i="60" s="1"/>
  <c r="CT10" i="59"/>
  <c r="AM57" i="8"/>
  <c r="CT11" i="59"/>
  <c r="H30" i="63"/>
  <c r="BZ73" i="9"/>
  <c r="BZ75" i="9" s="1"/>
  <c r="H7" i="51" s="1"/>
  <c r="BC9" i="59"/>
  <c r="BE9" i="59"/>
  <c r="AL98" i="14"/>
  <c r="AL100" i="14" s="1"/>
  <c r="AL101" i="14" s="1"/>
  <c r="AH93" i="14" s="1"/>
  <c r="X61" i="8"/>
  <c r="X95" i="74"/>
  <c r="X96" i="74" s="1"/>
  <c r="GH9" i="34" s="1"/>
  <c r="D52" i="63"/>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DK36" i="6" l="1"/>
  <c r="AL77" i="6" s="1"/>
  <c r="Q78" i="6" s="1"/>
  <c r="J25" i="51" s="1"/>
  <c r="J26" i="51" s="1"/>
  <c r="J29" i="51" s="1"/>
  <c r="T31" i="10"/>
  <c r="CW11" i="59" s="1"/>
  <c r="G100" i="11"/>
  <c r="G22" i="75"/>
  <c r="H37" i="60"/>
  <c r="M13" i="60"/>
  <c r="AH87" i="10"/>
  <c r="AH88" i="10" s="1"/>
  <c r="S10" i="59"/>
  <c r="AH92" i="9"/>
  <c r="CT12" i="59"/>
  <c r="CC71" i="10"/>
  <c r="AH93" i="15"/>
  <c r="T15" i="59"/>
  <c r="I49" i="63"/>
  <c r="D55" i="63"/>
  <c r="J49" i="63"/>
  <c r="D66" i="60"/>
  <c r="J55" i="60"/>
  <c r="E74" i="8"/>
  <c r="D33" i="83" s="1"/>
  <c r="Q76" i="8"/>
  <c r="F10" i="83" s="1"/>
  <c r="X89" i="74"/>
  <c r="AA80" i="74" s="1"/>
  <c r="AA82" i="74" s="1"/>
  <c r="H51" i="60"/>
  <c r="I55" i="60"/>
  <c r="D10" i="83"/>
  <c r="AC9" i="59"/>
  <c r="DK25" i="8"/>
  <c r="DK31" i="8" s="1"/>
  <c r="DK32" i="8" s="1"/>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L8" i="16" l="1"/>
  <c r="Q85" i="6"/>
  <c r="J8" i="83" s="1"/>
  <c r="E76" i="6"/>
  <c r="H8" i="83"/>
  <c r="I8" i="83" s="1"/>
  <c r="O117" i="76"/>
  <c r="G39" i="75" s="1"/>
  <c r="O129" i="76"/>
  <c r="G100" i="12"/>
  <c r="Q10" i="59"/>
  <c r="AQ16" i="9"/>
  <c r="AQ51" i="9" s="1"/>
  <c r="F81" i="6"/>
  <c r="DK35" i="8"/>
  <c r="I24" i="51"/>
  <c r="CT13" i="59"/>
  <c r="AH92" i="10"/>
  <c r="AH87" i="11"/>
  <c r="AH88" i="11" s="1"/>
  <c r="S11" i="59"/>
  <c r="D57" i="63"/>
  <c r="G99" i="9" s="1"/>
  <c r="T28" i="9" s="1"/>
  <c r="D68" i="60"/>
  <c r="G70" i="60" s="1"/>
  <c r="G71" i="60" s="1"/>
  <c r="W13" i="59" s="1"/>
  <c r="BZ73" i="10"/>
  <c r="BZ75" i="10" s="1"/>
  <c r="T16" i="59"/>
  <c r="B29" i="54"/>
  <c r="B10" i="16"/>
  <c r="J10" i="16" s="1"/>
  <c r="C8" i="52" s="1"/>
  <c r="BZ86" i="8"/>
  <c r="I12" i="51" s="1"/>
  <c r="I23" i="51" s="1"/>
  <c r="DK33" i="8"/>
  <c r="DK30" i="8"/>
  <c r="DK34" i="8" s="1"/>
  <c r="AA95" i="74"/>
  <c r="AA96" i="74" s="1"/>
  <c r="GH10" i="34" s="1"/>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T31" i="11" l="1"/>
  <c r="CW12" i="59" s="1"/>
  <c r="G100" i="13"/>
  <c r="G28" i="75"/>
  <c r="H28" i="75" s="1"/>
  <c r="G23" i="75"/>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CA75" i="10"/>
  <c r="K15" i="60"/>
  <c r="W14" i="59"/>
  <c r="W11" i="59"/>
  <c r="W10" i="59"/>
  <c r="W15" i="59"/>
  <c r="W12" i="59"/>
  <c r="W16" i="59"/>
  <c r="G99" i="10"/>
  <c r="T28" i="10" s="1"/>
  <c r="CC71" i="11"/>
  <c r="AA89" i="74"/>
  <c r="AD80" i="74" s="1"/>
  <c r="AD82" i="74" s="1"/>
  <c r="AD95" i="74" s="1"/>
  <c r="AD96" i="74" s="1"/>
  <c r="GH11" i="3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O118" i="76" l="1"/>
  <c r="G40" i="75" s="1"/>
  <c r="O130" i="76"/>
  <c r="T31" i="12"/>
  <c r="CW13" i="59" s="1"/>
  <c r="G14" i="79"/>
  <c r="J17" i="60"/>
  <c r="G100" i="14"/>
  <c r="G29" i="75"/>
  <c r="G24" i="75"/>
  <c r="H29" i="75"/>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D8" i="79"/>
  <c r="G8" i="79" s="1"/>
  <c r="G13" i="79"/>
  <c r="G12" i="79"/>
  <c r="G10" i="79"/>
  <c r="G11" i="79"/>
  <c r="G9" i="79"/>
  <c r="K16" i="62"/>
  <c r="K18" i="62" s="1"/>
  <c r="K20" i="62" s="1"/>
  <c r="F14" i="79" s="1"/>
  <c r="BZ73" i="11"/>
  <c r="BZ75" i="11" s="1"/>
  <c r="DP20" i="9"/>
  <c r="B10" i="59" s="1"/>
  <c r="B10" i="85" s="1"/>
  <c r="F10" i="85" s="1"/>
  <c r="DK28" i="9"/>
  <c r="G99" i="11"/>
  <c r="T28" i="11" s="1"/>
  <c r="CC71" i="12"/>
  <c r="AD89" i="74"/>
  <c r="AG80" i="74" s="1"/>
  <c r="AG82" i="74" s="1"/>
  <c r="BZ77" i="4"/>
  <c r="DK39" i="4"/>
  <c r="V91" i="4"/>
  <c r="BZ94" i="4"/>
  <c r="F16" i="51" s="1"/>
  <c r="B37" i="50" s="1"/>
  <c r="AH91" i="4"/>
  <c r="AH92" i="4" s="1"/>
  <c r="AQ16" i="4" s="1"/>
  <c r="AQ51" i="4" s="1"/>
  <c r="BL5" i="59"/>
  <c r="AL91" i="4"/>
  <c r="AL92" i="4" s="1"/>
  <c r="AQ17" i="4" s="1"/>
  <c r="AQ52" i="4" s="1"/>
  <c r="EO8" i="4"/>
  <c r="T35" i="4"/>
  <c r="V91" i="5"/>
  <c r="AL91" i="5"/>
  <c r="AL92" i="5" s="1"/>
  <c r="AH91" i="5"/>
  <c r="AH92" i="5" s="1"/>
  <c r="EO8" i="5"/>
  <c r="BZ94" i="5"/>
  <c r="E16" i="51" s="1"/>
  <c r="DK39" i="5"/>
  <c r="BZ77" i="5"/>
  <c r="BL6" i="59"/>
  <c r="T35" i="5"/>
  <c r="H41" i="5" s="1"/>
  <c r="N41" i="5" s="1"/>
  <c r="AG95" i="74"/>
  <c r="AG96" i="74" s="1"/>
  <c r="GH12" i="34" s="1"/>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R53" i="4" l="1"/>
  <c r="X53" i="4" s="1"/>
  <c r="H41" i="4"/>
  <c r="N41" i="4" s="1"/>
  <c r="R53" i="5"/>
  <c r="X53" i="5" s="1"/>
  <c r="R52" i="5"/>
  <c r="R52" i="4"/>
  <c r="T31" i="13"/>
  <c r="CW14" i="59" s="1"/>
  <c r="O119" i="76"/>
  <c r="G41" i="75" s="1"/>
  <c r="O131" i="76"/>
  <c r="G100" i="15"/>
  <c r="G30" i="75"/>
  <c r="G25" i="75"/>
  <c r="H30" i="75"/>
  <c r="Q6" i="59"/>
  <c r="AQ16" i="5"/>
  <c r="AQ51" i="5" s="1"/>
  <c r="Q13" i="59"/>
  <c r="AQ16" i="12"/>
  <c r="AQ51" i="12" s="1"/>
  <c r="R6" i="59"/>
  <c r="AQ17" i="5"/>
  <c r="AQ52" i="5" s="1"/>
  <c r="R5" i="59"/>
  <c r="Q5" i="59"/>
  <c r="F81" i="8"/>
  <c r="B44" i="54"/>
  <c r="CT16" i="59"/>
  <c r="AH87" i="14"/>
  <c r="AH88" i="14" s="1"/>
  <c r="AH92" i="13"/>
  <c r="S14" i="59"/>
  <c r="H88" i="63"/>
  <c r="H91" i="63" s="1"/>
  <c r="M12" i="63" s="1"/>
  <c r="C8" i="79" s="1"/>
  <c r="T30" i="9" s="1"/>
  <c r="CN10" i="59" s="1"/>
  <c r="G88" i="63"/>
  <c r="M21" i="60"/>
  <c r="M22" i="60" s="1"/>
  <c r="BH10" i="59"/>
  <c r="F9" i="79"/>
  <c r="F11" i="79"/>
  <c r="F7" i="79"/>
  <c r="F5" i="79"/>
  <c r="F3" i="79"/>
  <c r="F4" i="79"/>
  <c r="F13" i="79"/>
  <c r="F8" i="79"/>
  <c r="F10" i="79"/>
  <c r="F12" i="79"/>
  <c r="F6" i="79"/>
  <c r="AH91" i="7" s="1"/>
  <c r="AH92" i="7" s="1"/>
  <c r="CA75" i="11"/>
  <c r="B7" i="51"/>
  <c r="BZ73" i="12"/>
  <c r="BZ75" i="12" s="1"/>
  <c r="DK28" i="10"/>
  <c r="DK29" i="10" s="1"/>
  <c r="BZ68" i="10" s="1"/>
  <c r="CN11" i="59"/>
  <c r="R54" i="4"/>
  <c r="X54" i="4" s="1"/>
  <c r="H57" i="10"/>
  <c r="N57" i="10" s="1"/>
  <c r="T35" i="10"/>
  <c r="H41" i="10" s="1"/>
  <c r="N41" i="10" s="1"/>
  <c r="H56" i="10"/>
  <c r="N56" i="10" s="1"/>
  <c r="DP20" i="10"/>
  <c r="B11" i="59" s="1"/>
  <c r="B11" i="85" s="1"/>
  <c r="F11" i="85" s="1"/>
  <c r="CA68" i="10"/>
  <c r="G30" i="51" s="1"/>
  <c r="G99" i="12"/>
  <c r="T28" i="12" s="1"/>
  <c r="R55" i="5"/>
  <c r="X55" i="5" s="1"/>
  <c r="R54" i="5"/>
  <c r="X54" i="5" s="1"/>
  <c r="X52" i="5"/>
  <c r="U49" i="5"/>
  <c r="H49" i="5"/>
  <c r="R48" i="5"/>
  <c r="X48" i="5" s="1"/>
  <c r="R51" i="5"/>
  <c r="X51" i="5" s="1"/>
  <c r="H50" i="5"/>
  <c r="K50" i="5" s="1"/>
  <c r="N50" i="5" s="1"/>
  <c r="R49" i="5"/>
  <c r="H46" i="5"/>
  <c r="N46" i="5" s="1"/>
  <c r="H42" i="5"/>
  <c r="N42" i="5" s="1"/>
  <c r="R41" i="5"/>
  <c r="X41" i="5" s="1"/>
  <c r="H47" i="5"/>
  <c r="N47" i="5" s="1"/>
  <c r="R46" i="5"/>
  <c r="X46" i="5" s="1"/>
  <c r="R44" i="5"/>
  <c r="X44" i="5" s="1"/>
  <c r="R43" i="5"/>
  <c r="U43" i="5" s="1"/>
  <c r="X43" i="5" s="1"/>
  <c r="R42" i="5"/>
  <c r="X42" i="5" s="1"/>
  <c r="R50" i="5"/>
  <c r="U50" i="5" s="1"/>
  <c r="X50" i="5" s="1"/>
  <c r="R47" i="5"/>
  <c r="X47" i="5" s="1"/>
  <c r="K49" i="5"/>
  <c r="H48" i="5"/>
  <c r="N48" i="5" s="1"/>
  <c r="K49" i="4"/>
  <c r="U49" i="4"/>
  <c r="R55" i="4"/>
  <c r="X55" i="4" s="1"/>
  <c r="R49" i="4"/>
  <c r="R44" i="4"/>
  <c r="X44" i="4" s="1"/>
  <c r="R46" i="4"/>
  <c r="X52" i="4"/>
  <c r="R48" i="4"/>
  <c r="X48" i="4" s="1"/>
  <c r="R43" i="4"/>
  <c r="U43" i="4" s="1"/>
  <c r="X43" i="4" s="1"/>
  <c r="R41" i="4"/>
  <c r="X41" i="4" s="1"/>
  <c r="R51" i="4"/>
  <c r="X51" i="4" s="1"/>
  <c r="R47" i="4"/>
  <c r="R42" i="4"/>
  <c r="R50" i="4"/>
  <c r="U50" i="4" s="1"/>
  <c r="X50" i="4" s="1"/>
  <c r="H50" i="4"/>
  <c r="K50" i="4" s="1"/>
  <c r="N50" i="4" s="1"/>
  <c r="H46" i="4"/>
  <c r="H49" i="4"/>
  <c r="H42" i="4"/>
  <c r="N42" i="4" s="1"/>
  <c r="H48" i="4"/>
  <c r="N48" i="4" s="1"/>
  <c r="H47" i="4"/>
  <c r="N47" i="4" s="1"/>
  <c r="CC71" i="13"/>
  <c r="B6" i="83"/>
  <c r="C6" i="83" s="1"/>
  <c r="EG1" i="4"/>
  <c r="B13" i="28"/>
  <c r="AN5" i="59"/>
  <c r="CM5" i="59" s="1"/>
  <c r="N56" i="4"/>
  <c r="N57" i="4"/>
  <c r="CA72" i="4"/>
  <c r="F8" i="51"/>
  <c r="B17" i="50" s="1"/>
  <c r="CA75" i="4"/>
  <c r="CB78" i="4" s="1"/>
  <c r="F21" i="51" s="1"/>
  <c r="B47" i="50" s="1"/>
  <c r="E8" i="51"/>
  <c r="CA72" i="5"/>
  <c r="CA75" i="5"/>
  <c r="CB78" i="5" s="1"/>
  <c r="E21" i="51" s="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R53" i="10" l="1"/>
  <c r="X53" i="10" s="1"/>
  <c r="R52" i="10"/>
  <c r="X52" i="10" s="1"/>
  <c r="O120" i="76"/>
  <c r="G42" i="75" s="1"/>
  <c r="O132" i="76"/>
  <c r="Q8" i="59"/>
  <c r="AQ16" i="7"/>
  <c r="AQ51" i="7" s="1"/>
  <c r="Q14" i="59"/>
  <c r="AQ16" i="13"/>
  <c r="AQ51" i="13" s="1"/>
  <c r="N49" i="4"/>
  <c r="DM28" i="9"/>
  <c r="DK29" i="9" s="1"/>
  <c r="BZ68" i="9" s="1"/>
  <c r="BK10" i="59"/>
  <c r="AH87" i="15"/>
  <c r="AH88" i="15" s="1"/>
  <c r="AH92" i="14"/>
  <c r="S15" i="59"/>
  <c r="CA68" i="9"/>
  <c r="H30" i="51" s="1"/>
  <c r="H57" i="9"/>
  <c r="N57" i="9" s="1"/>
  <c r="T35" i="9"/>
  <c r="H56" i="9"/>
  <c r="N56" i="9" s="1"/>
  <c r="D10" i="59"/>
  <c r="EO8" i="9"/>
  <c r="CC81" i="9"/>
  <c r="BZ77" i="9" s="1"/>
  <c r="H8" i="51" s="1"/>
  <c r="CC81" i="7"/>
  <c r="BZ77" i="7" s="1"/>
  <c r="CA72" i="7" s="1"/>
  <c r="H56" i="7"/>
  <c r="N56" i="7" s="1"/>
  <c r="H57" i="7"/>
  <c r="N57" i="7" s="1"/>
  <c r="DK39" i="7"/>
  <c r="V91" i="7"/>
  <c r="AL91" i="7"/>
  <c r="AL92" i="7" s="1"/>
  <c r="BZ94" i="7"/>
  <c r="C16" i="51" s="1"/>
  <c r="BL8" i="59"/>
  <c r="T35" i="7"/>
  <c r="H41" i="7" s="1"/>
  <c r="N41" i="7" s="1"/>
  <c r="EO8" i="7"/>
  <c r="M7" i="51"/>
  <c r="CA75" i="12"/>
  <c r="BZ73" i="13"/>
  <c r="BZ75" i="13" s="1"/>
  <c r="BH11" i="59"/>
  <c r="G6" i="51"/>
  <c r="DK28" i="11"/>
  <c r="DK29" i="11" s="1"/>
  <c r="BZ68" i="11" s="1"/>
  <c r="CN12" i="59"/>
  <c r="CA68" i="11"/>
  <c r="B30" i="51" s="1"/>
  <c r="H57" i="11"/>
  <c r="N57" i="11" s="1"/>
  <c r="T35" i="11"/>
  <c r="H41" i="11" s="1"/>
  <c r="N41" i="11" s="1"/>
  <c r="H56" i="11"/>
  <c r="N56" i="11" s="1"/>
  <c r="DP20" i="11"/>
  <c r="B12" i="59" s="1"/>
  <c r="B12" i="85" s="1"/>
  <c r="F12" i="85" s="1"/>
  <c r="G99" i="13"/>
  <c r="T28" i="13" s="1"/>
  <c r="R46" i="10"/>
  <c r="X46" i="10" s="1"/>
  <c r="H48" i="10"/>
  <c r="N48" i="10" s="1"/>
  <c r="R51" i="10"/>
  <c r="X51" i="10" s="1"/>
  <c r="R41" i="10"/>
  <c r="X41" i="10" s="1"/>
  <c r="H50" i="10"/>
  <c r="K50" i="10" s="1"/>
  <c r="N50" i="10" s="1"/>
  <c r="E14" i="28"/>
  <c r="R44" i="10"/>
  <c r="X44" i="10" s="1"/>
  <c r="R47" i="10"/>
  <c r="X47" i="10" s="1"/>
  <c r="U49" i="10"/>
  <c r="R49" i="10"/>
  <c r="R54" i="10"/>
  <c r="X54" i="10" s="1"/>
  <c r="B12" i="83"/>
  <c r="R50" i="10"/>
  <c r="U50" i="10" s="1"/>
  <c r="X50" i="10" s="1"/>
  <c r="R43" i="10"/>
  <c r="U43" i="10" s="1"/>
  <c r="X43" i="10" s="1"/>
  <c r="R55" i="10"/>
  <c r="X55" i="10" s="1"/>
  <c r="R48" i="10"/>
  <c r="X48" i="10" s="1"/>
  <c r="R42" i="10"/>
  <c r="X42" i="10" s="1"/>
  <c r="H46" i="10"/>
  <c r="N46" i="10" s="1"/>
  <c r="CB78" i="10"/>
  <c r="G21" i="51" s="1"/>
  <c r="H47" i="10"/>
  <c r="N47" i="10" s="1"/>
  <c r="K49" i="10"/>
  <c r="H42" i="10"/>
  <c r="N42" i="10" s="1"/>
  <c r="H49" i="10"/>
  <c r="EG1" i="10"/>
  <c r="AN11" i="59"/>
  <c r="CM11" i="59" s="1"/>
  <c r="Z70" i="10"/>
  <c r="N49" i="5"/>
  <c r="X49" i="5"/>
  <c r="X49" i="4"/>
  <c r="X46" i="4"/>
  <c r="N46" i="4"/>
  <c r="X42" i="4"/>
  <c r="X47" i="4"/>
  <c r="BD5" i="59"/>
  <c r="AM57" i="4"/>
  <c r="Z70" i="4"/>
  <c r="AJ95" i="74"/>
  <c r="AJ96" i="74" s="1"/>
  <c r="GH13" i="34" s="1"/>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R53" i="9" l="1"/>
  <c r="X53" i="9" s="1"/>
  <c r="H41" i="9"/>
  <c r="N41" i="9" s="1"/>
  <c r="H47" i="7"/>
  <c r="N47" i="7" s="1"/>
  <c r="R53" i="7"/>
  <c r="X53" i="7" s="1"/>
  <c r="R52" i="7"/>
  <c r="R53" i="11"/>
  <c r="X53" i="11" s="1"/>
  <c r="R52" i="11"/>
  <c r="X52" i="11" s="1"/>
  <c r="B11" i="83"/>
  <c r="R52" i="9"/>
  <c r="X52" i="9" s="1"/>
  <c r="T31" i="14"/>
  <c r="CW15" i="59" s="1"/>
  <c r="G27" i="75"/>
  <c r="G43" i="75"/>
  <c r="G31" i="75"/>
  <c r="G26" i="75"/>
  <c r="R8" i="59"/>
  <c r="AQ17" i="7"/>
  <c r="AQ52" i="7" s="1"/>
  <c r="Q15" i="59"/>
  <c r="AQ16" i="14"/>
  <c r="AQ51" i="14" s="1"/>
  <c r="BI10" i="59"/>
  <c r="AH92" i="15"/>
  <c r="B28" i="54"/>
  <c r="S16" i="59"/>
  <c r="R46" i="9"/>
  <c r="X46" i="9" s="1"/>
  <c r="EG1" i="9"/>
  <c r="R50" i="9"/>
  <c r="U50" i="9" s="1"/>
  <c r="X50" i="9" s="1"/>
  <c r="H46" i="9"/>
  <c r="N46" i="9" s="1"/>
  <c r="R55" i="9"/>
  <c r="X55" i="9" s="1"/>
  <c r="H42" i="9"/>
  <c r="N42" i="9" s="1"/>
  <c r="H48" i="9"/>
  <c r="N48" i="9" s="1"/>
  <c r="E13" i="28"/>
  <c r="R51" i="9"/>
  <c r="X51" i="9" s="1"/>
  <c r="R54" i="9"/>
  <c r="X54" i="9" s="1"/>
  <c r="R49" i="9"/>
  <c r="R42" i="9"/>
  <c r="X42" i="9" s="1"/>
  <c r="H50" i="9"/>
  <c r="K50" i="9" s="1"/>
  <c r="N50" i="9" s="1"/>
  <c r="H49" i="9"/>
  <c r="R44" i="9"/>
  <c r="X44" i="9" s="1"/>
  <c r="H47" i="9"/>
  <c r="N47" i="9" s="1"/>
  <c r="U49" i="9"/>
  <c r="R41" i="9"/>
  <c r="X41" i="9" s="1"/>
  <c r="R48" i="9"/>
  <c r="X48" i="9" s="1"/>
  <c r="R47" i="9"/>
  <c r="X47" i="9" s="1"/>
  <c r="R43" i="9"/>
  <c r="U43" i="9" s="1"/>
  <c r="X43" i="9" s="1"/>
  <c r="K49" i="9"/>
  <c r="AN10" i="59"/>
  <c r="CM10" i="59" s="1"/>
  <c r="Z70" i="9"/>
  <c r="CA75" i="9"/>
  <c r="CB78" i="9" s="1"/>
  <c r="H21" i="51" s="1"/>
  <c r="CA72" i="9"/>
  <c r="CA75" i="7"/>
  <c r="CB78" i="7" s="1"/>
  <c r="C21" i="51" s="1"/>
  <c r="C8" i="51"/>
  <c r="AN8" i="59"/>
  <c r="CM8" i="59" s="1"/>
  <c r="B9" i="83"/>
  <c r="C9" i="83" s="1"/>
  <c r="C10" i="83" s="1"/>
  <c r="R46" i="7"/>
  <c r="X46" i="7" s="1"/>
  <c r="R50" i="7"/>
  <c r="U50" i="7" s="1"/>
  <c r="X50" i="7" s="1"/>
  <c r="R55" i="7"/>
  <c r="X55" i="7" s="1"/>
  <c r="H48" i="7"/>
  <c r="N48" i="7" s="1"/>
  <c r="H46" i="7"/>
  <c r="N46" i="7" s="1"/>
  <c r="R47" i="7"/>
  <c r="X47" i="7" s="1"/>
  <c r="EG1" i="7"/>
  <c r="R41" i="7"/>
  <c r="X41" i="7" s="1"/>
  <c r="R48" i="7"/>
  <c r="X48" i="7" s="1"/>
  <c r="R51" i="7"/>
  <c r="X51" i="7" s="1"/>
  <c r="R42" i="7"/>
  <c r="X42" i="7" s="1"/>
  <c r="U49" i="7"/>
  <c r="R49" i="7"/>
  <c r="R44" i="7"/>
  <c r="X44" i="7" s="1"/>
  <c r="H49" i="7"/>
  <c r="H42" i="7"/>
  <c r="N42" i="7" s="1"/>
  <c r="X52" i="7"/>
  <c r="Z70" i="7"/>
  <c r="R43" i="7"/>
  <c r="U43" i="7" s="1"/>
  <c r="X43" i="7" s="1"/>
  <c r="R54" i="7"/>
  <c r="X54" i="7" s="1"/>
  <c r="H50" i="7"/>
  <c r="K50" i="7" s="1"/>
  <c r="N50" i="7" s="1"/>
  <c r="K49" i="7"/>
  <c r="B16" i="28"/>
  <c r="L7" i="51"/>
  <c r="CA75" i="13"/>
  <c r="J35" i="83"/>
  <c r="EG2" i="10"/>
  <c r="EG2" i="11"/>
  <c r="AM55" i="11" s="1"/>
  <c r="BH12" i="59"/>
  <c r="DK28" i="12"/>
  <c r="DK29" i="12" s="1"/>
  <c r="BZ68" i="12" s="1"/>
  <c r="CN13" i="59"/>
  <c r="N49" i="10"/>
  <c r="N61" i="10" s="1"/>
  <c r="X49" i="10"/>
  <c r="X61" i="10" s="1"/>
  <c r="H6" i="51"/>
  <c r="J34" i="83"/>
  <c r="EG2" i="9"/>
  <c r="AM55" i="9" s="1"/>
  <c r="H56" i="12"/>
  <c r="N56" i="12" s="1"/>
  <c r="T35" i="12"/>
  <c r="H41" i="12" s="1"/>
  <c r="N41" i="12" s="1"/>
  <c r="CA68" i="12"/>
  <c r="M30" i="51" s="1"/>
  <c r="H57" i="12"/>
  <c r="N57" i="12" s="1"/>
  <c r="DP20" i="12"/>
  <c r="B13" i="59" s="1"/>
  <c r="B13" i="85" s="1"/>
  <c r="F13" i="85" s="1"/>
  <c r="R55" i="11"/>
  <c r="X55" i="11" s="1"/>
  <c r="H49" i="11"/>
  <c r="R42" i="11"/>
  <c r="X42" i="11" s="1"/>
  <c r="R43" i="11"/>
  <c r="U43" i="11" s="1"/>
  <c r="X43" i="11" s="1"/>
  <c r="H46" i="11"/>
  <c r="N46" i="11" s="1"/>
  <c r="EG1" i="11"/>
  <c r="K49" i="11"/>
  <c r="R54" i="11"/>
  <c r="X54" i="11" s="1"/>
  <c r="R48" i="11"/>
  <c r="X48" i="11" s="1"/>
  <c r="R41" i="11"/>
  <c r="X41" i="11" s="1"/>
  <c r="H42" i="11"/>
  <c r="N42" i="11" s="1"/>
  <c r="R44" i="11"/>
  <c r="X44" i="11" s="1"/>
  <c r="B13" i="83"/>
  <c r="H48" i="11"/>
  <c r="N48" i="11" s="1"/>
  <c r="R51" i="11"/>
  <c r="X51" i="11" s="1"/>
  <c r="H50" i="11"/>
  <c r="K50" i="11" s="1"/>
  <c r="N50" i="11" s="1"/>
  <c r="R49" i="11"/>
  <c r="E15" i="28"/>
  <c r="R47" i="11"/>
  <c r="X47" i="11" s="1"/>
  <c r="U49" i="11"/>
  <c r="R50" i="11"/>
  <c r="U50" i="11" s="1"/>
  <c r="X50" i="11" s="1"/>
  <c r="R46" i="11"/>
  <c r="X46" i="11" s="1"/>
  <c r="H47" i="11"/>
  <c r="N47" i="11" s="1"/>
  <c r="AN12" i="59"/>
  <c r="CM12" i="59" s="1"/>
  <c r="CB78" i="11"/>
  <c r="B21" i="51" s="1"/>
  <c r="Z70" i="11"/>
  <c r="G99" i="14"/>
  <c r="T28" i="14" s="1"/>
  <c r="BD11" i="59"/>
  <c r="AM57" i="10"/>
  <c r="CC71" i="14"/>
  <c r="X61" i="4"/>
  <c r="N61" i="4"/>
  <c r="Q76" i="4" s="1"/>
  <c r="X61" i="5"/>
  <c r="N61" i="5"/>
  <c r="Q76" i="5" s="1"/>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G17" i="75" l="1"/>
  <c r="C11" i="83"/>
  <c r="C12" i="83" s="1"/>
  <c r="R53" i="12"/>
  <c r="X53" i="12" s="1"/>
  <c r="R52" i="12"/>
  <c r="X52" i="12" s="1"/>
  <c r="O121" i="76"/>
  <c r="O133" i="76"/>
  <c r="H31" i="75"/>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Q16" i="59"/>
  <c r="AQ16" i="15"/>
  <c r="AQ51" i="15" s="1"/>
  <c r="BE11" i="59"/>
  <c r="AM55" i="10"/>
  <c r="C13" i="83"/>
  <c r="BD10" i="59"/>
  <c r="AM57" i="9"/>
  <c r="X49" i="9"/>
  <c r="X61" i="9" s="1"/>
  <c r="N49" i="9"/>
  <c r="N61" i="9" s="1"/>
  <c r="Q76" i="9" s="1"/>
  <c r="F11" i="83" s="1"/>
  <c r="AM57" i="7"/>
  <c r="BD8" i="59"/>
  <c r="N49" i="7"/>
  <c r="N61" i="7" s="1"/>
  <c r="N62" i="7" s="1"/>
  <c r="X49" i="7"/>
  <c r="X61" i="7" s="1"/>
  <c r="BZ73" i="14"/>
  <c r="BZ75" i="14" s="1"/>
  <c r="J36" i="83"/>
  <c r="BC11" i="59"/>
  <c r="B6" i="51"/>
  <c r="BH13" i="59"/>
  <c r="EG2" i="12"/>
  <c r="AM55" i="12" s="1"/>
  <c r="DK28" i="13"/>
  <c r="DK29" i="13" s="1"/>
  <c r="BZ68" i="13" s="1"/>
  <c r="CN14" i="59"/>
  <c r="N49" i="11"/>
  <c r="N61" i="11" s="1"/>
  <c r="X49" i="11"/>
  <c r="X61" i="11" s="1"/>
  <c r="Q76" i="10"/>
  <c r="F12" i="83" s="1"/>
  <c r="E74" i="10"/>
  <c r="D35" i="83" s="1"/>
  <c r="N62" i="10"/>
  <c r="BC12" i="59"/>
  <c r="BE12" i="59"/>
  <c r="BC10" i="59"/>
  <c r="BE10" i="59"/>
  <c r="H57" i="13"/>
  <c r="N57" i="13" s="1"/>
  <c r="T35" i="13"/>
  <c r="H41" i="13" s="1"/>
  <c r="N41" i="13" s="1"/>
  <c r="H56" i="13"/>
  <c r="N56" i="13" s="1"/>
  <c r="DP20" i="13"/>
  <c r="B14" i="59" s="1"/>
  <c r="B14" i="85" s="1"/>
  <c r="F14" i="85" s="1"/>
  <c r="CA68" i="13"/>
  <c r="L30" i="51" s="1"/>
  <c r="G99" i="15"/>
  <c r="T28" i="15" s="1"/>
  <c r="AM57" i="11"/>
  <c r="BD12" i="59"/>
  <c r="K49" i="12"/>
  <c r="R51" i="12"/>
  <c r="X51" i="12" s="1"/>
  <c r="R54" i="12"/>
  <c r="X54" i="12" s="1"/>
  <c r="H50" i="12"/>
  <c r="K50" i="12" s="1"/>
  <c r="N50" i="12" s="1"/>
  <c r="R55" i="12"/>
  <c r="X55" i="12" s="1"/>
  <c r="R42" i="12"/>
  <c r="X42" i="12" s="1"/>
  <c r="EG1" i="12"/>
  <c r="H48" i="12"/>
  <c r="N48" i="12" s="1"/>
  <c r="H49" i="12"/>
  <c r="R50" i="12"/>
  <c r="U50" i="12" s="1"/>
  <c r="X50" i="12" s="1"/>
  <c r="R48" i="12"/>
  <c r="X48" i="12" s="1"/>
  <c r="R49" i="12"/>
  <c r="AN13" i="59"/>
  <c r="CM13" i="59" s="1"/>
  <c r="R47" i="12"/>
  <c r="X47" i="12" s="1"/>
  <c r="H42" i="12"/>
  <c r="N42" i="12" s="1"/>
  <c r="U49" i="12"/>
  <c r="H47" i="12"/>
  <c r="N47" i="12" s="1"/>
  <c r="R44" i="12"/>
  <c r="X44" i="12" s="1"/>
  <c r="E16" i="28"/>
  <c r="R41" i="12"/>
  <c r="X41" i="12" s="1"/>
  <c r="H46" i="12"/>
  <c r="N46" i="12" s="1"/>
  <c r="R46" i="12"/>
  <c r="X46" i="12" s="1"/>
  <c r="R43" i="12"/>
  <c r="U43" i="12" s="1"/>
  <c r="X43" i="12" s="1"/>
  <c r="B14" i="83"/>
  <c r="CB78" i="12"/>
  <c r="M21" i="51" s="1"/>
  <c r="Z70" i="12"/>
  <c r="N62" i="4"/>
  <c r="E74" i="4"/>
  <c r="H74" i="4" s="1"/>
  <c r="F6" i="83"/>
  <c r="G6" i="83" s="1"/>
  <c r="E74" i="5"/>
  <c r="B7" i="16" s="1"/>
  <c r="N62" i="5"/>
  <c r="F7" i="83"/>
  <c r="AM95" i="74"/>
  <c r="AM96" i="74" s="1"/>
  <c r="GH14" i="34" s="1"/>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R53" i="13" l="1"/>
  <c r="X53" i="13" s="1"/>
  <c r="R52" i="13"/>
  <c r="X52" i="13" s="1"/>
  <c r="T31" i="15"/>
  <c r="CW16" i="59" s="1"/>
  <c r="C14" i="83"/>
  <c r="X49" i="12"/>
  <c r="X61" i="12" s="1"/>
  <c r="E11" i="75"/>
  <c r="H10" i="75"/>
  <c r="G10" i="75"/>
  <c r="E74" i="9"/>
  <c r="B11" i="16" s="1"/>
  <c r="J11" i="16" s="1"/>
  <c r="C9" i="52" s="1"/>
  <c r="N62" i="9"/>
  <c r="Q74" i="9" s="1"/>
  <c r="L11" i="83" s="1"/>
  <c r="E74" i="7"/>
  <c r="D32" i="83" s="1"/>
  <c r="Q76" i="7"/>
  <c r="F9" i="83" s="1"/>
  <c r="CA75" i="14"/>
  <c r="K7" i="51"/>
  <c r="M6" i="51"/>
  <c r="J37" i="83"/>
  <c r="CN16" i="59"/>
  <c r="DK25" i="7"/>
  <c r="DK31" i="7" s="1"/>
  <c r="DK32" i="7" s="1"/>
  <c r="D9" i="83"/>
  <c r="Q74" i="7"/>
  <c r="L9" i="83" s="1"/>
  <c r="AC8" i="59"/>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E74" i="11"/>
  <c r="N62" i="11"/>
  <c r="Q74" i="11" s="1"/>
  <c r="L13" i="83" s="1"/>
  <c r="N49" i="12"/>
  <c r="N61" i="12" s="1"/>
  <c r="H56" i="14"/>
  <c r="N56" i="14" s="1"/>
  <c r="DP20" i="14"/>
  <c r="B15" i="59" s="1"/>
  <c r="B15" i="85" s="1"/>
  <c r="F15" i="85" s="1"/>
  <c r="T35" i="14"/>
  <c r="H41" i="14" s="1"/>
  <c r="N41" i="14" s="1"/>
  <c r="H57" i="14"/>
  <c r="N57" i="14" s="1"/>
  <c r="CA68" i="14"/>
  <c r="K30" i="51" s="1"/>
  <c r="H48" i="13"/>
  <c r="N48" i="13" s="1"/>
  <c r="R46" i="13"/>
  <c r="X46" i="13" s="1"/>
  <c r="R55" i="13"/>
  <c r="X55" i="13" s="1"/>
  <c r="H49" i="13"/>
  <c r="R49" i="13"/>
  <c r="E17" i="28"/>
  <c r="R47" i="13"/>
  <c r="X47" i="13" s="1"/>
  <c r="R44" i="13"/>
  <c r="X44" i="13" s="1"/>
  <c r="R54" i="13"/>
  <c r="X54" i="13" s="1"/>
  <c r="R48" i="13"/>
  <c r="X48" i="13" s="1"/>
  <c r="H46" i="13"/>
  <c r="N46" i="13" s="1"/>
  <c r="EG1" i="13"/>
  <c r="R50" i="13"/>
  <c r="U50" i="13" s="1"/>
  <c r="X50" i="13" s="1"/>
  <c r="R43" i="13"/>
  <c r="U43" i="13" s="1"/>
  <c r="X43" i="13" s="1"/>
  <c r="R51" i="13"/>
  <c r="X51" i="13" s="1"/>
  <c r="H42" i="13"/>
  <c r="N42" i="13" s="1"/>
  <c r="B15" i="83"/>
  <c r="K49" i="13"/>
  <c r="H47" i="13"/>
  <c r="N47" i="13" s="1"/>
  <c r="R42" i="13"/>
  <c r="X42" i="13" s="1"/>
  <c r="U49" i="13"/>
  <c r="H50" i="13"/>
  <c r="K50" i="13" s="1"/>
  <c r="N50" i="13" s="1"/>
  <c r="R41" i="13"/>
  <c r="X41" i="13" s="1"/>
  <c r="AN14" i="59"/>
  <c r="CM14" i="59" s="1"/>
  <c r="Z70" i="13"/>
  <c r="CB78" i="13"/>
  <c r="L21" i="51" s="1"/>
  <c r="AM57" i="12"/>
  <c r="BD13" i="59"/>
  <c r="DK25" i="5"/>
  <c r="H57" i="15"/>
  <c r="N57" i="15" s="1"/>
  <c r="CC71" i="15"/>
  <c r="DK28" i="15"/>
  <c r="DK29" i="15" s="1"/>
  <c r="BZ68" i="15" s="1"/>
  <c r="D7" i="83"/>
  <c r="D30" i="83"/>
  <c r="D6" i="83"/>
  <c r="E6" i="83" s="1"/>
  <c r="AC5" i="59"/>
  <c r="D29" i="83"/>
  <c r="E29" i="83" s="1"/>
  <c r="H74" i="5"/>
  <c r="H74" i="6" s="1"/>
  <c r="B6" i="16"/>
  <c r="J6" i="16" s="1"/>
  <c r="C4" i="52" s="1"/>
  <c r="AM89" i="74"/>
  <c r="B33" i="54" s="1"/>
  <c r="G7" i="83"/>
  <c r="G8" i="83" s="1"/>
  <c r="CA68" i="15"/>
  <c r="D30" i="51" s="1"/>
  <c r="DP20" i="15"/>
  <c r="B16" i="59" s="1"/>
  <c r="B16" i="85" s="1"/>
  <c r="F16" i="85"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T35" i="15" l="1"/>
  <c r="R52" i="15" s="1"/>
  <c r="X52" i="15" s="1"/>
  <c r="H56" i="15"/>
  <c r="N56" i="15" s="1"/>
  <c r="C15" i="83"/>
  <c r="R53" i="14"/>
  <c r="X53" i="14" s="1"/>
  <c r="R52" i="14"/>
  <c r="O122" i="76"/>
  <c r="O134" i="76"/>
  <c r="DK31" i="5"/>
  <c r="DK32" i="5" s="1"/>
  <c r="BZ86" i="10"/>
  <c r="G12" i="51" s="1"/>
  <c r="G23" i="51" s="1"/>
  <c r="DK31" i="10"/>
  <c r="DK32" i="10" s="1"/>
  <c r="DK33" i="10" s="1"/>
  <c r="C24" i="51"/>
  <c r="DK35" i="7"/>
  <c r="DK31" i="4"/>
  <c r="DK32" i="4" s="1"/>
  <c r="AC10" i="59"/>
  <c r="DK25" i="9"/>
  <c r="D11" i="83"/>
  <c r="D34" i="83"/>
  <c r="H74" i="7"/>
  <c r="H74" i="8" s="1"/>
  <c r="H74" i="9" s="1"/>
  <c r="H74" i="10" s="1"/>
  <c r="H74" i="11" s="1"/>
  <c r="B9" i="16"/>
  <c r="J9" i="16" s="1"/>
  <c r="C7" i="52" s="1"/>
  <c r="BZ73" i="15"/>
  <c r="BZ75" i="15" s="1"/>
  <c r="K6" i="51"/>
  <c r="DK30" i="10"/>
  <c r="DK34" i="10" s="1"/>
  <c r="BH15" i="59"/>
  <c r="G9" i="83"/>
  <c r="G10" i="83" s="1"/>
  <c r="G11" i="83" s="1"/>
  <c r="G12" i="83" s="1"/>
  <c r="G13" i="83" s="1"/>
  <c r="DK33" i="7"/>
  <c r="DK30" i="7"/>
  <c r="DK34" i="7" s="1"/>
  <c r="BZ86" i="7"/>
  <c r="C12" i="51" s="1"/>
  <c r="C23" i="51" s="1"/>
  <c r="BZ86" i="4"/>
  <c r="F12" i="51" s="1"/>
  <c r="B27" i="50" s="1"/>
  <c r="EG2" i="14"/>
  <c r="DK30" i="4"/>
  <c r="DK34" i="4" s="1"/>
  <c r="DK30" i="5"/>
  <c r="DK34" i="5" s="1"/>
  <c r="E30" i="83"/>
  <c r="E31" i="83" s="1"/>
  <c r="E32" i="83" s="1"/>
  <c r="E33" i="83" s="1"/>
  <c r="BZ86" i="5"/>
  <c r="E12" i="51" s="1"/>
  <c r="E23" i="51" s="1"/>
  <c r="X49" i="13"/>
  <c r="X61" i="13" s="1"/>
  <c r="BC14" i="59"/>
  <c r="BE14" i="59"/>
  <c r="N49" i="13"/>
  <c r="N61" i="13" s="1"/>
  <c r="H47" i="14"/>
  <c r="N47" i="14" s="1"/>
  <c r="R42" i="14"/>
  <c r="X42" i="14" s="1"/>
  <c r="R47" i="14"/>
  <c r="X47" i="14" s="1"/>
  <c r="R41" i="14"/>
  <c r="X41" i="14" s="1"/>
  <c r="U49" i="14"/>
  <c r="B16" i="83"/>
  <c r="C16" i="83" s="1"/>
  <c r="R46" i="14"/>
  <c r="X46" i="14" s="1"/>
  <c r="H46" i="14"/>
  <c r="N46" i="14" s="1"/>
  <c r="R51" i="14"/>
  <c r="X51" i="14" s="1"/>
  <c r="R55" i="14"/>
  <c r="X55" i="14" s="1"/>
  <c r="H49" i="14"/>
  <c r="AN15" i="59"/>
  <c r="CM15" i="59" s="1"/>
  <c r="CB78" i="14"/>
  <c r="K21" i="51" s="1"/>
  <c r="R44" i="14"/>
  <c r="X44" i="14" s="1"/>
  <c r="K49" i="14"/>
  <c r="H50" i="14"/>
  <c r="K50" i="14" s="1"/>
  <c r="N50" i="14" s="1"/>
  <c r="R54" i="14"/>
  <c r="X54" i="14" s="1"/>
  <c r="R48" i="14"/>
  <c r="X48" i="14" s="1"/>
  <c r="E18" i="28"/>
  <c r="R50" i="14"/>
  <c r="U50" i="14" s="1"/>
  <c r="X50" i="14" s="1"/>
  <c r="R43" i="14"/>
  <c r="U43" i="14" s="1"/>
  <c r="X43" i="14" s="1"/>
  <c r="H48" i="14"/>
  <c r="N48" i="14" s="1"/>
  <c r="H42" i="14"/>
  <c r="N42" i="14" s="1"/>
  <c r="X52" i="14"/>
  <c r="R49" i="14"/>
  <c r="EG1" i="14"/>
  <c r="D13" i="83"/>
  <c r="DK25" i="11"/>
  <c r="DK31" i="11" s="1"/>
  <c r="DK32" i="11" s="1"/>
  <c r="AC12" i="59"/>
  <c r="Z70" i="14"/>
  <c r="D36" i="83"/>
  <c r="B13" i="16"/>
  <c r="J13" i="16" s="1"/>
  <c r="C11" i="52" s="1"/>
  <c r="N62" i="12"/>
  <c r="Q74" i="12" s="1"/>
  <c r="L14" i="83" s="1"/>
  <c r="Q76" i="12"/>
  <c r="F14" i="83" s="1"/>
  <c r="E74" i="12"/>
  <c r="AM57" i="13"/>
  <c r="BD14" i="59"/>
  <c r="H42" i="15"/>
  <c r="N42" i="15" s="1"/>
  <c r="R41" i="15"/>
  <c r="X41" i="15" s="1"/>
  <c r="R50" i="15"/>
  <c r="U50" i="15" s="1"/>
  <c r="X50" i="15" s="1"/>
  <c r="H47" i="15"/>
  <c r="N47" i="15" s="1"/>
  <c r="R46" i="15"/>
  <c r="X46" i="15" s="1"/>
  <c r="R44" i="15"/>
  <c r="X44" i="15" s="1"/>
  <c r="R43" i="15"/>
  <c r="U43" i="15" s="1"/>
  <c r="X43" i="15" s="1"/>
  <c r="R42" i="15"/>
  <c r="X42" i="15" s="1"/>
  <c r="R55" i="15"/>
  <c r="X55" i="15" s="1"/>
  <c r="R54" i="15"/>
  <c r="X54" i="15" s="1"/>
  <c r="K49" i="15"/>
  <c r="H48" i="15"/>
  <c r="N48" i="15" s="1"/>
  <c r="R47" i="15"/>
  <c r="X47" i="15" s="1"/>
  <c r="U49" i="15"/>
  <c r="H49" i="15"/>
  <c r="R48" i="15"/>
  <c r="X48" i="15" s="1"/>
  <c r="E7" i="83"/>
  <c r="E8" i="83" s="1"/>
  <c r="E9" i="83" s="1"/>
  <c r="E10" i="83" s="1"/>
  <c r="BH16" i="59"/>
  <c r="E19" i="28"/>
  <c r="EG1" i="15"/>
  <c r="B17" i="83"/>
  <c r="AN16" i="59"/>
  <c r="CM16" i="59" s="1"/>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H46" i="15" l="1"/>
  <c r="N46" i="15" s="1"/>
  <c r="R49" i="15"/>
  <c r="X49" i="15" s="1"/>
  <c r="H50" i="15"/>
  <c r="K50" i="15" s="1"/>
  <c r="N50" i="15" s="1"/>
  <c r="R51" i="15"/>
  <c r="X51" i="15" s="1"/>
  <c r="R53" i="15"/>
  <c r="X53" i="15" s="1"/>
  <c r="H41" i="15"/>
  <c r="N41" i="15" s="1"/>
  <c r="BE15" i="59"/>
  <c r="AM55" i="14"/>
  <c r="DK36" i="7"/>
  <c r="AL77" i="7" s="1"/>
  <c r="Q78" i="7" s="1"/>
  <c r="C25" i="51" s="1"/>
  <c r="C26" i="51" s="1"/>
  <c r="C29" i="51" s="1"/>
  <c r="G14" i="83"/>
  <c r="DK35" i="4"/>
  <c r="DK36" i="4" s="1"/>
  <c r="AL77" i="4" s="1"/>
  <c r="Q78" i="4" s="1"/>
  <c r="H6" i="83" s="1"/>
  <c r="I6" i="83" s="1"/>
  <c r="F24" i="51"/>
  <c r="B55"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11" i="83"/>
  <c r="E12" i="83" s="1"/>
  <c r="E13" i="83" s="1"/>
  <c r="E34" i="83"/>
  <c r="E35" i="83" s="1"/>
  <c r="E36" i="83" s="1"/>
  <c r="CA75" i="15"/>
  <c r="CB78" i="15" s="1"/>
  <c r="D21" i="51" s="1"/>
  <c r="D7" i="51"/>
  <c r="J39" i="83"/>
  <c r="BC15" i="59"/>
  <c r="F23" i="51"/>
  <c r="B53" i="50" s="1"/>
  <c r="H74" i="12"/>
  <c r="N49" i="14"/>
  <c r="N61" i="14" s="1"/>
  <c r="B14" i="16"/>
  <c r="J14" i="16" s="1"/>
  <c r="C12" i="52" s="1"/>
  <c r="D37" i="83"/>
  <c r="BD15" i="59"/>
  <c r="AM57" i="14"/>
  <c r="X49" i="14"/>
  <c r="X61" i="14" s="1"/>
  <c r="AC13" i="59"/>
  <c r="DK25" i="12"/>
  <c r="DK31" i="12" s="1"/>
  <c r="DK32" i="12" s="1"/>
  <c r="D14" i="83"/>
  <c r="DK33" i="11"/>
  <c r="BZ86" i="11"/>
  <c r="B12" i="51" s="1"/>
  <c r="B23" i="51" s="1"/>
  <c r="DK30" i="11"/>
  <c r="DK34" i="11" s="1"/>
  <c r="E74" i="13"/>
  <c r="N62" i="13"/>
  <c r="Q74" i="13" s="1"/>
  <c r="L15" i="83" s="1"/>
  <c r="Q76" i="13"/>
  <c r="F15" i="83" s="1"/>
  <c r="N49" i="15"/>
  <c r="D6" i="51"/>
  <c r="J40" i="83"/>
  <c r="EG2" i="15"/>
  <c r="AM55" i="15" s="1"/>
  <c r="C17" i="83"/>
  <c r="B19" i="83"/>
  <c r="AM57" i="15"/>
  <c r="BD16" i="59"/>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L9" i="16" l="1"/>
  <c r="G15" i="83"/>
  <c r="Q85" i="7"/>
  <c r="F81" i="7" s="1"/>
  <c r="H9" i="83"/>
  <c r="I9" i="83" s="1"/>
  <c r="E76" i="7"/>
  <c r="DK36" i="11"/>
  <c r="AL77" i="11" s="1"/>
  <c r="Q78" i="11" s="1"/>
  <c r="H13" i="83" s="1"/>
  <c r="I13" i="83" s="1"/>
  <c r="E76" i="4"/>
  <c r="H76" i="4" s="1"/>
  <c r="L6" i="16"/>
  <c r="Q85" i="4"/>
  <c r="F81" i="4" s="1"/>
  <c r="F25" i="51"/>
  <c r="B57"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E74" i="14"/>
  <c r="D39" i="83" s="1"/>
  <c r="E37" i="83"/>
  <c r="AC14" i="59"/>
  <c r="D15" i="83"/>
  <c r="DK25" i="13"/>
  <c r="DK31" i="13" s="1"/>
  <c r="DK32" i="13" s="1"/>
  <c r="D38" i="83"/>
  <c r="B15" i="16"/>
  <c r="J15" i="16" s="1"/>
  <c r="C13" i="52" s="1"/>
  <c r="DK33" i="12"/>
  <c r="BZ86" i="12"/>
  <c r="M12" i="51" s="1"/>
  <c r="M23" i="51" s="1"/>
  <c r="DK30" i="12"/>
  <c r="DK34" i="12" s="1"/>
  <c r="H74" i="13"/>
  <c r="BE16" i="59"/>
  <c r="BC16" i="59"/>
  <c r="N61" i="15"/>
  <c r="E74" i="15" s="1"/>
  <c r="X61" i="15"/>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G16" i="83" l="1"/>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N62" i="15"/>
  <c r="D40" i="83"/>
  <c r="B17" i="16"/>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K9" i="83" l="1"/>
  <c r="K10" i="83" s="1"/>
  <c r="H76" i="9"/>
  <c r="H76" i="10" s="1"/>
  <c r="H76" i="11" s="1"/>
  <c r="F81" i="11"/>
  <c r="B59"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K11" i="83" l="1"/>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00000000-0006-0000-1600-000005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00000000-0006-0000-1600-00004A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00000000-0006-0000-1600-00008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0000000-0006-0000-1600-0000D4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00000000-0006-0000-1600-000019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00000000-0006-0000-1600-00005E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00000000-0006-0000-1600-0000A3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00000000-0006-0000-1600-0000E8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00000000-0006-0000-1600-00002D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00000000-0006-0000-1600-000072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00000000-0006-0000-1600-0000B7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00000000-0006-0000-1600-0000FC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700-00000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00000000-0006-0000-1800-00000A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800-00000C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00000000-0006-0000-19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9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00000000-0006-0000-1A00-000009000000}">
      <text>
        <r>
          <rPr>
            <b/>
            <sz val="9"/>
            <color indexed="81"/>
            <rFont val="Tahoma"/>
            <family val="2"/>
          </rPr>
          <t>Heures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A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00000000-0006-0000-1B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B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00000000-0006-0000-1E00-000009000000}">
      <text>
        <r>
          <rPr>
            <b/>
            <sz val="9"/>
            <color indexed="81"/>
            <rFont val="Tahoma"/>
            <family val="2"/>
          </rPr>
          <t>Heures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E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00000000-0006-0000-1F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F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00000000-0006-0000-20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0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00000000-0006-0000-21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1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00000000-0006-0000-2200-000009000000}">
      <text>
        <r>
          <rPr>
            <b/>
            <sz val="9"/>
            <color indexed="81"/>
            <rFont val="Tahoma"/>
            <family val="2"/>
          </rPr>
          <t>Heures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2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00000000-0006-0000-23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3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00000000-0006-0000-2400-000009000000}">
      <text>
        <r>
          <rPr>
            <b/>
            <sz val="9"/>
            <color indexed="81"/>
            <rFont val="Tahoma"/>
            <family val="2"/>
          </rPr>
          <t>Heures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4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<sst xmlns="http://schemas.openxmlformats.org/spreadsheetml/2006/main" count="18232" uniqueCount="1733">
  <si>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</si>
  <si>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</si>
  <si>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</si>
  <si>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</si>
  <si>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</si>
  <si>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</si>
  <si>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</si>
  <si>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</si>
  <si>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</si>
  <si>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</si>
  <si>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</si>
  <si>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</si>
  <si>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</si>
  <si>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</si>
  <si>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</si>
  <si>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Taux conversion net /brut :</t>
  </si>
  <si>
    <t>Jours</t>
  </si>
  <si>
    <t>Lundi</t>
  </si>
  <si>
    <t>Mardi</t>
  </si>
  <si>
    <t>Mercredi</t>
  </si>
  <si>
    <t>Jeudi</t>
  </si>
  <si>
    <t>Vendredi</t>
  </si>
  <si>
    <t>Pajemploi</t>
  </si>
  <si>
    <t>Jours d'activité à déclarer :</t>
  </si>
  <si>
    <t>Brut :</t>
  </si>
  <si>
    <t>Net :</t>
  </si>
  <si>
    <t>Taux smic horaire  :</t>
  </si>
  <si>
    <t>Montant mensuel à ne pas dépasser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</si>
  <si>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</si>
  <si>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</si>
  <si>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</si>
  <si>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</si>
  <si>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</si>
  <si>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</si>
  <si>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</si>
  <si>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</si>
  <si>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</si>
  <si>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</si>
  <si>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</si>
  <si>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</si>
  <si>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</si>
  <si>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</si>
  <si>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</si>
  <si>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</si>
  <si>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</si>
  <si>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</si>
  <si>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</si>
  <si>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</si>
  <si>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</si>
  <si>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</si>
  <si>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</si>
  <si>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</si>
  <si>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</si>
  <si>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</si>
  <si>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</si>
  <si>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</si>
  <si>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</si>
  <si>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</si>
  <si>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</si>
  <si>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</si>
  <si>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</si>
  <si>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</si>
  <si>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</si>
  <si>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Indemnité repas</t>
  </si>
  <si>
    <t>Plafond brut</t>
  </si>
  <si>
    <t>Indemnité goûter</t>
  </si>
  <si>
    <t>Nombre de jours d'accueil :</t>
  </si>
  <si>
    <t>* Nombre de jours calcul Pajemploi :</t>
  </si>
  <si>
    <t>Nombre de jours de 8h et + :</t>
  </si>
  <si>
    <t>Total nombre de jours d'activité :</t>
  </si>
  <si>
    <t>Salaire imposable :</t>
  </si>
  <si>
    <t>Nombre de jours de congés payés :</t>
  </si>
  <si>
    <t>Dépassement du plafond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</si>
  <si>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</si>
  <si>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</si>
  <si>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</si>
  <si>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</si>
  <si>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</si>
  <si>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</si>
  <si>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</si>
  <si>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</si>
  <si>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</si>
  <si>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</si>
  <si>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</si>
  <si>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</si>
  <si>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</si>
  <si>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</si>
  <si>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</si>
  <si>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</si>
  <si>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</si>
  <si>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</si>
  <si>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</si>
  <si>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</si>
  <si>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</si>
  <si>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</si>
  <si>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</si>
  <si>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</si>
  <si>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</si>
  <si>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</si>
  <si>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</si>
  <si>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</si>
  <si>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</si>
  <si>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</si>
  <si>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</si>
  <si>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</si>
  <si>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</si>
  <si>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</si>
  <si>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</si>
  <si>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</si>
  <si>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</si>
  <si>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</si>
  <si>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</si>
  <si>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</si>
  <si>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</si>
  <si>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</si>
  <si>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</si>
  <si>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</si>
  <si>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</si>
  <si>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</si>
  <si>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</si>
  <si>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</si>
  <si>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</si>
  <si>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</si>
  <si>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</si>
  <si>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</si>
  <si>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</si>
  <si>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</si>
  <si>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</si>
  <si>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</si>
  <si>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</si>
  <si>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</si>
  <si>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</si>
  <si>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</si>
  <si>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</si>
  <si>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</si>
  <si>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</si>
  <si>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</si>
  <si>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</si>
  <si>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</si>
  <si>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effectives + Fériés si payés</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</si>
  <si>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</si>
  <si>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</si>
  <si>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</si>
  <si>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</si>
  <si>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</si>
  <si>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</si>
  <si>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</si>
  <si>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</si>
  <si>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</si>
  <si>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</si>
  <si>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</si>
  <si>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</si>
  <si>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</si>
  <si>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</si>
  <si>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</si>
  <si>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</si>
  <si>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</si>
  <si>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</si>
  <si>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</si>
  <si>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</si>
  <si>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</si>
  <si>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</si>
  <si>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</si>
  <si>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</si>
  <si>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</si>
  <si>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</si>
  <si>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</si>
  <si>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</si>
  <si>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</si>
  <si>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</si>
  <si>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</si>
  <si>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</si>
  <si>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</si>
  <si>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</si>
  <si>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</si>
  <si>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</si>
  <si>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</si>
  <si>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</si>
  <si>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</si>
  <si>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</si>
  <si>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</si>
  <si>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</si>
  <si>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</si>
  <si>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</si>
  <si>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</si>
  <si>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</si>
  <si>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</si>
  <si>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</si>
  <si>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</si>
  <si>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</si>
  <si>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</si>
  <si>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</si>
  <si>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</si>
  <si>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</si>
  <si>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</si>
  <si>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</si>
  <si>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</si>
  <si>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</si>
  <si>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Taux de conversion brut/net :</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</si>
  <si>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</si>
  <si>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</si>
  <si>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</si>
  <si>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</si>
  <si>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</si>
  <si>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</si>
  <si>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</si>
  <si>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</si>
  <si>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</si>
  <si>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</si>
  <si>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</si>
  <si>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</si>
  <si>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</si>
  <si>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</si>
  <si>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</si>
  <si>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</si>
  <si>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</si>
  <si>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</si>
  <si>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</si>
  <si>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</si>
  <si>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</si>
  <si>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</si>
  <si>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</si>
  <si>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</si>
  <si>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</si>
  <si>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</si>
  <si>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</si>
  <si>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</si>
  <si>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</si>
  <si>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</si>
  <si>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</si>
  <si>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</si>
  <si>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</si>
  <si>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</si>
  <si>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</si>
  <si>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</si>
  <si>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</si>
  <si>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</si>
  <si>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</si>
  <si>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</si>
  <si>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</si>
  <si>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</si>
  <si>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</si>
  <si>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</si>
  <si>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</si>
  <si>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</si>
  <si>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</si>
  <si>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</si>
  <si>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</si>
  <si>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</si>
  <si>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</si>
  <si>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</si>
  <si>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</si>
  <si>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</si>
  <si>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</si>
  <si>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</si>
  <si>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</si>
  <si>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</si>
  <si>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</si>
  <si>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</si>
  <si>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</si>
  <si>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</si>
  <si>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</si>
  <si>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</si>
  <si>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</si>
  <si>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</si>
  <si>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</si>
  <si>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</si>
  <si>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</si>
  <si>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</si>
  <si>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</si>
  <si>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</si>
  <si>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</si>
  <si>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</si>
  <si>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</si>
  <si>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</si>
  <si>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</si>
  <si>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</si>
  <si>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</si>
  <si>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</si>
  <si>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</si>
  <si>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</si>
  <si>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</si>
  <si>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</si>
  <si>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</si>
  <si>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</si>
  <si>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</si>
  <si>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</si>
  <si>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</si>
  <si>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</si>
  <si>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</si>
  <si>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</si>
  <si>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</si>
  <si>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</si>
  <si>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</si>
  <si>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</si>
  <si>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</si>
  <si>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</si>
  <si>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</si>
  <si>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</si>
  <si>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</si>
  <si>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</si>
  <si>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</si>
  <si>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</si>
  <si>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</si>
  <si>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</si>
  <si>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</si>
  <si>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</si>
  <si>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</si>
  <si>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</si>
  <si>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</si>
  <si>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</si>
  <si>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</si>
  <si>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</si>
  <si>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</si>
  <si>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</si>
  <si>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</si>
  <si>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</si>
  <si>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</si>
  <si>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</si>
  <si>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</si>
  <si>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</si>
  <si>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</si>
  <si>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</si>
  <si>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</si>
  <si>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</si>
  <si>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</si>
  <si>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</si>
  <si>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</si>
  <si>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</si>
  <si>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</si>
  <si>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</si>
  <si>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</si>
  <si>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</si>
  <si>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</si>
  <si>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</si>
  <si>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</si>
  <si>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</si>
  <si>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</si>
  <si>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</si>
  <si>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</si>
  <si>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</si>
  <si>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</si>
  <si>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</si>
  <si>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</si>
  <si>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</si>
  <si>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</si>
  <si>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</si>
  <si>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</si>
  <si>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</si>
  <si>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</si>
  <si>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</si>
  <si>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</si>
  <si>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</si>
  <si>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</si>
  <si>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</si>
  <si>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</si>
  <si>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</si>
  <si>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</si>
  <si>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</si>
  <si>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</si>
  <si>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</si>
  <si>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</si>
  <si>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</si>
  <si>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</si>
  <si>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</si>
  <si>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</si>
  <si>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</si>
  <si>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</si>
  <si>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</si>
  <si>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</si>
  <si>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</si>
  <si>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</si>
  <si>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</si>
  <si>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</si>
  <si>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</si>
  <si>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</si>
  <si>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</si>
  <si>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</si>
  <si>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</si>
  <si>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</si>
  <si>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</si>
  <si>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</si>
  <si>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</si>
  <si>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</si>
  <si>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</si>
  <si>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</si>
  <si>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</si>
  <si>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</si>
  <si>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</si>
  <si>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</si>
  <si>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</si>
  <si>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</si>
  <si>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</si>
  <si>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</si>
  <si>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</si>
  <si>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</si>
  <si>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</si>
  <si>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</si>
  <si>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</si>
  <si>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</si>
  <si>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</si>
  <si>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</si>
  <si>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</si>
  <si>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</si>
  <si>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</si>
  <si>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</si>
  <si>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</si>
  <si>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</si>
  <si>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</si>
  <si>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</si>
  <si>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</si>
  <si>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</si>
  <si>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</si>
  <si>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</si>
  <si>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</si>
  <si>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</si>
  <si>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</si>
  <si>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</si>
  <si>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</si>
  <si>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</si>
  <si>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</si>
  <si>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</si>
  <si>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</si>
  <si>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</si>
  <si>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</si>
  <si>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</si>
  <si>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</si>
  <si>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</si>
  <si>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</si>
  <si>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</si>
  <si>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</si>
  <si>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</si>
  <si>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</si>
  <si>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</si>
  <si>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</si>
  <si>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</si>
  <si>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</si>
  <si>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</si>
  <si>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</si>
  <si>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</si>
  <si>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</si>
  <si>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</si>
  <si>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</si>
  <si>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</si>
  <si>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</si>
  <si>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</si>
  <si>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</si>
  <si>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</si>
  <si>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</si>
  <si>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</si>
  <si>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</si>
  <si>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</si>
  <si>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</si>
  <si>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</si>
  <si>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</si>
  <si>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</si>
  <si>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</si>
  <si>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</si>
  <si>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</si>
  <si>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</si>
  <si>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</si>
  <si>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</si>
  <si>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</si>
  <si>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</si>
  <si>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</si>
  <si>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</si>
  <si>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</si>
  <si>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</si>
  <si>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</si>
  <si>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</si>
  <si>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 xml:space="preserve">Taux conversion brut/net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</si>
  <si>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</si>
  <si>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</si>
  <si>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</si>
  <si>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</si>
  <si>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</si>
  <si>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</si>
  <si>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</si>
  <si>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</si>
  <si>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 :</t>
  </si>
  <si>
    <t>(Si oui vérifier vos calculs ou augmenter les jours d'activité)</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</si>
  <si>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</si>
  <si>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</si>
  <si>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</si>
  <si>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</si>
  <si>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</si>
  <si>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</si>
  <si>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</si>
  <si>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</si>
  <si>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</si>
  <si>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</si>
  <si>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</si>
  <si>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</si>
  <si>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</si>
  <si>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</si>
  <si>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</si>
  <si>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</si>
  <si>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</si>
  <si>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</si>
  <si>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</si>
  <si>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</si>
  <si>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</si>
  <si>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</si>
  <si>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</si>
  <si>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</si>
  <si>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</si>
  <si>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</si>
  <si>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</si>
  <si>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</si>
  <si>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</si>
  <si>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</si>
  <si>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</si>
  <si>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</si>
  <si>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</si>
  <si>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</si>
  <si>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</si>
  <si>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</si>
  <si>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</si>
  <si>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</si>
  <si>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</si>
  <si>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</si>
  <si>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</si>
  <si>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</si>
  <si>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</si>
  <si>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</si>
  <si>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</si>
  <si>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</si>
  <si>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</si>
  <si>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</si>
  <si>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</si>
  <si>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</si>
  <si>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</si>
  <si>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</si>
  <si>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</si>
  <si>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</si>
  <si>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</si>
  <si>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</si>
  <si>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</si>
  <si>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</si>
  <si>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</si>
  <si>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</si>
  <si>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</si>
  <si>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</si>
  <si>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</si>
  <si>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</si>
  <si>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</si>
  <si>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</si>
  <si>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</si>
  <si>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</si>
  <si>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</si>
  <si>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</si>
  <si>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</si>
  <si>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</si>
  <si>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</si>
  <si>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</si>
  <si>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</si>
  <si>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</si>
  <si>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</si>
  <si>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</si>
  <si>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</si>
  <si>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</si>
  <si>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</si>
  <si>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</si>
  <si>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</si>
  <si>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</si>
  <si>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</si>
  <si>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</si>
  <si>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</si>
  <si>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</si>
  <si>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</si>
  <si>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</si>
  <si>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</si>
  <si>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</si>
  <si>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</si>
  <si>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</si>
  <si>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</si>
  <si>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</si>
  <si>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</si>
  <si>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</si>
  <si>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</si>
  <si>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</si>
  <si>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</si>
  <si>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</si>
  <si>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</si>
  <si>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</si>
  <si>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</si>
  <si>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</si>
  <si>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</si>
  <si>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</si>
  <si>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</si>
  <si>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</si>
  <si>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</si>
  <si>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</si>
  <si>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</si>
  <si>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</si>
  <si>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</si>
  <si>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</si>
  <si>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</si>
  <si>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</si>
  <si>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</si>
  <si>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</si>
  <si>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</si>
  <si>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</si>
  <si>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</si>
  <si>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</si>
  <si>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</si>
  <si>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</si>
  <si>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</si>
  <si>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</si>
  <si>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</si>
  <si>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</si>
  <si>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</si>
  <si>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</si>
  <si>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</si>
  <si>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</si>
  <si>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</si>
  <si>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</si>
  <si>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</si>
  <si>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</si>
  <si>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</si>
  <si>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</si>
  <si>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</si>
  <si>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</si>
  <si>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</si>
  <si>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</si>
  <si>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</si>
  <si>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</si>
  <si>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</si>
  <si>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</si>
  <si>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</si>
  <si>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</si>
  <si>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</si>
  <si>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</si>
  <si>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</si>
  <si>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</si>
  <si>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</si>
  <si>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</si>
  <si>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</si>
  <si>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</si>
  <si>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</si>
  <si>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</si>
  <si>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</si>
  <si>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</si>
  <si>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</si>
  <si>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</si>
  <si>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Congés pris au 31/10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</si>
  <si>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</si>
  <si>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</si>
  <si>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</si>
  <si>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</si>
  <si>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</si>
  <si>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</si>
  <si>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</si>
  <si>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</si>
  <si>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</si>
  <si>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</si>
  <si>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</si>
  <si>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</si>
  <si>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</si>
  <si>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</si>
  <si>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</si>
  <si>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</si>
  <si>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</si>
  <si>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</si>
  <si>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</si>
  <si>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</si>
  <si>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</si>
  <si>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</si>
  <si>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</si>
  <si>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</si>
  <si>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</si>
  <si>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</si>
  <si>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</si>
  <si>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</si>
  <si>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</si>
  <si>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</si>
  <si>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</si>
  <si>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</si>
  <si>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</si>
  <si>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</si>
  <si>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</si>
  <si>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</si>
  <si>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</si>
  <si>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</si>
  <si>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</si>
  <si>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</si>
  <si>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</si>
  <si>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</si>
  <si>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</si>
  <si>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</si>
  <si>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</si>
  <si>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</si>
  <si>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</si>
  <si>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</si>
  <si>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</si>
  <si>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</si>
  <si>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</si>
  <si>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</si>
  <si>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</si>
  <si>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</si>
  <si>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</si>
  <si>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</si>
  <si>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</si>
  <si>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</si>
  <si>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</si>
  <si>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</si>
  <si>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</si>
  <si>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</si>
  <si>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</si>
  <si>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</si>
  <si>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</si>
  <si>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</si>
  <si>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</si>
  <si>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</si>
  <si>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</si>
  <si>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</si>
  <si>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</si>
  <si>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</si>
  <si>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</si>
  <si>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</si>
  <si>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</si>
  <si>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</si>
  <si>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</si>
  <si>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</si>
  <si>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</si>
  <si>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</si>
  <si>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</si>
  <si>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</si>
  <si>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</si>
  <si>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</si>
  <si>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</si>
  <si>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</si>
  <si>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</si>
  <si>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</si>
  <si>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</si>
  <si>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</si>
  <si>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</si>
  <si>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</si>
  <si>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</si>
  <si>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</si>
  <si>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</si>
  <si>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</si>
  <si>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</si>
  <si>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</si>
  <si>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</si>
  <si>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</si>
  <si>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</si>
  <si>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</si>
  <si>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</si>
  <si>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</si>
  <si>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</si>
  <si>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</si>
  <si>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</si>
  <si>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</si>
  <si>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</si>
  <si>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</si>
  <si>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</si>
  <si>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</si>
  <si>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</si>
  <si>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</si>
  <si>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</si>
  <si>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</si>
  <si>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</si>
  <si>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</si>
  <si>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</si>
  <si>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</si>
  <si>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</si>
  <si>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</si>
  <si>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</si>
  <si>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</si>
  <si>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</si>
  <si>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</si>
  <si>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</si>
  <si>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</si>
  <si>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</si>
  <si>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</si>
  <si>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</si>
  <si>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</si>
  <si>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</si>
  <si>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</si>
  <si>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</si>
  <si>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</si>
  <si>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</si>
  <si>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</si>
  <si>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</si>
  <si>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</si>
  <si>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</si>
  <si>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</si>
  <si>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</si>
  <si>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</si>
  <si>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</si>
  <si>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</si>
  <si>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</si>
  <si>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</si>
  <si>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</si>
  <si>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</si>
  <si>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</si>
  <si>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</si>
  <si>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</si>
  <si>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</si>
  <si>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</si>
  <si>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</si>
  <si>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</si>
  <si>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</si>
  <si>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</si>
  <si>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</si>
  <si>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</si>
  <si>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</si>
  <si>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</si>
  <si>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</si>
  <si>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</si>
  <si>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</si>
  <si>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</si>
  <si>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</si>
  <si>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</si>
  <si>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</si>
  <si>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</si>
  <si>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</si>
  <si>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</si>
  <si>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</si>
  <si>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</si>
  <si>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</si>
  <si>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</si>
  <si>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</si>
  <si>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</si>
  <si>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</si>
  <si>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</si>
  <si>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</si>
  <si>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</si>
  <si>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</si>
  <si>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</si>
  <si>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</si>
  <si>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</si>
  <si>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</si>
  <si>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</si>
  <si>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</si>
  <si>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</si>
  <si>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</si>
  <si>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</si>
  <si>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</si>
  <si>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</si>
  <si>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</si>
  <si>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</si>
  <si>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</si>
  <si>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</si>
  <si>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</si>
  <si>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</si>
  <si>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</si>
  <si>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</si>
  <si>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</si>
  <si>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</si>
  <si>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</si>
  <si>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</si>
  <si>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</si>
  <si>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</si>
  <si>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</si>
  <si>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</si>
  <si>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</si>
  <si>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</si>
  <si>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</si>
  <si>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</si>
  <si>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</si>
  <si>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</si>
  <si>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</si>
  <si>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</si>
  <si>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</si>
  <si>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</si>
  <si>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</si>
  <si>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Hrs normales eff</t>
  </si>
  <si>
    <t>Hrs majorées eff</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</si>
  <si>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</si>
  <si>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</si>
  <si>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</si>
  <si>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</si>
  <si>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</si>
  <si>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</si>
  <si>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</si>
  <si>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</si>
  <si>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</si>
  <si>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</si>
  <si>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</si>
  <si>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</si>
  <si>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</si>
  <si>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</si>
  <si>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</si>
  <si>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</si>
  <si>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</si>
  <si>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</si>
  <si>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</si>
  <si>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</si>
  <si>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</si>
  <si>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</si>
  <si>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</si>
  <si>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</si>
  <si>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</si>
  <si>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</si>
  <si>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</si>
  <si>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</si>
  <si>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</si>
  <si>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</si>
  <si>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</si>
  <si>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</si>
  <si>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</si>
  <si>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</si>
  <si>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</si>
  <si>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</si>
  <si>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</si>
  <si>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</si>
  <si>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</si>
  <si>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</si>
  <si>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</si>
  <si>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</si>
  <si>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</si>
  <si>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</si>
  <si>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</si>
  <si>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</si>
  <si>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</si>
  <si>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</si>
  <si>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</si>
  <si>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</si>
  <si>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</si>
  <si>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</si>
  <si>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</si>
  <si>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</si>
  <si>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</si>
  <si>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</si>
  <si>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</si>
  <si>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</si>
  <si>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</si>
  <si>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</si>
  <si>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</si>
  <si>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</si>
  <si>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</si>
  <si>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</si>
  <si>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</si>
  <si>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</si>
  <si>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</si>
  <si>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</si>
  <si>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</si>
  <si>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</si>
  <si>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</si>
  <si>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</si>
  <si>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</si>
  <si>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</si>
  <si>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</si>
  <si>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</si>
  <si>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</si>
  <si>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</si>
  <si>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</si>
  <si>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</si>
  <si>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</si>
  <si>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</si>
  <si>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</si>
  <si>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</si>
  <si>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</si>
  <si>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</si>
  <si>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</si>
  <si>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</si>
  <si>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</si>
  <si>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</si>
  <si>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</si>
  <si>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</si>
  <si>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</si>
  <si>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</si>
  <si>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</si>
  <si>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</si>
  <si>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</si>
  <si>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</si>
  <si>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</si>
  <si>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</si>
  <si>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</si>
  <si>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</si>
  <si>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</si>
  <si>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</si>
  <si>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</si>
  <si>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</si>
  <si>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</si>
  <si>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</si>
  <si>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</si>
  <si>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</si>
  <si>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</si>
  <si>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</si>
  <si>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</si>
  <si>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</si>
  <si>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</si>
  <si>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</si>
  <si>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</si>
  <si>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</si>
  <si>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</si>
  <si>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</si>
  <si>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</si>
  <si>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</si>
  <si>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</si>
  <si>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</si>
  <si>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</si>
  <si>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</si>
  <si>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</si>
  <si>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</si>
  <si>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</si>
  <si>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</si>
  <si>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</si>
  <si>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</si>
  <si>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</si>
  <si>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</si>
  <si>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</si>
  <si>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</si>
  <si>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</si>
  <si>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</si>
  <si>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</si>
  <si>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</si>
  <si>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</si>
  <si>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</si>
  <si>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</si>
  <si>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</si>
  <si>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</si>
  <si>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</si>
  <si>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</si>
  <si>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</si>
  <si>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HRS Effectives</t>
  </si>
  <si>
    <t>Heures Effectives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</si>
  <si>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</si>
  <si>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</si>
  <si>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</si>
  <si>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</si>
  <si>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</si>
  <si>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</si>
  <si>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</si>
  <si>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</si>
  <si>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</si>
  <si>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</si>
  <si>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</si>
  <si>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</si>
  <si>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</si>
  <si>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</si>
  <si>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</si>
  <si>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</si>
  <si>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</si>
  <si>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</si>
  <si>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</si>
  <si>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</si>
  <si>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</si>
  <si>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</si>
  <si>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</si>
  <si>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</si>
  <si>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</si>
  <si>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</si>
  <si>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</si>
  <si>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</si>
  <si>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</si>
  <si>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</si>
  <si>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</si>
  <si>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</si>
  <si>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</si>
  <si>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</si>
  <si>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</si>
  <si>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</si>
  <si>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</si>
  <si>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</si>
  <si>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</si>
  <si>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</si>
  <si>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</si>
  <si>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</si>
  <si>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</si>
  <si>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</si>
  <si>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</si>
  <si>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</si>
  <si>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</si>
  <si>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</si>
  <si>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</si>
  <si>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</si>
  <si>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</si>
  <si>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</si>
  <si>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</si>
  <si>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</si>
  <si>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</si>
  <si>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</si>
  <si>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</si>
  <si>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</si>
  <si>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</si>
  <si>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</si>
  <si>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</si>
  <si>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</si>
  <si>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</si>
  <si>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</si>
  <si>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</si>
  <si>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</si>
  <si>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</si>
  <si>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</si>
  <si>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</si>
  <si>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</si>
  <si>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</si>
  <si>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</si>
  <si>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</si>
  <si>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</si>
  <si>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</si>
  <si>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</si>
  <si>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</si>
  <si>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</si>
  <si>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</si>
  <si>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</si>
  <si>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</si>
  <si>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</si>
  <si>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</si>
  <si>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</si>
  <si>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</si>
  <si>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</si>
  <si>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</si>
  <si>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</si>
  <si>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</si>
  <si>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</si>
  <si>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</si>
  <si>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</si>
  <si>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</si>
  <si>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</si>
  <si>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</si>
  <si>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</si>
  <si>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</si>
  <si>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</si>
  <si>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</si>
  <si>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</si>
  <si>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</si>
  <si>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</si>
  <si>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</si>
  <si>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</si>
  <si>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</si>
  <si>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</si>
  <si>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</si>
  <si>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</si>
  <si>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</si>
  <si>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</si>
  <si>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</si>
  <si>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</si>
  <si>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</si>
  <si>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</si>
  <si>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</si>
  <si>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</si>
  <si>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</si>
  <si>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</si>
  <si>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</si>
  <si>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</si>
  <si>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</si>
  <si>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</si>
  <si>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</si>
  <si>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</si>
  <si>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</si>
  <si>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</si>
  <si>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</si>
  <si>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</si>
  <si>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</si>
  <si>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</si>
  <si>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</si>
  <si>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</si>
  <si>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</si>
  <si>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</si>
  <si>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</si>
  <si>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</si>
  <si>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</si>
  <si>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</si>
  <si>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</si>
  <si>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</si>
  <si>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</si>
  <si>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</si>
  <si>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</si>
  <si>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</si>
  <si>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</si>
  <si>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</si>
  <si>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</si>
  <si>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</si>
  <si>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</si>
  <si>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</si>
  <si>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</si>
  <si>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</si>
  <si>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</si>
  <si>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</si>
  <si>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</si>
  <si>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</si>
  <si>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</si>
  <si>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</si>
  <si>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</si>
  <si>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</si>
  <si>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</si>
  <si>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Total jours consécutifs pris :</t>
  </si>
  <si>
    <t>Total jours non consécutifs pris :</t>
  </si>
  <si>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</si>
  <si>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</si>
  <si>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</si>
  <si>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</si>
  <si>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</si>
  <si>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</si>
  <si>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r>
      <t xml:space="preserve">Nombre de jours </t>
    </r>
    <r>
      <rPr>
        <b/>
        <u/>
        <sz val="10"/>
        <rFont val="Arial"/>
        <family val="2"/>
      </rPr>
      <t>non consécutifs (jrs travaillés)</t>
    </r>
    <r>
      <rPr>
        <sz val="10"/>
        <rFont val="Arial"/>
        <family val="2"/>
      </rPr>
      <t xml:space="preserve"> pouvant être retiré :</t>
    </r>
  </si>
  <si>
    <r>
      <t xml:space="preserve">Nombre de jours </t>
    </r>
    <r>
      <rPr>
        <b/>
        <u/>
        <sz val="10"/>
        <rFont val="Arial"/>
        <family val="2"/>
      </rPr>
      <t>consécutifs (jrs calendaires)</t>
    </r>
    <r>
      <rPr>
        <sz val="10"/>
        <rFont val="Arial"/>
        <family val="2"/>
      </rPr>
      <t xml:space="preserve"> pouvant être retiré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</si>
  <si>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</si>
  <si>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</si>
  <si>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</si>
  <si>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</si>
  <si>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</si>
  <si>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</si>
  <si>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</si>
  <si>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</si>
  <si>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</si>
  <si>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</si>
  <si>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</si>
  <si>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</si>
  <si>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</si>
  <si>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</si>
  <si>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</si>
  <si>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</si>
  <si>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</si>
  <si>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</si>
  <si>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</si>
  <si>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</si>
  <si>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</si>
  <si>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</si>
  <si>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</si>
  <si>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</si>
  <si>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</si>
  <si>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</si>
  <si>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</si>
  <si>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</si>
  <si>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</si>
  <si>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</si>
  <si>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Montant du SMIC horaire brut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</si>
  <si>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</si>
  <si>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</si>
  <si>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</si>
  <si>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</si>
  <si>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</si>
  <si>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</si>
  <si>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</si>
  <si>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</si>
  <si>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</si>
  <si>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</si>
  <si>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</si>
  <si>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</si>
  <si>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</si>
  <si>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</si>
  <si>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</si>
  <si>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</si>
  <si>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</si>
  <si>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</si>
  <si>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</si>
  <si>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</si>
  <si>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</si>
  <si>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</si>
  <si>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</si>
  <si>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</si>
  <si>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</si>
  <si>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</si>
  <si>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</si>
  <si>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</si>
  <si>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</si>
  <si>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</si>
  <si>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</si>
  <si>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</si>
  <si>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</si>
  <si>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</si>
  <si>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</si>
  <si>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</si>
  <si>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</si>
  <si>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</si>
  <si>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</si>
  <si>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</si>
  <si>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</si>
  <si>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</si>
  <si>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</si>
  <si>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</si>
  <si>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</si>
  <si>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</si>
  <si>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</si>
  <si>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</si>
  <si>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</si>
  <si>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</si>
  <si>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</si>
  <si>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</si>
  <si>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</si>
  <si>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</si>
  <si>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</si>
  <si>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</si>
  <si>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</si>
  <si>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</si>
  <si>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</si>
  <si>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</si>
  <si>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</si>
  <si>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</si>
  <si>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</si>
  <si>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</si>
  <si>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</si>
  <si>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</si>
  <si>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</si>
  <si>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</si>
  <si>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</si>
  <si>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</si>
  <si>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</si>
  <si>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Aide pour remplir l'attestation Pole Emploi</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</si>
  <si>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</si>
  <si>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</si>
  <si>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</si>
  <si>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</si>
  <si>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</si>
  <si>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</si>
  <si>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</si>
  <si>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</si>
  <si>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</si>
  <si>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</si>
  <si>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</si>
  <si>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</si>
  <si>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</si>
  <si>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</si>
  <si>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</si>
  <si>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</si>
  <si>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</si>
  <si>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</si>
  <si>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</si>
  <si>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</si>
  <si>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</si>
  <si>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</si>
  <si>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</si>
  <si>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</si>
  <si>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</si>
  <si>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</si>
  <si>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</si>
  <si>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</si>
  <si>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</si>
  <si>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</si>
  <si>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pour les heures complémentaires et majorées</t>
  </si>
  <si>
    <t>Dans ce calcul on tient compte de la réduction sur les charges sociales</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</si>
  <si>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</si>
  <si>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</si>
  <si>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</si>
  <si>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</si>
  <si>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</si>
  <si>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</si>
  <si>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</si>
  <si>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</si>
  <si>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</si>
  <si>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</si>
  <si>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</si>
  <si>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</si>
  <si>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</si>
  <si>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</si>
  <si>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</si>
  <si>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</si>
  <si>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</si>
  <si>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</si>
  <si>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</si>
  <si>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</si>
  <si>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</si>
  <si>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</si>
  <si>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</si>
  <si>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</si>
  <si>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</si>
  <si>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</si>
  <si>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</si>
  <si>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</si>
  <si>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</si>
  <si>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</si>
  <si>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</si>
  <si>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</si>
  <si>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</si>
  <si>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</si>
  <si>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</si>
  <si>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</si>
  <si>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</si>
  <si>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</si>
  <si>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</si>
  <si>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</si>
  <si>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</si>
  <si>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</si>
  <si>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</si>
  <si>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</si>
  <si>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</si>
  <si>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</si>
  <si>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</si>
  <si>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</si>
  <si>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</si>
  <si>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</si>
  <si>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</si>
  <si>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</si>
  <si>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</si>
  <si>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</si>
  <si>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</si>
  <si>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</si>
  <si>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</si>
  <si>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</si>
  <si>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</si>
  <si>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</si>
  <si>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</si>
  <si>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</si>
  <si>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</si>
  <si>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</si>
  <si>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</si>
  <si>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</si>
  <si>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t xml:space="preserve">Nombre de jours </t>
    </r>
    <r>
      <rPr>
        <b/>
        <u/>
        <sz val="10"/>
        <rFont val="Arial"/>
        <family val="2"/>
      </rPr>
      <t>non consécutifs (jrs travaillés)</t>
    </r>
    <r>
      <rPr>
        <sz val="10"/>
        <rFont val="Arial"/>
        <family val="2"/>
      </rPr>
      <t xml:space="preserve"> pouvant être retirés :</t>
    </r>
  </si>
  <si>
    <r>
      <t xml:space="preserve">Nombre de jours </t>
    </r>
    <r>
      <rPr>
        <b/>
        <u/>
        <sz val="10"/>
        <rFont val="Arial"/>
        <family val="2"/>
      </rPr>
      <t>consécutifs (jrs calendaires)</t>
    </r>
    <r>
      <rPr>
        <sz val="10"/>
        <rFont val="Arial"/>
        <family val="2"/>
      </rPr>
      <t xml:space="preserve"> pouvant être retirés :</t>
    </r>
  </si>
  <si>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</si>
  <si>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</si>
  <si>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</si>
  <si>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</si>
  <si>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</si>
  <si>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</si>
  <si>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</si>
  <si>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</si>
  <si>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</si>
  <si>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</si>
  <si>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</si>
  <si>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</si>
  <si>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</si>
  <si>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</si>
  <si>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</si>
  <si>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</si>
  <si>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</si>
  <si>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</si>
  <si>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</si>
  <si>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</si>
  <si>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</si>
  <si>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</si>
  <si>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</si>
  <si>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</si>
  <si>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</si>
  <si>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</si>
  <si>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</si>
  <si>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</si>
  <si>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</si>
  <si>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</si>
  <si>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</si>
  <si>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</si>
  <si>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</si>
  <si>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</si>
  <si>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</si>
  <si>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</si>
  <si>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</si>
  <si>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</si>
  <si>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</si>
  <si>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</si>
  <si>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</si>
  <si>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</si>
  <si>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</si>
  <si>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</si>
  <si>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</si>
  <si>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</si>
  <si>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</si>
  <si>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</si>
  <si>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</si>
  <si>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</si>
  <si>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</si>
  <si>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</si>
  <si>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</si>
  <si>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</si>
  <si>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</si>
  <si>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</si>
  <si>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</si>
  <si>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</si>
  <si>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</si>
  <si>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</si>
  <si>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</si>
  <si>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</si>
  <si>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Syndicat national FO Assistant(e)s Maternel(e)s      
www.assistantematernelle.info</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</si>
  <si>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</si>
  <si>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</si>
  <si>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</si>
  <si>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</si>
  <si>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</si>
  <si>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</si>
  <si>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</si>
  <si>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</si>
  <si>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</si>
  <si>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</si>
  <si>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</si>
  <si>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</si>
  <si>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</si>
  <si>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</si>
  <si>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</si>
  <si>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</si>
  <si>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</si>
  <si>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</si>
  <si>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</si>
  <si>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</si>
  <si>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</si>
  <si>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</si>
  <si>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</si>
  <si>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</si>
  <si>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</si>
  <si>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</si>
  <si>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</si>
  <si>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</si>
  <si>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</si>
  <si>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</si>
  <si>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</si>
  <si>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</si>
  <si>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</si>
  <si>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</si>
  <si>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</si>
  <si>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</si>
  <si>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</si>
  <si>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</si>
  <si>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</si>
  <si>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</si>
  <si>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</si>
  <si>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</si>
  <si>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</si>
  <si>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</si>
  <si>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</si>
  <si>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</si>
  <si>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</si>
  <si>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</si>
  <si>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</si>
  <si>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</si>
  <si>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</si>
  <si>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</si>
  <si>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</si>
  <si>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</si>
  <si>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</si>
  <si>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</si>
  <si>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</si>
  <si>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</si>
  <si>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</si>
  <si>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</si>
  <si>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</si>
  <si>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Nbre de semaines travaillées (l'année de référence) + Semaines CP acquis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</si>
  <si>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</si>
  <si>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</si>
  <si>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</si>
  <si>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</si>
  <si>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</si>
  <si>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</si>
  <si>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</si>
  <si>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</si>
  <si>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</si>
  <si>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</si>
  <si>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</si>
  <si>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</si>
  <si>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</si>
  <si>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</si>
  <si>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</si>
  <si>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</si>
  <si>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</si>
  <si>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</si>
  <si>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</si>
  <si>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</si>
  <si>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</si>
  <si>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</si>
  <si>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</si>
  <si>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</si>
  <si>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</si>
  <si>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</si>
  <si>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</si>
  <si>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</si>
  <si>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</si>
  <si>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</si>
  <si>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</si>
  <si>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</si>
  <si>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</si>
  <si>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</si>
  <si>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</si>
  <si>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</si>
  <si>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</si>
  <si>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</si>
  <si>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</si>
  <si>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</si>
  <si>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</si>
  <si>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</si>
  <si>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</si>
  <si>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</si>
  <si>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</si>
  <si>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</si>
  <si>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</si>
  <si>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</si>
  <si>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</si>
  <si>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</si>
  <si>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</si>
  <si>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</si>
  <si>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</si>
  <si>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</si>
  <si>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</si>
  <si>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</si>
  <si>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</si>
  <si>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</si>
  <si>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</si>
  <si>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</si>
  <si>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</si>
  <si>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</si>
  <si>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</si>
  <si>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</si>
  <si>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</si>
  <si>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</si>
  <si>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</si>
  <si>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</si>
  <si>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</si>
  <si>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</si>
  <si>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</si>
  <si>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</si>
  <si>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</si>
  <si>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</si>
  <si>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</si>
  <si>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</si>
  <si>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</si>
  <si>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</si>
  <si>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</si>
  <si>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</si>
  <si>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</si>
  <si>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Avez-vous des heures majorées ou complémentaires à déclarer ?</t>
  </si>
  <si>
    <t>Montant Net Social :</t>
  </si>
  <si>
    <t>Fin de contrat</t>
  </si>
  <si>
    <t>Voulez-vous signaler une fin de contrat ?</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</si>
  <si>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</si>
  <si>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</si>
  <si>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</si>
  <si>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</si>
  <si>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</si>
  <si>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</si>
  <si>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</si>
  <si>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</si>
  <si>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</si>
  <si>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</si>
  <si>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</si>
  <si>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</si>
  <si>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</si>
  <si>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</si>
  <si>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</si>
  <si>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</si>
  <si>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</si>
  <si>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</si>
  <si>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</si>
  <si>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</si>
  <si>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</si>
  <si>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</si>
  <si>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</si>
  <si>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</si>
  <si>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</si>
  <si>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</si>
  <si>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</si>
  <si>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</si>
  <si>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</si>
  <si>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</si>
  <si>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</si>
  <si>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</si>
  <si>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</si>
  <si>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</si>
  <si>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</si>
  <si>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</si>
  <si>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</si>
  <si>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</si>
  <si>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</si>
  <si>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</si>
  <si>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</si>
  <si>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</si>
  <si>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</si>
  <si>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</si>
  <si>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</si>
  <si>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</si>
  <si>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</si>
  <si>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</si>
  <si>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</si>
  <si>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</si>
  <si>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</si>
  <si>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</si>
  <si>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</si>
  <si>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</si>
  <si>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</si>
  <si>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</si>
  <si>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</si>
  <si>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</si>
  <si>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</si>
  <si>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</si>
  <si>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</si>
  <si>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</si>
  <si>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</si>
  <si>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</si>
  <si>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</si>
  <si>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</si>
  <si>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</si>
  <si>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</si>
  <si>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</si>
  <si>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</si>
  <si>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</si>
  <si>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</si>
  <si>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</si>
  <si>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</si>
  <si>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</si>
  <si>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</si>
  <si>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</si>
  <si>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</si>
  <si>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</si>
  <si>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</si>
  <si>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</si>
  <si>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</si>
  <si>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</si>
  <si>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</si>
  <si>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</si>
  <si>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</si>
  <si>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</si>
  <si>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</si>
  <si>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</si>
  <si>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</si>
  <si>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</si>
  <si>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</si>
  <si>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</si>
  <si>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</si>
  <si>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</si>
  <si>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</si>
  <si>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</si>
  <si>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</si>
  <si>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</si>
  <si>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</si>
  <si>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</si>
  <si>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</si>
  <si>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</si>
  <si>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</si>
  <si>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</si>
  <si>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</si>
  <si>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</si>
  <si>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</si>
  <si>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</si>
  <si>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</si>
  <si>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</si>
  <si>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</si>
  <si>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</si>
  <si>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</si>
  <si>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</si>
  <si>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</si>
  <si>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</si>
  <si>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</si>
  <si>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</si>
  <si>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</si>
  <si>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</si>
  <si>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</si>
  <si>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</si>
  <si>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</si>
  <si>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</si>
  <si>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</si>
  <si>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Version V6.20 Janvier 2025</t>
  </si>
  <si>
    <t>Contribution Santé au Travail</t>
  </si>
  <si>
    <t>Report de la régularisation de l'année précédent (en euros):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</si>
</sst>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sz val="9"/>
      <color rgb="FF2E8B57"/>
      <name val="Courier New"/>
      <family val="3"/>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9"/>
      <color rgb="FFFF0000"/>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style="double">
        <color indexed="8"/>
      </bottom>
      <diagonal/>
    </border>
    <border>
      <left style="thin">
        <color indexed="64"/>
      </left>
      <right/>
      <top style="double">
        <color indexed="8"/>
      </top>
      <bottom style="thin">
        <color indexed="64"/>
      </bottom>
      <diagonal/>
    </border>
    <border>
      <left style="thin">
        <color indexed="8"/>
      </left>
      <right style="thin">
        <color indexed="64"/>
      </right>
      <top style="double">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11">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6"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4"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25" xfId="0" applyBorder="1" applyProtection="1">
      <protection hidden="1"/>
    </xf>
    <xf numFmtId="0" fontId="0" fillId="0" borderId="126" xfId="0" applyBorder="1" applyProtection="1">
      <protection hidden="1"/>
    </xf>
    <xf numFmtId="2" fontId="0" fillId="0" borderId="0" xfId="0" applyNumberFormat="1" applyProtection="1">
      <protection hidden="1"/>
    </xf>
    <xf numFmtId="0" fontId="0" fillId="0" borderId="101" xfId="0" applyBorder="1" applyProtection="1">
      <protection hidden="1"/>
    </xf>
    <xf numFmtId="0" fontId="0" fillId="0" borderId="127"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8" xfId="0" applyBorder="1" applyProtection="1">
      <protection hidden="1"/>
    </xf>
    <xf numFmtId="0" fontId="0" fillId="0" borderId="129" xfId="0" applyBorder="1" applyProtection="1">
      <protection hidden="1"/>
    </xf>
    <xf numFmtId="0" fontId="0" fillId="0" borderId="130" xfId="0" applyBorder="1" applyProtection="1">
      <protection hidden="1"/>
    </xf>
    <xf numFmtId="0" fontId="53" fillId="0" borderId="0" xfId="0" applyFont="1" applyProtection="1">
      <protection hidden="1"/>
    </xf>
    <xf numFmtId="0" fontId="55" fillId="0" borderId="0" xfId="0" applyFont="1" applyProtection="1">
      <protection hidden="1"/>
    </xf>
    <xf numFmtId="0" fontId="52"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2"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21" xfId="0" applyBorder="1" applyProtection="1">
      <protection hidden="1"/>
    </xf>
    <xf numFmtId="0" fontId="0" fillId="0" borderId="122" xfId="0" applyBorder="1" applyProtection="1">
      <protection hidden="1"/>
    </xf>
    <xf numFmtId="0" fontId="0" fillId="0" borderId="112"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3"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71" xfId="0" applyBorder="1" applyProtection="1">
      <protection hidden="1"/>
    </xf>
    <xf numFmtId="0" fontId="0" fillId="0" borderId="72" xfId="0" applyBorder="1" applyAlignment="1" applyProtection="1">
      <alignment horizontal="right"/>
      <protection hidden="1"/>
    </xf>
    <xf numFmtId="44" fontId="53" fillId="0" borderId="0" xfId="0" applyNumberFormat="1" applyFont="1" applyProtection="1">
      <protection hidden="1"/>
    </xf>
    <xf numFmtId="171" fontId="0" fillId="16" borderId="0" xfId="1" applyFont="1" applyFill="1" applyProtection="1">
      <protection locked="0" hidden="1"/>
    </xf>
    <xf numFmtId="0" fontId="0" fillId="0" borderId="92" xfId="0" applyBorder="1" applyAlignment="1" applyProtection="1">
      <alignment horizontal="right" vertical="center"/>
      <protection hidden="1"/>
    </xf>
    <xf numFmtId="14" fontId="0" fillId="0" borderId="63"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92"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92" xfId="0" applyNumberFormat="1" applyBorder="1" applyAlignment="1" applyProtection="1">
      <alignment horizontal="right"/>
      <protection hidden="1"/>
    </xf>
    <xf numFmtId="199" fontId="0" fillId="0" borderId="116" xfId="0" applyNumberFormat="1" applyBorder="1" applyAlignment="1" applyProtection="1">
      <alignment horizontal="right"/>
      <protection hidden="1"/>
    </xf>
    <xf numFmtId="199" fontId="0" fillId="0" borderId="63"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7" xfId="0" applyNumberFormat="1" applyBorder="1" applyProtection="1">
      <protection hidden="1"/>
    </xf>
    <xf numFmtId="183" fontId="0" fillId="0" borderId="88" xfId="0" applyNumberFormat="1" applyBorder="1" applyProtection="1">
      <protection hidden="1"/>
    </xf>
    <xf numFmtId="2" fontId="0" fillId="0" borderId="89" xfId="0" applyNumberFormat="1" applyBorder="1" applyProtection="1">
      <protection hidden="1"/>
    </xf>
    <xf numFmtId="184" fontId="0" fillId="0" borderId="76" xfId="0" applyNumberFormat="1" applyBorder="1" applyProtection="1">
      <protection hidden="1"/>
    </xf>
    <xf numFmtId="183" fontId="0" fillId="0" borderId="90" xfId="0" applyNumberFormat="1" applyBorder="1" applyProtection="1">
      <protection hidden="1"/>
    </xf>
    <xf numFmtId="2" fontId="0" fillId="0" borderId="79" xfId="0" applyNumberFormat="1" applyBorder="1" applyProtection="1">
      <protection hidden="1"/>
    </xf>
    <xf numFmtId="184" fontId="0" fillId="0" borderId="80" xfId="0" applyNumberFormat="1" applyBorder="1" applyProtection="1">
      <protection hidden="1"/>
    </xf>
    <xf numFmtId="183" fontId="0" fillId="0" borderId="91" xfId="0" applyNumberFormat="1" applyBorder="1" applyProtection="1">
      <protection hidden="1"/>
    </xf>
    <xf numFmtId="2" fontId="0" fillId="0" borderId="83" xfId="0" applyNumberFormat="1" applyBorder="1" applyProtection="1">
      <protection hidden="1"/>
    </xf>
    <xf numFmtId="0" fontId="17" fillId="0" borderId="72" xfId="0" applyFont="1" applyBorder="1" applyAlignment="1" applyProtection="1">
      <alignment horizontal="right"/>
      <protection hidden="1"/>
    </xf>
    <xf numFmtId="2" fontId="0" fillId="0" borderId="73"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6"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 fontId="5" fillId="0" borderId="0" xfId="3" applyNumberFormat="1" applyProtection="1">
      <protection hidden="1"/>
    </xf>
    <xf numFmtId="171" fontId="5" fillId="0" borderId="0" xfId="3" applyNumberFormat="1" applyProtection="1">
      <protection hidden="1"/>
    </xf>
    <xf numFmtId="171" fontId="35" fillId="0" borderId="17" xfId="3" applyNumberFormat="1" applyFont="1" applyBorder="1" applyAlignment="1" applyProtection="1">
      <alignment horizontal="center"/>
      <protection hidden="1"/>
    </xf>
    <xf numFmtId="0" fontId="35" fillId="0" borderId="101" xfId="0" applyFont="1" applyBorder="1" applyProtection="1">
      <protection hidden="1"/>
    </xf>
    <xf numFmtId="0" fontId="43" fillId="0" borderId="0" xfId="0" applyFont="1" applyProtection="1">
      <protection hidden="1"/>
    </xf>
    <xf numFmtId="0" fontId="44" fillId="0" borderId="0" xfId="0" applyFont="1" applyAlignment="1" applyProtection="1">
      <alignment horizontal="center"/>
      <protection hidden="1"/>
    </xf>
    <xf numFmtId="0" fontId="43" fillId="0" borderId="101"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92" xfId="0" applyBorder="1" applyProtection="1">
      <protection hidden="1"/>
    </xf>
    <xf numFmtId="0" fontId="0" fillId="0" borderId="99" xfId="0" applyBorder="1" applyProtection="1">
      <protection hidden="1"/>
    </xf>
    <xf numFmtId="0" fontId="0" fillId="0" borderId="25" xfId="0" applyBorder="1" applyProtection="1">
      <protection hidden="1"/>
    </xf>
    <xf numFmtId="169" fontId="0" fillId="0" borderId="98"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74" xfId="0" applyNumberFormat="1" applyBorder="1" applyProtection="1">
      <protection hidden="1"/>
    </xf>
    <xf numFmtId="183" fontId="0" fillId="0" borderId="75" xfId="0" applyNumberFormat="1" applyBorder="1" applyProtection="1">
      <protection hidden="1"/>
    </xf>
    <xf numFmtId="183" fontId="0" fillId="0" borderId="77" xfId="0" applyNumberFormat="1" applyBorder="1" applyProtection="1">
      <protection hidden="1"/>
    </xf>
    <xf numFmtId="2" fontId="0" fillId="0" borderId="78"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3" xfId="0" applyBorder="1" applyProtection="1">
      <protection hidden="1"/>
    </xf>
    <xf numFmtId="185" fontId="0" fillId="0" borderId="17" xfId="0" applyNumberFormat="1" applyBorder="1" applyProtection="1">
      <protection hidden="1"/>
    </xf>
    <xf numFmtId="194" fontId="0" fillId="0" borderId="63" xfId="0" applyNumberFormat="1" applyBorder="1" applyProtection="1">
      <protection hidden="1"/>
    </xf>
    <xf numFmtId="169" fontId="0" fillId="0" borderId="63"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92" xfId="0" applyNumberFormat="1" applyBorder="1" applyProtection="1">
      <protection hidden="1"/>
    </xf>
    <xf numFmtId="2" fontId="17" fillId="0" borderId="92"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3" xfId="0" applyNumberFormat="1" applyFont="1" applyBorder="1" applyProtection="1">
      <protection hidden="1"/>
    </xf>
    <xf numFmtId="2" fontId="27" fillId="0" borderId="0" xfId="0" applyNumberFormat="1" applyFont="1" applyProtection="1">
      <protection hidden="1"/>
    </xf>
    <xf numFmtId="183" fontId="0" fillId="0" borderId="81" xfId="0" applyNumberFormat="1" applyBorder="1" applyProtection="1">
      <protection hidden="1"/>
    </xf>
    <xf numFmtId="2" fontId="0" fillId="0" borderId="82" xfId="0" applyNumberFormat="1" applyBorder="1" applyProtection="1">
      <protection hidden="1"/>
    </xf>
    <xf numFmtId="2" fontId="0" fillId="0" borderId="70"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5" fillId="0" borderId="32" xfId="3" applyBorder="1" applyProtection="1">
      <protection hidden="1"/>
    </xf>
    <xf numFmtId="0" fontId="5" fillId="0" borderId="65" xfId="3" applyBorder="1" applyProtection="1">
      <protection hidden="1"/>
    </xf>
    <xf numFmtId="0" fontId="5" fillId="0" borderId="57" xfId="3" applyBorder="1" applyProtection="1">
      <protection hidden="1"/>
    </xf>
    <xf numFmtId="171" fontId="5" fillId="0" borderId="58" xfId="1" applyBorder="1" applyProtection="1">
      <protection hidden="1"/>
    </xf>
    <xf numFmtId="0" fontId="22" fillId="0" borderId="0" xfId="3" applyFont="1" applyProtection="1">
      <protection locked="0" hidden="1"/>
    </xf>
    <xf numFmtId="192" fontId="5" fillId="0" borderId="57" xfId="3" applyNumberFormat="1" applyBorder="1" applyProtection="1">
      <protection hidden="1"/>
    </xf>
    <xf numFmtId="0" fontId="5" fillId="0" borderId="64" xfId="3" applyBorder="1" applyProtection="1">
      <protection hidden="1"/>
    </xf>
    <xf numFmtId="0" fontId="5" fillId="0" borderId="66" xfId="3" applyBorder="1" applyProtection="1">
      <protection hidden="1"/>
    </xf>
    <xf numFmtId="0" fontId="5" fillId="0" borderId="53" xfId="3" applyBorder="1" applyProtection="1">
      <protection hidden="1"/>
    </xf>
    <xf numFmtId="174" fontId="8" fillId="0" borderId="67" xfId="3" applyNumberFormat="1" applyFont="1" applyBorder="1" applyProtection="1">
      <protection hidden="1"/>
    </xf>
    <xf numFmtId="171" fontId="5" fillId="0" borderId="68" xfId="1" applyBorder="1" applyProtection="1">
      <protection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8" xfId="3" applyBorder="1" applyProtection="1">
      <protection hidden="1"/>
    </xf>
    <xf numFmtId="0" fontId="5" fillId="0" borderId="119" xfId="3" applyBorder="1" applyProtection="1">
      <protection hidden="1"/>
    </xf>
    <xf numFmtId="0" fontId="5" fillId="0" borderId="120" xfId="3" applyBorder="1" applyProtection="1">
      <protection hidden="1"/>
    </xf>
    <xf numFmtId="0" fontId="18" fillId="0" borderId="118" xfId="3" applyFont="1" applyBorder="1" applyProtection="1">
      <protection hidden="1"/>
    </xf>
    <xf numFmtId="0" fontId="18" fillId="0" borderId="119" xfId="3" applyFont="1" applyBorder="1" applyProtection="1">
      <protection hidden="1"/>
    </xf>
    <xf numFmtId="0" fontId="18" fillId="0" borderId="120" xfId="3" applyFont="1" applyBorder="1" applyProtection="1">
      <protection hidden="1"/>
    </xf>
    <xf numFmtId="0" fontId="5" fillId="0" borderId="131" xfId="3" applyBorder="1" applyProtection="1">
      <protection hidden="1"/>
    </xf>
    <xf numFmtId="0" fontId="5" fillId="0" borderId="132" xfId="3" applyBorder="1" applyProtection="1">
      <protection hidden="1"/>
    </xf>
    <xf numFmtId="0" fontId="5" fillId="0" borderId="0" xfId="3" applyProtection="1">
      <protection locked="0" hidden="1"/>
    </xf>
    <xf numFmtId="0" fontId="5" fillId="0" borderId="121" xfId="3" applyBorder="1" applyProtection="1">
      <protection hidden="1"/>
    </xf>
    <xf numFmtId="0" fontId="5" fillId="0" borderId="122" xfId="3" applyBorder="1" applyProtection="1">
      <protection hidden="1"/>
    </xf>
    <xf numFmtId="0" fontId="5" fillId="0" borderId="123"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8"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14" fontId="5" fillId="0" borderId="0" xfId="3" applyNumberFormat="1" applyProtection="1">
      <protection hidden="1"/>
    </xf>
    <xf numFmtId="14" fontId="42" fillId="0" borderId="0" xfId="0"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5" fillId="0" borderId="11" xfId="3" applyBorder="1" applyAlignment="1" applyProtection="1">
      <alignment horizontal="right"/>
      <protection hidden="1"/>
    </xf>
    <xf numFmtId="0" fontId="5" fillId="0" borderId="1" xfId="3" applyBorder="1" applyAlignment="1" applyProtection="1">
      <alignment horizontal="right"/>
      <protection hidden="1"/>
    </xf>
    <xf numFmtId="2" fontId="5" fillId="0" borderId="3" xfId="3" applyNumberFormat="1" applyBorder="1" applyProtection="1">
      <protection hidden="1"/>
    </xf>
    <xf numFmtId="0" fontId="39" fillId="0" borderId="0" xfId="0" applyFont="1" applyProtection="1">
      <protection hidden="1"/>
    </xf>
    <xf numFmtId="0" fontId="40" fillId="0" borderId="0" xfId="0" applyFont="1" applyProtection="1">
      <protection hidden="1"/>
    </xf>
    <xf numFmtId="2" fontId="5" fillId="0" borderId="1" xfId="3" applyNumberFormat="1" applyBorder="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8" fillId="0" borderId="0" xfId="0" applyFont="1" applyAlignment="1" applyProtection="1">
      <alignment horizontal="right" vertical="center"/>
      <protection hidden="1"/>
    </xf>
    <xf numFmtId="0" fontId="0" fillId="14" borderId="0" xfId="0" applyFill="1" applyProtection="1">
      <protection hidden="1"/>
    </xf>
    <xf numFmtId="0" fontId="0" fillId="12" borderId="110" xfId="0" applyFill="1" applyBorder="1" applyProtection="1">
      <protection hidden="1"/>
    </xf>
    <xf numFmtId="0" fontId="0" fillId="12" borderId="111" xfId="0" applyFill="1" applyBorder="1" applyProtection="1">
      <protection hidden="1"/>
    </xf>
    <xf numFmtId="49" fontId="0" fillId="12" borderId="111" xfId="0" applyNumberFormat="1" applyFill="1" applyBorder="1" applyProtection="1">
      <protection hidden="1"/>
    </xf>
    <xf numFmtId="14" fontId="0" fillId="12" borderId="111" xfId="0" applyNumberFormat="1" applyFill="1" applyBorder="1" applyAlignment="1" applyProtection="1">
      <alignment horizontal="left"/>
      <protection hidden="1"/>
    </xf>
    <xf numFmtId="0" fontId="0" fillId="12" borderId="111" xfId="0" applyFill="1" applyBorder="1" applyAlignment="1" applyProtection="1">
      <alignment horizontal="left"/>
      <protection hidden="1"/>
    </xf>
    <xf numFmtId="2" fontId="0" fillId="12" borderId="111" xfId="0" applyNumberFormat="1" applyFill="1" applyBorder="1" applyAlignment="1" applyProtection="1">
      <alignment horizontal="left"/>
      <protection hidden="1"/>
    </xf>
    <xf numFmtId="0" fontId="0" fillId="12" borderId="112" xfId="0" applyFill="1" applyBorder="1" applyAlignment="1" applyProtection="1">
      <alignment horizontal="left"/>
      <protection hidden="1"/>
    </xf>
    <xf numFmtId="169" fontId="22" fillId="0" borderId="0" xfId="3" applyNumberFormat="1" applyFont="1" applyProtection="1">
      <protection hidden="1"/>
    </xf>
    <xf numFmtId="0" fontId="51" fillId="0" borderId="0" xfId="3" applyFont="1" applyProtection="1">
      <protection hidden="1"/>
    </xf>
    <xf numFmtId="0" fontId="5" fillId="0" borderId="101" xfId="3" applyBorder="1" applyProtection="1">
      <protection hidden="1"/>
    </xf>
    <xf numFmtId="0" fontId="5" fillId="0" borderId="101" xfId="3" applyBorder="1" applyAlignment="1" applyProtection="1">
      <alignment horizontal="center"/>
      <protection hidden="1"/>
    </xf>
    <xf numFmtId="168" fontId="5" fillId="0" borderId="101" xfId="3" applyNumberFormat="1" applyBorder="1" applyAlignment="1" applyProtection="1">
      <alignment horizontal="center"/>
      <protection hidden="1"/>
    </xf>
    <xf numFmtId="0" fontId="8" fillId="0" borderId="101" xfId="3" applyFont="1" applyBorder="1" applyAlignment="1" applyProtection="1">
      <alignment horizontal="center"/>
      <protection hidden="1"/>
    </xf>
    <xf numFmtId="170" fontId="5" fillId="0" borderId="101" xfId="3" applyNumberFormat="1" applyBorder="1" applyAlignment="1" applyProtection="1">
      <alignment horizontal="center"/>
      <protection hidden="1"/>
    </xf>
    <xf numFmtId="0" fontId="12" fillId="0" borderId="101" xfId="3" applyFont="1" applyBorder="1" applyAlignment="1" applyProtection="1">
      <alignment horizontal="center"/>
      <protection hidden="1"/>
    </xf>
    <xf numFmtId="169" fontId="12" fillId="0" borderId="101" xfId="3" applyNumberFormat="1" applyFont="1" applyBorder="1" applyAlignment="1" applyProtection="1">
      <alignment horizontal="center"/>
      <protection hidden="1"/>
    </xf>
    <xf numFmtId="177" fontId="5" fillId="0" borderId="101" xfId="3" applyNumberFormat="1" applyBorder="1" applyAlignment="1" applyProtection="1">
      <alignment horizontal="center"/>
      <protection hidden="1"/>
    </xf>
    <xf numFmtId="169" fontId="5" fillId="0" borderId="101" xfId="3" applyNumberFormat="1" applyBorder="1" applyAlignment="1" applyProtection="1">
      <alignment horizontal="center"/>
      <protection hidden="1"/>
    </xf>
    <xf numFmtId="171" fontId="15" fillId="0" borderId="101" xfId="3" applyNumberFormat="1" applyFont="1" applyBorder="1" applyAlignment="1" applyProtection="1">
      <alignment horizontal="center"/>
      <protection hidden="1"/>
    </xf>
    <xf numFmtId="0" fontId="5" fillId="0" borderId="101" xfId="3" applyBorder="1" applyAlignment="1" applyProtection="1">
      <alignment horizontal="center" vertical="center" wrapText="1"/>
      <protection hidden="1"/>
    </xf>
    <xf numFmtId="169" fontId="12" fillId="0" borderId="101" xfId="3" applyNumberFormat="1" applyFont="1" applyBorder="1" applyProtection="1">
      <protection hidden="1"/>
    </xf>
    <xf numFmtId="0" fontId="0" fillId="0" borderId="133" xfId="0" applyBorder="1" applyProtection="1">
      <protection hidden="1"/>
    </xf>
    <xf numFmtId="0" fontId="43" fillId="0" borderId="133" xfId="0" applyFont="1" applyBorder="1" applyProtection="1">
      <protection hidden="1"/>
    </xf>
    <xf numFmtId="0" fontId="17" fillId="0" borderId="133" xfId="0" applyFont="1" applyBorder="1" applyProtection="1">
      <protection hidden="1"/>
    </xf>
    <xf numFmtId="0" fontId="29" fillId="0" borderId="133" xfId="0" applyFont="1" applyBorder="1" applyProtection="1">
      <protection hidden="1"/>
    </xf>
    <xf numFmtId="1" fontId="0" fillId="0" borderId="135" xfId="0" applyNumberFormat="1" applyBorder="1" applyAlignment="1" applyProtection="1">
      <alignment horizontal="center"/>
      <protection hidden="1"/>
    </xf>
    <xf numFmtId="1" fontId="0" fillId="0" borderId="78" xfId="0" applyNumberFormat="1" applyBorder="1" applyAlignment="1" applyProtection="1">
      <alignment horizontal="center"/>
      <protection hidden="1"/>
    </xf>
    <xf numFmtId="1" fontId="0" fillId="0" borderId="82" xfId="0" applyNumberFormat="1" applyBorder="1" applyAlignment="1" applyProtection="1">
      <alignment horizontal="center"/>
      <protection hidden="1"/>
    </xf>
    <xf numFmtId="2" fontId="0" fillId="0" borderId="135"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6" xfId="0" applyNumberFormat="1" applyFont="1" applyBorder="1" applyProtection="1">
      <protection hidden="1"/>
    </xf>
    <xf numFmtId="2" fontId="17" fillId="0" borderId="0" xfId="0" applyNumberFormat="1" applyFont="1" applyProtection="1">
      <protection hidden="1"/>
    </xf>
    <xf numFmtId="1" fontId="17" fillId="0" borderId="70" xfId="0" applyNumberFormat="1" applyFont="1" applyBorder="1" applyAlignment="1" applyProtection="1">
      <alignment horizontal="right"/>
      <protection hidden="1"/>
    </xf>
    <xf numFmtId="0" fontId="0" fillId="0" borderId="110" xfId="0" applyBorder="1" applyAlignment="1" applyProtection="1">
      <alignment horizontal="center"/>
      <protection hidden="1"/>
    </xf>
    <xf numFmtId="0" fontId="0" fillId="0" borderId="111" xfId="0" applyBorder="1" applyAlignment="1" applyProtection="1">
      <alignment horizontal="center"/>
      <protection hidden="1"/>
    </xf>
    <xf numFmtId="0" fontId="0" fillId="0" borderId="112"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9" fillId="0" borderId="0" xfId="0" applyFont="1" applyProtection="1">
      <protection hidden="1"/>
    </xf>
    <xf numFmtId="2" fontId="0" fillId="0" borderId="92" xfId="0" applyNumberFormat="1" applyBorder="1" applyProtection="1">
      <protection hidden="1"/>
    </xf>
    <xf numFmtId="2" fontId="0" fillId="0" borderId="63" xfId="0" applyNumberFormat="1" applyBorder="1" applyProtection="1">
      <protection hidden="1"/>
    </xf>
    <xf numFmtId="0" fontId="0" fillId="0" borderId="118" xfId="0" applyBorder="1" applyAlignment="1" applyProtection="1">
      <alignment horizontal="right"/>
      <protection hidden="1"/>
    </xf>
    <xf numFmtId="0" fontId="0" fillId="0" borderId="120" xfId="0" applyBorder="1" applyProtection="1">
      <protection hidden="1"/>
    </xf>
    <xf numFmtId="177" fontId="5" fillId="0" borderId="0" xfId="3" applyNumberFormat="1" applyProtection="1">
      <protection hidden="1"/>
    </xf>
    <xf numFmtId="171" fontId="52" fillId="0" borderId="0" xfId="1" applyFont="1" applyProtection="1">
      <protection hidden="1"/>
    </xf>
    <xf numFmtId="0" fontId="61" fillId="0" borderId="0" xfId="0" applyFont="1" applyProtection="1">
      <protection hidden="1"/>
    </xf>
    <xf numFmtId="0" fontId="61" fillId="0" borderId="0" xfId="0" applyFont="1" applyAlignment="1" applyProtection="1">
      <alignment horizontal="right"/>
      <protection hidden="1"/>
    </xf>
    <xf numFmtId="0" fontId="61" fillId="0" borderId="0" xfId="0" applyFont="1" applyAlignment="1" applyProtection="1">
      <alignment horizontal="left"/>
      <protection hidden="1"/>
    </xf>
    <xf numFmtId="169" fontId="61" fillId="0" borderId="0" xfId="0" applyNumberFormat="1" applyFont="1" applyAlignment="1" applyProtection="1">
      <alignment horizontal="left"/>
      <protection hidden="1"/>
    </xf>
    <xf numFmtId="0" fontId="61" fillId="0" borderId="29" xfId="0" applyFont="1" applyBorder="1" applyAlignment="1" applyProtection="1">
      <alignment horizontal="right"/>
      <protection hidden="1"/>
    </xf>
    <xf numFmtId="2" fontId="61" fillId="0" borderId="29" xfId="0" applyNumberFormat="1" applyFont="1" applyBorder="1" applyProtection="1">
      <protection hidden="1"/>
    </xf>
    <xf numFmtId="2" fontId="61" fillId="0" borderId="92" xfId="0" applyNumberFormat="1" applyFont="1" applyBorder="1" applyProtection="1">
      <protection hidden="1"/>
    </xf>
    <xf numFmtId="2" fontId="61" fillId="0" borderId="31" xfId="0" applyNumberFormat="1" applyFont="1" applyBorder="1" applyProtection="1">
      <protection hidden="1"/>
    </xf>
    <xf numFmtId="0" fontId="61" fillId="0" borderId="25" xfId="0" applyFont="1" applyBorder="1" applyAlignment="1" applyProtection="1">
      <alignment horizontal="right"/>
      <protection hidden="1"/>
    </xf>
    <xf numFmtId="2" fontId="61" fillId="0" borderId="25" xfId="0" applyNumberFormat="1" applyFont="1" applyBorder="1" applyProtection="1">
      <protection hidden="1"/>
    </xf>
    <xf numFmtId="2" fontId="61" fillId="0" borderId="116" xfId="0" applyNumberFormat="1" applyFont="1" applyBorder="1" applyProtection="1">
      <protection hidden="1"/>
    </xf>
    <xf numFmtId="2" fontId="61" fillId="0" borderId="98" xfId="0" applyNumberFormat="1" applyFont="1" applyBorder="1" applyProtection="1">
      <protection hidden="1"/>
    </xf>
    <xf numFmtId="0" fontId="61" fillId="0" borderId="26" xfId="0" applyFont="1" applyBorder="1" applyAlignment="1" applyProtection="1">
      <alignment horizontal="right"/>
      <protection hidden="1"/>
    </xf>
    <xf numFmtId="2" fontId="61" fillId="0" borderId="26" xfId="0" applyNumberFormat="1" applyFont="1" applyBorder="1" applyProtection="1">
      <protection hidden="1"/>
    </xf>
    <xf numFmtId="2" fontId="61" fillId="0" borderId="63" xfId="0" applyNumberFormat="1" applyFont="1" applyBorder="1" applyProtection="1">
      <protection hidden="1"/>
    </xf>
    <xf numFmtId="2" fontId="61" fillId="0" borderId="28" xfId="0" applyNumberFormat="1" applyFont="1" applyBorder="1" applyProtection="1">
      <protection hidden="1"/>
    </xf>
    <xf numFmtId="189" fontId="62" fillId="0" borderId="0" xfId="0" applyNumberFormat="1" applyFont="1" applyProtection="1">
      <protection hidden="1"/>
    </xf>
    <xf numFmtId="169" fontId="62" fillId="0" borderId="0" xfId="0" applyNumberFormat="1" applyFont="1" applyProtection="1">
      <protection hidden="1"/>
    </xf>
    <xf numFmtId="187" fontId="62" fillId="0" borderId="0" xfId="0" applyNumberFormat="1" applyFont="1" applyProtection="1">
      <protection hidden="1"/>
    </xf>
    <xf numFmtId="0" fontId="0" fillId="0" borderId="71" xfId="0" applyBorder="1" applyAlignment="1" applyProtection="1">
      <alignment horizontal="right"/>
      <protection hidden="1"/>
    </xf>
    <xf numFmtId="0" fontId="0" fillId="0" borderId="73" xfId="0" applyBorder="1" applyProtection="1">
      <protection hidden="1"/>
    </xf>
    <xf numFmtId="0" fontId="0" fillId="0" borderId="70" xfId="4" applyNumberFormat="1" applyFont="1" applyBorder="1" applyProtection="1">
      <protection hidden="1"/>
    </xf>
    <xf numFmtId="0" fontId="63"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8" xfId="0" applyNumberFormat="1" applyFont="1" applyBorder="1" applyProtection="1">
      <protection hidden="1"/>
    </xf>
    <xf numFmtId="2" fontId="17" fillId="0" borderId="28" xfId="0" applyNumberFormat="1" applyFont="1" applyBorder="1" applyProtection="1">
      <protection hidden="1"/>
    </xf>
    <xf numFmtId="0" fontId="61" fillId="0" borderId="30" xfId="0" applyFont="1" applyBorder="1" applyAlignment="1" applyProtection="1">
      <alignment horizontal="right"/>
      <protection hidden="1"/>
    </xf>
    <xf numFmtId="0" fontId="61" fillId="0" borderId="27" xfId="0" applyFont="1" applyBorder="1" applyAlignment="1" applyProtection="1">
      <alignment horizontal="right"/>
      <protection hidden="1"/>
    </xf>
    <xf numFmtId="2" fontId="0" fillId="0" borderId="116"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6" xfId="0" applyNumberFormat="1" applyBorder="1" applyProtection="1">
      <protection hidden="1"/>
    </xf>
    <xf numFmtId="2" fontId="61" fillId="0" borderId="30" xfId="0" applyNumberFormat="1" applyFont="1" applyBorder="1" applyProtection="1">
      <protection hidden="1"/>
    </xf>
    <xf numFmtId="2" fontId="61" fillId="0" borderId="0" xfId="0" applyNumberFormat="1" applyFont="1" applyProtection="1">
      <protection hidden="1"/>
    </xf>
    <xf numFmtId="2" fontId="61" fillId="0" borderId="27" xfId="0" applyNumberFormat="1" applyFont="1" applyBorder="1" applyProtection="1">
      <protection hidden="1"/>
    </xf>
    <xf numFmtId="169" fontId="61" fillId="0" borderId="92" xfId="0" applyNumberFormat="1" applyFont="1" applyBorder="1" applyProtection="1">
      <protection hidden="1"/>
    </xf>
    <xf numFmtId="169" fontId="61" fillId="0" borderId="116" xfId="0" applyNumberFormat="1" applyFont="1" applyBorder="1" applyProtection="1">
      <protection hidden="1"/>
    </xf>
    <xf numFmtId="169" fontId="61" fillId="0" borderId="63" xfId="0" applyNumberFormat="1" applyFont="1" applyBorder="1" applyProtection="1">
      <protection hidden="1"/>
    </xf>
    <xf numFmtId="169" fontId="0" fillId="0" borderId="0" xfId="0" applyNumberFormat="1" applyProtection="1">
      <protection locked="0" hidden="1"/>
    </xf>
    <xf numFmtId="0" fontId="64" fillId="0" borderId="0" xfId="0" applyFont="1" applyAlignment="1" applyProtection="1">
      <alignment horizontal="right"/>
      <protection hidden="1"/>
    </xf>
    <xf numFmtId="0" fontId="65" fillId="0" borderId="0" xfId="3" applyFont="1" applyProtection="1">
      <protection hidden="1"/>
    </xf>
    <xf numFmtId="0" fontId="51"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22" xfId="0" applyNumberFormat="1" applyBorder="1" applyProtection="1">
      <protection hidden="1"/>
    </xf>
    <xf numFmtId="181" fontId="18" fillId="0" borderId="0" xfId="0" applyNumberFormat="1" applyFont="1" applyProtection="1">
      <protection hidden="1"/>
    </xf>
    <xf numFmtId="181" fontId="53" fillId="0" borderId="17" xfId="1" applyNumberFormat="1" applyFont="1" applyBorder="1" applyProtection="1">
      <protection hidden="1"/>
    </xf>
    <xf numFmtId="181" fontId="53" fillId="0" borderId="70" xfId="1" applyNumberFormat="1" applyFont="1" applyBorder="1" applyAlignment="1" applyProtection="1">
      <alignment horizontal="right"/>
      <protection hidden="1"/>
    </xf>
    <xf numFmtId="181" fontId="0" fillId="0" borderId="17" xfId="0" applyNumberFormat="1" applyBorder="1" applyProtection="1">
      <protection hidden="1"/>
    </xf>
    <xf numFmtId="181" fontId="53" fillId="0" borderId="70" xfId="0" applyNumberFormat="1" applyFont="1" applyBorder="1" applyProtection="1">
      <protection hidden="1"/>
    </xf>
    <xf numFmtId="181" fontId="0" fillId="0" borderId="17" xfId="1" applyNumberFormat="1" applyFont="1" applyBorder="1" applyProtection="1">
      <protection hidden="1"/>
    </xf>
    <xf numFmtId="181" fontId="53" fillId="0" borderId="110" xfId="1" applyNumberFormat="1" applyFont="1" applyBorder="1" applyProtection="1">
      <protection hidden="1"/>
    </xf>
    <xf numFmtId="177" fontId="18" fillId="0" borderId="101"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6"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3" fillId="0" borderId="17" xfId="0" applyFont="1" applyBorder="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20" fontId="0" fillId="0" borderId="139" xfId="0" applyNumberFormat="1" applyBorder="1" applyAlignment="1" applyProtection="1">
      <alignment horizontal="center"/>
      <protection hidden="1"/>
    </xf>
    <xf numFmtId="0" fontId="67" fillId="0" borderId="0" xfId="0" applyFont="1" applyProtection="1">
      <protection hidden="1"/>
    </xf>
    <xf numFmtId="0" fontId="0" fillId="0" borderId="124"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8" xfId="0" applyNumberFormat="1" applyFont="1" applyBorder="1" applyProtection="1">
      <protection hidden="1"/>
    </xf>
    <xf numFmtId="2" fontId="18" fillId="0" borderId="139"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9" fillId="0" borderId="0" xfId="3" applyFont="1" applyProtection="1">
      <protection hidden="1"/>
    </xf>
    <xf numFmtId="0" fontId="70" fillId="0" borderId="0" xfId="3" applyFont="1" applyProtection="1">
      <protection hidden="1"/>
    </xf>
    <xf numFmtId="165" fontId="5" fillId="0" borderId="0" xfId="2"/>
    <xf numFmtId="0" fontId="43"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70" xfId="0" applyFont="1" applyBorder="1" applyAlignment="1" applyProtection="1">
      <alignment horizontal="center" vertical="center" wrapText="1"/>
      <protection hidden="1"/>
    </xf>
    <xf numFmtId="0" fontId="18" fillId="20" borderId="70" xfId="0" applyFont="1" applyFill="1" applyBorder="1" applyAlignment="1" applyProtection="1">
      <alignment horizontal="center" vertical="center" wrapText="1"/>
      <protection hidden="1"/>
    </xf>
    <xf numFmtId="0" fontId="18" fillId="21" borderId="70" xfId="0" applyFont="1" applyFill="1" applyBorder="1" applyAlignment="1" applyProtection="1">
      <alignment horizontal="center" vertical="center" wrapText="1"/>
      <protection hidden="1"/>
    </xf>
    <xf numFmtId="0" fontId="18" fillId="9" borderId="70"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11" xfId="0" applyNumberFormat="1" applyFont="1" applyBorder="1" applyAlignment="1" applyProtection="1">
      <alignment horizontal="center"/>
      <protection hidden="1"/>
    </xf>
    <xf numFmtId="181" fontId="18" fillId="0" borderId="111"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92" xfId="0" applyNumberFormat="1" applyBorder="1" applyProtection="1">
      <protection hidden="1"/>
    </xf>
    <xf numFmtId="181" fontId="0" fillId="0" borderId="116" xfId="0" applyNumberFormat="1" applyBorder="1" applyProtection="1">
      <protection hidden="1"/>
    </xf>
    <xf numFmtId="181" fontId="0" fillId="0" borderId="63" xfId="0" applyNumberFormat="1" applyBorder="1" applyProtection="1">
      <protection hidden="1"/>
    </xf>
    <xf numFmtId="0" fontId="71" fillId="0" borderId="0" xfId="0" applyFont="1" applyProtection="1">
      <protection hidden="1"/>
    </xf>
    <xf numFmtId="0" fontId="71" fillId="0" borderId="0" xfId="0" applyFont="1" applyAlignment="1" applyProtection="1">
      <alignment horizontal="right"/>
      <protection hidden="1"/>
    </xf>
    <xf numFmtId="0" fontId="71"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20" xfId="3" applyFont="1" applyBorder="1" applyProtection="1">
      <protection hidden="1"/>
    </xf>
    <xf numFmtId="0" fontId="22" fillId="0" borderId="123" xfId="3" applyFont="1" applyBorder="1" applyProtection="1">
      <protection hidden="1"/>
    </xf>
    <xf numFmtId="8" fontId="0" fillId="12" borderId="0" xfId="0" applyNumberFormat="1" applyFill="1" applyProtection="1">
      <protection hidden="1"/>
    </xf>
    <xf numFmtId="0" fontId="72"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70" xfId="0" applyBorder="1" applyAlignment="1" applyProtection="1">
      <alignment horizontal="center"/>
      <protection hidden="1"/>
    </xf>
    <xf numFmtId="169" fontId="0" fillId="12" borderId="0" xfId="0" applyNumberFormat="1" applyFill="1" applyProtection="1">
      <protection hidden="1"/>
    </xf>
    <xf numFmtId="44" fontId="0" fillId="0" borderId="110" xfId="0" applyNumberFormat="1" applyBorder="1" applyProtection="1">
      <protection hidden="1"/>
    </xf>
    <xf numFmtId="0" fontId="0" fillId="0" borderId="110" xfId="0" applyBorder="1"/>
    <xf numFmtId="0" fontId="0" fillId="0" borderId="112" xfId="0" applyBorder="1" applyAlignment="1">
      <alignment horizontal="right"/>
    </xf>
    <xf numFmtId="14" fontId="0" fillId="0" borderId="63"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92" xfId="3" applyNumberFormat="1" applyFont="1" applyFill="1" applyBorder="1" applyAlignment="1" applyProtection="1">
      <alignment horizontal="center"/>
      <protection locked="0"/>
    </xf>
    <xf numFmtId="169" fontId="12" fillId="17" borderId="63" xfId="3" applyNumberFormat="1" applyFont="1" applyFill="1" applyBorder="1" applyAlignment="1" applyProtection="1">
      <alignment horizontal="center"/>
      <protection locked="0"/>
    </xf>
    <xf numFmtId="0" fontId="73" fillId="0" borderId="0" xfId="0" applyFont="1" applyAlignment="1" applyProtection="1">
      <alignment horizontal="center"/>
      <protection hidden="1"/>
    </xf>
    <xf numFmtId="0" fontId="73" fillId="0" borderId="0" xfId="0" applyFont="1" applyAlignment="1" applyProtection="1">
      <alignment horizontal="center" vertical="center" wrapText="1"/>
      <protection hidden="1"/>
    </xf>
    <xf numFmtId="0" fontId="73" fillId="0" borderId="0" xfId="0" applyFont="1" applyProtection="1">
      <protection hidden="1"/>
    </xf>
    <xf numFmtId="0" fontId="53" fillId="0" borderId="18" xfId="0" applyFont="1" applyBorder="1" applyAlignment="1" applyProtection="1">
      <alignment horizontal="center" vertical="center" wrapText="1"/>
      <protection hidden="1"/>
    </xf>
    <xf numFmtId="0" fontId="53" fillId="0" borderId="20" xfId="0" applyFont="1" applyBorder="1" applyAlignment="1" applyProtection="1">
      <alignment horizontal="center" vertical="center" wrapText="1"/>
      <protection hidden="1"/>
    </xf>
    <xf numFmtId="169" fontId="18" fillId="0" borderId="92" xfId="0" applyNumberFormat="1" applyFont="1" applyBorder="1" applyAlignment="1" applyProtection="1">
      <alignment horizontal="center"/>
      <protection hidden="1"/>
    </xf>
    <xf numFmtId="2" fontId="73" fillId="0" borderId="0" xfId="0" applyNumberFormat="1" applyFont="1" applyAlignment="1" applyProtection="1">
      <alignment horizontal="center"/>
      <protection hidden="1"/>
    </xf>
    <xf numFmtId="169" fontId="18" fillId="0" borderId="63"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101"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3"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3"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6" xfId="0" applyNumberFormat="1" applyFill="1" applyBorder="1" applyAlignment="1" applyProtection="1">
      <alignment horizontal="center"/>
      <protection locked="0"/>
    </xf>
    <xf numFmtId="172" fontId="0" fillId="6" borderId="63" xfId="0" applyNumberFormat="1" applyFill="1" applyBorder="1" applyAlignment="1" applyProtection="1">
      <alignment horizontal="center"/>
      <protection locked="0"/>
    </xf>
    <xf numFmtId="0" fontId="0" fillId="0" borderId="63" xfId="0" applyBorder="1" applyAlignment="1" applyProtection="1">
      <alignment horizontal="center"/>
      <protection hidden="1"/>
    </xf>
    <xf numFmtId="2" fontId="0" fillId="0" borderId="116" xfId="0" applyNumberFormat="1" applyBorder="1" applyAlignment="1" applyProtection="1">
      <alignment horizontal="right"/>
      <protection hidden="1"/>
    </xf>
    <xf numFmtId="2" fontId="0" fillId="0" borderId="63" xfId="0" applyNumberFormat="1" applyBorder="1" applyAlignment="1" applyProtection="1">
      <alignment horizontal="right"/>
      <protection hidden="1"/>
    </xf>
    <xf numFmtId="0" fontId="46" fillId="0" borderId="0" xfId="0" applyFont="1" applyAlignment="1" applyProtection="1">
      <alignment horizontal="center"/>
      <protection hidden="1"/>
    </xf>
    <xf numFmtId="0" fontId="76" fillId="0" borderId="0" xfId="0" applyFont="1" applyAlignment="1" applyProtection="1">
      <alignment horizontal="center"/>
      <protection hidden="1"/>
    </xf>
    <xf numFmtId="0" fontId="76" fillId="0" borderId="0" xfId="0" applyFont="1" applyAlignment="1" applyProtection="1">
      <alignment horizontal="right"/>
      <protection hidden="1"/>
    </xf>
    <xf numFmtId="2" fontId="0" fillId="0" borderId="92" xfId="0" applyNumberFormat="1" applyBorder="1" applyAlignment="1" applyProtection="1">
      <alignment horizontal="right"/>
      <protection hidden="1"/>
    </xf>
    <xf numFmtId="0" fontId="53" fillId="0" borderId="29" xfId="0" applyFont="1" applyBorder="1" applyAlignment="1" applyProtection="1">
      <alignment horizontal="center" vertical="center" wrapText="1"/>
      <protection hidden="1"/>
    </xf>
    <xf numFmtId="0" fontId="53" fillId="0" borderId="92" xfId="0" applyFont="1" applyBorder="1" applyAlignment="1" applyProtection="1">
      <alignment horizontal="center" vertical="center" wrapText="1"/>
      <protection hidden="1"/>
    </xf>
    <xf numFmtId="172" fontId="0" fillId="6" borderId="92"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92"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7"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8"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9" xfId="3" applyFont="1" applyBorder="1" applyAlignment="1" applyProtection="1">
      <alignment horizontal="center" vertical="center"/>
      <protection hidden="1"/>
    </xf>
    <xf numFmtId="169" fontId="12" fillId="0" borderId="92" xfId="3" applyNumberFormat="1" applyFont="1" applyBorder="1" applyAlignment="1" applyProtection="1">
      <alignment horizontal="center"/>
      <protection hidden="1"/>
    </xf>
    <xf numFmtId="169" fontId="12" fillId="0" borderId="63" xfId="3" applyNumberFormat="1" applyFont="1" applyBorder="1" applyAlignment="1" applyProtection="1">
      <alignment horizontal="center"/>
      <protection hidden="1"/>
    </xf>
    <xf numFmtId="2" fontId="18" fillId="0" borderId="63" xfId="0" applyNumberFormat="1" applyFont="1" applyBorder="1" applyAlignment="1" applyProtection="1">
      <alignment horizontal="right"/>
      <protection hidden="1"/>
    </xf>
    <xf numFmtId="169" fontId="12" fillId="0" borderId="99" xfId="3" applyNumberFormat="1" applyFont="1" applyBorder="1" applyAlignment="1" applyProtection="1">
      <alignment horizontal="center"/>
      <protection hidden="1"/>
    </xf>
    <xf numFmtId="0" fontId="0" fillId="0" borderId="99" xfId="0" applyBorder="1" applyAlignment="1" applyProtection="1">
      <alignment horizontal="center"/>
      <protection hidden="1"/>
    </xf>
    <xf numFmtId="0" fontId="18" fillId="25" borderId="92"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10"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80" fillId="0" borderId="0" xfId="3" applyFont="1" applyAlignment="1" applyProtection="1">
      <alignment horizontal="right"/>
      <protection hidden="1"/>
    </xf>
    <xf numFmtId="0" fontId="29" fillId="16" borderId="0" xfId="0" applyFont="1" applyFill="1" applyProtection="1">
      <protection hidden="1"/>
    </xf>
    <xf numFmtId="14" fontId="43" fillId="0" borderId="0" xfId="0" applyNumberFormat="1" applyFont="1" applyAlignment="1" applyProtection="1">
      <alignment horizontal="center"/>
      <protection hidden="1"/>
    </xf>
    <xf numFmtId="0" fontId="70" fillId="0" borderId="0" xfId="3" applyFont="1" applyAlignment="1" applyProtection="1">
      <alignment horizontal="left" vertical="center" wrapText="1"/>
      <protection hidden="1"/>
    </xf>
    <xf numFmtId="0" fontId="81" fillId="0" borderId="0" xfId="3" applyFont="1" applyProtection="1">
      <protection hidden="1"/>
    </xf>
    <xf numFmtId="0" fontId="82" fillId="0" borderId="0" xfId="3" applyFont="1" applyProtection="1">
      <protection hidden="1"/>
    </xf>
    <xf numFmtId="0" fontId="83" fillId="0" borderId="0" xfId="3" applyFont="1" applyAlignment="1" applyProtection="1">
      <alignment horizontal="center" vertical="center"/>
      <protection hidden="1"/>
    </xf>
    <xf numFmtId="0" fontId="81" fillId="0" borderId="0" xfId="3" applyFont="1" applyAlignment="1" applyProtection="1">
      <alignment horizontal="left"/>
      <protection hidden="1"/>
    </xf>
    <xf numFmtId="0" fontId="81" fillId="0" borderId="0" xfId="3" applyFont="1" applyAlignment="1" applyProtection="1">
      <alignment horizontal="center"/>
      <protection hidden="1"/>
    </xf>
    <xf numFmtId="169" fontId="81" fillId="0" borderId="0" xfId="3" applyNumberFormat="1" applyFont="1" applyProtection="1">
      <protection hidden="1"/>
    </xf>
    <xf numFmtId="0" fontId="82" fillId="0" borderId="0" xfId="3" applyFont="1" applyAlignment="1" applyProtection="1">
      <alignment horizontal="left" vertical="center" wrapText="1"/>
      <protection hidden="1"/>
    </xf>
    <xf numFmtId="0" fontId="81"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4" fillId="0" borderId="0" xfId="3" applyFont="1" applyProtection="1">
      <protection hidden="1"/>
    </xf>
    <xf numFmtId="0" fontId="85" fillId="0" borderId="0" xfId="3" applyFont="1" applyProtection="1">
      <protection hidden="1"/>
    </xf>
    <xf numFmtId="0" fontId="85" fillId="0" borderId="2" xfId="3" applyFont="1" applyBorder="1" applyProtection="1">
      <protection hidden="1"/>
    </xf>
    <xf numFmtId="0" fontId="85" fillId="0" borderId="59" xfId="3" applyFont="1" applyBorder="1" applyAlignment="1" applyProtection="1">
      <alignment horizontal="center"/>
      <protection hidden="1"/>
    </xf>
    <xf numFmtId="0" fontId="85" fillId="0" borderId="13" xfId="3" applyFont="1" applyBorder="1" applyProtection="1">
      <protection hidden="1"/>
    </xf>
    <xf numFmtId="0" fontId="85" fillId="0" borderId="14" xfId="3" applyFont="1" applyBorder="1" applyProtection="1">
      <protection hidden="1"/>
    </xf>
    <xf numFmtId="0" fontId="85" fillId="0" borderId="15" xfId="3" applyFont="1" applyBorder="1" applyProtection="1">
      <protection hidden="1"/>
    </xf>
    <xf numFmtId="0" fontId="85" fillId="0" borderId="7" xfId="3" applyFont="1" applyBorder="1" applyProtection="1">
      <protection hidden="1"/>
    </xf>
    <xf numFmtId="0" fontId="85" fillId="0" borderId="12" xfId="3" applyFont="1" applyBorder="1" applyProtection="1">
      <protection hidden="1"/>
    </xf>
    <xf numFmtId="0" fontId="85" fillId="0" borderId="9" xfId="3" applyFont="1" applyBorder="1" applyProtection="1">
      <protection hidden="1"/>
    </xf>
    <xf numFmtId="0" fontId="85" fillId="0" borderId="10" xfId="3" applyFont="1" applyBorder="1" applyAlignment="1" applyProtection="1">
      <alignment vertical="center"/>
      <protection hidden="1"/>
    </xf>
    <xf numFmtId="0" fontId="85" fillId="0" borderId="62" xfId="3" applyFont="1" applyBorder="1" applyAlignment="1" applyProtection="1">
      <alignment vertical="center"/>
      <protection hidden="1"/>
    </xf>
    <xf numFmtId="0" fontId="85" fillId="0" borderId="29" xfId="3" applyFont="1" applyBorder="1" applyProtection="1">
      <protection hidden="1"/>
    </xf>
    <xf numFmtId="0" fontId="85" fillId="0" borderId="30" xfId="3" applyFont="1" applyBorder="1" applyProtection="1">
      <protection hidden="1"/>
    </xf>
    <xf numFmtId="0" fontId="85" fillId="0" borderId="31" xfId="3" applyFont="1" applyBorder="1" applyProtection="1">
      <protection hidden="1"/>
    </xf>
    <xf numFmtId="0" fontId="85" fillId="0" borderId="26" xfId="3" applyFont="1" applyBorder="1" applyProtection="1">
      <protection hidden="1"/>
    </xf>
    <xf numFmtId="0" fontId="85" fillId="0" borderId="27" xfId="3" applyFont="1" applyBorder="1" applyProtection="1">
      <protection hidden="1"/>
    </xf>
    <xf numFmtId="0" fontId="85" fillId="0" borderId="28" xfId="3" applyFont="1" applyBorder="1" applyProtection="1">
      <protection hidden="1"/>
    </xf>
    <xf numFmtId="0" fontId="85" fillId="0" borderId="0" xfId="3" applyFont="1" applyAlignment="1" applyProtection="1">
      <alignment vertical="center"/>
      <protection hidden="1"/>
    </xf>
    <xf numFmtId="0" fontId="87" fillId="0" borderId="0" xfId="3" applyFont="1" applyAlignment="1" applyProtection="1">
      <alignment horizontal="right"/>
      <protection hidden="1"/>
    </xf>
    <xf numFmtId="181" fontId="87" fillId="0" borderId="0" xfId="3" applyNumberFormat="1" applyFont="1" applyAlignment="1" applyProtection="1">
      <alignment horizontal="center"/>
      <protection hidden="1"/>
    </xf>
    <xf numFmtId="0" fontId="85" fillId="0" borderId="0" xfId="3" applyFont="1" applyAlignment="1" applyProtection="1">
      <alignment horizontal="left"/>
      <protection hidden="1"/>
    </xf>
    <xf numFmtId="0" fontId="88" fillId="0" borderId="0" xfId="3" applyFont="1" applyProtection="1">
      <protection hidden="1"/>
    </xf>
    <xf numFmtId="0" fontId="88" fillId="0" borderId="0" xfId="3" applyFont="1" applyAlignment="1" applyProtection="1">
      <alignment horizontal="right"/>
      <protection hidden="1"/>
    </xf>
    <xf numFmtId="175" fontId="88" fillId="0" borderId="0" xfId="3" applyNumberFormat="1" applyFont="1" applyAlignment="1" applyProtection="1">
      <alignment vertical="center"/>
      <protection hidden="1"/>
    </xf>
    <xf numFmtId="0" fontId="88" fillId="0" borderId="0" xfId="3" applyFont="1" applyAlignment="1" applyProtection="1">
      <alignment vertical="center"/>
      <protection hidden="1"/>
    </xf>
    <xf numFmtId="0" fontId="89" fillId="0" borderId="0" xfId="3" applyFont="1" applyProtection="1">
      <protection hidden="1"/>
    </xf>
    <xf numFmtId="175" fontId="89" fillId="0" borderId="0" xfId="3" applyNumberFormat="1" applyFont="1" applyAlignment="1" applyProtection="1">
      <alignment vertical="center"/>
      <protection hidden="1"/>
    </xf>
    <xf numFmtId="0" fontId="91" fillId="0" borderId="0" xfId="3" applyFont="1" applyProtection="1">
      <protection hidden="1"/>
    </xf>
    <xf numFmtId="0" fontId="91" fillId="0" borderId="0" xfId="3" quotePrefix="1" applyFont="1" applyAlignment="1" applyProtection="1">
      <alignment horizontal="right"/>
      <protection hidden="1"/>
    </xf>
    <xf numFmtId="176" fontId="90" fillId="0" borderId="0" xfId="3" applyNumberFormat="1" applyFont="1" applyAlignment="1" applyProtection="1">
      <alignment horizontal="center"/>
      <protection hidden="1"/>
    </xf>
    <xf numFmtId="0" fontId="91" fillId="0" borderId="0" xfId="3" quotePrefix="1" applyFont="1" applyAlignment="1" applyProtection="1">
      <alignment horizontal="center"/>
      <protection hidden="1"/>
    </xf>
    <xf numFmtId="171" fontId="90" fillId="0" borderId="0" xfId="1" applyFont="1" applyAlignment="1" applyProtection="1">
      <alignment horizontal="center"/>
      <protection hidden="1"/>
    </xf>
    <xf numFmtId="0" fontId="91" fillId="0" borderId="0" xfId="3" applyFont="1" applyAlignment="1" applyProtection="1">
      <alignment horizontal="right"/>
      <protection hidden="1"/>
    </xf>
    <xf numFmtId="176" fontId="90" fillId="0" borderId="0" xfId="3" applyNumberFormat="1" applyFont="1" applyAlignment="1" applyProtection="1">
      <alignment horizontal="left"/>
      <protection hidden="1"/>
    </xf>
    <xf numFmtId="0" fontId="5" fillId="12" borderId="0" xfId="1" applyNumberFormat="1" applyFill="1"/>
    <xf numFmtId="0" fontId="92" fillId="0" borderId="0" xfId="3" applyFont="1" applyProtection="1">
      <protection hidden="1"/>
    </xf>
    <xf numFmtId="0" fontId="94" fillId="0" borderId="0" xfId="0" applyFont="1" applyProtection="1">
      <protection hidden="1"/>
    </xf>
    <xf numFmtId="181" fontId="94" fillId="0" borderId="0" xfId="0" applyNumberFormat="1" applyFont="1" applyProtection="1">
      <protection hidden="1"/>
    </xf>
    <xf numFmtId="181" fontId="94" fillId="0" borderId="30" xfId="0" applyNumberFormat="1" applyFont="1" applyBorder="1" applyProtection="1">
      <protection hidden="1"/>
    </xf>
    <xf numFmtId="0" fontId="95" fillId="0" borderId="0" xfId="0" applyFont="1" applyProtection="1">
      <protection hidden="1"/>
    </xf>
    <xf numFmtId="181" fontId="95" fillId="0" borderId="0" xfId="0" applyNumberFormat="1" applyFont="1" applyProtection="1">
      <protection hidden="1"/>
    </xf>
    <xf numFmtId="2" fontId="95" fillId="0" borderId="0" xfId="0" applyNumberFormat="1" applyFont="1" applyProtection="1">
      <protection hidden="1"/>
    </xf>
    <xf numFmtId="169" fontId="94" fillId="0" borderId="0" xfId="0" applyNumberFormat="1" applyFont="1" applyProtection="1">
      <protection hidden="1"/>
    </xf>
    <xf numFmtId="0" fontId="4" fillId="0" borderId="0" xfId="0" applyFont="1" applyProtection="1">
      <protection hidden="1"/>
    </xf>
    <xf numFmtId="0" fontId="97" fillId="0" borderId="0" xfId="0" applyFont="1" applyProtection="1">
      <protection hidden="1"/>
    </xf>
    <xf numFmtId="0" fontId="18" fillId="0" borderId="92"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3"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92"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8" fillId="0" borderId="0" xfId="3" applyFont="1" applyProtection="1">
      <protection hidden="1"/>
    </xf>
    <xf numFmtId="0" fontId="99" fillId="0" borderId="0" xfId="3" applyFont="1" applyAlignment="1" applyProtection="1">
      <alignment horizontal="right"/>
      <protection hidden="1"/>
    </xf>
    <xf numFmtId="0" fontId="22" fillId="0" borderId="0" xfId="3" quotePrefix="1" applyFont="1" applyProtection="1">
      <protection hidden="1"/>
    </xf>
    <xf numFmtId="0" fontId="100" fillId="0" borderId="0" xfId="3" quotePrefix="1" applyFont="1" applyAlignment="1" applyProtection="1">
      <alignment vertical="center"/>
      <protection hidden="1"/>
    </xf>
    <xf numFmtId="0" fontId="100" fillId="0" borderId="0" xfId="3" applyFont="1" applyAlignment="1" applyProtection="1">
      <alignment vertical="center"/>
      <protection hidden="1"/>
    </xf>
    <xf numFmtId="177" fontId="102" fillId="0" borderId="0" xfId="3" quotePrefix="1" applyNumberFormat="1" applyFont="1" applyAlignment="1" applyProtection="1">
      <alignment horizontal="center" vertical="center"/>
      <protection hidden="1"/>
    </xf>
    <xf numFmtId="177" fontId="104" fillId="0" borderId="0" xfId="3" quotePrefix="1" applyNumberFormat="1" applyFont="1" applyAlignment="1" applyProtection="1">
      <alignment horizontal="center" vertical="center"/>
      <protection hidden="1"/>
    </xf>
    <xf numFmtId="177" fontId="102" fillId="0" borderId="0" xfId="3" quotePrefix="1" applyNumberFormat="1" applyFont="1" applyProtection="1">
      <protection hidden="1"/>
    </xf>
    <xf numFmtId="177" fontId="103" fillId="0" borderId="0" xfId="3" quotePrefix="1" applyNumberFormat="1" applyFont="1" applyProtection="1">
      <protection hidden="1"/>
    </xf>
    <xf numFmtId="0" fontId="105" fillId="0" borderId="0" xfId="3" quotePrefix="1" applyFont="1" applyAlignment="1" applyProtection="1">
      <alignment horizontal="center" vertical="center"/>
      <protection hidden="1"/>
    </xf>
    <xf numFmtId="0" fontId="103" fillId="0" borderId="0" xfId="3" quotePrefix="1" applyFont="1" applyAlignment="1" applyProtection="1">
      <alignment horizontal="center" vertical="center"/>
      <protection hidden="1"/>
    </xf>
    <xf numFmtId="0" fontId="103" fillId="0" borderId="0" xfId="3" quotePrefix="1" applyFont="1" applyAlignment="1" applyProtection="1">
      <alignment horizontal="right" vertical="center"/>
      <protection hidden="1"/>
    </xf>
    <xf numFmtId="177" fontId="103" fillId="0" borderId="0" xfId="3" quotePrefix="1" applyNumberFormat="1" applyFont="1" applyAlignment="1" applyProtection="1">
      <alignment horizontal="right" vertical="center"/>
      <protection hidden="1"/>
    </xf>
    <xf numFmtId="169" fontId="102" fillId="0" borderId="0" xfId="3" quotePrefix="1" applyNumberFormat="1" applyFont="1" applyAlignment="1" applyProtection="1">
      <alignment horizontal="center" vertical="center"/>
      <protection hidden="1"/>
    </xf>
    <xf numFmtId="0" fontId="106" fillId="0" borderId="0" xfId="3" quotePrefix="1" applyFont="1" applyAlignment="1" applyProtection="1">
      <alignment horizontal="center" vertical="center"/>
      <protection hidden="1"/>
    </xf>
    <xf numFmtId="0" fontId="107" fillId="0" borderId="0" xfId="3" applyFont="1" applyProtection="1">
      <protection hidden="1"/>
    </xf>
    <xf numFmtId="0" fontId="108" fillId="0" borderId="0" xfId="3" quotePrefix="1" applyFont="1" applyAlignment="1" applyProtection="1">
      <alignment vertical="center"/>
      <protection hidden="1"/>
    </xf>
    <xf numFmtId="0" fontId="111" fillId="0" borderId="0" xfId="3" applyFont="1" applyAlignment="1" applyProtection="1">
      <alignment horizontal="center"/>
      <protection hidden="1"/>
    </xf>
    <xf numFmtId="0" fontId="91"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3" fillId="0" borderId="0" xfId="1" applyNumberFormat="1" applyFont="1" applyProtection="1">
      <protection hidden="1"/>
    </xf>
    <xf numFmtId="0" fontId="3" fillId="0" borderId="0" xfId="0" applyFont="1" applyProtection="1">
      <protection hidden="1"/>
    </xf>
    <xf numFmtId="171" fontId="5" fillId="0" borderId="0" xfId="1"/>
    <xf numFmtId="169" fontId="18" fillId="0" borderId="99" xfId="0" applyNumberFormat="1" applyFont="1" applyBorder="1" applyAlignment="1" applyProtection="1">
      <alignment horizontal="center"/>
      <protection hidden="1"/>
    </xf>
    <xf numFmtId="0" fontId="100" fillId="0" borderId="0" xfId="0" applyFont="1" applyAlignment="1" applyProtection="1">
      <alignment horizontal="center"/>
      <protection hidden="1"/>
    </xf>
    <xf numFmtId="182" fontId="63" fillId="0" borderId="0" xfId="0" applyNumberFormat="1" applyFont="1" applyProtection="1">
      <protection hidden="1"/>
    </xf>
    <xf numFmtId="183" fontId="63"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6" fillId="0" borderId="152" xfId="0" applyNumberFormat="1" applyFont="1" applyBorder="1" applyAlignment="1" applyProtection="1">
      <alignment horizontal="center" vertical="center"/>
      <protection hidden="1"/>
    </xf>
    <xf numFmtId="208" fontId="46" fillId="0" borderId="152" xfId="0" applyNumberFormat="1" applyFont="1" applyBorder="1" applyAlignment="1" applyProtection="1">
      <alignment horizontal="center" vertical="center"/>
      <protection hidden="1"/>
    </xf>
    <xf numFmtId="0" fontId="113" fillId="0" borderId="0" xfId="0" applyFont="1" applyAlignment="1" applyProtection="1">
      <alignment horizontal="center" vertical="center"/>
      <protection hidden="1"/>
    </xf>
    <xf numFmtId="0" fontId="46" fillId="0" borderId="156" xfId="0" applyFont="1" applyBorder="1" applyProtection="1">
      <protection hidden="1"/>
    </xf>
    <xf numFmtId="0" fontId="46" fillId="0" borderId="157" xfId="0" applyFont="1" applyBorder="1" applyProtection="1">
      <protection hidden="1"/>
    </xf>
    <xf numFmtId="0" fontId="46" fillId="0" borderId="158" xfId="0" applyFont="1" applyBorder="1" applyProtection="1">
      <protection hidden="1"/>
    </xf>
    <xf numFmtId="0" fontId="46" fillId="0" borderId="159" xfId="0" applyFont="1" applyBorder="1" applyProtection="1">
      <protection hidden="1"/>
    </xf>
    <xf numFmtId="0" fontId="46" fillId="0" borderId="160" xfId="0" applyFont="1" applyBorder="1" applyProtection="1">
      <protection hidden="1"/>
    </xf>
    <xf numFmtId="0" fontId="46" fillId="0" borderId="164" xfId="0" applyFont="1" applyBorder="1" applyProtection="1">
      <protection hidden="1"/>
    </xf>
    <xf numFmtId="0" fontId="46" fillId="0" borderId="165" xfId="0" applyFont="1" applyBorder="1" applyProtection="1">
      <protection hidden="1"/>
    </xf>
    <xf numFmtId="0" fontId="46" fillId="0" borderId="166" xfId="0" applyFont="1" applyBorder="1" applyProtection="1">
      <protection hidden="1"/>
    </xf>
    <xf numFmtId="0" fontId="46" fillId="0" borderId="167" xfId="0" applyFont="1" applyBorder="1" applyProtection="1">
      <protection hidden="1"/>
    </xf>
    <xf numFmtId="0" fontId="46" fillId="0" borderId="168" xfId="0" applyFont="1" applyBorder="1" applyProtection="1">
      <protection hidden="1"/>
    </xf>
    <xf numFmtId="0" fontId="46" fillId="35" borderId="0" xfId="0" applyFont="1" applyFill="1" applyAlignment="1" applyProtection="1">
      <alignment horizontal="center"/>
      <protection locked="0"/>
    </xf>
    <xf numFmtId="209" fontId="46" fillId="0" borderId="152"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71" xfId="0" applyNumberFormat="1" applyBorder="1" applyProtection="1">
      <protection hidden="1"/>
    </xf>
    <xf numFmtId="44" fontId="0" fillId="0" borderId="172" xfId="0" applyNumberFormat="1" applyBorder="1" applyProtection="1">
      <protection hidden="1"/>
    </xf>
    <xf numFmtId="44" fontId="0" fillId="0" borderId="169" xfId="0" applyNumberFormat="1" applyBorder="1" applyProtection="1">
      <protection hidden="1"/>
    </xf>
    <xf numFmtId="44" fontId="0" fillId="0" borderId="170" xfId="0" applyNumberFormat="1" applyBorder="1" applyProtection="1">
      <protection hidden="1"/>
    </xf>
    <xf numFmtId="0" fontId="18" fillId="0" borderId="174" xfId="0" applyFont="1" applyBorder="1" applyAlignment="1" applyProtection="1">
      <alignment horizontal="center" vertical="center" wrapText="1"/>
      <protection hidden="1"/>
    </xf>
    <xf numFmtId="0" fontId="18" fillId="37" borderId="175" xfId="0" applyFont="1" applyFill="1" applyBorder="1" applyAlignment="1" applyProtection="1">
      <alignment horizontal="center" vertical="center" wrapText="1"/>
      <protection hidden="1"/>
    </xf>
    <xf numFmtId="0" fontId="18" fillId="37" borderId="176" xfId="0" applyFont="1" applyFill="1" applyBorder="1" applyAlignment="1" applyProtection="1">
      <alignment horizontal="center" vertical="center" wrapText="1"/>
      <protection hidden="1"/>
    </xf>
    <xf numFmtId="0" fontId="18" fillId="36" borderId="175" xfId="0" applyFont="1" applyFill="1" applyBorder="1" applyAlignment="1" applyProtection="1">
      <alignment horizontal="center" vertical="center" wrapText="1"/>
      <protection hidden="1"/>
    </xf>
    <xf numFmtId="0" fontId="18" fillId="36" borderId="176" xfId="0" applyFont="1" applyFill="1" applyBorder="1" applyAlignment="1" applyProtection="1">
      <alignment horizontal="center" vertical="center" wrapText="1"/>
      <protection hidden="1"/>
    </xf>
    <xf numFmtId="0" fontId="18" fillId="8" borderId="175" xfId="0" applyFont="1" applyFill="1" applyBorder="1" applyAlignment="1" applyProtection="1">
      <alignment horizontal="center" vertical="center" wrapText="1"/>
      <protection hidden="1"/>
    </xf>
    <xf numFmtId="0" fontId="18" fillId="8" borderId="176" xfId="0" applyFont="1" applyFill="1" applyBorder="1" applyAlignment="1" applyProtection="1">
      <alignment horizontal="center" vertical="center" wrapText="1"/>
      <protection hidden="1"/>
    </xf>
    <xf numFmtId="0" fontId="18" fillId="38" borderId="175" xfId="0" applyFont="1" applyFill="1" applyBorder="1" applyAlignment="1" applyProtection="1">
      <alignment horizontal="center" vertical="center" wrapText="1"/>
      <protection hidden="1"/>
    </xf>
    <xf numFmtId="0" fontId="18" fillId="38" borderId="176" xfId="0" applyFont="1" applyFill="1" applyBorder="1" applyAlignment="1" applyProtection="1">
      <alignment horizontal="center" vertical="center" wrapText="1"/>
      <protection hidden="1"/>
    </xf>
    <xf numFmtId="0" fontId="18" fillId="39" borderId="175" xfId="0" applyFont="1" applyFill="1" applyBorder="1" applyAlignment="1" applyProtection="1">
      <alignment horizontal="center" vertical="center" wrapText="1"/>
      <protection hidden="1"/>
    </xf>
    <xf numFmtId="0" fontId="18" fillId="39" borderId="176" xfId="0" applyFont="1" applyFill="1" applyBorder="1" applyAlignment="1" applyProtection="1">
      <alignment horizontal="center" vertical="center" wrapText="1"/>
      <protection hidden="1"/>
    </xf>
    <xf numFmtId="0" fontId="18" fillId="7" borderId="175" xfId="0" applyFont="1" applyFill="1" applyBorder="1" applyAlignment="1" applyProtection="1">
      <alignment horizontal="center" vertical="center" wrapText="1"/>
      <protection hidden="1"/>
    </xf>
    <xf numFmtId="182" fontId="0" fillId="0" borderId="178" xfId="0" applyNumberFormat="1" applyBorder="1" applyAlignment="1" applyProtection="1">
      <alignment horizontal="center"/>
      <protection hidden="1"/>
    </xf>
    <xf numFmtId="44" fontId="0" fillId="0" borderId="179" xfId="0" applyNumberFormat="1" applyBorder="1" applyProtection="1">
      <protection hidden="1"/>
    </xf>
    <xf numFmtId="182" fontId="0" fillId="0" borderId="180" xfId="0" applyNumberFormat="1" applyBorder="1" applyAlignment="1" applyProtection="1">
      <alignment horizontal="center"/>
      <protection hidden="1"/>
    </xf>
    <xf numFmtId="44" fontId="0" fillId="0" borderId="181" xfId="0" applyNumberFormat="1" applyBorder="1" applyProtection="1">
      <protection hidden="1"/>
    </xf>
    <xf numFmtId="182" fontId="0" fillId="0" borderId="182" xfId="0" applyNumberFormat="1" applyBorder="1" applyAlignment="1" applyProtection="1">
      <alignment horizontal="center"/>
      <protection hidden="1"/>
    </xf>
    <xf numFmtId="44" fontId="0" fillId="0" borderId="183" xfId="0" applyNumberFormat="1" applyBorder="1" applyProtection="1">
      <protection hidden="1"/>
    </xf>
    <xf numFmtId="44" fontId="0" fillId="0" borderId="184" xfId="0" applyNumberFormat="1" applyBorder="1" applyProtection="1">
      <protection hidden="1"/>
    </xf>
    <xf numFmtId="44" fontId="0" fillId="0" borderId="173" xfId="0" applyNumberFormat="1" applyBorder="1" applyProtection="1">
      <protection hidden="1"/>
    </xf>
    <xf numFmtId="0" fontId="18" fillId="12" borderId="175" xfId="0" applyFont="1" applyFill="1" applyBorder="1" applyAlignment="1" applyProtection="1">
      <alignment horizontal="center" vertical="center" wrapText="1"/>
      <protection hidden="1"/>
    </xf>
    <xf numFmtId="0" fontId="18" fillId="40" borderId="175" xfId="0" applyFont="1" applyFill="1" applyBorder="1" applyAlignment="1" applyProtection="1">
      <alignment horizontal="center" vertical="center" wrapText="1"/>
      <protection hidden="1"/>
    </xf>
    <xf numFmtId="0" fontId="18" fillId="41" borderId="175" xfId="0" applyFont="1" applyFill="1" applyBorder="1" applyAlignment="1" applyProtection="1">
      <alignment horizontal="center" vertical="center" wrapText="1"/>
      <protection hidden="1"/>
    </xf>
    <xf numFmtId="0" fontId="18" fillId="41" borderId="177" xfId="0" applyFont="1" applyFill="1" applyBorder="1" applyAlignment="1" applyProtection="1">
      <alignment horizontal="center" vertical="center" wrapText="1"/>
      <protection hidden="1"/>
    </xf>
    <xf numFmtId="0" fontId="18" fillId="12" borderId="176" xfId="0" applyFont="1" applyFill="1" applyBorder="1" applyAlignment="1" applyProtection="1">
      <alignment horizontal="center" vertical="center" wrapText="1"/>
      <protection hidden="1"/>
    </xf>
    <xf numFmtId="0" fontId="18" fillId="40" borderId="176" xfId="0" applyFont="1" applyFill="1" applyBorder="1" applyAlignment="1" applyProtection="1">
      <alignment horizontal="center" vertical="center" wrapText="1"/>
      <protection hidden="1"/>
    </xf>
    <xf numFmtId="44" fontId="0" fillId="0" borderId="185"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8"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9" xfId="3" applyNumberFormat="1" applyFont="1" applyFill="1" applyBorder="1" applyAlignment="1" applyProtection="1">
      <alignment horizontal="center"/>
      <protection locked="0"/>
    </xf>
    <xf numFmtId="0" fontId="114" fillId="0" borderId="0" xfId="3" applyFont="1" applyAlignment="1" applyProtection="1">
      <alignment horizontal="right"/>
      <protection hidden="1"/>
    </xf>
    <xf numFmtId="171" fontId="51" fillId="0" borderId="0" xfId="3" applyNumberFormat="1" applyFont="1" applyProtection="1">
      <protection hidden="1"/>
    </xf>
    <xf numFmtId="176" fontId="51" fillId="0" borderId="0" xfId="3" applyNumberFormat="1" applyFont="1" applyProtection="1">
      <protection hidden="1"/>
    </xf>
    <xf numFmtId="169" fontId="51" fillId="0" borderId="0" xfId="3" applyNumberFormat="1" applyFont="1" applyProtection="1">
      <protection hidden="1"/>
    </xf>
    <xf numFmtId="14" fontId="51" fillId="0" borderId="0" xfId="3" applyNumberFormat="1" applyFont="1" applyProtection="1">
      <protection hidden="1"/>
    </xf>
    <xf numFmtId="171" fontId="51" fillId="0" borderId="0" xfId="1" applyFont="1" applyProtection="1">
      <protection hidden="1"/>
    </xf>
    <xf numFmtId="0" fontId="66" fillId="0" borderId="0" xfId="3" applyFont="1" applyAlignment="1" applyProtection="1">
      <alignment horizontal="center" vertical="center"/>
      <protection hidden="1"/>
    </xf>
    <xf numFmtId="0" fontId="51" fillId="0" borderId="0" xfId="3" applyFont="1" applyAlignment="1" applyProtection="1">
      <alignment horizontal="center"/>
      <protection hidden="1"/>
    </xf>
    <xf numFmtId="2" fontId="51" fillId="0" borderId="0" xfId="3" applyNumberFormat="1" applyFont="1" applyProtection="1">
      <protection hidden="1"/>
    </xf>
    <xf numFmtId="0" fontId="51" fillId="22" borderId="0" xfId="3" applyFont="1" applyFill="1" applyProtection="1">
      <protection hidden="1"/>
    </xf>
    <xf numFmtId="0" fontId="114" fillId="0" borderId="18" xfId="3" applyFont="1" applyBorder="1" applyProtection="1">
      <protection hidden="1"/>
    </xf>
    <xf numFmtId="0" fontId="114" fillId="0" borderId="17" xfId="3" applyFont="1" applyBorder="1" applyProtection="1">
      <protection hidden="1"/>
    </xf>
    <xf numFmtId="0" fontId="114" fillId="0" borderId="19" xfId="3" applyFont="1" applyBorder="1" applyProtection="1">
      <protection hidden="1"/>
    </xf>
    <xf numFmtId="0" fontId="114" fillId="0" borderId="92" xfId="3" applyFont="1" applyBorder="1" applyProtection="1">
      <protection hidden="1"/>
    </xf>
    <xf numFmtId="0" fontId="114" fillId="0" borderId="0" xfId="3" applyFont="1" applyProtection="1">
      <protection hidden="1"/>
    </xf>
    <xf numFmtId="172" fontId="51" fillId="0" borderId="25" xfId="3" applyNumberFormat="1" applyFont="1" applyBorder="1" applyProtection="1">
      <protection hidden="1"/>
    </xf>
    <xf numFmtId="169" fontId="51" fillId="0" borderId="116" xfId="3" applyNumberFormat="1" applyFont="1" applyBorder="1" applyAlignment="1" applyProtection="1">
      <alignment horizontal="center"/>
      <protection hidden="1"/>
    </xf>
    <xf numFmtId="169" fontId="51" fillId="0" borderId="0" xfId="3" applyNumberFormat="1" applyFont="1" applyAlignment="1" applyProtection="1">
      <alignment horizontal="center"/>
      <protection hidden="1"/>
    </xf>
    <xf numFmtId="172" fontId="51" fillId="0" borderId="116" xfId="3" applyNumberFormat="1" applyFont="1" applyBorder="1" applyProtection="1">
      <protection hidden="1"/>
    </xf>
    <xf numFmtId="169" fontId="51" fillId="0" borderId="92" xfId="3" applyNumberFormat="1" applyFont="1" applyBorder="1" applyProtection="1">
      <protection hidden="1"/>
    </xf>
    <xf numFmtId="169" fontId="51" fillId="0" borderId="116" xfId="3" applyNumberFormat="1" applyFont="1" applyBorder="1" applyProtection="1">
      <protection hidden="1"/>
    </xf>
    <xf numFmtId="169" fontId="51" fillId="0" borderId="186" xfId="3" applyNumberFormat="1" applyFont="1" applyBorder="1" applyProtection="1">
      <protection hidden="1"/>
    </xf>
    <xf numFmtId="0" fontId="51" fillId="0" borderId="92" xfId="3" applyFont="1" applyBorder="1" applyProtection="1">
      <protection hidden="1"/>
    </xf>
    <xf numFmtId="0" fontId="114" fillId="0" borderId="0" xfId="3" applyFont="1" applyAlignment="1" applyProtection="1">
      <alignment horizontal="left" vertical="center" wrapText="1"/>
      <protection hidden="1"/>
    </xf>
    <xf numFmtId="0" fontId="51" fillId="0" borderId="0" xfId="3" applyFont="1" applyAlignment="1" applyProtection="1">
      <alignment horizontal="right" vertical="center"/>
      <protection hidden="1"/>
    </xf>
    <xf numFmtId="171" fontId="51" fillId="0" borderId="0" xfId="3" applyNumberFormat="1" applyFont="1" applyAlignment="1" applyProtection="1">
      <alignment horizontal="left" vertical="center" wrapText="1"/>
      <protection hidden="1"/>
    </xf>
    <xf numFmtId="169" fontId="51" fillId="0" borderId="99" xfId="3" applyNumberFormat="1" applyFont="1" applyBorder="1" applyProtection="1">
      <protection hidden="1"/>
    </xf>
    <xf numFmtId="0" fontId="51" fillId="0" borderId="99" xfId="3" applyFont="1" applyBorder="1" applyProtection="1">
      <protection hidden="1"/>
    </xf>
    <xf numFmtId="0" fontId="51" fillId="0" borderId="0" xfId="0" applyFont="1" applyAlignment="1" applyProtection="1">
      <alignment horizontal="right"/>
      <protection hidden="1"/>
    </xf>
    <xf numFmtId="44" fontId="51" fillId="0" borderId="0" xfId="1" applyNumberFormat="1" applyFont="1" applyProtection="1">
      <protection hidden="1"/>
    </xf>
    <xf numFmtId="0" fontId="51" fillId="0" borderId="0" xfId="3" applyFont="1" applyAlignment="1" applyProtection="1">
      <alignment horizontal="center" vertical="center" wrapText="1"/>
      <protection hidden="1"/>
    </xf>
    <xf numFmtId="1" fontId="51" fillId="0" borderId="0" xfId="0" applyNumberFormat="1" applyFont="1" applyProtection="1">
      <protection hidden="1"/>
    </xf>
    <xf numFmtId="0" fontId="51" fillId="0" borderId="0" xfId="3" applyFont="1" applyAlignment="1" applyProtection="1">
      <alignment vertical="center" wrapText="1"/>
      <protection hidden="1"/>
    </xf>
    <xf numFmtId="1" fontId="51" fillId="0" borderId="0" xfId="3" applyNumberFormat="1" applyFont="1" applyProtection="1">
      <protection hidden="1"/>
    </xf>
    <xf numFmtId="171" fontId="51" fillId="0" borderId="0" xfId="1" applyFont="1" applyProtection="1">
      <protection locked="0"/>
    </xf>
    <xf numFmtId="172" fontId="51" fillId="0" borderId="26" xfId="3" applyNumberFormat="1" applyFont="1" applyBorder="1" applyProtection="1">
      <protection hidden="1"/>
    </xf>
    <xf numFmtId="169" fontId="51" fillId="0" borderId="63" xfId="3" applyNumberFormat="1" applyFont="1" applyBorder="1" applyAlignment="1" applyProtection="1">
      <alignment horizontal="center"/>
      <protection hidden="1"/>
    </xf>
    <xf numFmtId="169" fontId="51" fillId="0" borderId="27" xfId="3" applyNumberFormat="1" applyFont="1" applyBorder="1" applyAlignment="1" applyProtection="1">
      <alignment horizontal="center"/>
      <protection hidden="1"/>
    </xf>
    <xf numFmtId="172" fontId="51" fillId="0" borderId="63" xfId="3" applyNumberFormat="1" applyFont="1" applyBorder="1" applyProtection="1">
      <protection hidden="1"/>
    </xf>
    <xf numFmtId="169" fontId="51" fillId="0" borderId="63" xfId="3" applyNumberFormat="1" applyFont="1" applyBorder="1" applyProtection="1">
      <protection hidden="1"/>
    </xf>
    <xf numFmtId="169" fontId="51" fillId="0" borderId="27" xfId="3" applyNumberFormat="1" applyFont="1" applyBorder="1" applyProtection="1">
      <protection hidden="1"/>
    </xf>
    <xf numFmtId="169" fontId="51" fillId="0" borderId="28" xfId="3" applyNumberFormat="1" applyFont="1" applyBorder="1" applyProtection="1">
      <protection hidden="1"/>
    </xf>
    <xf numFmtId="0" fontId="51" fillId="0" borderId="63" xfId="3" applyFont="1" applyBorder="1" applyProtection="1">
      <protection hidden="1"/>
    </xf>
    <xf numFmtId="176" fontId="51" fillId="0" borderId="0" xfId="3" applyNumberFormat="1" applyFont="1" applyProtection="1">
      <protection locked="0"/>
    </xf>
    <xf numFmtId="0" fontId="114" fillId="22" borderId="0" xfId="0" applyFont="1" applyFill="1" applyAlignment="1" applyProtection="1">
      <alignment horizontal="center"/>
      <protection hidden="1"/>
    </xf>
    <xf numFmtId="0" fontId="51" fillId="0" borderId="0" xfId="0" applyFont="1" applyProtection="1">
      <protection hidden="1"/>
    </xf>
    <xf numFmtId="0" fontId="114" fillId="0" borderId="18" xfId="0" applyFont="1" applyBorder="1" applyAlignment="1" applyProtection="1">
      <alignment horizontal="center" vertical="center" wrapText="1"/>
      <protection hidden="1"/>
    </xf>
    <xf numFmtId="0" fontId="114" fillId="0" borderId="17" xfId="0" applyFont="1" applyBorder="1" applyAlignment="1" applyProtection="1">
      <alignment horizontal="center" vertical="center" wrapText="1"/>
      <protection hidden="1"/>
    </xf>
    <xf numFmtId="0" fontId="114" fillId="0" borderId="19" xfId="0" applyFont="1" applyBorder="1" applyAlignment="1" applyProtection="1">
      <alignment horizontal="center" vertical="center" wrapText="1"/>
      <protection hidden="1"/>
    </xf>
    <xf numFmtId="0" fontId="114" fillId="0" borderId="92" xfId="0" applyFont="1" applyBorder="1" applyAlignment="1" applyProtection="1">
      <alignment horizontal="center" vertical="center" wrapText="1"/>
      <protection hidden="1"/>
    </xf>
    <xf numFmtId="172" fontId="51" fillId="0" borderId="25" xfId="0" applyNumberFormat="1" applyFont="1" applyBorder="1" applyAlignment="1" applyProtection="1">
      <alignment horizontal="left"/>
      <protection hidden="1"/>
    </xf>
    <xf numFmtId="169" fontId="51" fillId="0" borderId="116" xfId="0" applyNumberFormat="1" applyFont="1" applyBorder="1" applyAlignment="1" applyProtection="1">
      <alignment horizontal="center"/>
      <protection hidden="1"/>
    </xf>
    <xf numFmtId="169" fontId="51" fillId="0" borderId="0" xfId="0" applyNumberFormat="1" applyFont="1" applyAlignment="1" applyProtection="1">
      <alignment horizontal="center"/>
      <protection hidden="1"/>
    </xf>
    <xf numFmtId="172" fontId="51" fillId="0" borderId="26" xfId="0" applyNumberFormat="1" applyFont="1" applyBorder="1" applyAlignment="1" applyProtection="1">
      <alignment horizontal="left"/>
      <protection hidden="1"/>
    </xf>
    <xf numFmtId="169" fontId="51" fillId="0" borderId="63" xfId="0" applyNumberFormat="1" applyFont="1" applyBorder="1" applyAlignment="1" applyProtection="1">
      <alignment horizontal="center"/>
      <protection hidden="1"/>
    </xf>
    <xf numFmtId="169" fontId="51" fillId="0" borderId="27" xfId="0" applyNumberFormat="1" applyFont="1" applyBorder="1" applyAlignment="1" applyProtection="1">
      <alignment horizontal="center"/>
      <protection hidden="1"/>
    </xf>
    <xf numFmtId="206" fontId="51" fillId="0" borderId="0" xfId="3" applyNumberFormat="1" applyFont="1" applyProtection="1">
      <protection hidden="1"/>
    </xf>
    <xf numFmtId="207" fontId="51" fillId="0" borderId="0" xfId="3" applyNumberFormat="1" applyFont="1" applyProtection="1">
      <protection hidden="1"/>
    </xf>
    <xf numFmtId="164" fontId="51" fillId="0" borderId="0" xfId="3" applyNumberFormat="1" applyFont="1" applyProtection="1">
      <protection hidden="1"/>
    </xf>
    <xf numFmtId="164" fontId="51" fillId="0" borderId="0" xfId="3" applyNumberFormat="1" applyFont="1" applyAlignment="1" applyProtection="1">
      <alignment horizontal="left" vertical="center" wrapText="1"/>
      <protection hidden="1"/>
    </xf>
    <xf numFmtId="0" fontId="18" fillId="44" borderId="174" xfId="0" applyFont="1" applyFill="1" applyBorder="1" applyAlignment="1" applyProtection="1">
      <alignment horizontal="center" vertical="center" wrapText="1"/>
      <protection hidden="1"/>
    </xf>
    <xf numFmtId="0" fontId="18" fillId="44" borderId="194" xfId="0" applyFont="1" applyFill="1" applyBorder="1" applyAlignment="1" applyProtection="1">
      <alignment horizontal="center" vertical="center" wrapText="1"/>
      <protection hidden="1"/>
    </xf>
    <xf numFmtId="0" fontId="18" fillId="44" borderId="195" xfId="0" applyFont="1" applyFill="1" applyBorder="1" applyAlignment="1" applyProtection="1">
      <alignment horizontal="center" vertical="center" wrapText="1"/>
      <protection hidden="1"/>
    </xf>
    <xf numFmtId="176" fontId="0" fillId="0" borderId="191" xfId="0" applyNumberFormat="1" applyBorder="1" applyProtection="1">
      <protection hidden="1"/>
    </xf>
    <xf numFmtId="176" fontId="0" fillId="0" borderId="192" xfId="0" applyNumberFormat="1" applyBorder="1" applyProtection="1">
      <protection hidden="1"/>
    </xf>
    <xf numFmtId="176" fontId="0" fillId="0" borderId="193" xfId="0" applyNumberFormat="1" applyBorder="1" applyProtection="1">
      <protection hidden="1"/>
    </xf>
    <xf numFmtId="176" fontId="0" fillId="0" borderId="180" xfId="0" applyNumberFormat="1" applyBorder="1" applyProtection="1">
      <protection hidden="1"/>
    </xf>
    <xf numFmtId="176" fontId="0" fillId="0" borderId="187" xfId="0" applyNumberFormat="1" applyBorder="1" applyProtection="1">
      <protection hidden="1"/>
    </xf>
    <xf numFmtId="176" fontId="0" fillId="0" borderId="188" xfId="0" applyNumberFormat="1" applyBorder="1" applyProtection="1">
      <protection hidden="1"/>
    </xf>
    <xf numFmtId="176" fontId="0" fillId="0" borderId="182" xfId="0" applyNumberFormat="1" applyBorder="1" applyProtection="1">
      <protection hidden="1"/>
    </xf>
    <xf numFmtId="176" fontId="0" fillId="0" borderId="189" xfId="0" applyNumberFormat="1" applyBorder="1" applyProtection="1">
      <protection hidden="1"/>
    </xf>
    <xf numFmtId="176" fontId="0" fillId="0" borderId="190" xfId="0" applyNumberFormat="1" applyBorder="1" applyProtection="1">
      <protection hidden="1"/>
    </xf>
    <xf numFmtId="0" fontId="18" fillId="7" borderId="177" xfId="0" applyFont="1" applyFill="1" applyBorder="1" applyAlignment="1" applyProtection="1">
      <alignment horizontal="center" vertical="center" wrapText="1"/>
      <protection hidden="1"/>
    </xf>
    <xf numFmtId="0" fontId="12" fillId="0" borderId="92" xfId="3" applyFont="1" applyBorder="1" applyAlignment="1" applyProtection="1">
      <alignment horizontal="center"/>
      <protection hidden="1"/>
    </xf>
    <xf numFmtId="0" fontId="12" fillId="0" borderId="99" xfId="3" applyFont="1" applyBorder="1" applyAlignment="1" applyProtection="1">
      <alignment horizontal="center"/>
      <protection hidden="1"/>
    </xf>
    <xf numFmtId="0" fontId="12" fillId="0" borderId="63"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92" xfId="3" applyNumberFormat="1" applyBorder="1" applyAlignment="1" applyProtection="1">
      <alignment horizontal="left"/>
      <protection hidden="1"/>
    </xf>
    <xf numFmtId="172" fontId="5" fillId="0" borderId="99" xfId="3" applyNumberFormat="1" applyBorder="1" applyAlignment="1" applyProtection="1">
      <alignment horizontal="left"/>
      <protection hidden="1"/>
    </xf>
    <xf numFmtId="172" fontId="5" fillId="0" borderId="63" xfId="3" applyNumberFormat="1" applyBorder="1" applyAlignment="1" applyProtection="1">
      <alignment horizontal="left"/>
      <protection hidden="1"/>
    </xf>
    <xf numFmtId="169" fontId="5" fillId="42" borderId="99" xfId="3" applyNumberFormat="1" applyFill="1" applyBorder="1" applyAlignment="1" applyProtection="1">
      <alignment horizontal="center"/>
      <protection locked="0"/>
    </xf>
    <xf numFmtId="169" fontId="5" fillId="42" borderId="63" xfId="3" applyNumberFormat="1" applyFill="1" applyBorder="1" applyAlignment="1" applyProtection="1">
      <alignment horizontal="center"/>
      <protection locked="0"/>
    </xf>
    <xf numFmtId="169" fontId="18" fillId="0" borderId="63"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5" fillId="0" borderId="0" xfId="3" applyFont="1" applyProtection="1">
      <protection hidden="1"/>
    </xf>
    <xf numFmtId="14" fontId="5" fillId="0" borderId="0" xfId="3" applyNumberFormat="1" applyAlignment="1" applyProtection="1">
      <alignment horizontal="left" vertical="center"/>
      <protection hidden="1"/>
    </xf>
    <xf numFmtId="14" fontId="116"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7" fillId="0" borderId="0" xfId="0" applyFont="1" applyProtection="1">
      <protection hidden="1"/>
    </xf>
    <xf numFmtId="49" fontId="0" fillId="0" borderId="0" xfId="0" applyNumberFormat="1" applyProtection="1">
      <protection hidden="1"/>
    </xf>
    <xf numFmtId="8" fontId="51" fillId="0" borderId="0" xfId="3" applyNumberFormat="1" applyFont="1" applyProtection="1">
      <protection hidden="1"/>
    </xf>
    <xf numFmtId="181" fontId="51"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3" fillId="21" borderId="0" xfId="0" applyFont="1" applyFill="1" applyProtection="1">
      <protection hidden="1"/>
    </xf>
    <xf numFmtId="0" fontId="0" fillId="20" borderId="0" xfId="0" applyFill="1" applyProtection="1">
      <protection hidden="1"/>
    </xf>
    <xf numFmtId="0" fontId="63" fillId="20" borderId="0" xfId="0" applyFont="1" applyFill="1" applyProtection="1">
      <protection hidden="1"/>
    </xf>
    <xf numFmtId="0" fontId="71" fillId="21" borderId="0" xfId="0" applyFont="1" applyFill="1" applyProtection="1">
      <protection hidden="1"/>
    </xf>
    <xf numFmtId="0" fontId="121" fillId="21" borderId="0" xfId="0" applyFont="1" applyFill="1" applyProtection="1">
      <protection hidden="1"/>
    </xf>
    <xf numFmtId="0" fontId="121" fillId="0" borderId="0" xfId="0" applyFont="1" applyProtection="1">
      <protection hidden="1"/>
    </xf>
    <xf numFmtId="0" fontId="71" fillId="20" borderId="0" xfId="0" applyFont="1" applyFill="1" applyProtection="1">
      <protection hidden="1"/>
    </xf>
    <xf numFmtId="0" fontId="22" fillId="0" borderId="132"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11" xfId="3" applyBorder="1" applyAlignment="1" applyProtection="1">
      <alignment horizontal="center"/>
      <protection hidden="1"/>
    </xf>
    <xf numFmtId="14" fontId="5" fillId="0" borderId="211" xfId="3" applyNumberFormat="1" applyBorder="1" applyAlignment="1" applyProtection="1">
      <alignment horizontal="right"/>
      <protection hidden="1"/>
    </xf>
    <xf numFmtId="1" fontId="0" fillId="12" borderId="0" xfId="0" applyNumberFormat="1" applyFill="1" applyProtection="1">
      <protection hidden="1"/>
    </xf>
    <xf numFmtId="177" fontId="123" fillId="0" borderId="0" xfId="3" quotePrefix="1" applyNumberFormat="1" applyFont="1" applyAlignment="1" applyProtection="1">
      <alignment horizontal="left" vertical="center"/>
      <protection hidden="1"/>
    </xf>
    <xf numFmtId="0" fontId="124" fillId="0" borderId="0" xfId="3" applyFont="1" applyProtection="1">
      <protection hidden="1"/>
    </xf>
    <xf numFmtId="0" fontId="124" fillId="0" borderId="0" xfId="3" applyFont="1" applyAlignment="1" applyProtection="1">
      <alignment horizontal="left" vertical="center"/>
      <protection hidden="1"/>
    </xf>
    <xf numFmtId="177" fontId="125"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6" fillId="0" borderId="0" xfId="0" applyFont="1" applyProtection="1">
      <protection hidden="1"/>
    </xf>
    <xf numFmtId="0" fontId="126" fillId="0" borderId="0" xfId="0" applyFont="1" applyAlignment="1" applyProtection="1">
      <alignment horizontal="right"/>
      <protection hidden="1"/>
    </xf>
    <xf numFmtId="44" fontId="126" fillId="0" borderId="0" xfId="1" applyNumberFormat="1" applyFont="1" applyAlignment="1" applyProtection="1">
      <alignment horizontal="center"/>
      <protection hidden="1"/>
    </xf>
    <xf numFmtId="0" fontId="36" fillId="0" borderId="0" xfId="0" applyFont="1" applyProtection="1">
      <protection hidden="1"/>
    </xf>
    <xf numFmtId="0" fontId="128" fillId="0" borderId="0" xfId="0" applyFont="1" applyProtection="1">
      <protection hidden="1"/>
    </xf>
    <xf numFmtId="0" fontId="127" fillId="0" borderId="0" xfId="0" applyFont="1" applyAlignment="1" applyProtection="1">
      <alignment horizontal="left"/>
      <protection hidden="1"/>
    </xf>
    <xf numFmtId="0" fontId="69" fillId="0" borderId="0" xfId="0" applyFont="1" applyProtection="1">
      <protection hidden="1"/>
    </xf>
    <xf numFmtId="0" fontId="18" fillId="0" borderId="211"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100" fillId="0" borderId="0" xfId="0" applyFont="1" applyProtection="1">
      <protection hidden="1"/>
    </xf>
    <xf numFmtId="0" fontId="129" fillId="0" borderId="0" xfId="0" applyFont="1" applyProtection="1">
      <protection hidden="1"/>
    </xf>
    <xf numFmtId="0" fontId="100" fillId="0" borderId="0" xfId="0" applyFont="1" applyAlignment="1" applyProtection="1">
      <alignment horizontal="right"/>
      <protection hidden="1"/>
    </xf>
    <xf numFmtId="0" fontId="18" fillId="0" borderId="99" xfId="0" applyFont="1" applyBorder="1" applyAlignment="1" applyProtection="1">
      <alignment horizontal="center"/>
      <protection hidden="1"/>
    </xf>
    <xf numFmtId="0" fontId="0" fillId="0" borderId="211"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11"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1" fillId="0" borderId="0" xfId="3" applyFont="1" applyProtection="1">
      <protection hidden="1"/>
    </xf>
    <xf numFmtId="0" fontId="13" fillId="0" borderId="0" xfId="3" applyFont="1" applyAlignment="1" applyProtection="1">
      <alignment horizontal="right"/>
      <protection hidden="1"/>
    </xf>
    <xf numFmtId="0" fontId="133" fillId="0" borderId="0" xfId="3" applyFont="1" applyProtection="1">
      <protection hidden="1"/>
    </xf>
    <xf numFmtId="171" fontId="132"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4" fillId="0" borderId="0" xfId="3" applyNumberFormat="1" applyFont="1" applyProtection="1">
      <protection hidden="1"/>
    </xf>
    <xf numFmtId="171" fontId="135" fillId="0" borderId="0" xfId="3" applyNumberFormat="1" applyFont="1" applyAlignment="1" applyProtection="1">
      <alignment horizontal="left"/>
      <protection hidden="1"/>
    </xf>
    <xf numFmtId="171" fontId="135" fillId="0" borderId="0" xfId="3" applyNumberFormat="1" applyFont="1" applyAlignment="1" applyProtection="1">
      <alignment horizontal="center"/>
      <protection hidden="1"/>
    </xf>
    <xf numFmtId="169" fontId="137" fillId="0" borderId="101" xfId="3" quotePrefix="1" applyNumberFormat="1" applyFont="1" applyBorder="1" applyProtection="1">
      <protection hidden="1"/>
    </xf>
    <xf numFmtId="169" fontId="137" fillId="0" borderId="101" xfId="3" quotePrefix="1" applyNumberFormat="1" applyFont="1" applyBorder="1" applyAlignment="1" applyProtection="1">
      <alignment horizontal="right"/>
      <protection hidden="1"/>
    </xf>
    <xf numFmtId="169" fontId="137" fillId="0" borderId="0" xfId="3" quotePrefix="1" applyNumberFormat="1" applyFont="1" applyProtection="1">
      <protection hidden="1"/>
    </xf>
    <xf numFmtId="169" fontId="137" fillId="0" borderId="232" xfId="3" quotePrefix="1" applyNumberFormat="1" applyFont="1" applyBorder="1" applyProtection="1">
      <protection hidden="1"/>
    </xf>
    <xf numFmtId="0" fontId="138" fillId="0" borderId="0" xfId="3" applyFont="1" applyProtection="1">
      <protection hidden="1"/>
    </xf>
    <xf numFmtId="0" fontId="139" fillId="0" borderId="0" xfId="3" applyFont="1" applyAlignment="1" applyProtection="1">
      <alignment horizontal="center"/>
      <protection hidden="1"/>
    </xf>
    <xf numFmtId="0" fontId="139" fillId="0" borderId="0" xfId="3" applyFont="1" applyProtection="1">
      <protection hidden="1"/>
    </xf>
    <xf numFmtId="0" fontId="141" fillId="0" borderId="0" xfId="3" applyFont="1" applyAlignment="1" applyProtection="1">
      <alignment horizontal="right"/>
      <protection hidden="1"/>
    </xf>
    <xf numFmtId="0" fontId="140" fillId="0" borderId="0" xfId="3" applyFont="1" applyProtection="1">
      <protection hidden="1"/>
    </xf>
    <xf numFmtId="0" fontId="141" fillId="0" borderId="0" xfId="3" applyFont="1" applyAlignment="1" applyProtection="1">
      <alignment horizontal="center"/>
      <protection locked="0" hidden="1"/>
    </xf>
    <xf numFmtId="0" fontId="138" fillId="0" borderId="0" xfId="3" applyFont="1" applyAlignment="1" applyProtection="1">
      <alignment horizontal="right"/>
      <protection hidden="1"/>
    </xf>
    <xf numFmtId="0" fontId="138" fillId="0" borderId="0" xfId="3" applyFont="1" applyAlignment="1" applyProtection="1">
      <alignment horizontal="center"/>
      <protection hidden="1"/>
    </xf>
    <xf numFmtId="0" fontId="138" fillId="0" borderId="234" xfId="3" applyFont="1" applyBorder="1" applyProtection="1">
      <protection hidden="1"/>
    </xf>
    <xf numFmtId="211" fontId="138" fillId="0" borderId="234" xfId="3" applyNumberFormat="1" applyFont="1" applyBorder="1" applyAlignment="1" applyProtection="1">
      <alignment horizontal="center"/>
      <protection hidden="1"/>
    </xf>
    <xf numFmtId="0" fontId="138" fillId="0" borderId="234" xfId="3" applyFont="1" applyBorder="1" applyAlignment="1" applyProtection="1">
      <alignment horizontal="center"/>
      <protection hidden="1"/>
    </xf>
    <xf numFmtId="211" fontId="138" fillId="0" borderId="235" xfId="3" applyNumberFormat="1" applyFont="1" applyBorder="1" applyAlignment="1" applyProtection="1">
      <alignment horizontal="center"/>
      <protection hidden="1"/>
    </xf>
    <xf numFmtId="0" fontId="140" fillId="0" borderId="236" xfId="3" applyFont="1" applyBorder="1" applyProtection="1">
      <protection hidden="1"/>
    </xf>
    <xf numFmtId="0" fontId="138" fillId="0" borderId="237" xfId="3" applyFont="1" applyBorder="1" applyProtection="1">
      <protection hidden="1"/>
    </xf>
    <xf numFmtId="0" fontId="138" fillId="0" borderId="237" xfId="3" applyFont="1" applyBorder="1" applyAlignment="1" applyProtection="1">
      <alignment horizontal="right"/>
      <protection hidden="1"/>
    </xf>
    <xf numFmtId="0" fontId="138" fillId="0" borderId="237"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101" xfId="0" applyBorder="1" applyAlignment="1">
      <alignment horizontal="center"/>
    </xf>
    <xf numFmtId="14" fontId="0" fillId="0" borderId="127" xfId="0" applyNumberFormat="1" applyBorder="1" applyAlignment="1">
      <alignment horizontal="center"/>
    </xf>
    <xf numFmtId="0" fontId="0" fillId="0" borderId="128" xfId="0" applyBorder="1" applyAlignment="1">
      <alignment horizontal="center"/>
    </xf>
    <xf numFmtId="0" fontId="0" fillId="0" borderId="129" xfId="0" applyBorder="1"/>
    <xf numFmtId="14" fontId="0" fillId="0" borderId="130" xfId="0" applyNumberFormat="1" applyBorder="1" applyAlignment="1">
      <alignment horizontal="center"/>
    </xf>
    <xf numFmtId="14" fontId="0" fillId="0" borderId="243" xfId="0" applyNumberFormat="1" applyBorder="1" applyAlignment="1">
      <alignment horizontal="center"/>
    </xf>
    <xf numFmtId="14" fontId="0" fillId="0" borderId="244" xfId="0" applyNumberFormat="1" applyBorder="1" applyAlignment="1">
      <alignment horizontal="center"/>
    </xf>
    <xf numFmtId="0" fontId="142" fillId="0" borderId="0" xfId="0" applyFont="1"/>
    <xf numFmtId="0" fontId="143" fillId="0" borderId="0" xfId="0" applyFont="1"/>
    <xf numFmtId="0" fontId="144" fillId="0" borderId="0" xfId="0" applyFont="1"/>
    <xf numFmtId="0" fontId="145" fillId="0" borderId="0" xfId="0" applyFont="1" applyProtection="1">
      <protection hidden="1"/>
    </xf>
    <xf numFmtId="0" fontId="147"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24" xfId="0" applyBorder="1" applyAlignment="1">
      <alignment horizontal="center"/>
    </xf>
    <xf numFmtId="0" fontId="0" fillId="0" borderId="125" xfId="0" applyBorder="1"/>
    <xf numFmtId="14" fontId="0" fillId="0" borderId="245" xfId="0" applyNumberFormat="1" applyBorder="1" applyAlignment="1">
      <alignment horizontal="center"/>
    </xf>
    <xf numFmtId="14" fontId="0" fillId="0" borderId="126" xfId="0" applyNumberFormat="1" applyBorder="1" applyAlignment="1">
      <alignment horizontal="center"/>
    </xf>
    <xf numFmtId="0" fontId="28" fillId="0" borderId="164" xfId="0" applyFont="1" applyBorder="1" applyAlignment="1" applyProtection="1">
      <alignment horizontal="center"/>
      <protection hidden="1"/>
    </xf>
    <xf numFmtId="0" fontId="28" fillId="0" borderId="165" xfId="0" applyFont="1" applyBorder="1" applyAlignment="1" applyProtection="1">
      <alignment horizontal="center"/>
      <protection hidden="1"/>
    </xf>
    <xf numFmtId="0" fontId="46" fillId="33" borderId="0" xfId="0" applyFont="1" applyFill="1" applyAlignment="1" applyProtection="1">
      <alignment horizontal="center"/>
      <protection hidden="1"/>
    </xf>
    <xf numFmtId="0" fontId="100" fillId="0" borderId="0" xfId="3" quotePrefix="1" applyFont="1" applyAlignment="1" applyProtection="1">
      <alignment horizontal="left" vertical="top"/>
      <protection hidden="1"/>
    </xf>
    <xf numFmtId="0" fontId="108" fillId="0" borderId="0" xfId="3" quotePrefix="1" applyFont="1" applyAlignment="1" applyProtection="1">
      <alignment horizontal="left" vertical="top"/>
      <protection hidden="1"/>
    </xf>
    <xf numFmtId="211" fontId="138" fillId="0" borderId="0" xfId="3" applyNumberFormat="1" applyFont="1" applyAlignment="1" applyProtection="1">
      <alignment horizontal="center"/>
      <protection hidden="1"/>
    </xf>
    <xf numFmtId="182" fontId="29" fillId="0" borderId="131" xfId="0" applyNumberFormat="1" applyFont="1" applyBorder="1" applyAlignment="1" applyProtection="1">
      <alignment horizontal="center"/>
      <protection hidden="1"/>
    </xf>
    <xf numFmtId="2" fontId="29" fillId="0" borderId="131"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50" fillId="0" borderId="0" xfId="0" applyFont="1" applyAlignment="1" applyProtection="1">
      <alignment vertical="center"/>
      <protection hidden="1"/>
    </xf>
    <xf numFmtId="0" fontId="149" fillId="0" borderId="0" xfId="0" applyFont="1" applyAlignment="1" applyProtection="1">
      <alignment vertical="center"/>
      <protection hidden="1"/>
    </xf>
    <xf numFmtId="179" fontId="5" fillId="0" borderId="211" xfId="2" applyNumberFormat="1" applyBorder="1" applyAlignment="1" applyProtection="1">
      <alignment horizontal="center"/>
      <protection hidden="1"/>
    </xf>
    <xf numFmtId="211" fontId="138" fillId="0" borderId="0" xfId="3" applyNumberFormat="1" applyFont="1" applyAlignment="1" applyProtection="1">
      <alignment horizontal="center"/>
      <protection locked="0"/>
    </xf>
    <xf numFmtId="0" fontId="29" fillId="0" borderId="0" xfId="0" applyFont="1" applyProtection="1">
      <protection locked="0"/>
    </xf>
    <xf numFmtId="0" fontId="17" fillId="0" borderId="246" xfId="3" applyFont="1" applyBorder="1" applyAlignment="1" applyProtection="1">
      <alignment horizontal="center"/>
      <protection hidden="1"/>
    </xf>
    <xf numFmtId="171" fontId="0" fillId="0" borderId="0" xfId="1" applyFont="1"/>
    <xf numFmtId="171" fontId="0" fillId="0" borderId="211" xfId="1" applyFont="1" applyBorder="1" applyProtection="1">
      <protection hidden="1"/>
    </xf>
    <xf numFmtId="171" fontId="17" fillId="0" borderId="25" xfId="1" applyFont="1" applyBorder="1"/>
    <xf numFmtId="171" fontId="0" fillId="0" borderId="25" xfId="1" applyFont="1" applyBorder="1"/>
    <xf numFmtId="14" fontId="60" fillId="0" borderId="0" xfId="0" applyNumberFormat="1" applyFont="1"/>
    <xf numFmtId="0" fontId="18" fillId="0" borderId="99" xfId="0" applyFont="1" applyBorder="1" applyAlignment="1">
      <alignment horizontal="center" vertical="center" wrapText="1"/>
    </xf>
    <xf numFmtId="169" fontId="12" fillId="42" borderId="250" xfId="3" applyNumberFormat="1" applyFont="1" applyFill="1" applyBorder="1" applyAlignment="1" applyProtection="1">
      <alignment horizontal="center"/>
      <protection locked="0"/>
    </xf>
    <xf numFmtId="169" fontId="12" fillId="42" borderId="251"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51"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3" xfId="3" applyNumberFormat="1" applyBorder="1" applyAlignment="1" applyProtection="1">
      <alignment horizontal="center"/>
      <protection locked="0"/>
    </xf>
    <xf numFmtId="20" fontId="0" fillId="0" borderId="252" xfId="0" applyNumberFormat="1" applyBorder="1" applyAlignment="1" applyProtection="1">
      <alignment horizontal="center"/>
      <protection hidden="1"/>
    </xf>
    <xf numFmtId="20" fontId="0" fillId="0" borderId="253" xfId="0" applyNumberFormat="1" applyBorder="1" applyAlignment="1" applyProtection="1">
      <alignment horizontal="center"/>
      <protection hidden="1"/>
    </xf>
    <xf numFmtId="202" fontId="18" fillId="0" borderId="254" xfId="0" applyNumberFormat="1" applyFont="1" applyBorder="1" applyProtection="1">
      <protection hidden="1"/>
    </xf>
    <xf numFmtId="20" fontId="0" fillId="0" borderId="255" xfId="0" applyNumberFormat="1" applyBorder="1" applyAlignment="1" applyProtection="1">
      <alignment horizontal="center"/>
      <protection hidden="1"/>
    </xf>
    <xf numFmtId="202" fontId="18" fillId="0" borderId="256" xfId="0" applyNumberFormat="1" applyFont="1" applyBorder="1" applyProtection="1">
      <protection hidden="1"/>
    </xf>
    <xf numFmtId="20" fontId="0" fillId="0" borderId="257" xfId="0" applyNumberFormat="1" applyBorder="1" applyAlignment="1" applyProtection="1">
      <alignment horizontal="center"/>
      <protection hidden="1"/>
    </xf>
    <xf numFmtId="20" fontId="0" fillId="0" borderId="258" xfId="0" applyNumberFormat="1" applyBorder="1" applyAlignment="1" applyProtection="1">
      <alignment horizontal="center"/>
      <protection hidden="1"/>
    </xf>
    <xf numFmtId="202" fontId="18" fillId="0" borderId="259"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2"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28" fillId="0" borderId="0" xfId="0" applyFont="1"/>
    <xf numFmtId="197" fontId="0" fillId="13" borderId="211" xfId="0" applyNumberFormat="1" applyFill="1" applyBorder="1" applyAlignment="1" applyProtection="1">
      <alignment horizontal="center"/>
      <protection locked="0"/>
    </xf>
    <xf numFmtId="181" fontId="5" fillId="13" borderId="211" xfId="4" applyNumberFormat="1" applyFont="1" applyFill="1" applyBorder="1" applyAlignment="1" applyProtection="1">
      <alignment horizontal="center"/>
      <protection locked="0"/>
    </xf>
    <xf numFmtId="14" fontId="5" fillId="0" borderId="211" xfId="3" applyNumberFormat="1" applyBorder="1" applyAlignment="1">
      <alignment horizontal="right"/>
    </xf>
    <xf numFmtId="181" fontId="0" fillId="13" borderId="211"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1" fillId="0" borderId="0" xfId="0" applyNumberFormat="1" applyFont="1" applyProtection="1">
      <protection hidden="1"/>
    </xf>
    <xf numFmtId="0" fontId="154" fillId="0" borderId="0" xfId="0" applyFont="1"/>
    <xf numFmtId="0" fontId="41" fillId="0" borderId="0" xfId="0" applyFont="1" applyAlignment="1" applyProtection="1">
      <alignment vertical="center"/>
      <protection hidden="1"/>
    </xf>
    <xf numFmtId="0" fontId="155" fillId="0" borderId="0" xfId="0" applyFont="1" applyAlignment="1" applyProtection="1">
      <alignment vertical="center"/>
      <protection hidden="1"/>
    </xf>
    <xf numFmtId="0" fontId="63" fillId="0" borderId="0" xfId="0" applyFont="1" applyAlignment="1" applyProtection="1">
      <alignment horizontal="right"/>
      <protection hidden="1"/>
    </xf>
    <xf numFmtId="173" fontId="5" fillId="12" borderId="111" xfId="2" applyNumberFormat="1" applyFill="1" applyBorder="1" applyAlignment="1" applyProtection="1">
      <alignment horizontal="left"/>
      <protection hidden="1"/>
    </xf>
    <xf numFmtId="171" fontId="12" fillId="0" borderId="0" xfId="1" applyFont="1" applyAlignment="1">
      <alignment horizontal="center"/>
    </xf>
    <xf numFmtId="0" fontId="5" fillId="0" borderId="260"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7" xfId="3" applyNumberFormat="1" applyBorder="1" applyAlignment="1" applyProtection="1">
      <alignment horizontal="center"/>
      <protection hidden="1"/>
    </xf>
    <xf numFmtId="0" fontId="5" fillId="0" borderId="127" xfId="3" applyBorder="1" applyProtection="1">
      <protection hidden="1"/>
    </xf>
    <xf numFmtId="171" fontId="13" fillId="0" borderId="0" xfId="3" applyNumberFormat="1" applyFont="1" applyProtection="1">
      <protection hidden="1"/>
    </xf>
    <xf numFmtId="44" fontId="0" fillId="0" borderId="263" xfId="0" applyNumberFormat="1" applyBorder="1" applyProtection="1">
      <protection hidden="1"/>
    </xf>
    <xf numFmtId="181" fontId="95" fillId="0" borderId="0" xfId="0" quotePrefix="1" applyNumberFormat="1" applyFont="1" applyProtection="1">
      <protection hidden="1"/>
    </xf>
    <xf numFmtId="0" fontId="18" fillId="0" borderId="211" xfId="0" applyFont="1" applyBorder="1" applyAlignment="1" applyProtection="1">
      <alignment horizontal="center" vertical="center" wrapText="1"/>
      <protection hidden="1"/>
    </xf>
    <xf numFmtId="0" fontId="0" fillId="0" borderId="211" xfId="0" applyBorder="1" applyAlignment="1" applyProtection="1">
      <alignment horizontal="center" vertical="center" wrapText="1"/>
      <protection hidden="1"/>
    </xf>
    <xf numFmtId="0" fontId="63" fillId="0" borderId="0" xfId="0" applyFont="1" applyAlignment="1" applyProtection="1">
      <alignment horizontal="left"/>
      <protection hidden="1"/>
    </xf>
    <xf numFmtId="171" fontId="22" fillId="0" borderId="0" xfId="3" applyNumberFormat="1" applyFont="1" applyProtection="1">
      <protection hidden="1"/>
    </xf>
    <xf numFmtId="171" fontId="18" fillId="0" borderId="0" xfId="3" applyNumberFormat="1" applyFont="1" applyProtection="1">
      <protection hidden="1"/>
    </xf>
    <xf numFmtId="0" fontId="0" fillId="0" borderId="265" xfId="0" applyBorder="1" applyProtection="1">
      <protection hidden="1"/>
    </xf>
    <xf numFmtId="171" fontId="65"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70" xfId="0" applyFont="1" applyFill="1" applyBorder="1" applyAlignment="1" applyProtection="1">
      <alignment horizontal="center" vertical="center" wrapText="1"/>
      <protection hidden="1"/>
    </xf>
    <xf numFmtId="169" fontId="12" fillId="0" borderId="270" xfId="3" applyNumberFormat="1" applyFont="1" applyBorder="1" applyProtection="1">
      <protection hidden="1"/>
    </xf>
    <xf numFmtId="169" fontId="159" fillId="0" borderId="101" xfId="3" applyNumberFormat="1" applyFont="1" applyBorder="1" applyProtection="1">
      <protection hidden="1"/>
    </xf>
    <xf numFmtId="169" fontId="159" fillId="0" borderId="0" xfId="3" applyNumberFormat="1" applyFont="1" applyProtection="1">
      <protection hidden="1"/>
    </xf>
    <xf numFmtId="0" fontId="160" fillId="0" borderId="0" xfId="3" applyFont="1" applyProtection="1">
      <protection hidden="1"/>
    </xf>
    <xf numFmtId="0" fontId="161" fillId="0" borderId="0" xfId="3" applyFont="1" applyProtection="1">
      <protection hidden="1"/>
    </xf>
    <xf numFmtId="177" fontId="161"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3" fillId="0" borderId="0" xfId="0" applyFont="1" applyProtection="1">
      <protection hidden="1"/>
    </xf>
    <xf numFmtId="0" fontId="163" fillId="0" borderId="0" xfId="0" applyFont="1" applyAlignment="1" applyProtection="1">
      <alignment horizontal="right"/>
      <protection hidden="1"/>
    </xf>
    <xf numFmtId="0" fontId="163" fillId="0" borderId="0" xfId="0" applyFont="1" applyAlignment="1" applyProtection="1">
      <alignment horizontal="center"/>
      <protection hidden="1"/>
    </xf>
    <xf numFmtId="198" fontId="0" fillId="0" borderId="211" xfId="0" applyNumberFormat="1" applyBorder="1" applyAlignment="1" applyProtection="1">
      <alignment horizontal="right"/>
      <protection hidden="1"/>
    </xf>
    <xf numFmtId="177" fontId="50" fillId="0" borderId="0" xfId="3" applyNumberFormat="1" applyFont="1" applyProtection="1">
      <protection hidden="1"/>
    </xf>
    <xf numFmtId="0" fontId="128" fillId="0" borderId="0" xfId="0" applyFont="1" applyAlignment="1" applyProtection="1">
      <alignment horizontal="right"/>
      <protection hidden="1"/>
    </xf>
    <xf numFmtId="0" fontId="164" fillId="0" borderId="0" xfId="0" applyFont="1" applyAlignment="1" applyProtection="1">
      <alignment horizontal="center"/>
      <protection hidden="1"/>
    </xf>
    <xf numFmtId="0" fontId="165" fillId="0" borderId="0" xfId="0" applyFont="1" applyProtection="1">
      <protection hidden="1"/>
    </xf>
    <xf numFmtId="0" fontId="165" fillId="0" borderId="0" xfId="3" applyFont="1" applyAlignment="1" applyProtection="1">
      <alignment horizontal="center" wrapText="1"/>
      <protection hidden="1"/>
    </xf>
    <xf numFmtId="0" fontId="153" fillId="0" borderId="0" xfId="0" applyFont="1" applyProtection="1">
      <protection hidden="1"/>
    </xf>
    <xf numFmtId="0" fontId="165" fillId="0" borderId="0" xfId="0" applyFont="1"/>
    <xf numFmtId="0" fontId="167" fillId="0" borderId="0" xfId="3" quotePrefix="1" applyFont="1" applyProtection="1">
      <protection hidden="1"/>
    </xf>
    <xf numFmtId="0" fontId="167" fillId="0" borderId="0" xfId="3" applyFont="1" applyProtection="1">
      <protection hidden="1"/>
    </xf>
    <xf numFmtId="213" fontId="88" fillId="0" borderId="0" xfId="1" applyNumberFormat="1" applyFont="1" applyProtection="1">
      <protection hidden="1"/>
    </xf>
    <xf numFmtId="0" fontId="45"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6" fillId="53" borderId="0" xfId="0" applyNumberFormat="1" applyFont="1" applyFill="1" applyAlignment="1" applyProtection="1">
      <alignment horizontal="center" vertical="center"/>
      <protection locked="0"/>
    </xf>
    <xf numFmtId="0" fontId="46" fillId="53" borderId="0" xfId="0" applyFont="1" applyFill="1" applyAlignment="1" applyProtection="1">
      <alignment horizontal="center"/>
      <protection locked="0"/>
    </xf>
    <xf numFmtId="209" fontId="46" fillId="53" borderId="0" xfId="0" applyNumberFormat="1" applyFont="1" applyFill="1" applyAlignment="1" applyProtection="1">
      <alignment horizontal="center" vertical="center"/>
      <protection locked="0"/>
    </xf>
    <xf numFmtId="200" fontId="46" fillId="53" borderId="0" xfId="0" applyNumberFormat="1" applyFont="1" applyFill="1" applyAlignment="1" applyProtection="1">
      <alignment horizontal="center" vertical="center"/>
      <protection locked="0"/>
    </xf>
    <xf numFmtId="0" fontId="46"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11" xfId="3" applyNumberFormat="1" applyFill="1" applyBorder="1" applyAlignment="1" applyProtection="1">
      <alignment horizontal="right"/>
      <protection locked="0"/>
    </xf>
    <xf numFmtId="197" fontId="0" fillId="53" borderId="211" xfId="0" applyNumberFormat="1" applyFill="1" applyBorder="1" applyAlignment="1" applyProtection="1">
      <alignment horizontal="center"/>
      <protection locked="0"/>
    </xf>
    <xf numFmtId="179" fontId="5" fillId="53" borderId="211" xfId="2" applyNumberFormat="1" applyFill="1" applyBorder="1" applyAlignment="1" applyProtection="1">
      <alignment horizontal="center"/>
      <protection locked="0"/>
    </xf>
    <xf numFmtId="181" fontId="0" fillId="53" borderId="211" xfId="0" applyNumberFormat="1" applyFill="1" applyBorder="1" applyAlignment="1" applyProtection="1">
      <alignment horizontal="center"/>
      <protection locked="0"/>
    </xf>
    <xf numFmtId="181" fontId="5" fillId="53" borderId="211" xfId="3" applyNumberFormat="1" applyFill="1" applyBorder="1" applyAlignment="1" applyProtection="1">
      <alignment horizontal="center"/>
      <protection locked="0"/>
    </xf>
    <xf numFmtId="181" fontId="71" fillId="53" borderId="211" xfId="3" applyNumberFormat="1" applyFont="1" applyFill="1" applyBorder="1" applyAlignment="1" applyProtection="1">
      <alignment horizontal="center"/>
      <protection locked="0"/>
    </xf>
    <xf numFmtId="1" fontId="71" fillId="53" borderId="211"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11"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9" xfId="0" applyFill="1" applyBorder="1" applyProtection="1">
      <protection locked="0"/>
    </xf>
    <xf numFmtId="174" fontId="0" fillId="53" borderId="200" xfId="0" applyNumberFormat="1" applyFill="1" applyBorder="1" applyAlignment="1" applyProtection="1">
      <alignment horizontal="center"/>
      <protection locked="0"/>
    </xf>
    <xf numFmtId="0" fontId="0" fillId="53" borderId="201" xfId="0" applyFill="1" applyBorder="1" applyAlignment="1" applyProtection="1">
      <alignment horizontal="center"/>
      <protection locked="0"/>
    </xf>
    <xf numFmtId="0" fontId="0" fillId="53" borderId="204" xfId="0" applyFill="1" applyBorder="1" applyProtection="1">
      <protection locked="0"/>
    </xf>
    <xf numFmtId="174" fontId="0" fillId="53" borderId="205" xfId="0" applyNumberFormat="1" applyFill="1" applyBorder="1" applyAlignment="1" applyProtection="1">
      <alignment horizontal="center"/>
      <protection locked="0"/>
    </xf>
    <xf numFmtId="0" fontId="0" fillId="53" borderId="206"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3" fillId="53" borderId="19" xfId="0" applyFont="1" applyFill="1" applyBorder="1" applyAlignment="1" applyProtection="1">
      <alignment horizontal="center" vertical="center" wrapText="1"/>
      <protection hidden="1"/>
    </xf>
    <xf numFmtId="0" fontId="53" fillId="53" borderId="17" xfId="0" applyFont="1" applyFill="1" applyBorder="1" applyAlignment="1" applyProtection="1">
      <alignment horizontal="center" vertical="center" wrapText="1"/>
      <protection hidden="1"/>
    </xf>
    <xf numFmtId="0" fontId="53" fillId="53" borderId="212"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8" xfId="0" applyFont="1" applyFill="1" applyBorder="1" applyAlignment="1" applyProtection="1">
      <alignment horizontal="left"/>
      <protection locked="0"/>
    </xf>
    <xf numFmtId="0" fontId="18" fillId="55" borderId="139"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92"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9"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3" xfId="0" applyNumberFormat="1" applyFont="1" applyFill="1" applyBorder="1" applyAlignment="1" applyProtection="1">
      <alignment horizontal="center"/>
      <protection locked="0"/>
    </xf>
    <xf numFmtId="169" fontId="0" fillId="55" borderId="212" xfId="3" applyNumberFormat="1" applyFont="1" applyFill="1" applyBorder="1" applyAlignment="1" applyProtection="1">
      <alignment horizontal="center"/>
      <protection locked="0"/>
    </xf>
    <xf numFmtId="169" fontId="0" fillId="55" borderId="116" xfId="3" applyNumberFormat="1" applyFont="1" applyFill="1" applyBorder="1" applyAlignment="1" applyProtection="1">
      <alignment horizontal="center"/>
      <protection locked="0"/>
    </xf>
    <xf numFmtId="169" fontId="0" fillId="55" borderId="63" xfId="3" applyNumberFormat="1" applyFont="1" applyFill="1" applyBorder="1" applyAlignment="1" applyProtection="1">
      <alignment horizontal="center"/>
      <protection locked="0"/>
    </xf>
    <xf numFmtId="169" fontId="5" fillId="55" borderId="212" xfId="3" applyNumberFormat="1" applyFill="1" applyBorder="1" applyAlignment="1" applyProtection="1">
      <alignment horizontal="center"/>
      <protection locked="0"/>
    </xf>
    <xf numFmtId="169" fontId="5" fillId="55" borderId="99" xfId="3" applyNumberFormat="1" applyFill="1" applyBorder="1" applyAlignment="1" applyProtection="1">
      <alignment horizontal="center"/>
      <protection locked="0"/>
    </xf>
    <xf numFmtId="169" fontId="5" fillId="55" borderId="63" xfId="3" applyNumberForma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99" xfId="3" applyNumberFormat="1" applyFont="1" applyFill="1" applyBorder="1" applyAlignment="1" applyProtection="1">
      <alignment horizontal="center"/>
      <protection locked="0"/>
    </xf>
    <xf numFmtId="169" fontId="12" fillId="55" borderId="63" xfId="3" applyNumberFormat="1" applyFont="1" applyFill="1" applyBorder="1" applyAlignment="1" applyProtection="1">
      <alignment horizontal="center"/>
      <protection locked="0"/>
    </xf>
    <xf numFmtId="169" fontId="0" fillId="0" borderId="116" xfId="3" applyNumberFormat="1" applyFont="1" applyBorder="1" applyAlignment="1" applyProtection="1">
      <alignment horizontal="center"/>
      <protection locked="0"/>
    </xf>
    <xf numFmtId="169" fontId="0" fillId="0" borderId="63"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9" fillId="53" borderId="17" xfId="0" applyFont="1" applyFill="1" applyBorder="1" applyProtection="1">
      <protection locked="0"/>
    </xf>
    <xf numFmtId="0" fontId="5" fillId="53" borderId="0" xfId="3" applyFill="1" applyProtection="1">
      <protection locked="0"/>
    </xf>
    <xf numFmtId="0" fontId="5" fillId="53" borderId="249"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5" fillId="53" borderId="0" xfId="3" applyFont="1" applyFill="1" applyProtection="1">
      <protection locked="0" hidden="1"/>
    </xf>
    <xf numFmtId="213" fontId="88" fillId="53" borderId="0" xfId="1" applyNumberFormat="1" applyFont="1" applyFill="1" applyProtection="1">
      <protection locked="0"/>
    </xf>
    <xf numFmtId="176" fontId="91" fillId="53" borderId="0" xfId="3" applyNumberFormat="1" applyFont="1" applyFill="1" applyAlignment="1" applyProtection="1">
      <alignment horizontal="center"/>
      <protection locked="0"/>
    </xf>
    <xf numFmtId="171" fontId="91"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12" xfId="3" applyNumberFormat="1" applyFont="1" applyFill="1" applyBorder="1" applyAlignment="1" applyProtection="1">
      <alignment horizontal="center"/>
      <protection locked="0"/>
    </xf>
    <xf numFmtId="169" fontId="12" fillId="55" borderId="92" xfId="3" applyNumberFormat="1" applyFont="1" applyFill="1" applyBorder="1" applyProtection="1">
      <protection locked="0"/>
    </xf>
    <xf numFmtId="169" fontId="12" fillId="55" borderId="99" xfId="3" applyNumberFormat="1" applyFont="1" applyFill="1" applyBorder="1" applyProtection="1">
      <protection locked="0"/>
    </xf>
    <xf numFmtId="169" fontId="12" fillId="55" borderId="63"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8"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8" fillId="57" borderId="237" xfId="3" applyNumberFormat="1" applyFont="1" applyFill="1" applyBorder="1" applyAlignment="1" applyProtection="1">
      <alignment horizontal="center"/>
      <protection locked="0"/>
    </xf>
    <xf numFmtId="211" fontId="138" fillId="57" borderId="238" xfId="3" applyNumberFormat="1" applyFont="1" applyFill="1" applyBorder="1" applyAlignment="1" applyProtection="1">
      <alignment horizontal="center"/>
      <protection locked="0"/>
    </xf>
    <xf numFmtId="0" fontId="168" fillId="0" borderId="0" xfId="3" applyFont="1" applyAlignment="1" applyProtection="1">
      <alignment horizontal="right"/>
      <protection hidden="1"/>
    </xf>
    <xf numFmtId="169" fontId="169" fillId="0" borderId="101" xfId="3" applyNumberFormat="1" applyFont="1" applyBorder="1" applyProtection="1">
      <protection hidden="1"/>
    </xf>
    <xf numFmtId="0" fontId="170" fillId="0" borderId="0" xfId="3" applyFont="1" applyProtection="1">
      <protection hidden="1"/>
    </xf>
    <xf numFmtId="169" fontId="169" fillId="0" borderId="0" xfId="3" applyNumberFormat="1" applyFont="1" applyAlignment="1" applyProtection="1">
      <alignment horizontal="right"/>
      <protection hidden="1"/>
    </xf>
    <xf numFmtId="0" fontId="170" fillId="57" borderId="0" xfId="3" applyFont="1" applyFill="1" applyAlignment="1" applyProtection="1">
      <alignment horizontal="center"/>
      <protection locked="0"/>
    </xf>
    <xf numFmtId="0" fontId="169" fillId="0" borderId="0" xfId="3" applyFont="1" applyProtection="1">
      <protection hidden="1"/>
    </xf>
    <xf numFmtId="171" fontId="171" fillId="57" borderId="0" xfId="2" applyNumberFormat="1" applyFont="1" applyFill="1" applyAlignment="1" applyProtection="1">
      <alignment horizontal="right"/>
      <protection locked="0" hidden="1"/>
    </xf>
    <xf numFmtId="174" fontId="171"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30" fillId="53" borderId="63" xfId="0" applyFont="1" applyFill="1" applyBorder="1" applyAlignment="1" applyProtection="1">
      <alignment horizontal="center"/>
      <protection locked="0"/>
    </xf>
    <xf numFmtId="0" fontId="119" fillId="53" borderId="212" xfId="0" applyFont="1" applyFill="1" applyBorder="1" applyProtection="1">
      <protection locked="0"/>
    </xf>
    <xf numFmtId="192" fontId="0" fillId="53" borderId="17" xfId="0" applyNumberFormat="1" applyFill="1" applyBorder="1" applyProtection="1">
      <protection locked="0"/>
    </xf>
    <xf numFmtId="2" fontId="0" fillId="53" borderId="92" xfId="0" applyNumberFormat="1" applyFill="1" applyBorder="1" applyProtection="1">
      <protection locked="0"/>
    </xf>
    <xf numFmtId="181" fontId="0" fillId="53" borderId="31" xfId="0" applyNumberFormat="1" applyFill="1" applyBorder="1" applyProtection="1">
      <protection locked="0"/>
    </xf>
    <xf numFmtId="181" fontId="0" fillId="53" borderId="98" xfId="0" applyNumberFormat="1" applyFill="1" applyBorder="1" applyProtection="1">
      <protection locked="0"/>
    </xf>
    <xf numFmtId="181" fontId="0" fillId="53" borderId="28" xfId="0" applyNumberFormat="1" applyFill="1" applyBorder="1" applyProtection="1">
      <protection locked="0"/>
    </xf>
    <xf numFmtId="181" fontId="0" fillId="53" borderId="92" xfId="0" applyNumberFormat="1" applyFill="1" applyBorder="1" applyProtection="1">
      <protection locked="0"/>
    </xf>
    <xf numFmtId="181" fontId="0" fillId="53" borderId="116" xfId="0" applyNumberFormat="1" applyFill="1" applyBorder="1" applyProtection="1">
      <protection locked="0"/>
    </xf>
    <xf numFmtId="181" fontId="0" fillId="53" borderId="63"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8"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9" xfId="0" applyFill="1" applyBorder="1" applyAlignment="1" applyProtection="1">
      <alignment horizontal="center"/>
      <protection locked="0"/>
    </xf>
    <xf numFmtId="0" fontId="0" fillId="53" borderId="63" xfId="0" applyFill="1" applyBorder="1" applyAlignment="1" applyProtection="1">
      <alignment horizontal="center"/>
      <protection locked="0"/>
    </xf>
    <xf numFmtId="14" fontId="119" fillId="53" borderId="92" xfId="0" applyNumberFormat="1" applyFont="1" applyFill="1" applyBorder="1" applyProtection="1">
      <protection locked="0"/>
    </xf>
    <xf numFmtId="0" fontId="119" fillId="53" borderId="112" xfId="0" applyFont="1" applyFill="1" applyBorder="1" applyAlignment="1" applyProtection="1">
      <alignment horizontal="center"/>
      <protection locked="0"/>
    </xf>
    <xf numFmtId="14" fontId="119" fillId="53" borderId="112" xfId="0" applyNumberFormat="1" applyFont="1" applyFill="1" applyBorder="1" applyAlignment="1" applyProtection="1">
      <alignment horizontal="center"/>
      <protection locked="0"/>
    </xf>
    <xf numFmtId="44" fontId="119" fillId="53" borderId="112" xfId="0" applyNumberFormat="1" applyFont="1" applyFill="1" applyBorder="1" applyProtection="1">
      <protection locked="0"/>
    </xf>
    <xf numFmtId="200" fontId="120" fillId="53" borderId="0" xfId="1" applyNumberFormat="1" applyFont="1" applyFill="1" applyProtection="1">
      <protection locked="0"/>
    </xf>
    <xf numFmtId="0" fontId="172" fillId="0" borderId="0" xfId="3" applyFont="1" applyAlignment="1" applyProtection="1">
      <alignment vertical="center" wrapText="1"/>
      <protection hidden="1"/>
    </xf>
    <xf numFmtId="0" fontId="173" fillId="0" borderId="0" xfId="0" applyFont="1" applyAlignment="1" applyProtection="1">
      <alignment horizontal="center" vertical="center"/>
      <protection hidden="1"/>
    </xf>
    <xf numFmtId="0" fontId="174" fillId="0" borderId="0" xfId="0" applyFont="1" applyProtection="1">
      <protection hidden="1"/>
    </xf>
    <xf numFmtId="0" fontId="128" fillId="0" borderId="0" xfId="0" applyFont="1" applyAlignment="1" applyProtection="1">
      <alignment horizontal="left"/>
      <protection hidden="1"/>
    </xf>
    <xf numFmtId="0" fontId="175" fillId="0" borderId="0" xfId="0" applyFont="1" applyProtection="1">
      <protection hidden="1"/>
    </xf>
    <xf numFmtId="0" fontId="176" fillId="0" borderId="0" xfId="0" applyFont="1" applyProtection="1">
      <protection hidden="1"/>
    </xf>
    <xf numFmtId="0" fontId="176"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6"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11" xfId="1" applyFont="1" applyFill="1" applyBorder="1" applyProtection="1">
      <protection locked="0"/>
    </xf>
    <xf numFmtId="192" fontId="0" fillId="53" borderId="211" xfId="0" applyNumberFormat="1" applyFill="1" applyBorder="1" applyProtection="1">
      <protection locked="0"/>
    </xf>
    <xf numFmtId="0" fontId="179"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6" xfId="3" quotePrefix="1" applyFont="1" applyBorder="1" applyAlignment="1">
      <alignment horizontal="center" vertical="center"/>
    </xf>
    <xf numFmtId="201" fontId="18" fillId="0" borderId="110" xfId="0" applyNumberFormat="1" applyFont="1" applyBorder="1" applyProtection="1">
      <protection hidden="1"/>
    </xf>
    <xf numFmtId="201" fontId="18" fillId="0" borderId="111" xfId="0" applyNumberFormat="1" applyFont="1" applyBorder="1" applyProtection="1">
      <protection hidden="1"/>
    </xf>
    <xf numFmtId="0" fontId="73"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3"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3"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3"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3" fillId="16" borderId="17" xfId="0" applyNumberFormat="1" applyFont="1" applyFill="1" applyBorder="1" applyProtection="1">
      <protection hidden="1"/>
    </xf>
    <xf numFmtId="171" fontId="18" fillId="0" borderId="294" xfId="3" applyNumberFormat="1" applyFont="1" applyBorder="1" applyProtection="1">
      <protection hidden="1"/>
    </xf>
    <xf numFmtId="0" fontId="182" fillId="0" borderId="0" xfId="3" applyFont="1" applyAlignment="1" applyProtection="1">
      <alignment horizontal="right"/>
      <protection hidden="1"/>
    </xf>
    <xf numFmtId="0" fontId="183" fillId="0" borderId="0" xfId="3" applyFont="1" applyProtection="1">
      <protection hidden="1"/>
    </xf>
    <xf numFmtId="0" fontId="184" fillId="0" borderId="17" xfId="0" applyFont="1" applyBorder="1" applyAlignment="1">
      <alignment horizontal="center" vertical="center" wrapText="1"/>
    </xf>
    <xf numFmtId="0" fontId="184" fillId="0" borderId="211" xfId="0" applyFont="1" applyBorder="1" applyAlignment="1">
      <alignment horizontal="center" vertical="center" wrapText="1"/>
    </xf>
    <xf numFmtId="0" fontId="184" fillId="0" borderId="0" xfId="0" applyFont="1"/>
    <xf numFmtId="0" fontId="187" fillId="0" borderId="0" xfId="0" applyFont="1" applyProtection="1">
      <protection hidden="1"/>
    </xf>
    <xf numFmtId="0" fontId="188" fillId="0" borderId="17" xfId="0" applyFont="1" applyBorder="1" applyAlignment="1" applyProtection="1">
      <alignment horizontal="center" vertical="center" wrapText="1"/>
      <protection hidden="1"/>
    </xf>
    <xf numFmtId="0" fontId="185" fillId="0" borderId="0" xfId="0" applyFont="1" applyProtection="1">
      <protection hidden="1"/>
    </xf>
    <xf numFmtId="0" fontId="185" fillId="0" borderId="0" xfId="0" applyFont="1" applyAlignment="1" applyProtection="1">
      <alignment horizontal="right"/>
      <protection hidden="1"/>
    </xf>
    <xf numFmtId="0" fontId="189" fillId="0" borderId="0" xfId="0" applyFont="1" applyProtection="1">
      <protection hidden="1"/>
    </xf>
    <xf numFmtId="0" fontId="184" fillId="0" borderId="196" xfId="0" applyFont="1" applyBorder="1" applyAlignment="1" applyProtection="1">
      <alignment horizontal="center"/>
      <protection hidden="1"/>
    </xf>
    <xf numFmtId="0" fontId="184" fillId="0" borderId="197" xfId="0" applyFont="1" applyBorder="1" applyAlignment="1" applyProtection="1">
      <alignment horizontal="center"/>
      <protection hidden="1"/>
    </xf>
    <xf numFmtId="0" fontId="18" fillId="0" borderId="295" xfId="0" applyFont="1" applyBorder="1" applyProtection="1">
      <protection hidden="1"/>
    </xf>
    <xf numFmtId="0" fontId="0" fillId="0" borderId="296" xfId="0" applyBorder="1" applyProtection="1">
      <protection hidden="1"/>
    </xf>
    <xf numFmtId="0" fontId="0" fillId="0" borderId="297" xfId="0" applyBorder="1" applyProtection="1">
      <protection hidden="1"/>
    </xf>
    <xf numFmtId="0" fontId="0" fillId="0" borderId="298" xfId="0" applyBorder="1" applyProtection="1">
      <protection hidden="1"/>
    </xf>
    <xf numFmtId="0" fontId="0" fillId="0" borderId="299" xfId="0" applyBorder="1" applyProtection="1">
      <protection hidden="1"/>
    </xf>
    <xf numFmtId="0" fontId="0" fillId="0" borderId="299" xfId="0" applyBorder="1" applyAlignment="1" applyProtection="1">
      <alignment horizontal="center"/>
      <protection hidden="1"/>
    </xf>
    <xf numFmtId="1" fontId="0" fillId="0" borderId="299" xfId="0" applyNumberFormat="1" applyBorder="1" applyAlignment="1" applyProtection="1">
      <alignment horizontal="center"/>
      <protection hidden="1"/>
    </xf>
    <xf numFmtId="0" fontId="18" fillId="0" borderId="300" xfId="0" applyFont="1" applyBorder="1" applyProtection="1">
      <protection hidden="1"/>
    </xf>
    <xf numFmtId="0" fontId="18" fillId="53" borderId="99" xfId="0" applyFont="1" applyFill="1" applyBorder="1" applyAlignment="1" applyProtection="1">
      <alignment horizontal="center"/>
      <protection locked="0"/>
    </xf>
    <xf numFmtId="44" fontId="0" fillId="53" borderId="299" xfId="0" applyNumberFormat="1" applyFill="1" applyBorder="1" applyProtection="1">
      <protection locked="0"/>
    </xf>
    <xf numFmtId="0" fontId="0" fillId="0" borderId="300" xfId="0" applyBorder="1" applyProtection="1">
      <protection hidden="1"/>
    </xf>
    <xf numFmtId="44" fontId="0" fillId="53" borderId="299" xfId="0" applyNumberFormat="1" applyFill="1" applyBorder="1" applyAlignment="1" applyProtection="1">
      <alignment horizontal="right"/>
      <protection locked="0"/>
    </xf>
    <xf numFmtId="0" fontId="0" fillId="0" borderId="301" xfId="0" applyBorder="1" applyProtection="1">
      <protection hidden="1"/>
    </xf>
    <xf numFmtId="0" fontId="18" fillId="53" borderId="302" xfId="0" applyFont="1" applyFill="1" applyBorder="1" applyAlignment="1" applyProtection="1">
      <alignment horizontal="center"/>
      <protection locked="0"/>
    </xf>
    <xf numFmtId="44" fontId="0" fillId="53" borderId="303" xfId="0" applyNumberFormat="1" applyFill="1" applyBorder="1" applyAlignment="1" applyProtection="1">
      <alignment horizontal="right"/>
      <protection locked="0"/>
    </xf>
    <xf numFmtId="44" fontId="0" fillId="53" borderId="304" xfId="0" applyNumberFormat="1" applyFill="1" applyBorder="1" applyAlignment="1" applyProtection="1">
      <alignment horizontal="right"/>
      <protection locked="0"/>
    </xf>
    <xf numFmtId="0" fontId="18" fillId="0" borderId="305" xfId="0" applyFont="1" applyBorder="1" applyAlignment="1" applyProtection="1">
      <alignment horizontal="center"/>
      <protection locked="0"/>
    </xf>
    <xf numFmtId="44" fontId="18" fillId="0" borderId="306" xfId="0" applyNumberFormat="1" applyFont="1" applyBorder="1" applyAlignment="1" applyProtection="1">
      <alignment horizontal="right"/>
      <protection locked="0"/>
    </xf>
    <xf numFmtId="0" fontId="118" fillId="0" borderId="305" xfId="0" applyFont="1" applyBorder="1" applyAlignment="1" applyProtection="1">
      <alignment horizontal="center"/>
      <protection locked="0"/>
    </xf>
    <xf numFmtId="0" fontId="0" fillId="0" borderId="307" xfId="0" applyBorder="1" applyProtection="1">
      <protection hidden="1"/>
    </xf>
    <xf numFmtId="0" fontId="18" fillId="0" borderId="308" xfId="0" applyFont="1" applyBorder="1" applyAlignment="1" applyProtection="1">
      <alignment horizontal="center"/>
      <protection hidden="1"/>
    </xf>
    <xf numFmtId="0" fontId="0" fillId="0" borderId="309" xfId="0" applyBorder="1" applyProtection="1">
      <protection hidden="1"/>
    </xf>
    <xf numFmtId="0" fontId="18" fillId="53" borderId="300" xfId="0" applyFont="1" applyFill="1" applyBorder="1" applyProtection="1">
      <protection locked="0"/>
    </xf>
    <xf numFmtId="0" fontId="18" fillId="53" borderId="301" xfId="0" applyFont="1" applyFill="1" applyBorder="1" applyProtection="1">
      <protection locked="0"/>
    </xf>
    <xf numFmtId="0" fontId="18" fillId="0" borderId="310" xfId="0" applyFont="1" applyBorder="1" applyProtection="1">
      <protection hidden="1"/>
    </xf>
    <xf numFmtId="0" fontId="18" fillId="0" borderId="311" xfId="0" applyFont="1" applyBorder="1" applyAlignment="1" applyProtection="1">
      <alignment horizontal="center"/>
      <protection hidden="1"/>
    </xf>
    <xf numFmtId="0" fontId="0" fillId="0" borderId="312" xfId="0" applyBorder="1" applyAlignment="1" applyProtection="1">
      <alignment horizontal="right"/>
      <protection hidden="1"/>
    </xf>
    <xf numFmtId="181" fontId="0" fillId="0" borderId="309" xfId="0" applyNumberFormat="1" applyBorder="1" applyProtection="1">
      <protection hidden="1"/>
    </xf>
    <xf numFmtId="181" fontId="0" fillId="0" borderId="299" xfId="0" applyNumberFormat="1" applyBorder="1" applyProtection="1">
      <protection hidden="1"/>
    </xf>
    <xf numFmtId="0" fontId="0" fillId="0" borderId="304" xfId="0" applyBorder="1" applyProtection="1">
      <protection hidden="1"/>
    </xf>
    <xf numFmtId="181" fontId="73" fillId="16" borderId="299" xfId="0" applyNumberFormat="1" applyFont="1" applyFill="1" applyBorder="1" applyAlignment="1" applyProtection="1">
      <alignment horizontal="right"/>
      <protection hidden="1"/>
    </xf>
    <xf numFmtId="181" fontId="0" fillId="0" borderId="299" xfId="0" applyNumberFormat="1" applyBorder="1" applyAlignment="1" applyProtection="1">
      <alignment horizontal="right"/>
      <protection hidden="1"/>
    </xf>
    <xf numFmtId="181" fontId="18" fillId="0" borderId="299" xfId="0" applyNumberFormat="1" applyFont="1" applyBorder="1" applyAlignment="1" applyProtection="1">
      <alignment horizontal="right"/>
      <protection hidden="1"/>
    </xf>
    <xf numFmtId="171" fontId="18" fillId="0" borderId="299" xfId="0" applyNumberFormat="1" applyFont="1" applyBorder="1" applyAlignment="1" applyProtection="1">
      <alignment horizontal="right"/>
      <protection hidden="1"/>
    </xf>
    <xf numFmtId="177" fontId="18" fillId="0" borderId="299" xfId="0" applyNumberFormat="1" applyFont="1" applyBorder="1" applyAlignment="1" applyProtection="1">
      <alignment horizontal="right"/>
      <protection hidden="1"/>
    </xf>
    <xf numFmtId="0" fontId="0" fillId="0" borderId="313" xfId="0" applyBorder="1" applyProtection="1">
      <protection hidden="1"/>
    </xf>
    <xf numFmtId="0" fontId="0" fillId="0" borderId="307" xfId="0" applyBorder="1" applyAlignment="1" applyProtection="1">
      <alignment horizontal="right"/>
      <protection hidden="1"/>
    </xf>
    <xf numFmtId="171" fontId="0" fillId="0" borderId="307" xfId="0" applyNumberFormat="1" applyBorder="1" applyProtection="1">
      <protection hidden="1"/>
    </xf>
    <xf numFmtId="0" fontId="0" fillId="0" borderId="298" xfId="0" applyBorder="1" applyAlignment="1" applyProtection="1">
      <alignment horizontal="center"/>
      <protection hidden="1"/>
    </xf>
    <xf numFmtId="0" fontId="192" fillId="0" borderId="0" xfId="0" applyFont="1" applyAlignment="1" applyProtection="1">
      <alignment horizontal="left" vertical="center"/>
      <protection hidden="1"/>
    </xf>
    <xf numFmtId="0" fontId="184" fillId="0" borderId="0" xfId="0" applyFont="1" applyProtection="1">
      <protection hidden="1"/>
    </xf>
    <xf numFmtId="0" fontId="191" fillId="0" borderId="0" xfId="0" applyFont="1" applyProtection="1">
      <protection hidden="1"/>
    </xf>
    <xf numFmtId="0" fontId="184" fillId="0" borderId="240" xfId="0" applyFont="1" applyBorder="1" applyAlignment="1">
      <alignment horizontal="center"/>
    </xf>
    <xf numFmtId="0" fontId="184" fillId="0" borderId="241" xfId="0" applyFont="1" applyBorder="1"/>
    <xf numFmtId="0" fontId="184" fillId="0" borderId="239" xfId="0" applyFont="1" applyBorder="1" applyAlignment="1">
      <alignment horizontal="center"/>
    </xf>
    <xf numFmtId="0" fontId="184" fillId="0" borderId="242" xfId="0" applyFont="1" applyBorder="1" applyAlignment="1">
      <alignment horizontal="center"/>
    </xf>
    <xf numFmtId="0" fontId="73" fillId="0" borderId="0" xfId="3" applyFont="1" applyAlignment="1" applyProtection="1">
      <alignment horizontal="left"/>
      <protection hidden="1"/>
    </xf>
    <xf numFmtId="0" fontId="73" fillId="0" borderId="0" xfId="3" applyFont="1" applyProtection="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0" fillId="0" borderId="121" xfId="0" applyBorder="1" applyAlignment="1" applyProtection="1">
      <alignment horizontal="right"/>
      <protection hidden="1"/>
    </xf>
    <xf numFmtId="0" fontId="0" fillId="0" borderId="122" xfId="0" applyBorder="1" applyAlignment="1" applyProtection="1">
      <alignment horizontal="right"/>
      <protection hidden="1"/>
    </xf>
    <xf numFmtId="0" fontId="0" fillId="0" borderId="123" xfId="0" applyBorder="1" applyAlignment="1" applyProtection="1">
      <alignment horizontal="right"/>
      <protection hidden="1"/>
    </xf>
    <xf numFmtId="0" fontId="118"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94" xfId="0" applyBorder="1" applyProtection="1">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94" xfId="0" applyFont="1" applyBorder="1" applyAlignment="1" applyProtection="1">
      <alignment horizontal="center" vertical="center" wrapText="1"/>
      <protection hidden="1"/>
    </xf>
    <xf numFmtId="171" fontId="0" fillId="0" borderId="294" xfId="1" applyFont="1" applyBorder="1" applyProtection="1">
      <protection hidden="1"/>
    </xf>
    <xf numFmtId="44" fontId="0" fillId="0" borderId="294"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94"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12" xfId="1" applyFont="1" applyFill="1" applyBorder="1" applyProtection="1">
      <protection locked="0"/>
    </xf>
    <xf numFmtId="2" fontId="29" fillId="0" borderId="112"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8" fillId="53" borderId="0" xfId="1" applyFont="1" applyFill="1" applyProtection="1">
      <protection locked="0"/>
    </xf>
    <xf numFmtId="0" fontId="119" fillId="53" borderId="211"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4" fillId="16" borderId="0" xfId="0" applyFont="1" applyFill="1" applyProtection="1">
      <protection hidden="1"/>
    </xf>
    <xf numFmtId="0" fontId="73" fillId="16" borderId="0" xfId="0" applyFont="1" applyFill="1" applyProtection="1">
      <protection hidden="1"/>
    </xf>
    <xf numFmtId="0" fontId="73" fillId="16" borderId="0" xfId="0" applyFont="1" applyFill="1" applyAlignment="1" applyProtection="1">
      <alignment horizontal="right"/>
      <protection hidden="1"/>
    </xf>
    <xf numFmtId="189" fontId="73" fillId="16" borderId="0" xfId="0" applyNumberFormat="1" applyFont="1" applyFill="1" applyProtection="1">
      <protection hidden="1"/>
    </xf>
    <xf numFmtId="169" fontId="73" fillId="16" borderId="0" xfId="0" applyNumberFormat="1" applyFont="1" applyFill="1" applyProtection="1">
      <protection hidden="1"/>
    </xf>
    <xf numFmtId="169" fontId="73" fillId="16" borderId="0" xfId="3" applyNumberFormat="1" applyFont="1" applyFill="1" applyProtection="1">
      <protection hidden="1"/>
    </xf>
    <xf numFmtId="0" fontId="174" fillId="16" borderId="0" xfId="0" applyFont="1" applyFill="1" applyAlignment="1" applyProtection="1">
      <alignment horizontal="right"/>
      <protection hidden="1"/>
    </xf>
    <xf numFmtId="0" fontId="174" fillId="16" borderId="0" xfId="0" applyFont="1" applyFill="1" applyAlignment="1" applyProtection="1">
      <alignment horizontal="left"/>
      <protection hidden="1"/>
    </xf>
    <xf numFmtId="0" fontId="195" fillId="16" borderId="0" xfId="0" applyFont="1" applyFill="1" applyProtection="1">
      <protection hidden="1"/>
    </xf>
    <xf numFmtId="0" fontId="73"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3"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3"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3" fillId="16" borderId="0" xfId="1" quotePrefix="1" applyNumberFormat="1" applyFont="1" applyFill="1"/>
    <xf numFmtId="0" fontId="29" fillId="16" borderId="0" xfId="0" quotePrefix="1" applyFont="1" applyFill="1" applyAlignment="1" applyProtection="1">
      <alignment horizontal="right"/>
      <protection hidden="1"/>
    </xf>
    <xf numFmtId="0" fontId="162" fillId="16" borderId="0" xfId="0" applyFont="1" applyFill="1" applyProtection="1">
      <protection hidden="1"/>
    </xf>
    <xf numFmtId="0" fontId="29" fillId="16" borderId="0" xfId="0" quotePrefix="1" applyFont="1" applyFill="1" applyProtection="1">
      <protection hidden="1"/>
    </xf>
    <xf numFmtId="0" fontId="76" fillId="0" borderId="0" xfId="0" applyFont="1" applyProtection="1">
      <protection hidden="1"/>
    </xf>
    <xf numFmtId="0" fontId="196" fillId="0" borderId="0" xfId="0" applyFont="1" applyAlignment="1" applyProtection="1">
      <alignment horizontal="center"/>
      <protection hidden="1"/>
    </xf>
    <xf numFmtId="0" fontId="162" fillId="0" borderId="133" xfId="0" applyFont="1" applyBorder="1" applyProtection="1">
      <protection hidden="1"/>
    </xf>
    <xf numFmtId="0" fontId="195" fillId="0" borderId="0" xfId="0" applyFont="1" applyProtection="1">
      <protection hidden="1"/>
    </xf>
    <xf numFmtId="0" fontId="174" fillId="0" borderId="133" xfId="0" applyFont="1" applyBorder="1" applyProtection="1">
      <protection hidden="1"/>
    </xf>
    <xf numFmtId="187" fontId="73" fillId="16" borderId="0" xfId="0" applyNumberFormat="1" applyFont="1" applyFill="1" applyAlignment="1" applyProtection="1">
      <alignment horizontal="left"/>
      <protection hidden="1"/>
    </xf>
    <xf numFmtId="44" fontId="73" fillId="16" borderId="0" xfId="0" applyNumberFormat="1" applyFont="1" applyFill="1" applyProtection="1">
      <protection hidden="1"/>
    </xf>
    <xf numFmtId="0" fontId="29" fillId="0" borderId="121" xfId="0" applyFont="1" applyBorder="1" applyAlignment="1" applyProtection="1">
      <alignment horizontal="right"/>
      <protection hidden="1"/>
    </xf>
    <xf numFmtId="2" fontId="29" fillId="0" borderId="70" xfId="0" applyNumberFormat="1" applyFont="1" applyBorder="1" applyProtection="1">
      <protection hidden="1"/>
    </xf>
    <xf numFmtId="0" fontId="29" fillId="0" borderId="123" xfId="0" applyFont="1" applyBorder="1" applyProtection="1">
      <protection hidden="1"/>
    </xf>
    <xf numFmtId="0" fontId="85" fillId="0" borderId="0" xfId="3" applyFont="1" applyAlignment="1" applyProtection="1">
      <alignment horizontal="right"/>
      <protection hidden="1"/>
    </xf>
    <xf numFmtId="0" fontId="84" fillId="0" borderId="0" xfId="3" applyFont="1" applyAlignment="1" applyProtection="1">
      <alignment horizontal="right"/>
      <protection hidden="1"/>
    </xf>
    <xf numFmtId="171" fontId="88" fillId="0" borderId="0" xfId="1" applyFont="1" applyProtection="1">
      <protection hidden="1"/>
    </xf>
    <xf numFmtId="169" fontId="88" fillId="53" borderId="0" xfId="3" applyNumberFormat="1" applyFont="1" applyFill="1" applyProtection="1">
      <protection locked="0"/>
    </xf>
    <xf numFmtId="0" fontId="53" fillId="0" borderId="0" xfId="3" applyFont="1" applyProtection="1">
      <protection hidden="1"/>
    </xf>
    <xf numFmtId="0" fontId="86" fillId="0" borderId="0" xfId="3" applyFont="1" applyAlignment="1" applyProtection="1">
      <alignment horizontal="right"/>
      <protection hidden="1"/>
    </xf>
    <xf numFmtId="169" fontId="88" fillId="0" borderId="0" xfId="3" applyNumberFormat="1" applyFont="1" applyProtection="1">
      <protection hidden="1"/>
    </xf>
    <xf numFmtId="0" fontId="197" fillId="0" borderId="0" xfId="3" applyFont="1" applyAlignment="1" applyProtection="1">
      <alignment horizontal="right" vertical="center"/>
      <protection hidden="1"/>
    </xf>
    <xf numFmtId="175" fontId="198" fillId="0" borderId="0" xfId="3" applyNumberFormat="1" applyFont="1" applyAlignment="1" applyProtection="1">
      <alignment horizontal="right" vertical="center"/>
      <protection hidden="1"/>
    </xf>
    <xf numFmtId="0" fontId="198" fillId="0" borderId="0" xfId="3" applyFont="1" applyAlignment="1" applyProtection="1">
      <alignment horizontal="right" vertical="center"/>
      <protection hidden="1"/>
    </xf>
    <xf numFmtId="171" fontId="5" fillId="0" borderId="0" xfId="3" applyNumberFormat="1" applyAlignment="1">
      <alignment wrapText="1"/>
    </xf>
    <xf numFmtId="0" fontId="71" fillId="0" borderId="0" xfId="3" applyFont="1" applyAlignment="1" applyProtection="1">
      <alignment vertical="top" wrapText="1"/>
      <protection hidden="1"/>
    </xf>
    <xf numFmtId="0" fontId="199" fillId="0" borderId="0" xfId="0" applyFont="1" applyProtection="1">
      <protection hidden="1"/>
    </xf>
    <xf numFmtId="0" fontId="200" fillId="0" borderId="0" xfId="0" applyFont="1" applyAlignment="1" applyProtection="1">
      <alignment horizontal="center"/>
      <protection hidden="1"/>
    </xf>
    <xf numFmtId="14" fontId="200" fillId="0" borderId="0" xfId="0" applyNumberFormat="1" applyFont="1"/>
    <xf numFmtId="0" fontId="200" fillId="0" borderId="0" xfId="3" applyFont="1" applyAlignment="1" applyProtection="1">
      <alignment horizontal="center"/>
      <protection hidden="1"/>
    </xf>
    <xf numFmtId="0" fontId="201" fillId="0" borderId="0" xfId="0" applyFont="1" applyAlignment="1" applyProtection="1">
      <alignment horizontal="center" vertical="center"/>
      <protection hidden="1"/>
    </xf>
    <xf numFmtId="0" fontId="53" fillId="0" borderId="294" xfId="0" applyFont="1" applyBorder="1" applyAlignment="1" applyProtection="1">
      <alignment horizontal="center" vertical="center" wrapText="1"/>
      <protection hidden="1"/>
    </xf>
    <xf numFmtId="20" fontId="0" fillId="0" borderId="314" xfId="0" applyNumberFormat="1" applyBorder="1" applyAlignment="1" applyProtection="1">
      <alignment horizontal="center"/>
      <protection hidden="1"/>
    </xf>
    <xf numFmtId="20" fontId="0" fillId="0" borderId="138" xfId="0" applyNumberFormat="1" applyBorder="1" applyAlignment="1" applyProtection="1">
      <alignment horizontal="center"/>
      <protection hidden="1"/>
    </xf>
    <xf numFmtId="202" fontId="18" fillId="0" borderId="315" xfId="0" applyNumberFormat="1" applyFont="1" applyBorder="1" applyProtection="1">
      <protection hidden="1"/>
    </xf>
    <xf numFmtId="20" fontId="0" fillId="0" borderId="316" xfId="0" applyNumberFormat="1" applyBorder="1" applyAlignment="1" applyProtection="1">
      <alignment horizontal="center"/>
      <protection hidden="1"/>
    </xf>
    <xf numFmtId="20" fontId="0" fillId="0" borderId="317" xfId="0" applyNumberFormat="1" applyBorder="1" applyAlignment="1" applyProtection="1">
      <alignment horizontal="center"/>
      <protection hidden="1"/>
    </xf>
    <xf numFmtId="202" fontId="18" fillId="0" borderId="318" xfId="0" applyNumberFormat="1" applyFont="1" applyBorder="1" applyProtection="1">
      <protection hidden="1"/>
    </xf>
    <xf numFmtId="202" fontId="18" fillId="0" borderId="319" xfId="0" applyNumberFormat="1" applyFont="1" applyBorder="1" applyProtection="1">
      <protection hidden="1"/>
    </xf>
    <xf numFmtId="172" fontId="5" fillId="0" borderId="290" xfId="3" applyNumberFormat="1" applyBorder="1" applyAlignment="1" applyProtection="1">
      <alignment horizontal="left"/>
      <protection hidden="1"/>
    </xf>
    <xf numFmtId="172" fontId="5" fillId="0" borderId="116"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2"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3" fillId="58" borderId="0" xfId="0" applyNumberFormat="1" applyFont="1" applyFill="1" applyAlignment="1" applyProtection="1">
      <alignment horizontal="center"/>
      <protection hidden="1"/>
    </xf>
    <xf numFmtId="20" fontId="0" fillId="59" borderId="138" xfId="0" applyNumberFormat="1" applyFill="1" applyBorder="1" applyProtection="1">
      <protection locked="0"/>
    </xf>
    <xf numFmtId="20" fontId="0" fillId="60" borderId="139" xfId="0" applyNumberFormat="1" applyFill="1" applyBorder="1" applyProtection="1">
      <protection locked="0"/>
    </xf>
    <xf numFmtId="20" fontId="0" fillId="61" borderId="138" xfId="0" applyNumberFormat="1" applyFill="1" applyBorder="1" applyProtection="1">
      <protection locked="0"/>
    </xf>
    <xf numFmtId="20" fontId="0" fillId="62" borderId="139"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8" xfId="0" applyNumberFormat="1" applyFont="1" applyBorder="1" applyProtection="1">
      <protection hidden="1"/>
    </xf>
    <xf numFmtId="202" fontId="18" fillId="0" borderId="90" xfId="0" applyNumberFormat="1" applyFont="1" applyBorder="1" applyProtection="1">
      <protection hidden="1"/>
    </xf>
    <xf numFmtId="202" fontId="18" fillId="0" borderId="320" xfId="0" applyNumberFormat="1" applyFont="1" applyBorder="1" applyProtection="1">
      <protection hidden="1"/>
    </xf>
    <xf numFmtId="0" fontId="51" fillId="14" borderId="0" xfId="3" applyFont="1" applyFill="1" applyAlignment="1" applyProtection="1">
      <alignment horizontal="center"/>
      <protection hidden="1"/>
    </xf>
    <xf numFmtId="0" fontId="114" fillId="14" borderId="0" xfId="0" applyFont="1" applyFill="1" applyAlignment="1" applyProtection="1">
      <alignment horizontal="center"/>
      <protection hidden="1"/>
    </xf>
    <xf numFmtId="0" fontId="114" fillId="0" borderId="294" xfId="3" applyFont="1" applyBorder="1" applyProtection="1">
      <protection hidden="1"/>
    </xf>
    <xf numFmtId="0" fontId="114" fillId="0" borderId="294" xfId="0" applyFont="1" applyBorder="1" applyAlignment="1" applyProtection="1">
      <alignment horizontal="center" vertical="center" wrapText="1"/>
      <protection hidden="1"/>
    </xf>
    <xf numFmtId="167" fontId="5" fillId="0" borderId="292" xfId="3" applyNumberFormat="1" applyBorder="1" applyAlignment="1" applyProtection="1">
      <alignment horizontal="left" vertical="center"/>
      <protection hidden="1"/>
    </xf>
    <xf numFmtId="166" fontId="5" fillId="0" borderId="293"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21" xfId="3" applyNumberFormat="1" applyBorder="1" applyAlignment="1" applyProtection="1">
      <alignment vertical="center"/>
      <protection hidden="1"/>
    </xf>
    <xf numFmtId="0" fontId="5" fillId="0" borderId="321" xfId="3" applyBorder="1" applyAlignment="1" applyProtection="1">
      <alignment vertical="center"/>
      <protection hidden="1"/>
    </xf>
    <xf numFmtId="0" fontId="5" fillId="53" borderId="321" xfId="3" applyFill="1" applyBorder="1" applyAlignment="1" applyProtection="1">
      <alignment vertical="center"/>
      <protection locked="0"/>
    </xf>
    <xf numFmtId="166" fontId="5" fillId="0" borderId="322" xfId="3" applyNumberFormat="1" applyBorder="1" applyAlignment="1" applyProtection="1">
      <alignment vertical="center"/>
      <protection hidden="1"/>
    </xf>
    <xf numFmtId="166" fontId="5" fillId="0" borderId="323" xfId="3" applyNumberFormat="1" applyBorder="1" applyAlignment="1" applyProtection="1">
      <alignment vertical="center"/>
      <protection hidden="1"/>
    </xf>
    <xf numFmtId="0" fontId="5" fillId="0" borderId="323" xfId="3" applyBorder="1" applyAlignment="1" applyProtection="1">
      <alignment vertical="center"/>
      <protection hidden="1"/>
    </xf>
    <xf numFmtId="0" fontId="5" fillId="53" borderId="323" xfId="3" applyFill="1" applyBorder="1" applyAlignment="1" applyProtection="1">
      <alignment vertical="center"/>
      <protection locked="0"/>
    </xf>
    <xf numFmtId="166" fontId="5" fillId="0" borderId="324" xfId="3" applyNumberFormat="1" applyBorder="1" applyAlignment="1" applyProtection="1">
      <alignment vertical="center"/>
      <protection hidden="1"/>
    </xf>
    <xf numFmtId="166" fontId="5" fillId="0" borderId="325" xfId="3" applyNumberFormat="1" applyBorder="1" applyAlignment="1" applyProtection="1">
      <alignment vertical="center"/>
      <protection hidden="1"/>
    </xf>
    <xf numFmtId="166" fontId="5" fillId="0" borderId="326" xfId="3" applyNumberFormat="1" applyBorder="1" applyAlignment="1" applyProtection="1">
      <alignment vertical="center"/>
      <protection hidden="1"/>
    </xf>
    <xf numFmtId="166" fontId="5" fillId="0" borderId="327" xfId="3" applyNumberFormat="1" applyBorder="1" applyAlignment="1" applyProtection="1">
      <alignment vertical="center"/>
      <protection hidden="1"/>
    </xf>
    <xf numFmtId="166" fontId="5" fillId="0" borderId="328" xfId="3" applyNumberFormat="1" applyBorder="1" applyAlignment="1" applyProtection="1">
      <alignment vertical="center"/>
      <protection hidden="1"/>
    </xf>
    <xf numFmtId="0" fontId="5" fillId="0" borderId="328" xfId="3" applyBorder="1" applyAlignment="1" applyProtection="1">
      <alignment vertical="center"/>
      <protection hidden="1"/>
    </xf>
    <xf numFmtId="0" fontId="5" fillId="53" borderId="328" xfId="3" applyFill="1" applyBorder="1" applyAlignment="1" applyProtection="1">
      <alignment vertical="center"/>
      <protection locked="0"/>
    </xf>
    <xf numFmtId="166" fontId="5" fillId="0" borderId="329" xfId="3" applyNumberFormat="1" applyBorder="1" applyAlignment="1" applyProtection="1">
      <alignment vertical="center"/>
      <protection hidden="1"/>
    </xf>
    <xf numFmtId="0" fontId="5" fillId="10" borderId="285" xfId="3" applyFill="1" applyBorder="1" applyAlignment="1" applyProtection="1">
      <alignment horizontal="center" vertical="center" wrapText="1"/>
      <protection hidden="1"/>
    </xf>
    <xf numFmtId="171" fontId="79" fillId="0" borderId="0" xfId="2" applyNumberFormat="1" applyFont="1" applyAlignment="1" applyProtection="1">
      <alignment horizontal="center" vertical="center" wrapText="1"/>
      <protection locked="0" hidden="1"/>
    </xf>
    <xf numFmtId="169" fontId="12" fillId="0" borderId="290" xfId="3" applyNumberFormat="1" applyFont="1" applyBorder="1" applyAlignment="1" applyProtection="1">
      <alignment horizontal="center"/>
      <protection hidden="1"/>
    </xf>
    <xf numFmtId="169" fontId="12" fillId="0" borderId="294" xfId="3" applyNumberFormat="1" applyFont="1" applyBorder="1" applyAlignment="1" applyProtection="1">
      <alignment horizontal="center"/>
      <protection hidden="1"/>
    </xf>
    <xf numFmtId="0" fontId="41" fillId="0" borderId="0" xfId="3" applyFont="1" applyAlignment="1" applyProtection="1">
      <alignment horizontal="center"/>
      <protection hidden="1"/>
    </xf>
    <xf numFmtId="0" fontId="72" fillId="0" borderId="0" xfId="3" applyFont="1" applyAlignment="1" applyProtection="1">
      <alignment horizontal="center"/>
      <protection hidden="1"/>
    </xf>
    <xf numFmtId="0" fontId="0" fillId="0" borderId="211" xfId="0" applyBorder="1" applyAlignment="1" applyProtection="1">
      <alignment horizontal="center" vertical="center"/>
      <protection hidden="1"/>
    </xf>
    <xf numFmtId="0" fontId="18" fillId="45" borderId="287" xfId="0" applyFont="1" applyFill="1" applyBorder="1" applyAlignment="1">
      <alignment horizontal="center" vertical="center"/>
    </xf>
    <xf numFmtId="0" fontId="18" fillId="20" borderId="287" xfId="0" applyFont="1" applyFill="1" applyBorder="1" applyAlignment="1">
      <alignment horizontal="center" vertical="center"/>
    </xf>
    <xf numFmtId="0" fontId="18" fillId="20" borderId="294" xfId="0" applyFont="1" applyFill="1" applyBorder="1" applyAlignment="1">
      <alignment horizontal="center" vertical="center"/>
    </xf>
    <xf numFmtId="0" fontId="0" fillId="39" borderId="294" xfId="0" applyFill="1" applyBorder="1" applyAlignment="1">
      <alignment horizontal="center" vertical="center" wrapText="1"/>
    </xf>
    <xf numFmtId="0" fontId="0" fillId="0" borderId="289" xfId="0" applyBorder="1" applyAlignment="1">
      <alignment horizontal="center"/>
    </xf>
    <xf numFmtId="0" fontId="25" fillId="0" borderId="260" xfId="3" applyFont="1" applyBorder="1" applyAlignment="1">
      <alignment horizontal="left"/>
    </xf>
    <xf numFmtId="179" fontId="14" fillId="0" borderId="250" xfId="2" applyNumberFormat="1" applyFont="1" applyBorder="1" applyAlignment="1">
      <alignment horizontal="right"/>
    </xf>
    <xf numFmtId="179" fontId="14" fillId="0" borderId="331" xfId="2" applyNumberFormat="1" applyFont="1" applyBorder="1" applyAlignment="1">
      <alignment horizontal="right"/>
    </xf>
    <xf numFmtId="0" fontId="0" fillId="0" borderId="99" xfId="0" applyBorder="1"/>
    <xf numFmtId="0" fontId="0" fillId="0" borderId="63"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6" fillId="0" borderId="0" xfId="3" applyFont="1" applyProtection="1">
      <protection hidden="1"/>
    </xf>
    <xf numFmtId="0" fontId="181"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8" xfId="3" applyBorder="1" applyProtection="1">
      <protection hidden="1"/>
    </xf>
    <xf numFmtId="171" fontId="126"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9"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3"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4" fillId="0" borderId="0" xfId="3" applyFont="1" applyProtection="1">
      <protection hidden="1"/>
    </xf>
    <xf numFmtId="0" fontId="13" fillId="0" borderId="0" xfId="3" applyFont="1" applyAlignment="1" applyProtection="1">
      <alignment vertical="center" wrapText="1"/>
      <protection hidden="1"/>
    </xf>
    <xf numFmtId="0" fontId="131" fillId="0" borderId="0" xfId="3" applyFont="1" applyAlignment="1" applyProtection="1">
      <alignment horizontal="center"/>
      <protection hidden="1"/>
    </xf>
    <xf numFmtId="0" fontId="13" fillId="0" borderId="92" xfId="3" applyFont="1" applyBorder="1" applyAlignment="1" applyProtection="1">
      <alignment horizontal="center"/>
      <protection hidden="1"/>
    </xf>
    <xf numFmtId="0" fontId="131" fillId="0" borderId="29" xfId="3" applyFont="1" applyBorder="1" applyProtection="1">
      <protection hidden="1"/>
    </xf>
    <xf numFmtId="177" fontId="13" fillId="0" borderId="31" xfId="3" applyNumberFormat="1" applyFont="1" applyBorder="1" applyProtection="1">
      <protection hidden="1"/>
    </xf>
    <xf numFmtId="177" fontId="13" fillId="0" borderId="92" xfId="3" applyNumberFormat="1" applyFont="1" applyBorder="1" applyProtection="1">
      <protection hidden="1"/>
    </xf>
    <xf numFmtId="214" fontId="13" fillId="0" borderId="92" xfId="3" applyNumberFormat="1" applyFont="1" applyBorder="1" applyProtection="1">
      <protection hidden="1"/>
    </xf>
    <xf numFmtId="0" fontId="13" fillId="0" borderId="116" xfId="3" applyFont="1" applyBorder="1" applyAlignment="1" applyProtection="1">
      <alignment horizontal="center"/>
      <protection hidden="1"/>
    </xf>
    <xf numFmtId="0" fontId="131" fillId="0" borderId="25" xfId="3" applyFont="1" applyBorder="1" applyProtection="1">
      <protection hidden="1"/>
    </xf>
    <xf numFmtId="177" fontId="13" fillId="0" borderId="336" xfId="3" applyNumberFormat="1" applyFont="1" applyBorder="1" applyProtection="1">
      <protection hidden="1"/>
    </xf>
    <xf numFmtId="177" fontId="13" fillId="0" borderId="116" xfId="3" applyNumberFormat="1" applyFont="1" applyBorder="1" applyProtection="1">
      <protection hidden="1"/>
    </xf>
    <xf numFmtId="214" fontId="13" fillId="0" borderId="116" xfId="3" applyNumberFormat="1" applyFont="1" applyBorder="1" applyProtection="1">
      <protection hidden="1"/>
    </xf>
    <xf numFmtId="0" fontId="13" fillId="0" borderId="63" xfId="3" applyFont="1" applyBorder="1" applyAlignment="1" applyProtection="1">
      <alignment horizontal="center"/>
      <protection hidden="1"/>
    </xf>
    <xf numFmtId="0" fontId="131" fillId="0" borderId="26" xfId="3" applyFont="1" applyBorder="1" applyProtection="1">
      <protection hidden="1"/>
    </xf>
    <xf numFmtId="177" fontId="13" fillId="0" borderId="28" xfId="3" applyNumberFormat="1" applyFont="1" applyBorder="1" applyProtection="1">
      <protection hidden="1"/>
    </xf>
    <xf numFmtId="177" fontId="13" fillId="0" borderId="63" xfId="3" applyNumberFormat="1" applyFont="1" applyBorder="1" applyProtection="1">
      <protection hidden="1"/>
    </xf>
    <xf numFmtId="214" fontId="13" fillId="0" borderId="63" xfId="3" applyNumberFormat="1" applyFont="1" applyBorder="1" applyProtection="1">
      <protection hidden="1"/>
    </xf>
    <xf numFmtId="214" fontId="13" fillId="0" borderId="0" xfId="3" applyNumberFormat="1" applyFont="1" applyProtection="1">
      <protection hidden="1"/>
    </xf>
    <xf numFmtId="0" fontId="131" fillId="0" borderId="0" xfId="3" applyFont="1" applyAlignment="1" applyProtection="1">
      <alignment horizontal="right"/>
      <protection hidden="1"/>
    </xf>
    <xf numFmtId="2" fontId="131" fillId="0" borderId="0" xfId="3" applyNumberFormat="1" applyFont="1" applyProtection="1">
      <protection hidden="1"/>
    </xf>
    <xf numFmtId="0" fontId="51" fillId="0" borderId="29" xfId="3" applyFont="1" applyBorder="1" applyProtection="1">
      <protection hidden="1"/>
    </xf>
    <xf numFmtId="0" fontId="51" fillId="0" borderId="26" xfId="3" applyFont="1" applyBorder="1" applyProtection="1">
      <protection hidden="1"/>
    </xf>
    <xf numFmtId="0" fontId="66" fillId="0" borderId="92" xfId="3" applyFont="1" applyBorder="1" applyAlignment="1" applyProtection="1">
      <alignment horizontal="center"/>
      <protection hidden="1"/>
    </xf>
    <xf numFmtId="0" fontId="66" fillId="0" borderId="29" xfId="3" applyFont="1" applyBorder="1" applyAlignment="1" applyProtection="1">
      <alignment horizontal="center"/>
      <protection hidden="1"/>
    </xf>
    <xf numFmtId="0" fontId="66" fillId="0" borderId="63" xfId="3" applyFont="1" applyBorder="1" applyProtection="1">
      <protection hidden="1"/>
    </xf>
    <xf numFmtId="0" fontId="66" fillId="0" borderId="26" xfId="3" applyFont="1" applyBorder="1" applyProtection="1">
      <protection hidden="1"/>
    </xf>
    <xf numFmtId="0" fontId="66" fillId="0" borderId="28" xfId="3" applyFont="1" applyBorder="1" applyProtection="1">
      <protection hidden="1"/>
    </xf>
    <xf numFmtId="0" fontId="51" fillId="0" borderId="25" xfId="3" applyFont="1" applyBorder="1" applyProtection="1">
      <protection hidden="1"/>
    </xf>
    <xf numFmtId="0" fontId="66"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6"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75" xfId="0" applyFont="1" applyFill="1" applyBorder="1" applyAlignment="1" applyProtection="1">
      <alignment horizontal="center" vertical="center" wrapText="1"/>
      <protection hidden="1"/>
    </xf>
    <xf numFmtId="0" fontId="18" fillId="21" borderId="177"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92" xfId="0" applyNumberFormat="1" applyBorder="1" applyAlignment="1" applyProtection="1">
      <alignment vertical="center"/>
      <protection hidden="1"/>
    </xf>
    <xf numFmtId="199" fontId="0" fillId="0" borderId="92"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9" xfId="0" applyNumberFormat="1" applyBorder="1" applyAlignment="1" applyProtection="1">
      <alignment vertical="center"/>
      <protection hidden="1"/>
    </xf>
    <xf numFmtId="199" fontId="0" fillId="0" borderId="99"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3" xfId="0" applyNumberFormat="1" applyBorder="1" applyAlignment="1" applyProtection="1">
      <alignment vertical="center"/>
      <protection hidden="1"/>
    </xf>
    <xf numFmtId="199" fontId="0" fillId="0" borderId="63"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8"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6" fillId="53" borderId="0" xfId="0" applyFont="1" applyFill="1" applyAlignment="1" applyProtection="1">
      <alignment horizontal="center" vertical="center"/>
      <protection locked="0"/>
    </xf>
    <xf numFmtId="0" fontId="5" fillId="0" borderId="261" xfId="3" applyBorder="1" applyProtection="1">
      <protection hidden="1"/>
    </xf>
    <xf numFmtId="0" fontId="5" fillId="0" borderId="250" xfId="3" applyBorder="1" applyProtection="1">
      <protection hidden="1"/>
    </xf>
    <xf numFmtId="0" fontId="5" fillId="0" borderId="336"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6" fillId="0" borderId="0" xfId="0" applyFont="1" applyProtection="1">
      <protection hidden="1"/>
    </xf>
    <xf numFmtId="0" fontId="51" fillId="0" borderId="0" xfId="4" applyNumberFormat="1" applyFont="1" applyProtection="1">
      <protection hidden="1"/>
    </xf>
    <xf numFmtId="169" fontId="51"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50" fillId="0" borderId="0" xfId="3" applyNumberFormat="1" applyFont="1" applyAlignment="1" applyProtection="1">
      <alignment horizontal="center"/>
      <protection hidden="1"/>
    </xf>
    <xf numFmtId="0" fontId="184" fillId="0" borderId="99" xfId="0" applyFont="1" applyBorder="1" applyAlignment="1">
      <alignment horizontal="center" vertical="center" wrapText="1"/>
    </xf>
    <xf numFmtId="0" fontId="66"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50" fillId="0" borderId="101" xfId="3" applyNumberFormat="1" applyFont="1" applyBorder="1" applyAlignment="1" applyProtection="1">
      <alignment horizontal="center"/>
      <protection hidden="1"/>
    </xf>
    <xf numFmtId="0" fontId="22" fillId="0" borderId="101" xfId="3" applyFont="1" applyBorder="1" applyProtection="1">
      <protection hidden="1"/>
    </xf>
    <xf numFmtId="0" fontId="207" fillId="0" borderId="0" xfId="3" applyFont="1" applyProtection="1">
      <protection hidden="1"/>
    </xf>
    <xf numFmtId="0" fontId="2" fillId="0" borderId="0" xfId="0" applyFont="1" applyProtection="1">
      <protection hidden="1"/>
    </xf>
    <xf numFmtId="199" fontId="0" fillId="12" borderId="111"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4" fillId="0" borderId="294" xfId="0" applyFont="1" applyBorder="1" applyAlignment="1">
      <alignment horizontal="center" vertical="center" wrapText="1"/>
    </xf>
    <xf numFmtId="0" fontId="0" fillId="0" borderId="72" xfId="0" applyBorder="1" applyProtection="1">
      <protection hidden="1"/>
    </xf>
    <xf numFmtId="2" fontId="0" fillId="0" borderId="135" xfId="0" applyNumberFormat="1" applyBorder="1" applyAlignment="1" applyProtection="1">
      <alignment horizontal="center" vertical="center"/>
      <protection hidden="1"/>
    </xf>
    <xf numFmtId="2" fontId="0" fillId="0" borderId="78" xfId="0" applyNumberFormat="1" applyBorder="1" applyAlignment="1" applyProtection="1">
      <alignment horizontal="center" vertical="center"/>
      <protection hidden="1"/>
    </xf>
    <xf numFmtId="2" fontId="0" fillId="0" borderId="82"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94" xfId="0" applyFont="1" applyBorder="1" applyAlignment="1">
      <alignment horizontal="center" vertical="center" wrapText="1"/>
    </xf>
    <xf numFmtId="0" fontId="18" fillId="39" borderId="294" xfId="0" applyFont="1" applyFill="1" applyBorder="1" applyAlignment="1">
      <alignment horizontal="center" vertical="center" wrapText="1"/>
    </xf>
    <xf numFmtId="0" fontId="18" fillId="65" borderId="294"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94" xfId="0" applyNumberFormat="1" applyBorder="1" applyAlignment="1" applyProtection="1">
      <alignment horizontal="center" vertical="center"/>
      <protection hidden="1"/>
    </xf>
    <xf numFmtId="181" fontId="0" fillId="0" borderId="294" xfId="0" applyNumberFormat="1" applyBorder="1" applyAlignment="1">
      <alignment horizontal="center"/>
    </xf>
    <xf numFmtId="181" fontId="0" fillId="0" borderId="294" xfId="0" applyNumberFormat="1" applyBorder="1"/>
    <xf numFmtId="0" fontId="1" fillId="0" borderId="0" xfId="0" applyFont="1" applyProtection="1">
      <protection hidden="1"/>
    </xf>
    <xf numFmtId="177" fontId="12" fillId="53" borderId="294" xfId="3" applyNumberFormat="1" applyFont="1" applyFill="1" applyBorder="1" applyAlignment="1" applyProtection="1">
      <alignment horizontal="right" vertical="center"/>
      <protection locked="0"/>
    </xf>
    <xf numFmtId="169" fontId="12" fillId="0" borderId="100" xfId="3" applyNumberFormat="1" applyFont="1" applyBorder="1" applyAlignment="1" applyProtection="1">
      <alignment horizontal="center"/>
      <protection hidden="1"/>
    </xf>
    <xf numFmtId="0" fontId="12" fillId="0" borderId="101" xfId="3" applyFont="1" applyBorder="1" applyProtection="1">
      <protection hidden="1"/>
    </xf>
    <xf numFmtId="170" fontId="41" fillId="0" borderId="101" xfId="3" applyNumberFormat="1" applyFont="1" applyBorder="1" applyAlignment="1" applyProtection="1">
      <alignment horizontal="left" vertical="center"/>
      <protection hidden="1"/>
    </xf>
    <xf numFmtId="170" fontId="72" fillId="0" borderId="101"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2" fillId="0" borderId="0" xfId="3" applyNumberFormat="1" applyFont="1" applyAlignment="1" applyProtection="1">
      <alignment horizontal="left" vertical="center"/>
      <protection hidden="1"/>
    </xf>
    <xf numFmtId="177" fontId="18" fillId="0" borderId="101" xfId="3" quotePrefix="1" applyNumberFormat="1" applyFont="1" applyBorder="1" applyAlignment="1" applyProtection="1">
      <alignment horizontal="center"/>
      <protection hidden="1"/>
    </xf>
    <xf numFmtId="0" fontId="12" fillId="53" borderId="294" xfId="3" applyFont="1" applyFill="1" applyBorder="1" applyAlignment="1" applyProtection="1">
      <alignment horizontal="center" vertical="center"/>
      <protection locked="0" hidden="1"/>
    </xf>
    <xf numFmtId="0" fontId="5" fillId="0" borderId="101"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101"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6" fillId="0" borderId="0" xfId="3" applyFont="1" applyAlignment="1" applyProtection="1">
      <alignment horizontal="left" vertical="center"/>
      <protection hidden="1"/>
    </xf>
    <xf numFmtId="0" fontId="12" fillId="53" borderId="63"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1" fillId="0" borderId="0" xfId="3" applyNumberFormat="1" applyFont="1" applyProtection="1">
      <protection hidden="1"/>
    </xf>
    <xf numFmtId="214" fontId="0" fillId="0" borderId="17" xfId="0" applyNumberFormat="1" applyBorder="1" applyProtection="1">
      <protection hidden="1"/>
    </xf>
    <xf numFmtId="177" fontId="0" fillId="0" borderId="294"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3" xfId="0" applyNumberFormat="1" applyBorder="1" applyProtection="1">
      <protection hidden="1"/>
    </xf>
    <xf numFmtId="177" fontId="0" fillId="0" borderId="17" xfId="0" applyNumberFormat="1" applyBorder="1" applyProtection="1">
      <protection locked="0" hidden="1"/>
    </xf>
    <xf numFmtId="0" fontId="18" fillId="15" borderId="70" xfId="0" applyFont="1" applyFill="1" applyBorder="1" applyAlignment="1" applyProtection="1">
      <alignment horizontal="center" vertical="center" wrapText="1"/>
      <protection hidden="1"/>
    </xf>
    <xf numFmtId="0" fontId="63" fillId="0" borderId="0" xfId="3" applyFont="1" applyProtection="1">
      <protection hidden="1"/>
    </xf>
    <xf numFmtId="0" fontId="63" fillId="0" borderId="0" xfId="3" applyFont="1" applyAlignment="1" applyProtection="1">
      <alignment horizontal="center" vertical="center" wrapText="1"/>
      <protection hidden="1"/>
    </xf>
    <xf numFmtId="169" fontId="63"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9" fillId="0" borderId="0" xfId="3" applyFont="1" applyAlignment="1" applyProtection="1">
      <alignment vertical="center"/>
      <protection hidden="1"/>
    </xf>
    <xf numFmtId="0" fontId="66" fillId="0" borderId="0" xfId="3" applyFont="1" applyAlignment="1" applyProtection="1">
      <alignment vertical="center"/>
      <protection hidden="1"/>
    </xf>
    <xf numFmtId="0" fontId="171" fillId="53" borderId="337" xfId="3" applyFont="1" applyFill="1" applyBorder="1" applyProtection="1">
      <protection locked="0"/>
    </xf>
    <xf numFmtId="0" fontId="171" fillId="53" borderId="338" xfId="3" applyFont="1" applyFill="1" applyBorder="1" applyProtection="1">
      <protection locked="0"/>
    </xf>
    <xf numFmtId="171" fontId="171" fillId="54" borderId="275" xfId="2" applyNumberFormat="1" applyFont="1" applyFill="1" applyBorder="1" applyAlignment="1" applyProtection="1">
      <alignment horizontal="right"/>
      <protection locked="0"/>
    </xf>
    <xf numFmtId="171" fontId="171" fillId="54" borderId="276" xfId="2" applyNumberFormat="1" applyFont="1" applyFill="1" applyBorder="1" applyAlignment="1" applyProtection="1">
      <alignment horizontal="right"/>
      <protection locked="0"/>
    </xf>
    <xf numFmtId="1" fontId="71" fillId="53" borderId="294"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94"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94"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9" xfId="3" applyFont="1" applyBorder="1" applyProtection="1">
      <protection hidden="1"/>
    </xf>
    <xf numFmtId="0" fontId="13" fillId="0" borderId="339" xfId="3" applyFont="1" applyBorder="1"/>
    <xf numFmtId="0" fontId="0" fillId="0" borderId="339" xfId="0" applyBorder="1"/>
    <xf numFmtId="0" fontId="13" fillId="0" borderId="340" xfId="3" applyFont="1" applyBorder="1"/>
    <xf numFmtId="0" fontId="0" fillId="0" borderId="294" xfId="0" applyBorder="1"/>
    <xf numFmtId="0" fontId="0" fillId="37" borderId="287" xfId="0" applyFill="1" applyBorder="1" applyAlignment="1">
      <alignment horizontal="center" vertical="center" wrapText="1"/>
    </xf>
    <xf numFmtId="0" fontId="0" fillId="0" borderId="294" xfId="0" applyBorder="1" applyAlignment="1">
      <alignment horizontal="center"/>
    </xf>
    <xf numFmtId="0" fontId="14" fillId="0" borderId="290" xfId="2" applyNumberFormat="1" applyFont="1" applyBorder="1" applyAlignment="1">
      <alignment horizontal="right"/>
    </xf>
    <xf numFmtId="0" fontId="14" fillId="0" borderId="99" xfId="2" applyNumberFormat="1" applyFont="1" applyBorder="1" applyAlignment="1">
      <alignment horizontal="right"/>
    </xf>
    <xf numFmtId="0" fontId="13" fillId="0" borderId="339" xfId="2" applyNumberFormat="1" applyFont="1" applyBorder="1" applyAlignment="1">
      <alignment horizontal="right"/>
    </xf>
    <xf numFmtId="0" fontId="0" fillId="0" borderId="290" xfId="0" applyBorder="1"/>
    <xf numFmtId="0" fontId="0" fillId="62" borderId="99" xfId="0" applyFill="1" applyBorder="1" applyProtection="1">
      <protection locked="0"/>
    </xf>
    <xf numFmtId="9" fontId="46" fillId="53" borderId="294" xfId="0" applyNumberFormat="1" applyFont="1" applyFill="1" applyBorder="1" applyAlignment="1" applyProtection="1">
      <alignment horizontal="center"/>
      <protection locked="0"/>
    </xf>
    <xf numFmtId="174" fontId="0" fillId="53" borderId="341" xfId="0" applyNumberFormat="1" applyFill="1" applyBorder="1" applyAlignment="1" applyProtection="1">
      <alignment horizontal="center"/>
      <protection locked="0"/>
    </xf>
    <xf numFmtId="10" fontId="0" fillId="53" borderId="341" xfId="2" applyNumberFormat="1" applyFont="1" applyFill="1" applyBorder="1" applyAlignment="1" applyProtection="1">
      <alignment horizontal="center"/>
      <protection locked="0"/>
    </xf>
    <xf numFmtId="215" fontId="0" fillId="53" borderId="294" xfId="0" applyNumberFormat="1" applyFill="1" applyBorder="1" applyProtection="1">
      <protection locked="0"/>
    </xf>
    <xf numFmtId="179" fontId="14" fillId="62" borderId="331" xfId="2" applyNumberFormat="1" applyFont="1" applyFill="1" applyBorder="1" applyAlignment="1" applyProtection="1">
      <alignment horizontal="right"/>
      <protection locked="0"/>
    </xf>
    <xf numFmtId="179" fontId="13" fillId="0" borderId="331" xfId="2" applyNumberFormat="1" applyFont="1" applyBorder="1" applyAlignment="1">
      <alignment horizontal="right"/>
    </xf>
    <xf numFmtId="179" fontId="13" fillId="62" borderId="336" xfId="2" applyNumberFormat="1" applyFont="1" applyFill="1" applyBorder="1" applyAlignment="1" applyProtection="1">
      <alignment horizontal="right"/>
      <protection locked="0"/>
    </xf>
    <xf numFmtId="216" fontId="14" fillId="62" borderId="99" xfId="2" applyNumberFormat="1" applyFont="1" applyFill="1" applyBorder="1" applyAlignment="1" applyProtection="1">
      <alignment horizontal="right"/>
      <protection locked="0"/>
    </xf>
    <xf numFmtId="216" fontId="14" fillId="0" borderId="99" xfId="2" applyNumberFormat="1" applyFont="1" applyBorder="1" applyAlignment="1">
      <alignment horizontal="right"/>
    </xf>
    <xf numFmtId="216" fontId="13" fillId="62" borderId="99" xfId="2" applyNumberFormat="1" applyFont="1" applyFill="1" applyBorder="1" applyAlignment="1" applyProtection="1">
      <alignment horizontal="right"/>
      <protection locked="0"/>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48" fillId="0" borderId="166" xfId="0" applyFont="1" applyBorder="1" applyAlignment="1" applyProtection="1">
      <alignment horizontal="center"/>
      <protection hidden="1"/>
    </xf>
    <xf numFmtId="0" fontId="148" fillId="0" borderId="167" xfId="0" applyFont="1" applyBorder="1" applyAlignment="1" applyProtection="1">
      <alignment horizontal="center"/>
      <protection hidden="1"/>
    </xf>
    <xf numFmtId="0" fontId="148" fillId="0" borderId="168" xfId="0" applyFont="1" applyBorder="1" applyAlignment="1" applyProtection="1">
      <alignment horizontal="center"/>
      <protection hidden="1"/>
    </xf>
    <xf numFmtId="0" fontId="28" fillId="0" borderId="153" xfId="0" applyFont="1" applyBorder="1" applyAlignment="1" applyProtection="1">
      <alignment horizontal="center"/>
      <protection hidden="1"/>
    </xf>
    <xf numFmtId="0" fontId="28" fillId="0" borderId="154"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61" xfId="0" applyFont="1" applyBorder="1" applyAlignment="1" applyProtection="1">
      <alignment horizontal="center"/>
      <protection hidden="1"/>
    </xf>
    <xf numFmtId="0" fontId="28" fillId="0" borderId="162" xfId="0" applyFont="1" applyBorder="1" applyAlignment="1" applyProtection="1">
      <alignment horizontal="center"/>
      <protection hidden="1"/>
    </xf>
    <xf numFmtId="0" fontId="28" fillId="0" borderId="163" xfId="0" applyFont="1" applyBorder="1" applyAlignment="1" applyProtection="1">
      <alignment horizontal="center"/>
      <protection hidden="1"/>
    </xf>
    <xf numFmtId="0" fontId="28" fillId="0" borderId="164"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65" xfId="0" applyFont="1" applyBorder="1" applyAlignment="1" applyProtection="1">
      <alignment horizontal="center"/>
      <protection hidden="1"/>
    </xf>
    <xf numFmtId="0" fontId="18" fillId="49" borderId="211" xfId="3" applyFont="1" applyFill="1" applyBorder="1" applyAlignment="1" applyProtection="1">
      <alignment horizontal="center"/>
      <protection hidden="1"/>
    </xf>
    <xf numFmtId="0" fontId="18" fillId="52" borderId="0" xfId="3" applyFont="1" applyFill="1" applyAlignment="1" applyProtection="1">
      <alignment horizontal="center"/>
      <protection hidden="1"/>
    </xf>
    <xf numFmtId="0" fontId="18" fillId="52" borderId="211" xfId="3" applyFont="1" applyFill="1" applyBorder="1" applyAlignment="1" applyProtection="1">
      <alignment horizontal="center"/>
      <protection hidden="1"/>
    </xf>
    <xf numFmtId="0" fontId="5" fillId="0" borderId="211"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7" fillId="0" borderId="18" xfId="0" applyFont="1" applyBorder="1" applyAlignment="1" applyProtection="1">
      <alignment horizontal="center"/>
      <protection hidden="1"/>
    </xf>
    <xf numFmtId="0" fontId="187" fillId="0" borderId="19" xfId="0" applyFont="1" applyBorder="1" applyAlignment="1" applyProtection="1">
      <alignment horizontal="center"/>
      <protection hidden="1"/>
    </xf>
    <xf numFmtId="0" fontId="187"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5" fillId="0" borderId="0" xfId="0" applyFont="1" applyAlignment="1" applyProtection="1">
      <alignment horizontal="center"/>
      <protection hidden="1"/>
    </xf>
    <xf numFmtId="14" fontId="186" fillId="0" borderId="0" xfId="0" applyNumberFormat="1" applyFont="1" applyAlignment="1" applyProtection="1">
      <alignment horizontal="center"/>
      <protection hidden="1"/>
    </xf>
    <xf numFmtId="0" fontId="165" fillId="0" borderId="0" xfId="0" applyFont="1" applyAlignment="1" applyProtection="1">
      <alignment horizontal="left"/>
      <protection hidden="1"/>
    </xf>
    <xf numFmtId="14" fontId="186"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5" fillId="63" borderId="0" xfId="0" applyFont="1" applyFill="1" applyAlignment="1" applyProtection="1">
      <alignment horizontal="left"/>
      <protection locked="0"/>
    </xf>
    <xf numFmtId="14" fontId="38" fillId="53" borderId="0" xfId="0" applyNumberFormat="1" applyFont="1" applyFill="1" applyAlignment="1" applyProtection="1">
      <alignment horizontal="center"/>
      <protection locked="0" hidden="1"/>
    </xf>
    <xf numFmtId="0" fontId="166" fillId="0" borderId="0" xfId="0" applyFont="1" applyAlignment="1" applyProtection="1">
      <alignment horizontal="left"/>
      <protection hidden="1"/>
    </xf>
    <xf numFmtId="0" fontId="0" fillId="53" borderId="202" xfId="0" applyFill="1" applyBorder="1" applyAlignment="1" applyProtection="1">
      <alignment horizontal="left"/>
      <protection locked="0"/>
    </xf>
    <xf numFmtId="0" fontId="0" fillId="53" borderId="200" xfId="0" applyFill="1" applyBorder="1" applyAlignment="1" applyProtection="1">
      <alignment horizontal="left"/>
      <protection locked="0"/>
    </xf>
    <xf numFmtId="0" fontId="0" fillId="53" borderId="203" xfId="0" applyFill="1" applyBorder="1" applyAlignment="1" applyProtection="1">
      <alignment horizontal="left"/>
      <protection locked="0"/>
    </xf>
    <xf numFmtId="0" fontId="0" fillId="53" borderId="207" xfId="0" applyFill="1" applyBorder="1" applyAlignment="1" applyProtection="1">
      <alignment horizontal="left"/>
      <protection locked="0"/>
    </xf>
    <xf numFmtId="0" fontId="0" fillId="53" borderId="205" xfId="0" applyFill="1" applyBorder="1" applyAlignment="1" applyProtection="1">
      <alignment horizontal="left"/>
      <protection locked="0"/>
    </xf>
    <xf numFmtId="0" fontId="0" fillId="53" borderId="208" xfId="0" applyFill="1" applyBorder="1" applyAlignment="1" applyProtection="1">
      <alignment horizontal="left"/>
      <protection locked="0"/>
    </xf>
    <xf numFmtId="0" fontId="190" fillId="15" borderId="0" xfId="3" applyFont="1" applyFill="1" applyAlignment="1" applyProtection="1">
      <alignment horizontal="center"/>
      <protection hidden="1"/>
    </xf>
    <xf numFmtId="0" fontId="184" fillId="0" borderId="197" xfId="0" applyFont="1" applyBorder="1" applyAlignment="1" applyProtection="1">
      <alignment horizontal="left"/>
      <protection hidden="1"/>
    </xf>
    <xf numFmtId="0" fontId="184" fillId="0" borderId="198" xfId="0" applyFont="1" applyBorder="1" applyAlignment="1" applyProtection="1">
      <alignment horizontal="left"/>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0" fillId="0" borderId="0" xfId="0" applyAlignment="1" applyProtection="1">
      <alignment horizontal="left"/>
      <protection hidden="1"/>
    </xf>
    <xf numFmtId="167" fontId="18" fillId="12" borderId="0" xfId="0" applyNumberFormat="1" applyFont="1" applyFill="1" applyAlignment="1" applyProtection="1">
      <alignment horizontal="center"/>
      <protection hidden="1"/>
    </xf>
    <xf numFmtId="0" fontId="78" fillId="0" borderId="29" xfId="0" applyFont="1" applyBorder="1" applyAlignment="1" applyProtection="1">
      <alignment horizontal="left" vertical="center" wrapText="1"/>
      <protection hidden="1"/>
    </xf>
    <xf numFmtId="0" fontId="78" fillId="0" borderId="30" xfId="0" applyFont="1" applyBorder="1" applyAlignment="1" applyProtection="1">
      <alignment horizontal="left" vertical="center" wrapText="1"/>
      <protection hidden="1"/>
    </xf>
    <xf numFmtId="0" fontId="78" fillId="0" borderId="31" xfId="0" applyFont="1" applyBorder="1" applyAlignment="1" applyProtection="1">
      <alignment horizontal="left" vertical="center" wrapText="1"/>
      <protection hidden="1"/>
    </xf>
    <xf numFmtId="0" fontId="78" fillId="0" borderId="25" xfId="0" applyFont="1" applyBorder="1" applyAlignment="1" applyProtection="1">
      <alignment horizontal="left" vertical="center" wrapText="1"/>
      <protection hidden="1"/>
    </xf>
    <xf numFmtId="0" fontId="78" fillId="0" borderId="0" xfId="0" applyFont="1" applyAlignment="1" applyProtection="1">
      <alignment horizontal="left" vertical="center" wrapText="1"/>
      <protection hidden="1"/>
    </xf>
    <xf numFmtId="0" fontId="78" fillId="0" borderId="98" xfId="0" applyFont="1" applyBorder="1" applyAlignment="1" applyProtection="1">
      <alignment horizontal="left" vertical="center" wrapText="1"/>
      <protection hidden="1"/>
    </xf>
    <xf numFmtId="0" fontId="18" fillId="25" borderId="0" xfId="0" applyFont="1" applyFill="1" applyAlignment="1" applyProtection="1">
      <alignment horizontal="center"/>
      <protection hidden="1"/>
    </xf>
    <xf numFmtId="0" fontId="18" fillId="23" borderId="0" xfId="0" applyFont="1" applyFill="1" applyAlignment="1" applyProtection="1">
      <alignment horizontal="center"/>
      <protection hidden="1"/>
    </xf>
    <xf numFmtId="0" fontId="0" fillId="53" borderId="101"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7" xfId="0" applyFill="1" applyBorder="1" applyAlignment="1" applyProtection="1">
      <alignment horizontal="left" vertical="top" wrapText="1"/>
      <protection locked="0"/>
    </xf>
    <xf numFmtId="0" fontId="0" fillId="53" borderId="128" xfId="0" applyFill="1" applyBorder="1" applyAlignment="1" applyProtection="1">
      <alignment horizontal="left" vertical="top" wrapText="1"/>
      <protection locked="0"/>
    </xf>
    <xf numFmtId="0" fontId="0" fillId="53" borderId="129" xfId="0" applyFill="1" applyBorder="1" applyAlignment="1" applyProtection="1">
      <alignment horizontal="left" vertical="top" wrapText="1"/>
      <protection locked="0"/>
    </xf>
    <xf numFmtId="0" fontId="0" fillId="53" borderId="130" xfId="0" applyFill="1" applyBorder="1" applyAlignment="1" applyProtection="1">
      <alignment horizontal="left" vertical="top" wrapText="1"/>
      <protection locked="0"/>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0" fontId="5" fillId="0" borderId="0" xfId="3" applyAlignment="1" applyProtection="1">
      <alignment horizontal="right"/>
      <protection hidden="1"/>
    </xf>
    <xf numFmtId="181" fontId="5" fillId="63" borderId="0" xfId="3" applyNumberFormat="1" applyFill="1" applyAlignment="1" applyProtection="1">
      <alignment horizontal="center"/>
      <protection locked="0"/>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62" xfId="3" applyNumberFormat="1" applyFont="1" applyBorder="1" applyAlignment="1" applyProtection="1">
      <alignment horizontal="center"/>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62" xfId="3" applyFont="1" applyBorder="1" applyAlignment="1" applyProtection="1">
      <alignment horizontal="center"/>
      <protection hidden="1"/>
    </xf>
    <xf numFmtId="0" fontId="12" fillId="0" borderId="0" xfId="3" applyFont="1" applyAlignment="1" applyProtection="1">
      <alignment horizontal="left"/>
      <protection hidden="1"/>
    </xf>
    <xf numFmtId="181" fontId="5" fillId="14" borderId="0" xfId="3" applyNumberFormat="1" applyFill="1" applyAlignment="1" applyProtection="1">
      <alignment horizontal="center"/>
      <protection hidden="1"/>
    </xf>
    <xf numFmtId="177" fontId="13" fillId="0" borderId="260" xfId="3" applyNumberFormat="1" applyFont="1" applyBorder="1" applyAlignment="1" applyProtection="1">
      <alignment horizontal="center"/>
      <protection hidden="1"/>
    </xf>
    <xf numFmtId="177" fontId="13" fillId="0" borderId="261" xfId="3" applyNumberFormat="1" applyFont="1" applyBorder="1" applyAlignment="1" applyProtection="1">
      <alignment horizontal="center"/>
      <protection hidden="1"/>
    </xf>
    <xf numFmtId="177" fontId="13" fillId="0" borderId="250" xfId="3" applyNumberFormat="1" applyFont="1" applyBorder="1" applyAlignment="1" applyProtection="1">
      <alignment horizont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181" fontId="126" fillId="0" borderId="0" xfId="3" applyNumberFormat="1" applyFont="1" applyAlignment="1" applyProtection="1">
      <alignment horizontal="right"/>
      <protection hidden="1"/>
    </xf>
    <xf numFmtId="0" fontId="110" fillId="0" borderId="0" xfId="3" applyFont="1" applyAlignment="1" applyProtection="1">
      <alignment horizontal="center" vertical="center"/>
      <protection hidden="1"/>
    </xf>
    <xf numFmtId="0" fontId="110" fillId="0" borderId="147" xfId="3" applyFont="1" applyBorder="1" applyAlignment="1" applyProtection="1">
      <alignment horizontal="center" vertical="center"/>
      <protection hidden="1"/>
    </xf>
    <xf numFmtId="0" fontId="126" fillId="0" borderId="0" xfId="3" applyFont="1" applyAlignment="1" applyProtection="1">
      <alignment horizontal="right"/>
      <protection hidden="1"/>
    </xf>
    <xf numFmtId="0" fontId="36" fillId="0" borderId="287" xfId="3" applyFont="1" applyBorder="1" applyAlignment="1" applyProtection="1">
      <alignment horizontal="right" vertical="center"/>
      <protection hidden="1"/>
    </xf>
    <xf numFmtId="0" fontId="36" fillId="0" borderId="288" xfId="3" applyFont="1" applyBorder="1" applyAlignment="1" applyProtection="1">
      <alignment horizontal="right" vertical="center"/>
      <protection hidden="1"/>
    </xf>
    <xf numFmtId="0" fontId="36" fillId="0" borderId="289" xfId="3" applyFont="1" applyBorder="1" applyAlignment="1" applyProtection="1">
      <alignment horizontal="right" vertical="center"/>
      <protection hidden="1"/>
    </xf>
    <xf numFmtId="0" fontId="13" fillId="0" borderId="287" xfId="3" applyFont="1" applyBorder="1" applyAlignment="1" applyProtection="1">
      <alignment horizontal="right" vertical="center"/>
      <protection hidden="1"/>
    </xf>
    <xf numFmtId="0" fontId="13" fillId="0" borderId="288" xfId="3" applyFont="1" applyBorder="1" applyAlignment="1" applyProtection="1">
      <alignment horizontal="right" vertical="center"/>
      <protection hidden="1"/>
    </xf>
    <xf numFmtId="0" fontId="13" fillId="0" borderId="289" xfId="3" applyFont="1" applyBorder="1" applyAlignment="1" applyProtection="1">
      <alignment horizontal="right" vertical="center"/>
      <protection hidden="1"/>
    </xf>
    <xf numFmtId="0" fontId="5" fillId="0" borderId="260" xfId="3" applyBorder="1" applyAlignment="1" applyProtection="1">
      <alignment horizontal="left"/>
      <protection hidden="1"/>
    </xf>
    <xf numFmtId="0" fontId="5" fillId="0" borderId="261" xfId="3" applyBorder="1" applyAlignment="1" applyProtection="1">
      <alignment horizontal="left"/>
      <protection hidden="1"/>
    </xf>
    <xf numFmtId="0" fontId="5" fillId="0" borderId="250" xfId="3" applyBorder="1" applyAlignment="1" applyProtection="1">
      <alignment horizontal="left"/>
      <protection hidden="1"/>
    </xf>
    <xf numFmtId="0" fontId="36" fillId="0" borderId="290" xfId="3" applyFont="1" applyBorder="1" applyAlignment="1" applyProtection="1">
      <alignment horizontal="center" vertical="center" textRotation="90"/>
      <protection hidden="1"/>
    </xf>
    <xf numFmtId="0" fontId="36" fillId="0" borderId="116" xfId="3" applyFont="1" applyBorder="1" applyAlignment="1" applyProtection="1">
      <alignment horizontal="center" vertical="center" textRotation="90"/>
      <protection hidden="1"/>
    </xf>
    <xf numFmtId="0" fontId="36" fillId="0" borderId="63" xfId="3" applyFont="1" applyBorder="1" applyAlignment="1" applyProtection="1">
      <alignment horizontal="center" vertical="center" textRotation="90"/>
      <protection hidden="1"/>
    </xf>
    <xf numFmtId="0" fontId="13" fillId="0" borderId="209" xfId="3" applyFont="1" applyBorder="1" applyAlignment="1" applyProtection="1">
      <alignment horizontal="left"/>
      <protection hidden="1"/>
    </xf>
    <xf numFmtId="0" fontId="13" fillId="0" borderId="213" xfId="3" applyFont="1" applyBorder="1" applyAlignment="1" applyProtection="1">
      <alignment horizontal="left"/>
      <protection hidden="1"/>
    </xf>
    <xf numFmtId="0" fontId="13" fillId="0" borderId="217" xfId="3" applyFont="1" applyBorder="1" applyAlignment="1" applyProtection="1">
      <alignment horizontal="left"/>
      <protection hidden="1"/>
    </xf>
    <xf numFmtId="171" fontId="128" fillId="0" borderId="0" xfId="3" applyNumberFormat="1" applyFont="1" applyAlignment="1" applyProtection="1">
      <alignment horizontal="center"/>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0" fontId="5" fillId="0" borderId="0" xfId="3" applyProtection="1">
      <protection hidden="1"/>
    </xf>
    <xf numFmtId="0" fontId="5" fillId="0" borderId="6" xfId="3" applyBorder="1" applyProtection="1">
      <protection hidden="1"/>
    </xf>
    <xf numFmtId="0" fontId="5" fillId="0" borderId="0" xfId="3"/>
    <xf numFmtId="0" fontId="5" fillId="0" borderId="6" xfId="3" applyBorder="1"/>
    <xf numFmtId="0" fontId="5" fillId="54" borderId="27" xfId="3" applyFill="1" applyBorder="1" applyAlignment="1" applyProtection="1">
      <alignment horizontal="center"/>
      <protection locked="0"/>
    </xf>
    <xf numFmtId="0" fontId="5" fillId="54" borderId="284" xfId="3" applyFill="1" applyBorder="1" applyAlignment="1" applyProtection="1">
      <alignment horizontal="center"/>
      <protection locked="0"/>
    </xf>
    <xf numFmtId="173" fontId="5" fillId="0" borderId="54" xfId="2" applyNumberFormat="1" applyBorder="1" applyAlignment="1" applyProtection="1">
      <alignment horizontal="right"/>
      <protection hidden="1"/>
    </xf>
    <xf numFmtId="171" fontId="13" fillId="0" borderId="25"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336" xfId="3" applyNumberFormat="1" applyFont="1" applyBorder="1" applyAlignment="1" applyProtection="1">
      <alignment horizontal="right"/>
      <protection hidden="1"/>
    </xf>
    <xf numFmtId="0" fontId="16" fillId="0" borderId="0" xfId="3" applyFont="1" applyAlignment="1" applyProtection="1">
      <alignment horizontal="right" vertical="center"/>
      <protection hidden="1"/>
    </xf>
    <xf numFmtId="0" fontId="16" fillId="0" borderId="336" xfId="3" applyFont="1" applyBorder="1" applyAlignment="1" applyProtection="1">
      <alignment horizontal="right" vertical="center"/>
      <protection hidden="1"/>
    </xf>
    <xf numFmtId="171" fontId="13" fillId="0" borderId="5" xfId="3" applyNumberFormat="1" applyFont="1" applyBorder="1" applyAlignment="1" applyProtection="1">
      <alignment horizontal="right"/>
      <protection hidden="1"/>
    </xf>
    <xf numFmtId="174"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84" xfId="3" applyBorder="1" applyProtection="1">
      <protection hidden="1"/>
    </xf>
    <xf numFmtId="178" fontId="13" fillId="54" borderId="5" xfId="3" applyNumberFormat="1" applyFont="1" applyFill="1" applyBorder="1" applyAlignment="1" applyProtection="1">
      <alignment horizontal="right"/>
      <protection locked="0"/>
    </xf>
    <xf numFmtId="0" fontId="5" fillId="0" borderId="260" xfId="3" applyBorder="1" applyAlignment="1" applyProtection="1">
      <alignment horizontal="right"/>
      <protection hidden="1"/>
    </xf>
    <xf numFmtId="0" fontId="5" fillId="0" borderId="261" xfId="3" applyBorder="1" applyAlignment="1" applyProtection="1">
      <alignment horizontal="right"/>
      <protection hidden="1"/>
    </xf>
    <xf numFmtId="0" fontId="5" fillId="0" borderId="250" xfId="3" applyBorder="1" applyAlignment="1" applyProtection="1">
      <alignment horizontal="right"/>
      <protection hidden="1"/>
    </xf>
    <xf numFmtId="0" fontId="5" fillId="0" borderId="25" xfId="3" applyBorder="1" applyAlignment="1" applyProtection="1">
      <alignment horizontal="right"/>
      <protection hidden="1"/>
    </xf>
    <xf numFmtId="0" fontId="5" fillId="0" borderId="262" xfId="3"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4" fillId="0" borderId="115"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0" fontId="25" fillId="0" borderId="115"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53" xfId="3" applyFont="1" applyBorder="1" applyAlignment="1" applyProtection="1">
      <alignment horizontal="left"/>
      <protection hidden="1"/>
    </xf>
    <xf numFmtId="0" fontId="24" fillId="0" borderId="115"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53" xfId="3" applyFont="1" applyBorder="1" applyAlignment="1" applyProtection="1">
      <alignment horizontal="left"/>
      <protection hidden="1"/>
    </xf>
    <xf numFmtId="179" fontId="14" fillId="0" borderId="6" xfId="2" applyNumberFormat="1" applyFont="1" applyBorder="1" applyAlignment="1" applyProtection="1">
      <alignment horizontal="right"/>
      <protection hidden="1"/>
    </xf>
    <xf numFmtId="179" fontId="14" fillId="0" borderId="5" xfId="2" applyNumberFormat="1" applyFont="1" applyBorder="1" applyAlignment="1" applyProtection="1">
      <alignment horizontal="right"/>
      <protection hidden="1"/>
    </xf>
    <xf numFmtId="0" fontId="5" fillId="0" borderId="25" xfId="3" applyBorder="1" applyAlignment="1" applyProtection="1">
      <alignment horizontal="left"/>
      <protection hidden="1"/>
    </xf>
    <xf numFmtId="0" fontId="5" fillId="0" borderId="0" xfId="3" applyAlignment="1" applyProtection="1">
      <alignment horizontal="left"/>
      <protection hidden="1"/>
    </xf>
    <xf numFmtId="0" fontId="5" fillId="0" borderId="262" xfId="3" applyBorder="1" applyAlignment="1" applyProtection="1">
      <alignment horizontal="left"/>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262" xfId="3" applyNumberFormat="1" applyFont="1" applyBorder="1" applyAlignment="1" applyProtection="1">
      <alignment horizontal="right" vertical="center"/>
      <protection hidden="1"/>
    </xf>
    <xf numFmtId="169" fontId="13" fillId="0" borderId="25" xfId="3" applyNumberFormat="1"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62" xfId="3" applyNumberFormat="1" applyFont="1" applyBorder="1" applyAlignment="1" applyProtection="1">
      <alignment horizontal="right" vertical="center"/>
      <protection hidden="1"/>
    </xf>
    <xf numFmtId="0" fontId="13" fillId="0" borderId="25" xfId="3" applyFont="1" applyBorder="1" applyAlignment="1" applyProtection="1">
      <alignment horizontal="right" vertical="center"/>
      <protection hidden="1"/>
    </xf>
    <xf numFmtId="0" fontId="0" fillId="0" borderId="0" xfId="0" applyAlignment="1">
      <alignment horizontal="right" vertical="center"/>
    </xf>
    <xf numFmtId="0" fontId="0" fillId="0" borderId="262" xfId="0" applyBorder="1" applyAlignment="1">
      <alignment horizontal="right" vertical="center"/>
    </xf>
    <xf numFmtId="171" fontId="13" fillId="0" borderId="25"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62" xfId="3" applyNumberFormat="1" applyFont="1" applyBorder="1" applyAlignment="1" applyProtection="1">
      <alignment horizontal="right" vertical="center"/>
      <protection hidden="1"/>
    </xf>
    <xf numFmtId="0" fontId="5" fillId="0" borderId="25" xfId="3" applyBorder="1" applyAlignment="1" applyProtection="1">
      <alignment horizontal="right" vertical="center"/>
      <protection hidden="1"/>
    </xf>
    <xf numFmtId="0" fontId="5" fillId="0" borderId="0" xfId="3" applyAlignment="1" applyProtection="1">
      <alignment horizontal="right" vertical="center"/>
      <protection hidden="1"/>
    </xf>
    <xf numFmtId="0" fontId="5" fillId="0" borderId="262" xfId="3" applyBorder="1" applyAlignment="1" applyProtection="1">
      <alignment horizontal="right" vertical="center"/>
      <protection hidden="1"/>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62" xfId="3" applyNumberFormat="1" applyFont="1" applyFill="1" applyBorder="1" applyAlignment="1" applyProtection="1">
      <alignment horizontal="right" vertical="center"/>
      <protection locked="0"/>
    </xf>
    <xf numFmtId="0" fontId="58" fillId="0" borderId="290" xfId="3" quotePrefix="1" applyFont="1" applyBorder="1" applyAlignment="1" applyProtection="1">
      <alignment horizontal="center" textRotation="255" shrinkToFit="1"/>
      <protection hidden="1"/>
    </xf>
    <xf numFmtId="0" fontId="58" fillId="0" borderId="63" xfId="3" quotePrefix="1" applyFont="1" applyBorder="1" applyAlignment="1" applyProtection="1">
      <alignment horizontal="center" textRotation="255" shrinkToFit="1"/>
      <protection hidden="1"/>
    </xf>
    <xf numFmtId="0" fontId="5" fillId="0" borderId="26" xfId="3" applyBorder="1" applyAlignment="1" applyProtection="1">
      <alignment horizontal="left"/>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171" fontId="13" fillId="54" borderId="25" xfId="3" applyNumberFormat="1" applyFont="1" applyFill="1" applyBorder="1" applyAlignment="1" applyProtection="1">
      <alignment horizontal="right" vertical="center"/>
      <protection locked="0"/>
    </xf>
    <xf numFmtId="171" fontId="13" fillId="54" borderId="0" xfId="3" applyNumberFormat="1" applyFont="1" applyFill="1" applyAlignment="1" applyProtection="1">
      <alignment horizontal="right" vertical="center"/>
      <protection locked="0"/>
    </xf>
    <xf numFmtId="171" fontId="13" fillId="54" borderId="262" xfId="3" applyNumberFormat="1" applyFont="1" applyFill="1" applyBorder="1" applyAlignment="1" applyProtection="1">
      <alignment horizontal="right" vertical="center"/>
      <protection locked="0"/>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165" fontId="5" fillId="0" borderId="287" xfId="2" applyBorder="1" applyAlignment="1" applyProtection="1">
      <alignment horizontal="center"/>
      <protection hidden="1"/>
    </xf>
    <xf numFmtId="165" fontId="5" fillId="0" borderId="289"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6" xfId="3" applyNumberFormat="1" applyFont="1" applyBorder="1" applyAlignment="1" applyProtection="1">
      <alignment horizontal="right" vertical="center"/>
      <protection hidden="1"/>
    </xf>
    <xf numFmtId="0" fontId="5" fillId="0" borderId="336" xfId="3" applyBorder="1" applyAlignment="1" applyProtection="1">
      <alignment horizontal="left"/>
      <protection hidden="1"/>
    </xf>
    <xf numFmtId="0" fontId="15" fillId="0" borderId="11" xfId="3" applyFont="1" applyBorder="1" applyAlignment="1" applyProtection="1">
      <alignment horizontal="center"/>
      <protection hidden="1"/>
    </xf>
    <xf numFmtId="0" fontId="15" fillId="0" borderId="330" xfId="3" applyFont="1" applyBorder="1" applyAlignment="1" applyProtection="1">
      <alignment horizontal="center"/>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62" xfId="0" applyBorder="1" applyAlignment="1">
      <alignment horizontal="left" vertical="center"/>
    </xf>
    <xf numFmtId="171" fontId="13" fillId="53"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62" xfId="0" applyBorder="1" applyAlignment="1" applyProtection="1">
      <alignment horizontal="right" vertical="center"/>
      <protection locked="0"/>
    </xf>
    <xf numFmtId="0" fontId="20" fillId="0" borderId="290" xfId="3" quotePrefix="1" applyFont="1" applyBorder="1" applyAlignment="1" applyProtection="1">
      <alignment horizontal="center" vertical="center" textRotation="255" shrinkToFit="1"/>
      <protection hidden="1"/>
    </xf>
    <xf numFmtId="0" fontId="20" fillId="0" borderId="63" xfId="3" quotePrefix="1" applyFont="1" applyBorder="1" applyAlignment="1" applyProtection="1">
      <alignment horizontal="center" vertical="center" textRotation="255" shrinkToFit="1"/>
      <protection hidden="1"/>
    </xf>
    <xf numFmtId="0" fontId="19" fillId="0" borderId="290" xfId="3" applyFont="1" applyBorder="1" applyAlignment="1" applyProtection="1">
      <alignment horizontal="center" vertical="center" textRotation="255" shrinkToFit="1"/>
      <protection hidden="1"/>
    </xf>
    <xf numFmtId="0" fontId="19" fillId="0" borderId="99"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62" xfId="3" applyFont="1" applyBorder="1" applyAlignment="1" applyProtection="1">
      <alignment horizontal="left" vertical="center"/>
      <protection hidden="1"/>
    </xf>
    <xf numFmtId="171" fontId="13" fillId="0" borderId="115"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0" fontId="13" fillId="0" borderId="333"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14" xfId="3" applyFont="1" applyBorder="1" applyAlignment="1" applyProtection="1">
      <alignment horizont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62" xfId="3" applyNumberFormat="1" applyFont="1" applyFill="1" applyBorder="1" applyAlignment="1" applyProtection="1">
      <alignment horizontal="right" vertical="center"/>
      <protection locked="0"/>
    </xf>
    <xf numFmtId="0" fontId="51" fillId="53" borderId="0" xfId="3" applyFont="1" applyFill="1" applyAlignment="1" applyProtection="1">
      <alignment horizontal="center" vertical="center"/>
      <protection locked="0"/>
    </xf>
    <xf numFmtId="169" fontId="12" fillId="0" borderId="5" xfId="3" applyNumberFormat="1" applyFont="1" applyBorder="1" applyAlignment="1" applyProtection="1">
      <alignment horizontal="center"/>
      <protection hidden="1"/>
    </xf>
    <xf numFmtId="169" fontId="12" fillId="0" borderId="140" xfId="3" applyNumberFormat="1" applyFont="1" applyBorder="1" applyAlignment="1" applyProtection="1">
      <alignment horizontal="center"/>
      <protection hidden="1"/>
    </xf>
    <xf numFmtId="172" fontId="12" fillId="0" borderId="100"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8" fillId="53" borderId="26" xfId="3" applyFont="1" applyFill="1" applyBorder="1" applyAlignment="1" applyProtection="1">
      <alignment horizontal="center" vertical="center"/>
      <protection locked="0"/>
    </xf>
    <xf numFmtId="0" fontId="88" fillId="53" borderId="28" xfId="3" applyFont="1" applyFill="1" applyBorder="1" applyAlignment="1" applyProtection="1">
      <alignment horizontal="center" vertical="center"/>
      <protection locked="0"/>
    </xf>
    <xf numFmtId="0" fontId="51" fillId="0" borderId="0" xfId="3" applyFont="1" applyAlignment="1" applyProtection="1">
      <alignment horizontal="left"/>
      <protection hidden="1"/>
    </xf>
    <xf numFmtId="0" fontId="5" fillId="0" borderId="98" xfId="3" applyBorder="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0" fontId="12" fillId="0" borderId="250"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17" xfId="3" applyFont="1" applyFill="1" applyBorder="1" applyAlignment="1" applyProtection="1">
      <alignment horizontal="center" vertical="center" wrapText="1"/>
      <protection hidden="1"/>
    </xf>
    <xf numFmtId="0" fontId="12" fillId="54" borderId="212" xfId="3" applyFont="1" applyFill="1" applyBorder="1" applyAlignment="1" applyProtection="1">
      <alignment horizontal="center" vertical="center" wrapText="1"/>
      <protection hidden="1"/>
    </xf>
    <xf numFmtId="0" fontId="12" fillId="54" borderId="92" xfId="3" applyFont="1" applyFill="1" applyBorder="1" applyAlignment="1" applyProtection="1">
      <alignment horizontal="center" vertical="center" wrapText="1"/>
      <protection hidden="1"/>
    </xf>
    <xf numFmtId="0" fontId="12" fillId="54" borderId="63" xfId="3" applyFont="1" applyFill="1" applyBorder="1" applyAlignment="1" applyProtection="1">
      <alignment horizontal="center" vertical="center" wrapText="1"/>
      <protection hidden="1"/>
    </xf>
    <xf numFmtId="0" fontId="12" fillId="0" borderId="92" xfId="3" applyFont="1" applyBorder="1" applyAlignment="1" applyProtection="1">
      <alignment horizontal="center" vertical="center" wrapText="1"/>
      <protection hidden="1"/>
    </xf>
    <xf numFmtId="0" fontId="12" fillId="0" borderId="63" xfId="3" applyFont="1" applyBorder="1" applyAlignment="1" applyProtection="1">
      <alignment horizontal="center" vertical="center" wrapText="1"/>
      <protection hidden="1"/>
    </xf>
    <xf numFmtId="171" fontId="13" fillId="0" borderId="5" xfId="3" applyNumberFormat="1" applyFont="1" applyBorder="1" applyProtection="1">
      <protection hidden="1"/>
    </xf>
    <xf numFmtId="172" fontId="12" fillId="0" borderId="137"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9" fontId="178" fillId="0" borderId="25" xfId="3" applyNumberFormat="1" applyFont="1" applyBorder="1" applyAlignment="1" applyProtection="1">
      <alignment horizontal="right"/>
      <protection hidden="1"/>
    </xf>
    <xf numFmtId="9" fontId="178" fillId="0" borderId="0" xfId="3" applyNumberFormat="1" applyFont="1" applyAlignment="1" applyProtection="1">
      <alignment horizontal="right"/>
      <protection hidden="1"/>
    </xf>
    <xf numFmtId="9" fontId="178" fillId="0" borderId="262" xfId="3" applyNumberFormat="1" applyFont="1" applyBorder="1" applyAlignment="1" applyProtection="1">
      <alignment horizontal="right"/>
      <protection hidden="1"/>
    </xf>
    <xf numFmtId="171" fontId="14" fillId="0" borderId="5" xfId="3" applyNumberFormat="1" applyFont="1" applyBorder="1" applyProtection="1">
      <protection hidden="1"/>
    </xf>
    <xf numFmtId="179" fontId="14" fillId="0" borderId="5" xfId="2" applyNumberFormat="1" applyFont="1" applyBorder="1" applyProtection="1">
      <protection hidden="1"/>
    </xf>
    <xf numFmtId="0" fontId="13" fillId="0" borderId="113" xfId="3" applyFont="1" applyBorder="1" applyAlignment="1" applyProtection="1">
      <alignment horizontal="center"/>
      <protection hidden="1"/>
    </xf>
    <xf numFmtId="0" fontId="19" fillId="0" borderId="92" xfId="3" quotePrefix="1" applyFont="1" applyBorder="1" applyAlignment="1" applyProtection="1">
      <alignment horizontal="center" vertical="center" textRotation="255" shrinkToFit="1"/>
      <protection hidden="1"/>
    </xf>
    <xf numFmtId="0" fontId="19" fillId="0" borderId="63" xfId="3" quotePrefix="1" applyFont="1" applyBorder="1" applyAlignment="1" applyProtection="1">
      <alignment horizontal="center" vertical="center" textRotation="255" shrinkToFit="1"/>
      <protection hidden="1"/>
    </xf>
    <xf numFmtId="0" fontId="5" fillId="0" borderId="29" xfId="3" applyBorder="1" applyAlignment="1" applyProtection="1">
      <alignment horizontal="left"/>
      <protection hidden="1"/>
    </xf>
    <xf numFmtId="0" fontId="5" fillId="0" borderId="30"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62" xfId="3" applyNumberFormat="1" applyFont="1" applyBorder="1" applyAlignment="1" applyProtection="1">
      <alignment horizontal="right" vertical="center"/>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9"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8" xfId="3" applyFont="1" applyBorder="1" applyAlignment="1" applyProtection="1">
      <alignment horizontal="center"/>
      <protection hidden="1"/>
    </xf>
    <xf numFmtId="0" fontId="12" fillId="0" borderId="93" xfId="3" applyFont="1" applyBorder="1" applyAlignment="1" applyProtection="1">
      <alignment horizontal="center" vertical="center"/>
      <protection hidden="1"/>
    </xf>
    <xf numFmtId="0" fontId="12" fillId="0" borderId="94" xfId="3" applyFont="1" applyBorder="1" applyAlignment="1" applyProtection="1">
      <alignment horizontal="center" vertical="center"/>
      <protection hidden="1"/>
    </xf>
    <xf numFmtId="0" fontId="12" fillId="0" borderId="97"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171" fontId="13" fillId="0" borderId="336" xfId="3" applyNumberFormat="1" applyFont="1" applyBorder="1" applyAlignment="1" applyProtection="1">
      <alignment horizontal="right" vertical="center"/>
      <protection hidden="1"/>
    </xf>
    <xf numFmtId="0" fontId="5" fillId="0" borderId="69"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7" xfId="3" applyBorder="1" applyAlignment="1" applyProtection="1">
      <alignment horizontal="center"/>
      <protection hidden="1"/>
    </xf>
    <xf numFmtId="0" fontId="12" fillId="0" borderId="94" xfId="3" applyFont="1" applyBorder="1" applyAlignment="1" applyProtection="1">
      <alignment horizontal="center" vertical="center" wrapText="1"/>
      <protection hidden="1"/>
    </xf>
    <xf numFmtId="0" fontId="12" fillId="0" borderId="95"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0" fontId="12" fillId="0" borderId="96" xfId="3" applyFont="1" applyBorder="1" applyAlignment="1" applyProtection="1">
      <alignment horizontal="center" vertical="center" wrapText="1"/>
      <protection hidden="1"/>
    </xf>
    <xf numFmtId="201" fontId="5" fillId="0" borderId="279" xfId="3" applyNumberFormat="1" applyBorder="1" applyAlignment="1" applyProtection="1">
      <alignment horizontal="center"/>
      <protection hidden="1"/>
    </xf>
    <xf numFmtId="201" fontId="5" fillId="0" borderId="280" xfId="3" applyNumberFormat="1"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6" xfId="3" applyNumberFormat="1" applyFont="1" applyBorder="1" applyAlignment="1" applyProtection="1">
      <alignment horizontal="right" vertical="center"/>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0" fontId="18" fillId="0" borderId="19" xfId="3" applyFont="1" applyBorder="1" applyAlignment="1" applyProtection="1">
      <alignment horizontal="center"/>
      <protection hidden="1"/>
    </xf>
    <xf numFmtId="49" fontId="5" fillId="0" borderId="0" xfId="3" applyNumberFormat="1" applyAlignment="1" applyProtection="1">
      <alignment horizontal="left"/>
      <protection hidden="1"/>
    </xf>
    <xf numFmtId="49" fontId="5" fillId="0" borderId="98" xfId="3" applyNumberFormat="1" applyBorder="1" applyAlignment="1" applyProtection="1">
      <alignment horizontal="left"/>
      <protection hidden="1"/>
    </xf>
    <xf numFmtId="0" fontId="5" fillId="0" borderId="31" xfId="3"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60" xfId="3" applyNumberFormat="1" applyFont="1" applyBorder="1" applyAlignment="1" applyProtection="1">
      <alignment horizontal="right" vertical="center"/>
      <protection hidden="1"/>
    </xf>
    <xf numFmtId="201" fontId="13" fillId="0" borderId="261" xfId="3" applyNumberFormat="1" applyFont="1" applyBorder="1" applyAlignment="1" applyProtection="1">
      <alignment horizontal="right" vertical="center"/>
      <protection hidden="1"/>
    </xf>
    <xf numFmtId="201" fontId="13" fillId="0" borderId="250"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0" xfId="3" applyAlignment="1" applyProtection="1">
      <alignment horizontal="center" vertical="center" wrapText="1"/>
      <protection hidden="1"/>
    </xf>
    <xf numFmtId="205" fontId="13" fillId="0" borderId="260" xfId="3" applyNumberFormat="1" applyFont="1" applyBorder="1" applyAlignment="1" applyProtection="1">
      <alignment horizontal="right" vertical="center"/>
      <protection hidden="1"/>
    </xf>
    <xf numFmtId="205" fontId="13" fillId="0" borderId="261" xfId="3" applyNumberFormat="1" applyFont="1" applyBorder="1" applyAlignment="1" applyProtection="1">
      <alignment horizontal="right" vertical="center"/>
      <protection hidden="1"/>
    </xf>
    <xf numFmtId="205" fontId="13" fillId="0" borderId="250" xfId="3" applyNumberFormat="1" applyFont="1" applyBorder="1" applyAlignment="1" applyProtection="1">
      <alignment horizontal="right" vertical="center"/>
      <protection hidden="1"/>
    </xf>
    <xf numFmtId="205" fontId="13" fillId="0" borderId="336" xfId="3" applyNumberFormat="1" applyFont="1" applyBorder="1" applyAlignment="1" applyProtection="1">
      <alignment horizontal="right" vertical="center"/>
      <protection hidden="1"/>
    </xf>
    <xf numFmtId="201" fontId="5" fillId="0" borderId="287" xfId="3" applyNumberFormat="1" applyBorder="1" applyAlignment="1" applyProtection="1">
      <alignment horizontal="center"/>
      <protection hidden="1"/>
    </xf>
    <xf numFmtId="201" fontId="5" fillId="0" borderId="288" xfId="3" applyNumberFormat="1" applyBorder="1" applyAlignment="1" applyProtection="1">
      <alignment horizontal="center"/>
      <protection hidden="1"/>
    </xf>
    <xf numFmtId="201" fontId="5" fillId="0" borderId="289" xfId="3" applyNumberFormat="1" applyBorder="1" applyAlignment="1" applyProtection="1">
      <alignment horizontal="center"/>
      <protection hidden="1"/>
    </xf>
    <xf numFmtId="171" fontId="13" fillId="0" borderId="260" xfId="3" applyNumberFormat="1" applyFont="1" applyBorder="1" applyAlignment="1" applyProtection="1">
      <alignment horizontal="right" vertical="center"/>
      <protection hidden="1"/>
    </xf>
    <xf numFmtId="171" fontId="13" fillId="0" borderId="261" xfId="3" applyNumberFormat="1" applyFont="1" applyBorder="1" applyAlignment="1" applyProtection="1">
      <alignment horizontal="right" vertical="center"/>
      <protection hidden="1"/>
    </xf>
    <xf numFmtId="171" fontId="13" fillId="0" borderId="250"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77" fillId="0" borderId="25" xfId="3" applyFont="1" applyBorder="1" applyAlignment="1" applyProtection="1">
      <alignment horizontal="left"/>
      <protection hidden="1"/>
    </xf>
    <xf numFmtId="0" fontId="177" fillId="0" borderId="0" xfId="3" applyFont="1" applyAlignment="1" applyProtection="1">
      <alignment horizontal="left"/>
      <protection hidden="1"/>
    </xf>
    <xf numFmtId="0" fontId="177" fillId="0" borderId="98" xfId="3" applyFont="1" applyBorder="1" applyAlignment="1" applyProtection="1">
      <alignment horizontal="left"/>
      <protection hidden="1"/>
    </xf>
    <xf numFmtId="0" fontId="13" fillId="0" borderId="0" xfId="3" applyFont="1" applyAlignment="1" applyProtection="1">
      <alignment horizontal="right" vertical="center"/>
      <protection hidden="1"/>
    </xf>
    <xf numFmtId="0" fontId="13" fillId="0" borderId="262" xfId="3" applyFont="1" applyBorder="1" applyAlignment="1" applyProtection="1">
      <alignment horizontal="right" vertical="center"/>
      <protection hidden="1"/>
    </xf>
    <xf numFmtId="171" fontId="178" fillId="0" borderId="25" xfId="3" applyNumberFormat="1" applyFont="1" applyBorder="1" applyAlignment="1" applyProtection="1">
      <alignment horizontal="right"/>
      <protection hidden="1"/>
    </xf>
    <xf numFmtId="171" fontId="178" fillId="0" borderId="0" xfId="3" applyNumberFormat="1" applyFont="1" applyAlignment="1" applyProtection="1">
      <alignment horizontal="right"/>
      <protection hidden="1"/>
    </xf>
    <xf numFmtId="171" fontId="178" fillId="0" borderId="262" xfId="3" applyNumberFormat="1" applyFont="1" applyBorder="1" applyAlignment="1" applyProtection="1">
      <alignment horizontal="right"/>
      <protection hidden="1"/>
    </xf>
    <xf numFmtId="0" fontId="51"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0" fontId="12" fillId="0" borderId="92" xfId="3" applyFont="1" applyBorder="1" applyAlignment="1" applyProtection="1">
      <alignment horizontal="center" vertical="center"/>
      <protection hidden="1"/>
    </xf>
    <xf numFmtId="0" fontId="12" fillId="0" borderId="63" xfId="3" applyFont="1" applyBorder="1" applyAlignment="1" applyProtection="1">
      <alignment horizontal="center" vertical="center"/>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0" fontId="25" fillId="0" borderId="214" xfId="3" applyFont="1" applyBorder="1" applyAlignment="1" applyProtection="1">
      <alignment horizontal="left"/>
      <protection hidden="1"/>
    </xf>
    <xf numFmtId="0" fontId="25" fillId="0" borderId="332" xfId="3" applyFont="1" applyBorder="1" applyAlignment="1" applyProtection="1">
      <alignment horizontal="left"/>
      <protection hidden="1"/>
    </xf>
    <xf numFmtId="0" fontId="25" fillId="0" borderId="215" xfId="3" applyFont="1" applyBorder="1" applyAlignment="1" applyProtection="1">
      <alignment horizontal="left"/>
      <protection hidden="1"/>
    </xf>
    <xf numFmtId="0" fontId="13" fillId="0" borderId="334" xfId="3" applyFont="1" applyBorder="1" applyAlignment="1" applyProtection="1">
      <alignment horizontal="center"/>
      <protection hidden="1"/>
    </xf>
    <xf numFmtId="0" fontId="13" fillId="0" borderId="335" xfId="3" applyFont="1" applyBorder="1" applyAlignment="1" applyProtection="1">
      <alignment horizontal="center"/>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7" fillId="0" borderId="0" xfId="3" applyFont="1" applyAlignment="1" applyProtection="1">
      <alignment horizontal="center" vertical="center"/>
      <protection hidden="1"/>
    </xf>
    <xf numFmtId="0" fontId="57" fillId="0" borderId="12" xfId="3" applyFont="1" applyBorder="1" applyAlignment="1" applyProtection="1">
      <alignment horizontal="center" vertical="center"/>
      <protection hidden="1"/>
    </xf>
    <xf numFmtId="172" fontId="12" fillId="0" borderId="4" xfId="3" applyNumberFormat="1" applyFont="1" applyBorder="1" applyAlignment="1" applyProtection="1">
      <alignment horizontal="right"/>
      <protection hidden="1"/>
    </xf>
    <xf numFmtId="0" fontId="84" fillId="0" borderId="0" xfId="3" applyFont="1" applyAlignment="1" applyProtection="1">
      <alignment horizontal="left"/>
      <protection hidden="1"/>
    </xf>
    <xf numFmtId="0" fontId="88" fillId="0" borderId="29" xfId="3" applyFont="1" applyBorder="1" applyAlignment="1" applyProtection="1">
      <alignment horizontal="center" vertical="center"/>
      <protection hidden="1"/>
    </xf>
    <xf numFmtId="0" fontId="88" fillId="0" borderId="31" xfId="3"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5" fillId="0" borderId="60" xfId="3" applyNumberFormat="1" applyFont="1" applyBorder="1" applyAlignment="1" applyProtection="1">
      <alignment horizontal="center" vertical="center"/>
      <protection hidden="1"/>
    </xf>
    <xf numFmtId="181" fontId="85" fillId="0" borderId="63" xfId="3" applyNumberFormat="1" applyFont="1" applyBorder="1" applyAlignment="1" applyProtection="1">
      <alignment horizontal="center" vertical="center"/>
      <protection hidden="1"/>
    </xf>
    <xf numFmtId="0" fontId="85" fillId="0" borderId="29" xfId="3" applyFont="1" applyBorder="1" applyAlignment="1" applyProtection="1">
      <alignment horizontal="right" vertical="center"/>
      <protection hidden="1"/>
    </xf>
    <xf numFmtId="0" fontId="85" fillId="0" borderId="31" xfId="3" applyFont="1" applyBorder="1" applyAlignment="1" applyProtection="1">
      <alignment horizontal="right" vertical="center"/>
      <protection hidden="1"/>
    </xf>
    <xf numFmtId="0" fontId="85" fillId="0" borderId="26" xfId="3" applyFont="1" applyBorder="1" applyAlignment="1" applyProtection="1">
      <alignment horizontal="right" vertical="center"/>
      <protection hidden="1"/>
    </xf>
    <xf numFmtId="0" fontId="85" fillId="0" borderId="28" xfId="3" applyFont="1" applyBorder="1" applyAlignment="1" applyProtection="1">
      <alignment horizontal="right" vertical="center"/>
      <protection hidden="1"/>
    </xf>
    <xf numFmtId="174" fontId="85" fillId="0" borderId="11" xfId="3" applyNumberFormat="1" applyFont="1" applyBorder="1" applyAlignment="1" applyProtection="1">
      <alignment horizontal="center" vertical="center"/>
      <protection hidden="1"/>
    </xf>
    <xf numFmtId="174" fontId="85" fillId="0" borderId="8" xfId="3" applyNumberFormat="1" applyFont="1" applyBorder="1" applyAlignment="1" applyProtection="1">
      <alignment horizontal="center" vertical="center"/>
      <protection hidden="1"/>
    </xf>
    <xf numFmtId="181" fontId="85" fillId="0" borderId="61" xfId="3" applyNumberFormat="1" applyFont="1" applyBorder="1" applyAlignment="1" applyProtection="1">
      <alignment horizontal="center" vertical="center"/>
      <protection hidden="1"/>
    </xf>
    <xf numFmtId="204" fontId="85" fillId="0" borderId="64" xfId="3" applyNumberFormat="1" applyFont="1" applyBorder="1" applyAlignment="1" applyProtection="1">
      <alignment horizontal="center" vertical="center"/>
      <protection hidden="1"/>
    </xf>
    <xf numFmtId="204" fontId="85" fillId="0" borderId="55" xfId="3" applyNumberFormat="1" applyFont="1" applyBorder="1" applyAlignment="1" applyProtection="1">
      <alignment horizontal="center" vertical="center"/>
      <protection hidden="1"/>
    </xf>
    <xf numFmtId="169" fontId="85" fillId="0" borderId="38" xfId="3" applyNumberFormat="1" applyFont="1" applyBorder="1" applyAlignment="1" applyProtection="1">
      <alignment horizontal="center" vertical="center"/>
      <protection hidden="1"/>
    </xf>
    <xf numFmtId="169" fontId="85" fillId="0" borderId="39" xfId="3" applyNumberFormat="1" applyFont="1" applyBorder="1" applyAlignment="1" applyProtection="1">
      <alignment horizontal="center" vertical="center"/>
      <protection hidden="1"/>
    </xf>
    <xf numFmtId="204" fontId="85" fillId="0" borderId="56" xfId="3" applyNumberFormat="1" applyFont="1" applyBorder="1" applyAlignment="1" applyProtection="1">
      <alignment horizontal="center" vertical="center"/>
      <protection hidden="1"/>
    </xf>
    <xf numFmtId="0" fontId="100" fillId="0" borderId="149" xfId="3" applyFont="1" applyBorder="1" applyAlignment="1" applyProtection="1">
      <alignment horizontal="center" vertical="center"/>
      <protection hidden="1"/>
    </xf>
    <xf numFmtId="0" fontId="100" fillId="0" borderId="150" xfId="3" applyFont="1" applyBorder="1" applyAlignment="1" applyProtection="1">
      <alignment horizontal="center" vertical="center"/>
      <protection hidden="1"/>
    </xf>
    <xf numFmtId="0" fontId="100" fillId="0" borderId="151"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14" fontId="138" fillId="0" borderId="233" xfId="3" applyNumberFormat="1" applyFont="1" applyBorder="1" applyAlignment="1" applyProtection="1">
      <alignment horizontal="right"/>
      <protection hidden="1"/>
    </xf>
    <xf numFmtId="14" fontId="138" fillId="0" borderId="234" xfId="3" applyNumberFormat="1" applyFont="1" applyBorder="1" applyAlignment="1" applyProtection="1">
      <alignment horizontal="right"/>
      <protection hidden="1"/>
    </xf>
    <xf numFmtId="0" fontId="140" fillId="57" borderId="237" xfId="3" applyFont="1" applyFill="1" applyBorder="1" applyAlignment="1" applyProtection="1">
      <alignment horizontal="center"/>
      <protection locked="0"/>
    </xf>
    <xf numFmtId="14" fontId="138" fillId="0" borderId="234" xfId="3" applyNumberFormat="1" applyFont="1" applyBorder="1" applyAlignment="1" applyProtection="1">
      <alignment horizontal="left"/>
      <protection hidden="1"/>
    </xf>
    <xf numFmtId="0" fontId="12" fillId="0" borderId="101"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60" xfId="3" applyBorder="1" applyAlignment="1" applyProtection="1">
      <alignment horizontal="center" vertical="center" wrapText="1"/>
      <protection hidden="1"/>
    </xf>
    <xf numFmtId="0" fontId="5" fillId="0" borderId="261" xfId="3" applyBorder="1" applyAlignment="1" applyProtection="1">
      <alignment horizontal="center" vertical="center" wrapText="1"/>
      <protection hidden="1"/>
    </xf>
    <xf numFmtId="0" fontId="5" fillId="0" borderId="250"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62"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60" xfId="3" applyFont="1" applyBorder="1" applyAlignment="1" applyProtection="1">
      <alignment horizontal="center"/>
      <protection hidden="1"/>
    </xf>
    <xf numFmtId="0" fontId="13" fillId="0" borderId="261" xfId="3" applyFont="1" applyBorder="1" applyAlignment="1" applyProtection="1">
      <alignment horizontal="center"/>
      <protection hidden="1"/>
    </xf>
    <xf numFmtId="0" fontId="13" fillId="0" borderId="250" xfId="3" applyFont="1" applyBorder="1" applyAlignment="1" applyProtection="1">
      <alignment horizontal="center"/>
      <protection hidden="1"/>
    </xf>
    <xf numFmtId="0" fontId="115" fillId="0" borderId="0" xfId="3" applyFont="1" applyAlignment="1" applyProtection="1">
      <alignment horizontal="left"/>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165" fontId="5" fillId="0" borderId="292" xfId="2" applyBorder="1" applyAlignment="1" applyProtection="1">
      <alignment horizontal="center"/>
      <protection hidden="1"/>
    </xf>
    <xf numFmtId="165" fontId="5" fillId="0" borderId="293"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7" xfId="3" applyFont="1" applyBorder="1" applyAlignment="1" applyProtection="1">
      <alignment horizontal="center"/>
      <protection hidden="1"/>
    </xf>
    <xf numFmtId="0" fontId="6" fillId="0" borderId="288" xfId="3" applyFont="1" applyBorder="1" applyAlignment="1" applyProtection="1">
      <alignment horizontal="center"/>
      <protection hidden="1"/>
    </xf>
    <xf numFmtId="0" fontId="6" fillId="0" borderId="289" xfId="3" applyFont="1" applyBorder="1" applyAlignment="1" applyProtection="1">
      <alignment horizontal="center"/>
      <protection hidden="1"/>
    </xf>
    <xf numFmtId="0" fontId="12" fillId="0" borderId="230" xfId="3" applyFont="1" applyBorder="1" applyAlignment="1" applyProtection="1">
      <alignment horizontal="center"/>
      <protection hidden="1"/>
    </xf>
    <xf numFmtId="0" fontId="12" fillId="0" borderId="231" xfId="3"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0" fontId="12" fillId="0" borderId="222" xfId="3" applyFont="1" applyBorder="1" applyAlignment="1" applyProtection="1">
      <alignment horizontal="center"/>
      <protection hidden="1"/>
    </xf>
    <xf numFmtId="211" fontId="12" fillId="0" borderId="0" xfId="3" applyNumberFormat="1" applyFont="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4" fontId="12" fillId="0" borderId="0" xfId="3" applyNumberFormat="1" applyFont="1" applyAlignment="1" applyProtection="1">
      <alignment horizontal="center"/>
      <protection hidden="1"/>
    </xf>
    <xf numFmtId="0" fontId="12" fillId="0" borderId="0" xfId="3" applyFont="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22" xfId="3" applyNumberFormat="1" applyFont="1" applyBorder="1" applyAlignment="1" applyProtection="1">
      <alignment horizontal="center"/>
      <protection hidden="1"/>
    </xf>
    <xf numFmtId="211" fontId="12" fillId="0" borderId="223"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51" xfId="3" applyFont="1" applyBorder="1" applyAlignment="1" applyProtection="1">
      <alignment horizontal="center" vertical="center" wrapText="1"/>
      <protection hidden="1"/>
    </xf>
    <xf numFmtId="0" fontId="18" fillId="0" borderId="107" xfId="3" applyFont="1" applyBorder="1" applyAlignment="1" applyProtection="1">
      <alignment horizontal="center" vertical="center" wrapText="1"/>
      <protection hidden="1"/>
    </xf>
    <xf numFmtId="0" fontId="12" fillId="53" borderId="92" xfId="3" applyFont="1" applyFill="1" applyBorder="1" applyAlignment="1" applyProtection="1">
      <alignment horizontal="center" wrapText="1"/>
      <protection hidden="1"/>
    </xf>
    <xf numFmtId="0" fontId="12" fillId="53" borderId="99" xfId="3" applyFont="1" applyFill="1" applyBorder="1" applyAlignment="1" applyProtection="1">
      <alignment horizontal="center" wrapText="1"/>
      <protection hidden="1"/>
    </xf>
    <xf numFmtId="0" fontId="12" fillId="54" borderId="290" xfId="3" applyFont="1" applyFill="1" applyBorder="1" applyAlignment="1" applyProtection="1">
      <alignment horizontal="center" vertical="center"/>
      <protection hidden="1"/>
    </xf>
    <xf numFmtId="0" fontId="12" fillId="54" borderId="63" xfId="3" applyFont="1" applyFill="1" applyBorder="1" applyAlignment="1" applyProtection="1">
      <alignment horizontal="center" vertical="center"/>
      <protection hidden="1"/>
    </xf>
    <xf numFmtId="169" fontId="12" fillId="0" borderId="229" xfId="3" applyNumberFormat="1" applyFont="1" applyBorder="1" applyAlignment="1" applyProtection="1">
      <alignment horizontal="center"/>
      <protection hidden="1"/>
    </xf>
    <xf numFmtId="169" fontId="12" fillId="0" borderId="230" xfId="3" applyNumberFormat="1" applyFont="1" applyBorder="1" applyAlignment="1" applyProtection="1">
      <alignment horizontal="center"/>
      <protection hidden="1"/>
    </xf>
    <xf numFmtId="0" fontId="171" fillId="53" borderId="278" xfId="3" applyFont="1" applyFill="1" applyBorder="1" applyAlignment="1" applyProtection="1">
      <alignment horizontal="center"/>
      <protection locked="0"/>
    </xf>
    <xf numFmtId="0" fontId="171" fillId="53" borderId="268" xfId="3" applyFont="1" applyFill="1" applyBorder="1" applyAlignment="1" applyProtection="1">
      <alignment horizontal="center"/>
      <protection locked="0"/>
    </xf>
    <xf numFmtId="0" fontId="171" fillId="53" borderId="269"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9" fillId="0" borderId="0" xfId="2" applyNumberFormat="1" applyFont="1" applyAlignment="1" applyProtection="1">
      <alignment horizontal="center" vertical="center" wrapText="1"/>
      <protection locked="0" hidden="1"/>
    </xf>
    <xf numFmtId="0" fontId="171" fillId="54" borderId="273" xfId="3" applyFont="1" applyFill="1" applyBorder="1" applyAlignment="1" applyProtection="1">
      <alignment horizontal="center"/>
      <protection locked="0"/>
    </xf>
    <xf numFmtId="0" fontId="171" fillId="54" borderId="274" xfId="3" applyFont="1" applyFill="1" applyBorder="1" applyAlignment="1" applyProtection="1">
      <alignment horizontal="center"/>
      <protection locked="0"/>
    </xf>
    <xf numFmtId="0" fontId="170" fillId="57" borderId="0" xfId="3" applyFont="1" applyFill="1" applyAlignment="1" applyProtection="1">
      <alignment horizontal="center"/>
      <protection locked="0"/>
    </xf>
    <xf numFmtId="0" fontId="169" fillId="0" borderId="0" xfId="3" applyFont="1" applyAlignment="1" applyProtection="1">
      <alignment horizontal="right"/>
      <protection hidden="1"/>
    </xf>
    <xf numFmtId="0" fontId="171" fillId="53" borderId="277" xfId="3" applyFont="1" applyFill="1" applyBorder="1" applyAlignment="1" applyProtection="1">
      <alignment horizontal="center"/>
      <protection locked="0"/>
    </xf>
    <xf numFmtId="0" fontId="171" fillId="53" borderId="266" xfId="3" applyFont="1" applyFill="1" applyBorder="1" applyAlignment="1" applyProtection="1">
      <alignment horizontal="center"/>
      <protection locked="0"/>
    </xf>
    <xf numFmtId="0" fontId="171" fillId="53" borderId="267" xfId="3" applyFont="1" applyFill="1" applyBorder="1" applyAlignment="1" applyProtection="1">
      <alignment horizontal="center"/>
      <protection locked="0"/>
    </xf>
    <xf numFmtId="0" fontId="171" fillId="54" borderId="271" xfId="3" applyFont="1" applyFill="1" applyBorder="1" applyAlignment="1" applyProtection="1">
      <alignment horizontal="center"/>
      <protection locked="0"/>
    </xf>
    <xf numFmtId="0" fontId="171" fillId="54" borderId="272" xfId="3" applyFont="1" applyFill="1" applyBorder="1" applyAlignment="1" applyProtection="1">
      <alignment horizontal="center"/>
      <protection locked="0"/>
    </xf>
    <xf numFmtId="14" fontId="12" fillId="0" borderId="226" xfId="3" applyNumberFormat="1" applyFont="1" applyBorder="1" applyAlignment="1" applyProtection="1">
      <alignment horizontal="center"/>
      <protection hidden="1"/>
    </xf>
    <xf numFmtId="14" fontId="12" fillId="0" borderId="227" xfId="3" applyNumberFormat="1" applyFont="1" applyBorder="1" applyAlignment="1" applyProtection="1">
      <alignment horizontal="center"/>
      <protection hidden="1"/>
    </xf>
    <xf numFmtId="211" fontId="12" fillId="0" borderId="225" xfId="3" applyNumberFormat="1" applyFont="1" applyBorder="1" applyAlignment="1" applyProtection="1">
      <alignment horizontal="center"/>
      <protection hidden="1"/>
    </xf>
    <xf numFmtId="0" fontId="12" fillId="0" borderId="227" xfId="3" applyFont="1" applyBorder="1" applyAlignment="1" applyProtection="1">
      <alignment horizontal="center"/>
      <protection hidden="1"/>
    </xf>
    <xf numFmtId="14" fontId="12" fillId="0" borderId="224" xfId="3" applyNumberFormat="1" applyFont="1" applyBorder="1" applyAlignment="1" applyProtection="1">
      <alignment horizontal="center"/>
      <protection hidden="1"/>
    </xf>
    <xf numFmtId="0" fontId="90" fillId="0" borderId="0" xfId="3" applyFont="1" applyAlignment="1" applyProtection="1">
      <alignment horizontal="left"/>
      <protection hidden="1"/>
    </xf>
    <xf numFmtId="0" fontId="91" fillId="0" borderId="0" xfId="3" quotePrefix="1" applyFont="1" applyAlignment="1" applyProtection="1">
      <alignment horizontal="right"/>
      <protection hidden="1"/>
    </xf>
    <xf numFmtId="0" fontId="91" fillId="0" borderId="0" xfId="3" applyFont="1" applyAlignment="1" applyProtection="1">
      <alignment horizontal="right"/>
      <protection hidden="1"/>
    </xf>
    <xf numFmtId="0" fontId="128" fillId="0" borderId="0" xfId="3" applyFont="1" applyAlignment="1" applyProtection="1">
      <alignment horizontal="left"/>
      <protection hidden="1"/>
    </xf>
    <xf numFmtId="0" fontId="13" fillId="0" borderId="290" xfId="3" applyFont="1" applyBorder="1" applyAlignment="1" applyProtection="1">
      <alignment horizontal="center" vertical="center" textRotation="90"/>
      <protection hidden="1"/>
    </xf>
    <xf numFmtId="0" fontId="13" fillId="0" borderId="116" xfId="3" applyFont="1" applyBorder="1" applyAlignment="1" applyProtection="1">
      <alignment horizontal="center" vertical="center" textRotation="90"/>
      <protection hidden="1"/>
    </xf>
    <xf numFmtId="0" fontId="13" fillId="0" borderId="63" xfId="3" applyFont="1" applyBorder="1" applyAlignment="1" applyProtection="1">
      <alignment horizontal="center" vertical="center" textRotation="90"/>
      <protection hidden="1"/>
    </xf>
    <xf numFmtId="0" fontId="194"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7" fontId="13" fillId="0" borderId="17" xfId="3" applyNumberFormat="1" applyFont="1" applyBorder="1" applyAlignment="1" applyProtection="1">
      <alignment horizontal="center"/>
      <protection hidden="1"/>
    </xf>
    <xf numFmtId="0" fontId="171" fillId="0" borderId="0" xfId="3" applyFont="1" applyAlignment="1" applyProtection="1">
      <alignment horizontal="right"/>
      <protection locked="0" hidden="1"/>
    </xf>
    <xf numFmtId="0" fontId="171" fillId="0" borderId="0" xfId="3" applyFont="1" applyAlignment="1" applyProtection="1">
      <alignment horizontal="right"/>
      <protection hidden="1"/>
    </xf>
    <xf numFmtId="0" fontId="18" fillId="0" borderId="0" xfId="3" applyFont="1" applyAlignment="1" applyProtection="1">
      <alignment horizontal="right"/>
      <protection hidden="1"/>
    </xf>
    <xf numFmtId="0" fontId="100" fillId="0" borderId="0" xfId="3" quotePrefix="1" applyFont="1" applyAlignment="1" applyProtection="1">
      <alignment horizontal="left" vertical="center"/>
      <protection hidden="1"/>
    </xf>
    <xf numFmtId="0" fontId="100" fillId="0" borderId="0" xfId="3" quotePrefix="1" applyFont="1" applyAlignment="1" applyProtection="1">
      <alignment horizontal="left" vertical="top"/>
      <protection hidden="1"/>
    </xf>
    <xf numFmtId="0" fontId="100" fillId="0" borderId="0" xfId="3" quotePrefix="1" applyFont="1" applyAlignment="1" applyProtection="1">
      <alignment horizontal="right" vertical="center"/>
      <protection hidden="1"/>
    </xf>
    <xf numFmtId="0" fontId="18" fillId="0" borderId="247" xfId="3" applyFont="1" applyBorder="1" applyAlignment="1" applyProtection="1">
      <alignment horizontal="right"/>
      <protection hidden="1"/>
    </xf>
    <xf numFmtId="0" fontId="18" fillId="0" borderId="248" xfId="3" applyFont="1" applyBorder="1" applyAlignment="1" applyProtection="1">
      <alignment horizontal="right"/>
      <protection hidden="1"/>
    </xf>
    <xf numFmtId="0" fontId="18" fillId="0" borderId="0" xfId="3" applyFont="1" applyAlignment="1" applyProtection="1">
      <alignment horizontal="left"/>
      <protection hidden="1"/>
    </xf>
    <xf numFmtId="0" fontId="100"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0" fontId="86" fillId="0" borderId="0" xfId="3" applyFont="1" applyAlignment="1" applyProtection="1">
      <alignment horizontal="left"/>
      <protection hidden="1"/>
    </xf>
    <xf numFmtId="0" fontId="70" fillId="0" borderId="0" xfId="3" applyFont="1" applyAlignment="1" applyProtection="1">
      <alignment horizontal="center" vertical="center" wrapText="1"/>
      <protection hidden="1"/>
    </xf>
    <xf numFmtId="0" fontId="50" fillId="0" borderId="0" xfId="3" applyFont="1" applyAlignment="1" applyProtection="1">
      <alignment horizontal="center" vertical="center"/>
      <protection hidden="1"/>
    </xf>
    <xf numFmtId="0" fontId="18" fillId="0" borderId="115" xfId="3" applyFont="1" applyBorder="1" applyAlignment="1" applyProtection="1">
      <alignment horizontal="center" vertical="center" wrapText="1"/>
      <protection hidden="1"/>
    </xf>
    <xf numFmtId="14" fontId="12" fillId="0" borderId="222" xfId="3" applyNumberFormat="1"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171" fontId="50" fillId="0" borderId="0" xfId="1" applyFont="1" applyAlignment="1">
      <alignment horizontal="center"/>
    </xf>
    <xf numFmtId="8" fontId="126" fillId="0" borderId="0" xfId="3" applyNumberFormat="1" applyFont="1" applyAlignment="1" applyProtection="1">
      <alignment horizontal="right"/>
      <protection hidden="1"/>
    </xf>
    <xf numFmtId="0" fontId="5" fillId="0" borderId="342" xfId="3" quotePrefix="1" applyBorder="1" applyAlignment="1" applyProtection="1">
      <alignment horizontal="left"/>
      <protection locked="0"/>
    </xf>
    <xf numFmtId="0" fontId="5" fillId="0" borderId="343" xfId="3" quotePrefix="1" applyBorder="1" applyAlignment="1" applyProtection="1">
      <alignment horizontal="left"/>
      <protection locked="0"/>
    </xf>
    <xf numFmtId="0" fontId="5" fillId="0" borderId="344" xfId="3" quotePrefix="1" applyBorder="1" applyAlignment="1" applyProtection="1">
      <alignment horizontal="left"/>
      <protection locked="0"/>
    </xf>
    <xf numFmtId="171" fontId="13" fillId="0" borderId="262"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42" xfId="2" applyNumberFormat="1" applyBorder="1" applyAlignment="1" applyProtection="1">
      <alignment horizontal="right"/>
      <protection locked="0"/>
    </xf>
    <xf numFmtId="171" fontId="5" fillId="0" borderId="343" xfId="2" applyNumberFormat="1" applyBorder="1" applyAlignment="1" applyProtection="1">
      <alignment horizontal="right"/>
      <protection locked="0"/>
    </xf>
    <xf numFmtId="171" fontId="5" fillId="0" borderId="344" xfId="2" applyNumberFormat="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77" fontId="13" fillId="0" borderId="209" xfId="3" applyNumberFormat="1" applyFont="1" applyBorder="1" applyAlignment="1" applyProtection="1">
      <alignment horizontal="center"/>
      <protection hidden="1"/>
    </xf>
    <xf numFmtId="177" fontId="13" fillId="0" borderId="213" xfId="3" applyNumberFormat="1" applyFont="1" applyBorder="1" applyAlignment="1" applyProtection="1">
      <alignment horizontal="center"/>
      <protection hidden="1"/>
    </xf>
    <xf numFmtId="177" fontId="13" fillId="0" borderId="217" xfId="3" applyNumberFormat="1" applyFont="1" applyBorder="1" applyAlignment="1" applyProtection="1">
      <alignment horizontal="center"/>
      <protection hidden="1"/>
    </xf>
    <xf numFmtId="211" fontId="12" fillId="0" borderId="227" xfId="3" applyNumberFormat="1" applyFont="1" applyBorder="1" applyAlignment="1" applyProtection="1">
      <alignment horizontal="center"/>
      <protection hidden="1"/>
    </xf>
    <xf numFmtId="211" fontId="12" fillId="0" borderId="228" xfId="3" applyNumberFormat="1" applyFont="1" applyBorder="1" applyAlignment="1" applyProtection="1">
      <alignment horizontal="center"/>
      <protection hidden="1"/>
    </xf>
    <xf numFmtId="171" fontId="13" fillId="0" borderId="294" xfId="3" applyNumberFormat="1" applyFont="1" applyBorder="1" applyAlignment="1" applyProtection="1">
      <alignment horizontal="right" vertical="center"/>
      <protection hidden="1"/>
    </xf>
    <xf numFmtId="0" fontId="13" fillId="0" borderId="25" xfId="3" applyFont="1" applyBorder="1" applyAlignment="1" applyProtection="1">
      <alignment horizontal="left"/>
      <protection hidden="1"/>
    </xf>
    <xf numFmtId="0" fontId="13" fillId="0" borderId="0" xfId="3" applyFont="1" applyAlignment="1" applyProtection="1">
      <alignment horizontal="left"/>
      <protection hidden="1"/>
    </xf>
    <xf numFmtId="0" fontId="13" fillId="0" borderId="336" xfId="3" applyFont="1" applyBorder="1" applyAlignment="1" applyProtection="1">
      <alignment horizontal="lef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201" fontId="5" fillId="53" borderId="0" xfId="3" applyNumberFormat="1" applyFill="1" applyAlignment="1" applyProtection="1">
      <alignment horizontal="center"/>
      <protection locked="0" hidden="1"/>
    </xf>
    <xf numFmtId="201" fontId="5" fillId="53" borderId="132"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0" fontId="158" fillId="0" borderId="0" xfId="3" applyFont="1" applyAlignment="1" applyProtection="1">
      <alignment horizontal="right" vertical="center"/>
      <protection hidden="1"/>
    </xf>
    <xf numFmtId="0" fontId="158" fillId="0" borderId="336" xfId="3" applyFont="1" applyBorder="1" applyAlignment="1" applyProtection="1">
      <alignment horizontal="right" vertic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44" fontId="13" fillId="0" borderId="136"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6" xfId="3" applyBorder="1" applyAlignment="1" applyProtection="1">
      <alignment horizontal="right" vertical="center"/>
      <protection hidden="1"/>
    </xf>
    <xf numFmtId="0" fontId="5" fillId="0" borderId="342" xfId="3" applyBorder="1" applyAlignment="1" applyProtection="1">
      <alignment horizontal="left"/>
      <protection locked="0"/>
    </xf>
    <xf numFmtId="0" fontId="5" fillId="0" borderId="343" xfId="3" applyBorder="1" applyAlignment="1" applyProtection="1">
      <alignment horizontal="left"/>
      <protection locked="0"/>
    </xf>
    <xf numFmtId="0" fontId="5" fillId="0" borderId="344" xfId="3" applyBorder="1" applyAlignment="1" applyProtection="1">
      <alignment horizontal="left"/>
      <protection locked="0"/>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177" fontId="5" fillId="53" borderId="17" xfId="3" applyNumberFormat="1" applyFill="1" applyBorder="1" applyAlignment="1" applyProtection="1">
      <alignment horizontal="center"/>
      <protection locked="0" hidden="1"/>
    </xf>
    <xf numFmtId="0" fontId="122" fillId="0" borderId="30" xfId="3" applyFont="1" applyBorder="1" applyAlignment="1" applyProtection="1">
      <alignment horizontal="left"/>
      <protection hidden="1"/>
    </xf>
    <xf numFmtId="171" fontId="15" fillId="0" borderId="8" xfId="3" applyNumberFormat="1" applyFont="1" applyBorder="1" applyProtection="1">
      <protection hidden="1"/>
    </xf>
    <xf numFmtId="0" fontId="5" fillId="0" borderId="1" xfId="3" applyBorder="1" applyAlignment="1" applyProtection="1">
      <alignment horizontal="center"/>
      <protection hidden="1"/>
    </xf>
    <xf numFmtId="0" fontId="25" fillId="0" borderId="25" xfId="3" applyFont="1" applyBorder="1" applyAlignment="1" applyProtection="1">
      <alignment horizontal="left"/>
      <protection hidden="1"/>
    </xf>
    <xf numFmtId="0" fontId="25" fillId="0" borderId="0" xfId="3" applyFont="1" applyAlignment="1" applyProtection="1">
      <alignment horizontal="left"/>
      <protection hidden="1"/>
    </xf>
    <xf numFmtId="0" fontId="25" fillId="0" borderId="262" xfId="3" applyFont="1" applyBorder="1" applyAlignment="1" applyProtection="1">
      <alignment horizontal="left"/>
      <protection hidden="1"/>
    </xf>
    <xf numFmtId="0" fontId="18" fillId="0" borderId="285" xfId="3" applyFont="1" applyBorder="1" applyAlignment="1" applyProtection="1">
      <alignment horizontal="center"/>
      <protection hidden="1"/>
    </xf>
    <xf numFmtId="0" fontId="18" fillId="0" borderId="1" xfId="3" applyFont="1" applyBorder="1" applyAlignment="1" applyProtection="1">
      <alignment horizontal="center"/>
      <protection hidden="1"/>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262" xfId="3" applyNumberFormat="1" applyFont="1" applyBorder="1" applyAlignment="1" applyProtection="1">
      <alignment horizontal="right"/>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9" fontId="14" fillId="0" borderId="0" xfId="2" applyNumberFormat="1" applyFont="1" applyAlignment="1" applyProtection="1">
      <alignment horizontal="right"/>
      <protection hidden="1"/>
    </xf>
    <xf numFmtId="171" fontId="15" fillId="0" borderId="69"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0" fontId="13" fillId="0" borderId="5" xfId="3" applyFont="1" applyBorder="1" applyProtection="1">
      <protection hidden="1"/>
    </xf>
    <xf numFmtId="0" fontId="5" fillId="0" borderId="291" xfId="3" applyBorder="1" applyProtection="1">
      <protection hidden="1"/>
    </xf>
    <xf numFmtId="0" fontId="5" fillId="0" borderId="282" xfId="3" applyBorder="1" applyProtection="1">
      <protection hidden="1"/>
    </xf>
    <xf numFmtId="0" fontId="5" fillId="0" borderId="283"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3" fillId="0" borderId="8" xfId="3" applyFont="1" applyBorder="1" applyProtection="1">
      <protection hidden="1"/>
    </xf>
    <xf numFmtId="0" fontId="15" fillId="0" borderId="7" xfId="3" applyFont="1" applyBorder="1" applyAlignment="1" applyProtection="1">
      <alignment horizontal="right"/>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7" xfId="3" applyFont="1" applyBorder="1" applyAlignment="1" applyProtection="1">
      <alignment horizontal="right"/>
      <protection hidden="1"/>
    </xf>
    <xf numFmtId="0" fontId="156" fillId="0" borderId="217" xfId="3" applyFont="1" applyBorder="1" applyAlignment="1" applyProtection="1">
      <alignment horizontal="center"/>
      <protection hidden="1"/>
    </xf>
    <xf numFmtId="0" fontId="156" fillId="0" borderId="211" xfId="3" applyFont="1" applyBorder="1" applyAlignment="1" applyProtection="1">
      <alignment horizontal="center"/>
      <protection hidden="1"/>
    </xf>
    <xf numFmtId="213"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0" fontId="13" fillId="0" borderId="290" xfId="3" quotePrefix="1" applyFont="1" applyBorder="1" applyAlignment="1">
      <alignment horizontal="center" vertical="center"/>
    </xf>
    <xf numFmtId="0" fontId="13" fillId="0" borderId="99" xfId="3" applyFont="1" applyBorder="1" applyAlignment="1">
      <alignment horizontal="center" vertical="center"/>
    </xf>
    <xf numFmtId="0" fontId="13" fillId="0" borderId="63" xfId="3" applyFont="1" applyBorder="1" applyAlignment="1">
      <alignment horizontal="center" vertical="center"/>
    </xf>
    <xf numFmtId="169" fontId="13" fillId="0" borderId="5" xfId="3" applyNumberFormat="1" applyFont="1" applyBorder="1" applyAlignment="1" applyProtection="1">
      <alignment horizontal="right"/>
      <protection hidden="1"/>
    </xf>
    <xf numFmtId="173" fontId="13" fillId="0" borderId="5" xfId="2" applyNumberFormat="1" applyFont="1" applyBorder="1" applyProtection="1">
      <protection hidden="1"/>
    </xf>
    <xf numFmtId="179" fontId="13" fillId="0" borderId="6" xfId="2" applyNumberFormat="1" applyFont="1" applyBorder="1" applyAlignment="1" applyProtection="1">
      <alignment horizontal="right"/>
      <protection hidden="1"/>
    </xf>
    <xf numFmtId="179" fontId="13" fillId="0" borderId="5" xfId="2" applyNumberFormat="1" applyFont="1" applyBorder="1" applyAlignment="1" applyProtection="1">
      <alignment horizontal="right"/>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 fillId="0" borderId="28" xfId="3" applyFont="1" applyBorder="1" applyAlignment="1" applyProtection="1">
      <alignment horizontal="left"/>
      <protection hidden="1"/>
    </xf>
    <xf numFmtId="171" fontId="13" fillId="0" borderId="39"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0" fontId="14" fillId="0" borderId="25" xfId="3" applyFont="1" applyBorder="1" applyAlignment="1" applyProtection="1">
      <alignment horizontal="left"/>
      <protection hidden="1"/>
    </xf>
    <xf numFmtId="0" fontId="14" fillId="0" borderId="0" xfId="3" applyFont="1" applyAlignment="1" applyProtection="1">
      <alignment horizontal="left"/>
      <protection hidden="1"/>
    </xf>
    <xf numFmtId="0" fontId="14" fillId="0" borderId="262" xfId="3" applyFont="1" applyBorder="1" applyAlignment="1" applyProtection="1">
      <alignment horizontal="left"/>
      <protection hidden="1"/>
    </xf>
    <xf numFmtId="179" fontId="13" fillId="0" borderId="5" xfId="2" applyNumberFormat="1" applyFont="1" applyBorder="1" applyProtection="1">
      <protection hidden="1"/>
    </xf>
    <xf numFmtId="171" fontId="13" fillId="0" borderId="4" xfId="3" applyNumberFormat="1" applyFont="1" applyBorder="1" applyAlignment="1" applyProtection="1">
      <alignment horizontal="right"/>
      <protection hidden="1"/>
    </xf>
    <xf numFmtId="171" fontId="13" fillId="0" borderId="6" xfId="3" applyNumberFormat="1" applyFont="1" applyBorder="1" applyAlignment="1" applyProtection="1">
      <alignment horizontal="right"/>
      <protection hidden="1"/>
    </xf>
    <xf numFmtId="0" fontId="122" fillId="0" borderId="0" xfId="3" applyFont="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6" fillId="0" borderId="218" xfId="3" applyNumberFormat="1" applyFont="1" applyBorder="1" applyAlignment="1" applyProtection="1">
      <alignment horizontal="left"/>
      <protection hidden="1"/>
    </xf>
    <xf numFmtId="171" fontId="136" fillId="0" borderId="219" xfId="3" applyNumberFormat="1" applyFont="1" applyBorder="1" applyAlignment="1" applyProtection="1">
      <alignment horizontal="left"/>
      <protection hidden="1"/>
    </xf>
    <xf numFmtId="171" fontId="136" fillId="0" borderId="220" xfId="3" applyNumberFormat="1" applyFont="1" applyBorder="1" applyAlignment="1" applyProtection="1">
      <alignment horizontal="left"/>
      <protection hidden="1"/>
    </xf>
    <xf numFmtId="171" fontId="135" fillId="0" borderId="218" xfId="3" applyNumberFormat="1" applyFont="1" applyBorder="1" applyAlignment="1" applyProtection="1">
      <alignment horizontal="left"/>
      <protection hidden="1"/>
    </xf>
    <xf numFmtId="171" fontId="135" fillId="0" borderId="219" xfId="3" applyNumberFormat="1" applyFont="1" applyBorder="1" applyAlignment="1" applyProtection="1">
      <alignment horizontal="left"/>
      <protection hidden="1"/>
    </xf>
    <xf numFmtId="171" fontId="135" fillId="0" borderId="220" xfId="3" applyNumberFormat="1" applyFont="1" applyBorder="1" applyAlignment="1" applyProtection="1">
      <alignment horizontal="left"/>
      <protection hidden="1"/>
    </xf>
    <xf numFmtId="0" fontId="21" fillId="0" borderId="101" xfId="3" applyFont="1" applyBorder="1" applyAlignment="1" applyProtection="1">
      <alignment horizontal="left"/>
      <protection hidden="1"/>
    </xf>
    <xf numFmtId="0" fontId="21" fillId="0" borderId="0" xfId="3" applyFont="1" applyAlignment="1" applyProtection="1">
      <alignment horizontal="left"/>
      <protection hidden="1"/>
    </xf>
    <xf numFmtId="176" fontId="12" fillId="0" borderId="0" xfId="3" applyNumberFormat="1" applyFont="1" applyAlignment="1" applyProtection="1">
      <alignment horizontal="right"/>
      <protection hidden="1"/>
    </xf>
    <xf numFmtId="0" fontId="13" fillId="0" borderId="29"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92" xfId="3" applyFont="1" applyBorder="1" applyAlignment="1" applyProtection="1">
      <alignment horizontal="center" vertical="center" wrapText="1"/>
      <protection hidden="1"/>
    </xf>
    <xf numFmtId="0" fontId="13" fillId="0" borderId="63" xfId="3" applyFont="1" applyBorder="1" applyAlignment="1" applyProtection="1">
      <alignment horizontal="center" vertical="center" wrapText="1"/>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7" xfId="3" applyBorder="1" applyAlignment="1" applyProtection="1">
      <alignment horizontal="left"/>
      <protection hidden="1"/>
    </xf>
    <xf numFmtId="0" fontId="5" fillId="0" borderId="288" xfId="3" applyBorder="1" applyAlignment="1" applyProtection="1">
      <alignment horizontal="left"/>
      <protection hidden="1"/>
    </xf>
    <xf numFmtId="0" fontId="5" fillId="0" borderId="289"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56" fillId="0" borderId="260" xfId="3" applyNumberFormat="1" applyFont="1" applyBorder="1" applyAlignment="1" applyProtection="1">
      <alignment horizontal="center"/>
      <protection hidden="1"/>
    </xf>
    <xf numFmtId="177" fontId="156" fillId="0" borderId="261" xfId="3" applyNumberFormat="1" applyFont="1" applyBorder="1" applyAlignment="1" applyProtection="1">
      <alignment horizontal="center"/>
      <protection hidden="1"/>
    </xf>
    <xf numFmtId="177" fontId="156" fillId="0" borderId="250" xfId="3" applyNumberFormat="1" applyFont="1" applyBorder="1" applyAlignment="1" applyProtection="1">
      <alignment horizontal="center"/>
      <protection hidden="1"/>
    </xf>
    <xf numFmtId="181" fontId="22" fillId="0" borderId="0" xfId="3" applyNumberFormat="1" applyFont="1" applyAlignment="1">
      <alignment horizontal="center"/>
    </xf>
    <xf numFmtId="181" fontId="22" fillId="0" borderId="132" xfId="3" applyNumberFormat="1" applyFont="1" applyBorder="1" applyAlignment="1">
      <alignment horizontal="center"/>
    </xf>
    <xf numFmtId="171" fontId="12" fillId="0" borderId="0" xfId="1" applyFont="1"/>
    <xf numFmtId="174" fontId="13" fillId="0" borderId="285" xfId="3" applyNumberFormat="1" applyFont="1" applyBorder="1" applyAlignment="1" applyProtection="1">
      <alignment horizontal="right"/>
      <protection hidden="1"/>
    </xf>
    <xf numFmtId="0" fontId="12" fillId="0" borderId="290" xfId="3" applyFont="1" applyBorder="1" applyAlignment="1" applyProtection="1">
      <alignment horizontal="center" vertical="center" wrapText="1"/>
      <protection hidden="1"/>
    </xf>
    <xf numFmtId="0" fontId="100" fillId="0" borderId="141" xfId="3" applyFont="1" applyBorder="1" applyAlignment="1" applyProtection="1">
      <alignment horizontal="left" vertical="top" wrapText="1"/>
      <protection hidden="1"/>
    </xf>
    <xf numFmtId="0" fontId="100" fillId="0" borderId="142" xfId="3" applyFont="1" applyBorder="1" applyAlignment="1" applyProtection="1">
      <alignment horizontal="left" vertical="top" wrapText="1"/>
      <protection hidden="1"/>
    </xf>
    <xf numFmtId="0" fontId="100" fillId="0" borderId="143" xfId="3" applyFont="1" applyBorder="1" applyAlignment="1" applyProtection="1">
      <alignment horizontal="left" vertical="top" wrapText="1"/>
      <protection hidden="1"/>
    </xf>
    <xf numFmtId="0" fontId="100" fillId="0" borderId="144" xfId="3" applyFont="1" applyBorder="1" applyAlignment="1" applyProtection="1">
      <alignment horizontal="left" vertical="top" wrapText="1"/>
      <protection hidden="1"/>
    </xf>
    <xf numFmtId="0" fontId="100" fillId="0" borderId="0" xfId="3" applyFont="1" applyAlignment="1" applyProtection="1">
      <alignment horizontal="left" vertical="top" wrapText="1"/>
      <protection hidden="1"/>
    </xf>
    <xf numFmtId="0" fontId="100" fillId="0" borderId="145" xfId="3" applyFont="1" applyBorder="1" applyAlignment="1" applyProtection="1">
      <alignment horizontal="left" vertical="top" wrapText="1"/>
      <protection hidden="1"/>
    </xf>
    <xf numFmtId="0" fontId="100" fillId="0" borderId="146" xfId="3" applyFont="1" applyBorder="1" applyAlignment="1" applyProtection="1">
      <alignment horizontal="left" vertical="top" wrapText="1"/>
      <protection hidden="1"/>
    </xf>
    <xf numFmtId="0" fontId="100" fillId="0" borderId="147" xfId="3" applyFont="1" applyBorder="1" applyAlignment="1" applyProtection="1">
      <alignment horizontal="left" vertical="top" wrapText="1"/>
      <protection hidden="1"/>
    </xf>
    <xf numFmtId="0" fontId="100" fillId="0" borderId="148" xfId="3" applyFont="1" applyBorder="1" applyAlignment="1" applyProtection="1">
      <alignment horizontal="left" vertical="top" wrapText="1"/>
      <protection hidden="1"/>
    </xf>
    <xf numFmtId="14" fontId="5" fillId="54" borderId="0" xfId="3" applyNumberFormat="1" applyFill="1" applyAlignment="1" applyProtection="1">
      <alignment horizontal="center" vertical="center"/>
      <protection locked="0"/>
    </xf>
    <xf numFmtId="0" fontId="207" fillId="0" borderId="0" xfId="3" applyFont="1" applyAlignment="1" applyProtection="1">
      <alignment horizontal="center" wrapText="1"/>
      <protection hidden="1"/>
    </xf>
    <xf numFmtId="0" fontId="18" fillId="0" borderId="18"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8" fontId="13" fillId="0" borderId="0" xfId="3" applyNumberFormat="1" applyFont="1" applyAlignment="1" applyProtection="1">
      <alignment horizontal="right"/>
      <protection hidden="1"/>
    </xf>
    <xf numFmtId="181"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0" fontId="5" fillId="0" borderId="134" xfId="3" applyBorder="1" applyAlignment="1" applyProtection="1">
      <alignment horizontal="right"/>
      <protection hidden="1"/>
    </xf>
    <xf numFmtId="173" fontId="13" fillId="54" borderId="17" xfId="2" applyNumberFormat="1" applyFont="1" applyFill="1" applyBorder="1" applyAlignment="1" applyProtection="1">
      <alignment horizontal="center"/>
      <protection locked="0" hidden="1"/>
    </xf>
    <xf numFmtId="0" fontId="12" fillId="0" borderId="101" xfId="3" applyFont="1" applyBorder="1" applyAlignment="1" applyProtection="1">
      <alignment horizontal="right"/>
      <protection hidden="1"/>
    </xf>
    <xf numFmtId="0" fontId="12" fillId="0" borderId="0" xfId="3" applyFont="1" applyAlignment="1" applyProtection="1">
      <alignment horizontal="right"/>
      <protection hidden="1"/>
    </xf>
    <xf numFmtId="0" fontId="108" fillId="0" borderId="0" xfId="3" quotePrefix="1" applyFont="1" applyAlignment="1" applyProtection="1">
      <alignment horizontal="left" vertical="center"/>
      <protection hidden="1"/>
    </xf>
    <xf numFmtId="0" fontId="108" fillId="0" borderId="0" xfId="3" quotePrefix="1" applyFont="1" applyAlignment="1" applyProtection="1">
      <alignment horizontal="left" vertical="top"/>
      <protection hidden="1"/>
    </xf>
    <xf numFmtId="176" fontId="101" fillId="0" borderId="149" xfId="3" applyNumberFormat="1" applyFont="1" applyBorder="1" applyAlignment="1" applyProtection="1">
      <alignment horizontal="center" vertical="center"/>
      <protection hidden="1"/>
    </xf>
    <xf numFmtId="176" fontId="101" fillId="0" borderId="150" xfId="3" applyNumberFormat="1" applyFont="1" applyBorder="1" applyAlignment="1" applyProtection="1">
      <alignment horizontal="center" vertical="center"/>
      <protection hidden="1"/>
    </xf>
    <xf numFmtId="176" fontId="101" fillId="0" borderId="151" xfId="3" applyNumberFormat="1" applyFont="1" applyBorder="1" applyAlignment="1" applyProtection="1">
      <alignment horizontal="center" vertical="center"/>
      <protection hidden="1"/>
    </xf>
    <xf numFmtId="0" fontId="108" fillId="0" borderId="0" xfId="3" quotePrefix="1" applyFont="1" applyAlignment="1" applyProtection="1">
      <alignment horizontal="left" vertical="center" wrapText="1"/>
      <protection hidden="1"/>
    </xf>
    <xf numFmtId="0" fontId="88" fillId="0" borderId="29" xfId="3" applyFont="1" applyBorder="1" applyAlignment="1" applyProtection="1">
      <alignment horizontal="center" vertical="center"/>
      <protection locked="0" hidden="1"/>
    </xf>
    <xf numFmtId="0" fontId="88" fillId="0" borderId="31" xfId="3" applyFont="1" applyBorder="1" applyAlignment="1" applyProtection="1">
      <alignment horizontal="center" vertical="center"/>
      <protection locked="0" hidden="1"/>
    </xf>
    <xf numFmtId="0" fontId="53" fillId="0" borderId="118" xfId="0" applyFont="1" applyBorder="1" applyAlignment="1" applyProtection="1">
      <alignment horizontal="right" vertical="top"/>
      <protection hidden="1"/>
    </xf>
    <xf numFmtId="0" fontId="53" fillId="0" borderId="119" xfId="0" applyFont="1" applyBorder="1" applyAlignment="1" applyProtection="1">
      <alignment horizontal="right" vertical="top"/>
      <protection hidden="1"/>
    </xf>
    <xf numFmtId="0" fontId="53" fillId="0" borderId="120" xfId="0" applyFont="1" applyBorder="1" applyAlignment="1" applyProtection="1">
      <alignment horizontal="right" vertical="top"/>
      <protection hidden="1"/>
    </xf>
    <xf numFmtId="0" fontId="53" fillId="0" borderId="121" xfId="0" applyFont="1" applyBorder="1" applyAlignment="1" applyProtection="1">
      <alignment horizontal="right" vertical="top"/>
      <protection hidden="1"/>
    </xf>
    <xf numFmtId="0" fontId="53" fillId="0" borderId="122" xfId="0" applyFont="1" applyBorder="1" applyAlignment="1" applyProtection="1">
      <alignment horizontal="right" vertical="top"/>
      <protection hidden="1"/>
    </xf>
    <xf numFmtId="0" fontId="53" fillId="0" borderId="123" xfId="0" applyFont="1" applyBorder="1" applyAlignment="1" applyProtection="1">
      <alignment horizontal="right" vertical="top"/>
      <protection hidden="1"/>
    </xf>
    <xf numFmtId="0" fontId="0" fillId="0" borderId="0" xfId="0" applyAlignment="1" applyProtection="1">
      <alignment horizontal="center"/>
      <protection hidden="1"/>
    </xf>
    <xf numFmtId="0" fontId="0" fillId="0" borderId="298"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18" fillId="0" borderId="287" xfId="0" applyFont="1" applyBorder="1" applyAlignment="1" applyProtection="1">
      <alignment horizontal="right"/>
      <protection hidden="1"/>
    </xf>
    <xf numFmtId="0" fontId="18" fillId="0" borderId="288" xfId="0" applyFont="1" applyBorder="1" applyAlignment="1" applyProtection="1">
      <alignment horizontal="right"/>
      <protection hidden="1"/>
    </xf>
    <xf numFmtId="0" fontId="18" fillId="0" borderId="289" xfId="0" applyFont="1" applyBorder="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9" xfId="0" applyFont="1" applyBorder="1" applyAlignment="1" applyProtection="1">
      <alignment horizontal="left" vertical="center"/>
      <protection hidden="1"/>
    </xf>
    <xf numFmtId="0" fontId="157" fillId="0" borderId="0" xfId="0" applyFont="1" applyAlignment="1" applyProtection="1">
      <alignment horizontal="left" vertical="center"/>
      <protection hidden="1"/>
    </xf>
    <xf numFmtId="0" fontId="165" fillId="0" borderId="0" xfId="0" applyFont="1" applyAlignment="1" applyProtection="1">
      <alignment horizontal="center"/>
      <protection hidden="1"/>
    </xf>
    <xf numFmtId="0" fontId="18" fillId="0" borderId="0" xfId="0" applyFont="1" applyAlignment="1" applyProtection="1">
      <alignment horizontal="center"/>
      <protection hidden="1"/>
    </xf>
    <xf numFmtId="0" fontId="56" fillId="0" borderId="0" xfId="0" applyFont="1" applyAlignment="1" applyProtection="1">
      <alignment horizontal="left" vertical="center" wrapText="1"/>
      <protection hidden="1"/>
    </xf>
    <xf numFmtId="0" fontId="73" fillId="16" borderId="18" xfId="0" applyFont="1" applyFill="1" applyBorder="1" applyAlignment="1" applyProtection="1">
      <alignment horizontal="right"/>
      <protection hidden="1"/>
    </xf>
    <xf numFmtId="0" fontId="73" fillId="16" borderId="20" xfId="0" applyFont="1" applyFill="1" applyBorder="1" applyAlignment="1" applyProtection="1">
      <alignment horizontal="right"/>
      <protection hidden="1"/>
    </xf>
    <xf numFmtId="0" fontId="73" fillId="16" borderId="0" xfId="0" applyFont="1" applyFill="1" applyAlignment="1" applyProtection="1">
      <alignment horizontal="center" wrapText="1"/>
      <protection hidden="1"/>
    </xf>
    <xf numFmtId="0" fontId="29" fillId="16" borderId="298" xfId="0" applyFont="1" applyFill="1" applyBorder="1" applyAlignment="1" applyProtection="1">
      <alignment horizontal="right"/>
      <protection hidden="1"/>
    </xf>
    <xf numFmtId="0" fontId="0" fillId="0" borderId="298"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60" xfId="3" applyFont="1" applyFill="1" applyBorder="1" applyAlignment="1" applyProtection="1">
      <alignment horizontal="center"/>
      <protection hidden="1"/>
    </xf>
    <xf numFmtId="0" fontId="13" fillId="2" borderId="261" xfId="3" applyFont="1" applyFill="1" applyBorder="1" applyAlignment="1" applyProtection="1">
      <alignment horizontal="center"/>
      <protection hidden="1"/>
    </xf>
    <xf numFmtId="0" fontId="13" fillId="2" borderId="250" xfId="3" applyFont="1" applyFill="1" applyBorder="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0" xfId="3" applyAlignment="1" applyProtection="1">
      <alignment horizontal="center"/>
      <protection hidden="1"/>
    </xf>
    <xf numFmtId="0" fontId="5" fillId="0" borderId="98" xfId="3"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0" fontId="114" fillId="22" borderId="0" xfId="0" applyFont="1" applyFill="1" applyAlignment="1" applyProtection="1">
      <alignment horizontal="center"/>
      <protection hidden="1"/>
    </xf>
    <xf numFmtId="0" fontId="114" fillId="14" borderId="0" xfId="0" applyFont="1" applyFill="1" applyAlignment="1" applyProtection="1">
      <alignment horizontal="center"/>
      <protection hidden="1"/>
    </xf>
    <xf numFmtId="177" fontId="5" fillId="0" borderId="98" xfId="3" applyNumberFormat="1" applyBorder="1" applyAlignment="1" applyProtection="1">
      <alignment horizontal="center"/>
      <protection hidden="1"/>
    </xf>
    <xf numFmtId="0" fontId="47" fillId="0" borderId="0" xfId="3" applyFont="1" applyAlignment="1" applyProtection="1">
      <alignment horizontal="left" vertical="center"/>
      <protection hidden="1"/>
    </xf>
    <xf numFmtId="0" fontId="165" fillId="0" borderId="0" xfId="3" applyFont="1" applyAlignment="1" applyProtection="1">
      <alignment horizontal="center"/>
      <protection hidden="1"/>
    </xf>
    <xf numFmtId="0" fontId="18" fillId="0" borderId="0" xfId="3" applyFont="1" applyAlignment="1" applyProtection="1">
      <alignment horizontal="center"/>
      <protection hidden="1"/>
    </xf>
    <xf numFmtId="182" fontId="18" fillId="8" borderId="84" xfId="0" applyNumberFormat="1" applyFont="1" applyFill="1" applyBorder="1" applyAlignment="1" applyProtection="1">
      <alignment horizontal="center"/>
      <protection hidden="1"/>
    </xf>
    <xf numFmtId="182" fontId="18" fillId="8" borderId="85" xfId="0" applyNumberFormat="1" applyFont="1" applyFill="1" applyBorder="1" applyAlignment="1" applyProtection="1">
      <alignment horizontal="center"/>
      <protection hidden="1"/>
    </xf>
    <xf numFmtId="182" fontId="18" fillId="8" borderId="86" xfId="0" applyNumberFormat="1" applyFont="1" applyFill="1" applyBorder="1" applyAlignment="1" applyProtection="1">
      <alignment horizontal="center"/>
      <protection hidden="1"/>
    </xf>
    <xf numFmtId="182" fontId="17" fillId="0" borderId="84" xfId="0" applyNumberFormat="1" applyFont="1" applyBorder="1" applyAlignment="1" applyProtection="1">
      <alignment horizontal="center"/>
      <protection hidden="1"/>
    </xf>
    <xf numFmtId="182" fontId="0" fillId="0" borderId="85" xfId="0" applyNumberFormat="1" applyBorder="1" applyAlignment="1" applyProtection="1">
      <alignment horizontal="center"/>
      <protection hidden="1"/>
    </xf>
    <xf numFmtId="14" fontId="0" fillId="0" borderId="0" xfId="0" applyNumberFormat="1" applyAlignment="1" applyProtection="1">
      <alignment horizontal="center"/>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95" fillId="0" borderId="0" xfId="0" applyFont="1" applyAlignment="1" applyProtection="1">
      <alignment horizontal="right"/>
      <protection hidden="1"/>
    </xf>
    <xf numFmtId="0" fontId="96" fillId="0" borderId="0" xfId="0" applyFont="1" applyAlignment="1" applyProtection="1">
      <alignment horizontal="right"/>
      <protection hidden="1"/>
    </xf>
    <xf numFmtId="0" fontId="94" fillId="0" borderId="0" xfId="0" applyFont="1" applyAlignment="1" applyProtection="1">
      <alignment horizontal="right"/>
      <protection hidden="1"/>
    </xf>
    <xf numFmtId="0" fontId="93"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209" xfId="0" applyBorder="1" applyAlignment="1" applyProtection="1">
      <alignment horizontal="center" vertical="center"/>
      <protection hidden="1"/>
    </xf>
    <xf numFmtId="0" fontId="0" fillId="0" borderId="217" xfId="0" applyBorder="1" applyAlignment="1" applyProtection="1">
      <alignment horizontal="center" vertical="center"/>
      <protection hidden="1"/>
    </xf>
    <xf numFmtId="0" fontId="130" fillId="53" borderId="26" xfId="0" applyFont="1" applyFill="1" applyBorder="1" applyAlignment="1" applyProtection="1">
      <alignment horizontal="center"/>
      <protection locked="0"/>
    </xf>
    <xf numFmtId="0" fontId="130" fillId="53" borderId="28" xfId="0" applyFont="1" applyFill="1" applyBorder="1" applyAlignment="1" applyProtection="1">
      <alignment horizontal="center"/>
      <protection locked="0"/>
    </xf>
    <xf numFmtId="0" fontId="48"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9" xfId="0" applyBorder="1" applyAlignment="1" applyProtection="1">
      <alignment horizontal="center"/>
      <protection hidden="1"/>
    </xf>
    <xf numFmtId="0" fontId="0" fillId="0" borderId="217"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6" xfId="0" applyFont="1" applyBorder="1" applyAlignment="1" applyProtection="1">
      <alignment horizontal="center"/>
      <protection hidden="1"/>
    </xf>
    <xf numFmtId="0" fontId="18" fillId="0" borderId="216"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44" fontId="0" fillId="0" borderId="290" xfId="0" applyNumberFormat="1" applyBorder="1" applyAlignment="1" applyProtection="1">
      <alignment horizontal="center" vertical="center" wrapText="1"/>
      <protection hidden="1"/>
    </xf>
    <xf numFmtId="44" fontId="0" fillId="0" borderId="63" xfId="0" applyNumberFormat="1" applyBorder="1" applyAlignment="1" applyProtection="1">
      <alignment horizontal="center" vertical="center" wrapText="1"/>
      <protection hidden="1"/>
    </xf>
    <xf numFmtId="171" fontId="0" fillId="63" borderId="290" xfId="1" applyFont="1" applyFill="1" applyBorder="1" applyAlignment="1" applyProtection="1">
      <alignment horizontal="center" vertical="center"/>
      <protection locked="0"/>
    </xf>
    <xf numFmtId="171" fontId="0" fillId="63" borderId="63" xfId="1" applyFont="1" applyFill="1" applyBorder="1" applyAlignment="1" applyProtection="1">
      <alignment horizontal="center" vertical="center"/>
      <protection locked="0"/>
    </xf>
    <xf numFmtId="0" fontId="0" fillId="0" borderId="262" xfId="0" applyBorder="1" applyAlignment="1" applyProtection="1">
      <alignment horizontal="right"/>
      <protection hidden="1"/>
    </xf>
    <xf numFmtId="0" fontId="0" fillId="0" borderId="17"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51" fillId="0" borderId="0" xfId="0" applyFont="1" applyAlignment="1" applyProtection="1">
      <alignment horizontal="left" vertical="center"/>
      <protection hidden="1"/>
    </xf>
    <xf numFmtId="0" fontId="151"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210" fontId="0" fillId="0" borderId="25" xfId="0" applyNumberFormat="1" applyBorder="1" applyAlignment="1" applyProtection="1">
      <alignment horizontal="center"/>
      <protection hidden="1"/>
    </xf>
    <xf numFmtId="210" fontId="0" fillId="0" borderId="98" xfId="0" applyNumberForma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8" xfId="0" applyNumberFormat="1" applyFill="1" applyBorder="1" applyAlignment="1" applyProtection="1">
      <alignment horizontal="center"/>
      <protection locked="0"/>
    </xf>
    <xf numFmtId="0" fontId="0" fillId="0" borderId="98" xfId="0" applyBorder="1" applyAlignment="1" applyProtection="1">
      <alignment horizontal="left"/>
      <protection hidden="1"/>
    </xf>
    <xf numFmtId="0" fontId="0" fillId="53" borderId="0" xfId="0" applyFill="1" applyAlignment="1" applyProtection="1">
      <alignment horizontal="left"/>
      <protection locked="0"/>
    </xf>
    <xf numFmtId="0" fontId="0" fillId="53" borderId="98" xfId="0" applyFill="1" applyBorder="1" applyAlignment="1" applyProtection="1">
      <alignment horizontal="left"/>
      <protection locked="0"/>
    </xf>
    <xf numFmtId="0" fontId="0" fillId="0" borderId="129" xfId="0" applyBorder="1" applyAlignment="1">
      <alignment horizontal="left"/>
    </xf>
    <xf numFmtId="0" fontId="0" fillId="0" borderId="0" xfId="0" applyAlignment="1" applyProtection="1">
      <alignment horizontal="left" vertical="center" wrapText="1"/>
      <protection hidden="1"/>
    </xf>
    <xf numFmtId="0" fontId="0" fillId="0" borderId="0" xfId="0" applyAlignment="1">
      <alignment horizontal="left"/>
    </xf>
    <xf numFmtId="0" fontId="0" fillId="0" borderId="125" xfId="0" applyBorder="1" applyAlignment="1">
      <alignment horizontal="left"/>
    </xf>
    <xf numFmtId="0" fontId="193" fillId="0" borderId="0" xfId="0" applyFont="1" applyAlignment="1" applyProtection="1">
      <alignment horizontal="center"/>
      <protection hidden="1"/>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lignment horizontal="right" wrapText="1"/>
    </xf>
    <xf numFmtId="0" fontId="0" fillId="0" borderId="118"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18"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146" fillId="0" borderId="0" xfId="0" applyFont="1" applyAlignment="1" applyProtection="1">
      <alignment horizontal="center"/>
      <protection hidden="1"/>
    </xf>
    <xf numFmtId="176" fontId="0" fillId="0" borderId="118" xfId="0" applyNumberFormat="1" applyBorder="1" applyAlignment="1" applyProtection="1">
      <alignment horizontal="center"/>
      <protection hidden="1"/>
    </xf>
    <xf numFmtId="176" fontId="0" fillId="0" borderId="119" xfId="0" applyNumberFormat="1" applyBorder="1" applyAlignment="1" applyProtection="1">
      <alignment horizontal="center"/>
      <protection hidden="1"/>
    </xf>
    <xf numFmtId="176" fontId="0" fillId="0" borderId="120"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9" fillId="53" borderId="112" xfId="0" applyNumberFormat="1" applyFont="1" applyFill="1" applyBorder="1" applyAlignment="1" applyProtection="1">
      <alignment horizontal="center"/>
      <protection locked="0"/>
    </xf>
    <xf numFmtId="176" fontId="119" fillId="53" borderId="112" xfId="0" applyNumberFormat="1" applyFont="1" applyFill="1" applyBorder="1" applyAlignment="1" applyProtection="1">
      <alignment horizontal="center"/>
      <protection locked="0"/>
    </xf>
    <xf numFmtId="14" fontId="0" fillId="0" borderId="118" xfId="0" applyNumberFormat="1" applyBorder="1" applyAlignment="1">
      <alignment horizontal="center"/>
    </xf>
    <xf numFmtId="14" fontId="0" fillId="0" borderId="120" xfId="0" applyNumberFormat="1" applyBorder="1" applyAlignment="1">
      <alignment horizontal="center"/>
    </xf>
    <xf numFmtId="176" fontId="119" fillId="53" borderId="121" xfId="0" applyNumberFormat="1" applyFont="1" applyFill="1" applyBorder="1" applyAlignment="1" applyProtection="1">
      <alignment horizontal="center"/>
      <protection locked="0"/>
    </xf>
    <xf numFmtId="176" fontId="119" fillId="53" borderId="123" xfId="0" applyNumberFormat="1" applyFont="1" applyFill="1" applyBorder="1" applyAlignment="1" applyProtection="1">
      <alignment horizontal="center"/>
      <protection locked="0"/>
    </xf>
    <xf numFmtId="174" fontId="119" fillId="53" borderId="112" xfId="0" applyNumberFormat="1" applyFont="1" applyFill="1" applyBorder="1" applyAlignment="1" applyProtection="1">
      <alignment horizontal="center"/>
      <protection locked="0"/>
    </xf>
    <xf numFmtId="174" fontId="0" fillId="0" borderId="110" xfId="0" applyNumberFormat="1" applyBorder="1" applyAlignment="1" applyProtection="1">
      <alignment horizontal="center"/>
      <protection hidden="1"/>
    </xf>
    <xf numFmtId="176" fontId="0" fillId="0" borderId="110" xfId="0" applyNumberFormat="1" applyBorder="1" applyAlignment="1" applyProtection="1">
      <alignment horizontal="center"/>
      <protection hidden="1"/>
    </xf>
    <xf numFmtId="0" fontId="0" fillId="53" borderId="110" xfId="0" applyFill="1" applyBorder="1" applyAlignment="1" applyProtection="1">
      <alignment horizontal="left" vertical="center" wrapText="1"/>
      <protection locked="0"/>
    </xf>
    <xf numFmtId="0" fontId="0" fillId="53" borderId="112" xfId="0" applyFill="1" applyBorder="1" applyAlignment="1" applyProtection="1">
      <alignment horizontal="left" vertical="center" wrapText="1"/>
      <protection locked="0"/>
    </xf>
    <xf numFmtId="0" fontId="67" fillId="0" borderId="0" xfId="0" applyFont="1" applyAlignment="1" applyProtection="1">
      <alignment horizontal="center" vertical="center"/>
      <protection hidden="1"/>
    </xf>
    <xf numFmtId="182" fontId="0" fillId="0" borderId="104" xfId="0" applyNumberFormat="1" applyBorder="1" applyAlignment="1" applyProtection="1">
      <alignment horizontal="center" vertical="center"/>
      <protection hidden="1"/>
    </xf>
    <xf numFmtId="182" fontId="0" fillId="0" borderId="105"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0" fillId="0" borderId="102" xfId="0"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182" fontId="0" fillId="0" borderId="71" xfId="0" applyNumberFormat="1" applyBorder="1" applyAlignment="1" applyProtection="1">
      <alignment horizontal="center"/>
      <protection hidden="1"/>
    </xf>
    <xf numFmtId="182" fontId="0" fillId="0" borderId="72" xfId="0" applyNumberFormat="1" applyBorder="1" applyAlignment="1" applyProtection="1">
      <alignment horizontal="center"/>
      <protection hidden="1"/>
    </xf>
    <xf numFmtId="182" fontId="0" fillId="0" borderId="73" xfId="0" applyNumberFormat="1" applyBorder="1" applyAlignment="1" applyProtection="1">
      <alignment horizontal="center"/>
      <protection hidden="1"/>
    </xf>
    <xf numFmtId="182" fontId="0" fillId="0" borderId="110" xfId="0" applyNumberFormat="1" applyBorder="1" applyAlignment="1" applyProtection="1">
      <alignment horizontal="center" vertical="center"/>
      <protection hidden="1"/>
    </xf>
    <xf numFmtId="182" fontId="0" fillId="0" borderId="112" xfId="0" applyNumberFormat="1" applyBorder="1" applyAlignment="1" applyProtection="1">
      <alignment horizontal="center" vertical="center"/>
      <protection hidden="1"/>
    </xf>
    <xf numFmtId="0" fontId="17" fillId="0" borderId="102" xfId="0" applyFont="1" applyBorder="1" applyAlignment="1" applyProtection="1">
      <alignment horizontal="center" vertical="center" wrapText="1"/>
      <protection hidden="1"/>
    </xf>
    <xf numFmtId="0" fontId="17" fillId="0" borderId="103" xfId="0" applyFont="1" applyBorder="1" applyAlignment="1" applyProtection="1">
      <alignment horizontal="center" vertical="center" wrapText="1"/>
      <protection hidden="1"/>
    </xf>
    <xf numFmtId="0" fontId="73" fillId="16" borderId="0" xfId="0" applyFont="1" applyFill="1" applyAlignment="1" applyProtection="1">
      <alignment horizontal="center"/>
      <protection hidden="1"/>
    </xf>
    <xf numFmtId="0" fontId="29" fillId="16" borderId="0" xfId="3" applyFont="1" applyFill="1" applyAlignment="1" applyProtection="1">
      <alignment horizontal="right"/>
      <protection hidden="1"/>
    </xf>
    <xf numFmtId="0" fontId="73" fillId="16" borderId="0" xfId="3" applyFont="1" applyFill="1" applyAlignment="1" applyProtection="1">
      <alignment horizontal="center" vertical="center" wrapText="1"/>
      <protection hidden="1"/>
    </xf>
    <xf numFmtId="182" fontId="0" fillId="0" borderId="104" xfId="0" applyNumberFormat="1" applyBorder="1" applyAlignment="1" applyProtection="1">
      <alignment horizontal="center"/>
      <protection hidden="1"/>
    </xf>
    <xf numFmtId="182" fontId="0" fillId="0" borderId="105" xfId="0" applyNumberFormat="1" applyBorder="1" applyAlignment="1" applyProtection="1">
      <alignment horizontal="center"/>
      <protection hidden="1"/>
    </xf>
    <xf numFmtId="182" fontId="0" fillId="0" borderId="106" xfId="0" applyNumberFormat="1" applyBorder="1" applyAlignment="1" applyProtection="1">
      <alignment horizontal="center"/>
      <protection hidden="1"/>
    </xf>
    <xf numFmtId="0" fontId="61" fillId="0" borderId="17" xfId="0" applyFont="1" applyBorder="1" applyAlignment="1" applyProtection="1">
      <alignment horizontal="center" vertical="center" wrapText="1"/>
      <protection hidden="1"/>
    </xf>
    <xf numFmtId="0" fontId="61" fillId="0" borderId="92" xfId="0" applyFont="1" applyBorder="1" applyAlignment="1" applyProtection="1">
      <alignment horizontal="center" vertical="center" wrapText="1"/>
      <protection hidden="1"/>
    </xf>
    <xf numFmtId="0" fontId="18" fillId="0" borderId="215"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0" fontId="5" fillId="0" borderId="209" xfId="3" applyBorder="1" applyAlignment="1" applyProtection="1">
      <alignment horizontal="right"/>
      <protection hidden="1"/>
    </xf>
    <xf numFmtId="0" fontId="5" fillId="0" borderId="213" xfId="3" applyBorder="1" applyAlignment="1" applyProtection="1">
      <alignment horizontal="right"/>
      <protection hidden="1"/>
    </xf>
    <xf numFmtId="0" fontId="5" fillId="0" borderId="210" xfId="3" applyBorder="1" applyAlignment="1" applyProtection="1">
      <alignment horizontal="right"/>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3"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31" xfId="0" applyFont="1" applyBorder="1" applyAlignment="1" applyProtection="1">
      <alignment horizontal="right"/>
      <protection hidden="1"/>
    </xf>
    <xf numFmtId="0" fontId="29" fillId="0" borderId="0" xfId="0" applyFont="1" applyAlignment="1" applyProtection="1">
      <alignment horizontal="right"/>
      <protection hidden="1"/>
    </xf>
    <xf numFmtId="0" fontId="18" fillId="0" borderId="212" xfId="3" applyFont="1" applyBorder="1" applyAlignment="1" applyProtection="1">
      <alignment horizontal="center" vertical="center" wrapText="1"/>
      <protection hidden="1"/>
    </xf>
    <xf numFmtId="0" fontId="18" fillId="0" borderId="61" xfId="3" applyFont="1" applyBorder="1" applyAlignment="1" applyProtection="1">
      <alignment horizontal="center" vertical="center" wrapText="1"/>
      <protection hidden="1"/>
    </xf>
    <xf numFmtId="0" fontId="18" fillId="0" borderId="214"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29" fillId="0" borderId="0" xfId="0" applyFont="1" applyAlignment="1" applyProtection="1">
      <alignment horizontal="left" wrapText="1"/>
      <protection hidden="1"/>
    </xf>
    <xf numFmtId="0" fontId="29" fillId="0" borderId="127"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0" fillId="0" borderId="131" xfId="0" applyBorder="1" applyAlignment="1" applyProtection="1">
      <alignment horizontal="right"/>
      <protection hidden="1"/>
    </xf>
    <xf numFmtId="0" fontId="0" fillId="0" borderId="264" xfId="0" applyBorder="1" applyAlignment="1" applyProtection="1">
      <alignment horizontal="center" vertical="center" wrapText="1"/>
      <protection hidden="1"/>
    </xf>
    <xf numFmtId="0" fontId="5" fillId="0" borderId="217"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10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ill>
        <patternFill>
          <bgColor rgb="FFFFFF00"/>
        </patternFill>
      </fill>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ill>
        <patternFill>
          <bgColor theme="3" tint="0.59996337778862885"/>
        </patternFill>
      </fill>
    </dxf>
    <dxf>
      <fill>
        <patternFill>
          <bgColor theme="6"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ill>
        <patternFill>
          <bgColor theme="7" tint="0.59996337778862885"/>
        </patternFill>
      </fill>
    </dxf>
    <dxf>
      <font>
        <b/>
        <i val="0"/>
      </font>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74" formatCode="0&quot; jrs&quot;"/>
    </dxf>
    <dxf>
      <numFmt numFmtId="174" formatCode="0&quot; jrs&quot;"/>
    </dxf>
    <dxf>
      <numFmt numFmtId="169" formatCode="0.00&quot; h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fill>
        <patternFill patternType="none">
          <bgColor auto="1"/>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solid">
          <bgColor rgb="FFF15C5A"/>
        </patternFill>
      </fill>
    </dxf>
    <dxf>
      <fill>
        <patternFill patternType="solid">
          <bgColor rgb="FFF15C5A"/>
        </patternFill>
      </fill>
    </dxf>
    <dxf>
      <font>
        <b val="0"/>
        <condense val="0"/>
        <extend val="0"/>
        <color indexed="17"/>
      </font>
      <fill>
        <patternFill patternType="solid">
          <fgColor indexed="42"/>
          <bgColor indexed="27"/>
        </patternFill>
      </fill>
    </dxf>
    <dxf>
      <font>
        <b val="0"/>
        <condense val="0"/>
        <extend val="0"/>
        <color indexed="16"/>
      </font>
      <fill>
        <patternFill patternType="solid">
          <fgColor indexed="26"/>
          <bgColor indexed="4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7"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74" formatCode="0&quot; jrs&quot;"/>
    </dxf>
    <dxf>
      <numFmt numFmtId="174" formatCode="0&quot; jrs&quot;"/>
    </dxf>
    <dxf>
      <numFmt numFmtId="0" formatCode="General"/>
    </dxf>
    <dxf>
      <numFmt numFmtId="169" formatCode="0.00&quot; hrs&quot;"/>
    </dxf>
    <dxf>
      <font>
        <color theme="0"/>
      </fon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ABDBC"/>
      <color rgb="FFF79D9B"/>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2024 vers 2025</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spéciale"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spéciale" et choisir de nouveau "Collage spéciales".</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18</xdr:row>
      <xdr:rowOff>84668</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433916</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465667</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476250</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465666</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455083</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423332</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433915</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A2" sqref="A2"/>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1730</v>
      </c>
      <c r="E2" s="1057" t="s">
        <v>1455</v>
      </c>
      <c r="F2" s="1009"/>
      <c r="G2" s="1009"/>
      <c r="H2" s="1009"/>
      <c r="M2" s="1378" t="str">
        <f>+"Année : "&amp;Identification!B60</f>
        <v>Année : 2025</v>
      </c>
    </row>
    <row r="80" spans="45:45" x14ac:dyDescent="0.2">
      <c r="AS80" s="29"/>
    </row>
  </sheetData>
  <sheetProtection algorithmName="SHA-512" hashValue="rf4EpOyMynTBCmMKnJTz25MtfHpCvtOcvbf/GXiP9Tgx3lOu4RdWjOXdwfquRB41isAgb51QvF2Qx0n0xvn+zw==" saltValue="Yyk2LgriB1pOECkLCoimSw==" spinCount="100000" sheet="1" objects="1" scenarios="1" formatCells="0" formatColumns="0" formatRows="0" insertColumns="0" insertRows="0" insertHyperlink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514</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4mgUJsL1XB6cwO7kAonNrtY270G9+vWPwg+sqlOYYyVqCAfJeEQSbVvKzEatVfevRBe3NKd489XaOUJgGTeGQ==" saltValue="XFIu1tRKLk/z0nwyjm1byg==" spinCount="100000" sheet="1" objects="1" scenarios="1" formatCells="0" formatColumns="0" formatRows="0" insertColumns="0" insertRows="0" insertHyperlinks="0" sort="0" autoFilter="0" pivotTables="0"/>
  <mergeCells count="70">
    <mergeCell ref="X24:AF24"/>
    <mergeCell ref="X22:AF22"/>
    <mergeCell ref="X21:AF21"/>
    <mergeCell ref="X19:AF19"/>
    <mergeCell ref="B16:J16"/>
    <mergeCell ref="X16:AF16"/>
    <mergeCell ref="M16:U16"/>
    <mergeCell ref="M17:U17"/>
    <mergeCell ref="M19:U19"/>
    <mergeCell ref="X17:AF17"/>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AS5:BC5"/>
    <mergeCell ref="BZ5:CJ5"/>
    <mergeCell ref="BO5:BY5"/>
    <mergeCell ref="A5:K5"/>
    <mergeCell ref="L5:V5"/>
    <mergeCell ref="W5:AG5"/>
    <mergeCell ref="AH5:AR5"/>
    <mergeCell ref="BD5:BN5"/>
  </mergeCells>
  <conditionalFormatting sqref="B7:I13">
    <cfRule type="cellIs" dxfId="1471" priority="21" operator="greaterThan">
      <formula>0</formula>
    </cfRule>
  </conditionalFormatting>
  <conditionalFormatting sqref="B17:J17">
    <cfRule type="expression" dxfId="1470" priority="60">
      <formula>K17=0</formula>
    </cfRule>
  </conditionalFormatting>
  <conditionalFormatting sqref="B22:J22">
    <cfRule type="expression" dxfId="1469" priority="52">
      <formula>K22=0</formula>
    </cfRule>
  </conditionalFormatting>
  <conditionalFormatting sqref="D40">
    <cfRule type="expression" dxfId="1468" priority="124">
      <formula>$E$40=0</formula>
    </cfRule>
  </conditionalFormatting>
  <conditionalFormatting sqref="D49">
    <cfRule type="expression" dxfId="1467" priority="123">
      <formula>$E$49=0</formula>
    </cfRule>
  </conditionalFormatting>
  <conditionalFormatting sqref="D58:E58">
    <cfRule type="expression" dxfId="1466" priority="66">
      <formula>$E$49&gt;0</formula>
    </cfRule>
  </conditionalFormatting>
  <conditionalFormatting sqref="E35">
    <cfRule type="cellIs" dxfId="1464" priority="5" operator="greaterThan">
      <formula>0</formula>
    </cfRule>
  </conditionalFormatting>
  <conditionalFormatting sqref="E40">
    <cfRule type="cellIs" dxfId="1463" priority="125" operator="equal">
      <formula>0</formula>
    </cfRule>
  </conditionalFormatting>
  <conditionalFormatting sqref="E49">
    <cfRule type="cellIs" dxfId="1462" priority="122" operator="equal">
      <formula>0</formula>
    </cfRule>
  </conditionalFormatting>
  <conditionalFormatting sqref="E50">
    <cfRule type="expression" dxfId="1461" priority="121">
      <formula>$E$49=0</formula>
    </cfRule>
  </conditionalFormatting>
  <conditionalFormatting sqref="E29:I29">
    <cfRule type="cellIs" dxfId="1460" priority="65" operator="between">
      <formula>46.9999999999</formula>
      <formula>51.99999</formula>
    </cfRule>
    <cfRule type="cellIs" dxfId="1459" priority="64" operator="greaterThanOrEqual">
      <formula>52.0000001</formula>
    </cfRule>
  </conditionalFormatting>
  <conditionalFormatting sqref="K17">
    <cfRule type="cellIs" dxfId="1458" priority="61" operator="equal">
      <formula>0</formula>
    </cfRule>
  </conditionalFormatting>
  <conditionalFormatting sqref="K19">
    <cfRule type="cellIs" dxfId="1457" priority="19" operator="greaterThan">
      <formula>0</formula>
    </cfRule>
    <cfRule type="expression" dxfId="1456" priority="29">
      <formula>OR(AND($E$29&gt;=47,$E$29&lt;=51,K14&gt;0),K19&gt;52,AND($E$29&gt;52,K14&gt;0),AND(K19&gt;=1,K14=0))</formula>
    </cfRule>
  </conditionalFormatting>
  <conditionalFormatting sqref="K22">
    <cfRule type="cellIs" dxfId="1455" priority="51" operator="equal">
      <formula>0</formula>
    </cfRule>
  </conditionalFormatting>
  <conditionalFormatting sqref="M7:T13">
    <cfRule type="cellIs" dxfId="1454" priority="20" operator="greaterThan">
      <formula>0</formula>
    </cfRule>
  </conditionalFormatting>
  <conditionalFormatting sqref="M17:U17">
    <cfRule type="expression" dxfId="1453" priority="43">
      <formula>V17=0</formula>
    </cfRule>
  </conditionalFormatting>
  <conditionalFormatting sqref="M22:U22">
    <cfRule type="expression" dxfId="1452" priority="36">
      <formula>V22=0</formula>
    </cfRule>
  </conditionalFormatting>
  <conditionalFormatting sqref="N31">
    <cfRule type="expression" dxfId="1451" priority="63">
      <formula>$EB$2="ROUGE"</formula>
    </cfRule>
  </conditionalFormatting>
  <conditionalFormatting sqref="N34">
    <cfRule type="cellIs" dxfId="1450" priority="4" operator="greaterThan">
      <formula>0</formula>
    </cfRule>
  </conditionalFormatting>
  <conditionalFormatting sqref="P39">
    <cfRule type="expression" dxfId="1449" priority="158">
      <formula>EB2="faux"</formula>
    </cfRule>
  </conditionalFormatting>
  <conditionalFormatting sqref="V17">
    <cfRule type="cellIs" dxfId="1448" priority="59" operator="equal">
      <formula>0</formula>
    </cfRule>
  </conditionalFormatting>
  <conditionalFormatting sqref="V19">
    <cfRule type="cellIs" dxfId="1447" priority="18" operator="greaterThan">
      <formula>0</formula>
    </cfRule>
    <cfRule type="expression" dxfId="1446" priority="28">
      <formula>OR(AND($E$29&gt;=47,$E$29&lt;=51,V14&gt;0),V19&gt;52,AND($E$29&gt;52,V14&gt;0),AND(V19&gt;=1,V14=0))</formula>
    </cfRule>
  </conditionalFormatting>
  <conditionalFormatting sqref="V22">
    <cfRule type="cellIs" dxfId="1445" priority="50" operator="equal">
      <formula>0</formula>
    </cfRule>
  </conditionalFormatting>
  <conditionalFormatting sqref="W31">
    <cfRule type="expression" dxfId="1444" priority="62">
      <formula>$EB$3="ROUGE"</formula>
    </cfRule>
  </conditionalFormatting>
  <conditionalFormatting sqref="W34">
    <cfRule type="cellIs" dxfId="1443" priority="1" operator="greaterThan">
      <formula>0</formula>
    </cfRule>
  </conditionalFormatting>
  <conditionalFormatting sqref="X7:AE13">
    <cfRule type="cellIs" dxfId="1442" priority="17" operator="greaterThan">
      <formula>0</formula>
    </cfRule>
  </conditionalFormatting>
  <conditionalFormatting sqref="X17:AF17">
    <cfRule type="expression" dxfId="1441" priority="42">
      <formula>AG17=0</formula>
    </cfRule>
  </conditionalFormatting>
  <conditionalFormatting sqref="X22:AF22">
    <cfRule type="expression" dxfId="1440" priority="35">
      <formula>AG22=0</formula>
    </cfRule>
  </conditionalFormatting>
  <conditionalFormatting sqref="AG17">
    <cfRule type="cellIs" dxfId="1439" priority="58" operator="equal">
      <formula>0</formula>
    </cfRule>
  </conditionalFormatting>
  <conditionalFormatting sqref="AG19">
    <cfRule type="cellIs" dxfId="1438" priority="16" operator="greaterThan">
      <formula>0</formula>
    </cfRule>
    <cfRule type="expression" dxfId="1437" priority="27">
      <formula>OR(AND($E$29&gt;=47,$E$29&lt;=51,AG14&gt;0),AG19&gt;52,AND($E$29&gt;52,AG14&gt;0),AND(AG19&gt;=1,AG14=0))</formula>
    </cfRule>
  </conditionalFormatting>
  <conditionalFormatting sqref="AG22">
    <cfRule type="cellIs" dxfId="1436" priority="49" operator="equal">
      <formula>0</formula>
    </cfRule>
  </conditionalFormatting>
  <conditionalFormatting sqref="AI7:AP13">
    <cfRule type="cellIs" dxfId="1435" priority="15" operator="greaterThan">
      <formula>0</formula>
    </cfRule>
  </conditionalFormatting>
  <conditionalFormatting sqref="AI17:AQ17">
    <cfRule type="expression" dxfId="1434" priority="41">
      <formula>AR17=0</formula>
    </cfRule>
  </conditionalFormatting>
  <conditionalFormatting sqref="AI22:AQ22">
    <cfRule type="expression" dxfId="1433" priority="34">
      <formula>AR22=0</formula>
    </cfRule>
  </conditionalFormatting>
  <conditionalFormatting sqref="AR17">
    <cfRule type="cellIs" dxfId="1432" priority="57" operator="equal">
      <formula>0</formula>
    </cfRule>
  </conditionalFormatting>
  <conditionalFormatting sqref="AR19">
    <cfRule type="cellIs" dxfId="1431" priority="14" operator="greaterThan">
      <formula>0</formula>
    </cfRule>
    <cfRule type="expression" dxfId="1430" priority="26">
      <formula>OR(AND($E$29&gt;=47,$E$29&lt;=51,AR14&gt;0),AR19&gt;52,AND($E$29&gt;52,AR14&gt;0),AND(AR19&gt;=1,AR14=0))</formula>
    </cfRule>
  </conditionalFormatting>
  <conditionalFormatting sqref="AR22">
    <cfRule type="cellIs" dxfId="1429" priority="48" operator="equal">
      <formula>0</formula>
    </cfRule>
  </conditionalFormatting>
  <conditionalFormatting sqref="AT7:BA13">
    <cfRule type="cellIs" dxfId="1428" priority="13" operator="greaterThan">
      <formula>0</formula>
    </cfRule>
  </conditionalFormatting>
  <conditionalFormatting sqref="AT17:BB17">
    <cfRule type="expression" dxfId="1427" priority="40">
      <formula>BC17=0</formula>
    </cfRule>
  </conditionalFormatting>
  <conditionalFormatting sqref="AT22:BB22">
    <cfRule type="expression" dxfId="1426" priority="33">
      <formula>BC22=0</formula>
    </cfRule>
  </conditionalFormatting>
  <conditionalFormatting sqref="BC17">
    <cfRule type="cellIs" dxfId="1425" priority="56" operator="equal">
      <formula>0</formula>
    </cfRule>
  </conditionalFormatting>
  <conditionalFormatting sqref="BC19">
    <cfRule type="expression" dxfId="1424" priority="25">
      <formula>OR(AND($E$29&gt;=47,$E$29&lt;=51,BC14&gt;0),BC19&gt;52,AND($E$29&gt;52,BC14&gt;0),AND(BC19&gt;=1,BC14=0))</formula>
    </cfRule>
    <cfRule type="cellIs" dxfId="1423" priority="12" operator="greaterThan">
      <formula>0</formula>
    </cfRule>
  </conditionalFormatting>
  <conditionalFormatting sqref="BC22">
    <cfRule type="cellIs" dxfId="1422" priority="47" operator="equal">
      <formula>0</formula>
    </cfRule>
  </conditionalFormatting>
  <conditionalFormatting sqref="BE7:BL13">
    <cfRule type="cellIs" dxfId="1421" priority="11" operator="greaterThan">
      <formula>0</formula>
    </cfRule>
  </conditionalFormatting>
  <conditionalFormatting sqref="BE17:BM17">
    <cfRule type="expression" dxfId="1420" priority="39">
      <formula>BN17=0</formula>
    </cfRule>
  </conditionalFormatting>
  <conditionalFormatting sqref="BE22:BM22">
    <cfRule type="expression" dxfId="1419" priority="32">
      <formula>BN22=0</formula>
    </cfRule>
  </conditionalFormatting>
  <conditionalFormatting sqref="BN17">
    <cfRule type="cellIs" dxfId="1418" priority="55" operator="equal">
      <formula>0</formula>
    </cfRule>
  </conditionalFormatting>
  <conditionalFormatting sqref="BN19">
    <cfRule type="expression" dxfId="1417" priority="24">
      <formula>OR(AND($E$29&gt;=47,$E$29&lt;=51,BN14&gt;0),BN19&gt;52,AND($E$29&gt;52,BN14&gt;0),AND(BN19&gt;=1,BN14=0))</formula>
    </cfRule>
    <cfRule type="cellIs" dxfId="1416" priority="10" operator="greaterThan">
      <formula>0</formula>
    </cfRule>
  </conditionalFormatting>
  <conditionalFormatting sqref="BN22">
    <cfRule type="cellIs" dxfId="1415" priority="46" operator="equal">
      <formula>0</formula>
    </cfRule>
  </conditionalFormatting>
  <conditionalFormatting sqref="BP7:BW13">
    <cfRule type="cellIs" dxfId="1414" priority="9" operator="greaterThan">
      <formula>0</formula>
    </cfRule>
  </conditionalFormatting>
  <conditionalFormatting sqref="BP17:BX17">
    <cfRule type="expression" dxfId="1413" priority="38">
      <formula>BY17=0</formula>
    </cfRule>
  </conditionalFormatting>
  <conditionalFormatting sqref="BP22:BX22">
    <cfRule type="expression" dxfId="1412" priority="31">
      <formula>BY22=0</formula>
    </cfRule>
  </conditionalFormatting>
  <conditionalFormatting sqref="BY17">
    <cfRule type="cellIs" dxfId="1411" priority="54" operator="equal">
      <formula>0</formula>
    </cfRule>
  </conditionalFormatting>
  <conditionalFormatting sqref="BY19">
    <cfRule type="cellIs" dxfId="1410" priority="8" operator="greaterThan">
      <formula>0</formula>
    </cfRule>
    <cfRule type="expression" dxfId="1409" priority="23">
      <formula>OR(AND($E$29&gt;=47,$E$29&lt;=51,BY14&gt;0),BY19&gt;52,AND($E$29&gt;52,BY14&gt;0),AND(BY19&gt;=1,BY14=0))</formula>
    </cfRule>
  </conditionalFormatting>
  <conditionalFormatting sqref="BY22">
    <cfRule type="cellIs" dxfId="1408" priority="45" operator="equal">
      <formula>0</formula>
    </cfRule>
  </conditionalFormatting>
  <conditionalFormatting sqref="CA7:CH13">
    <cfRule type="cellIs" dxfId="1407" priority="7" operator="greaterThan">
      <formula>0</formula>
    </cfRule>
  </conditionalFormatting>
  <conditionalFormatting sqref="CA17:CI17">
    <cfRule type="expression" dxfId="1406" priority="37">
      <formula>CJ17=0</formula>
    </cfRule>
  </conditionalFormatting>
  <conditionalFormatting sqref="CA22:CI22">
    <cfRule type="expression" dxfId="1405" priority="30">
      <formula>CJ22=0</formula>
    </cfRule>
  </conditionalFormatting>
  <conditionalFormatting sqref="CJ17">
    <cfRule type="cellIs" dxfId="1404" priority="53" operator="equal">
      <formula>0</formula>
    </cfRule>
  </conditionalFormatting>
  <conditionalFormatting sqref="CJ19">
    <cfRule type="expression" dxfId="1403" priority="22">
      <formula>OR(AND($E$29&gt;=47,$E$29&lt;=51,CJ14&gt;0),CJ19&gt;52,AND($E$29&gt;52,CJ14&gt;0),AND(CJ19&gt;=1,CJ14=0))</formula>
    </cfRule>
    <cfRule type="cellIs" dxfId="1402" priority="6" operator="greaterThan">
      <formula>0</formula>
    </cfRule>
  </conditionalFormatting>
  <conditionalFormatting sqref="CJ22">
    <cfRule type="cellIs" dxfId="1401"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515</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rmpEHVIykWdVmrIHSGF6aKcxin6MZ7nE9YoYUPvWJYfvLmOyvEINCCXkKVQCceaHZlnmXmimCK95BOLq3GfzKw==" saltValue="wHULuGTvEN6HkfHmkplENA==" spinCount="100000" sheet="1" objects="1" scenarios="1" formatCells="0" formatColumns="0" formatRows="0" insertColumns="0" insertRows="0" insertHyperlinks="0" sort="0" autoFilter="0" pivotTables="0"/>
  <mergeCells count="70">
    <mergeCell ref="X24:AF24"/>
    <mergeCell ref="X22:AF22"/>
    <mergeCell ref="X21:AF21"/>
    <mergeCell ref="X19:AF19"/>
    <mergeCell ref="B16:J16"/>
    <mergeCell ref="X16:AF16"/>
    <mergeCell ref="M16:U16"/>
    <mergeCell ref="M17:U17"/>
    <mergeCell ref="M19:U19"/>
    <mergeCell ref="X17:AF17"/>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AS5:BC5"/>
    <mergeCell ref="BZ5:CJ5"/>
    <mergeCell ref="BO5:BY5"/>
    <mergeCell ref="A5:K5"/>
    <mergeCell ref="L5:V5"/>
    <mergeCell ref="W5:AG5"/>
    <mergeCell ref="AH5:AR5"/>
    <mergeCell ref="BD5:BN5"/>
  </mergeCells>
  <conditionalFormatting sqref="B7:I13">
    <cfRule type="cellIs" dxfId="1400" priority="21" operator="greaterThan">
      <formula>0</formula>
    </cfRule>
  </conditionalFormatting>
  <conditionalFormatting sqref="B17:J17">
    <cfRule type="expression" dxfId="1399" priority="60">
      <formula>K17=0</formula>
    </cfRule>
  </conditionalFormatting>
  <conditionalFormatting sqref="B22:J22">
    <cfRule type="expression" dxfId="1398" priority="52">
      <formula>K22=0</formula>
    </cfRule>
  </conditionalFormatting>
  <conditionalFormatting sqref="D40">
    <cfRule type="expression" dxfId="1397" priority="124">
      <formula>$E$40=0</formula>
    </cfRule>
  </conditionalFormatting>
  <conditionalFormatting sqref="D49">
    <cfRule type="expression" dxfId="1396" priority="123">
      <formula>$E$49=0</formula>
    </cfRule>
  </conditionalFormatting>
  <conditionalFormatting sqref="D58:E58">
    <cfRule type="expression" dxfId="1395" priority="66">
      <formula>$E$49&gt;0</formula>
    </cfRule>
  </conditionalFormatting>
  <conditionalFormatting sqref="E35">
    <cfRule type="cellIs" dxfId="1393" priority="5" operator="greaterThan">
      <formula>0</formula>
    </cfRule>
  </conditionalFormatting>
  <conditionalFormatting sqref="E40">
    <cfRule type="cellIs" dxfId="1392" priority="125" operator="equal">
      <formula>0</formula>
    </cfRule>
  </conditionalFormatting>
  <conditionalFormatting sqref="E49">
    <cfRule type="cellIs" dxfId="1391" priority="122" operator="equal">
      <formula>0</formula>
    </cfRule>
  </conditionalFormatting>
  <conditionalFormatting sqref="E50">
    <cfRule type="expression" dxfId="1390" priority="121">
      <formula>$E$49=0</formula>
    </cfRule>
  </conditionalFormatting>
  <conditionalFormatting sqref="E29:I29">
    <cfRule type="cellIs" dxfId="1389" priority="65" operator="between">
      <formula>46.9999999999</formula>
      <formula>51.99999</formula>
    </cfRule>
    <cfRule type="cellIs" dxfId="1388" priority="64" operator="greaterThanOrEqual">
      <formula>52.0000001</formula>
    </cfRule>
  </conditionalFormatting>
  <conditionalFormatting sqref="K17">
    <cfRule type="cellIs" dxfId="1387" priority="61" operator="equal">
      <formula>0</formula>
    </cfRule>
  </conditionalFormatting>
  <conditionalFormatting sqref="K19">
    <cfRule type="cellIs" dxfId="1386" priority="19" operator="greaterThan">
      <formula>0</formula>
    </cfRule>
    <cfRule type="expression" dxfId="1385" priority="29">
      <formula>OR(AND($E$29&gt;=47,$E$29&lt;=51,K14&gt;0),K19&gt;52,AND($E$29&gt;52,K14&gt;0),AND(K19&gt;=1,K14=0))</formula>
    </cfRule>
  </conditionalFormatting>
  <conditionalFormatting sqref="K22">
    <cfRule type="cellIs" dxfId="1384" priority="51" operator="equal">
      <formula>0</formula>
    </cfRule>
  </conditionalFormatting>
  <conditionalFormatting sqref="M7:T13">
    <cfRule type="cellIs" dxfId="1383" priority="20" operator="greaterThan">
      <formula>0</formula>
    </cfRule>
  </conditionalFormatting>
  <conditionalFormatting sqref="M17:U17">
    <cfRule type="expression" dxfId="1382" priority="43">
      <formula>V17=0</formula>
    </cfRule>
  </conditionalFormatting>
  <conditionalFormatting sqref="M22:U22">
    <cfRule type="expression" dxfId="1381" priority="36">
      <formula>V22=0</formula>
    </cfRule>
  </conditionalFormatting>
  <conditionalFormatting sqref="N31">
    <cfRule type="expression" dxfId="1380" priority="63">
      <formula>$EB$2="ROUGE"</formula>
    </cfRule>
  </conditionalFormatting>
  <conditionalFormatting sqref="N34">
    <cfRule type="cellIs" dxfId="1379" priority="4" operator="greaterThan">
      <formula>0</formula>
    </cfRule>
  </conditionalFormatting>
  <conditionalFormatting sqref="P39">
    <cfRule type="expression" dxfId="1378" priority="158">
      <formula>EB2="faux"</formula>
    </cfRule>
  </conditionalFormatting>
  <conditionalFormatting sqref="V17">
    <cfRule type="cellIs" dxfId="1377" priority="59" operator="equal">
      <formula>0</formula>
    </cfRule>
  </conditionalFormatting>
  <conditionalFormatting sqref="V19">
    <cfRule type="cellIs" dxfId="1376" priority="18" operator="greaterThan">
      <formula>0</formula>
    </cfRule>
    <cfRule type="expression" dxfId="1375" priority="28">
      <formula>OR(AND($E$29&gt;=47,$E$29&lt;=51,V14&gt;0),V19&gt;52,AND($E$29&gt;52,V14&gt;0),AND(V19&gt;=1,V14=0))</formula>
    </cfRule>
  </conditionalFormatting>
  <conditionalFormatting sqref="V22">
    <cfRule type="cellIs" dxfId="1374" priority="50" operator="equal">
      <formula>0</formula>
    </cfRule>
  </conditionalFormatting>
  <conditionalFormatting sqref="W31">
    <cfRule type="expression" dxfId="1373" priority="62">
      <formula>$EB$3="ROUGE"</formula>
    </cfRule>
  </conditionalFormatting>
  <conditionalFormatting sqref="W34">
    <cfRule type="cellIs" dxfId="1372" priority="1" operator="greaterThan">
      <formula>0</formula>
    </cfRule>
  </conditionalFormatting>
  <conditionalFormatting sqref="X7:AE13">
    <cfRule type="cellIs" dxfId="1371" priority="17" operator="greaterThan">
      <formula>0</formula>
    </cfRule>
  </conditionalFormatting>
  <conditionalFormatting sqref="X17:AF17">
    <cfRule type="expression" dxfId="1370" priority="42">
      <formula>AG17=0</formula>
    </cfRule>
  </conditionalFormatting>
  <conditionalFormatting sqref="X22:AF22">
    <cfRule type="expression" dxfId="1369" priority="35">
      <formula>AG22=0</formula>
    </cfRule>
  </conditionalFormatting>
  <conditionalFormatting sqref="AG17">
    <cfRule type="cellIs" dxfId="1368" priority="58" operator="equal">
      <formula>0</formula>
    </cfRule>
  </conditionalFormatting>
  <conditionalFormatting sqref="AG19">
    <cfRule type="cellIs" dxfId="1367" priority="16" operator="greaterThan">
      <formula>0</formula>
    </cfRule>
    <cfRule type="expression" dxfId="1366" priority="27">
      <formula>OR(AND($E$29&gt;=47,$E$29&lt;=51,AG14&gt;0),AG19&gt;52,AND($E$29&gt;52,AG14&gt;0),AND(AG19&gt;=1,AG14=0))</formula>
    </cfRule>
  </conditionalFormatting>
  <conditionalFormatting sqref="AG22">
    <cfRule type="cellIs" dxfId="1365" priority="49" operator="equal">
      <formula>0</formula>
    </cfRule>
  </conditionalFormatting>
  <conditionalFormatting sqref="AI7:AP13">
    <cfRule type="cellIs" dxfId="1364" priority="15" operator="greaterThan">
      <formula>0</formula>
    </cfRule>
  </conditionalFormatting>
  <conditionalFormatting sqref="AI17:AQ17">
    <cfRule type="expression" dxfId="1363" priority="41">
      <formula>AR17=0</formula>
    </cfRule>
  </conditionalFormatting>
  <conditionalFormatting sqref="AI22:AQ22">
    <cfRule type="expression" dxfId="1362" priority="34">
      <formula>AR22=0</formula>
    </cfRule>
  </conditionalFormatting>
  <conditionalFormatting sqref="AR17">
    <cfRule type="cellIs" dxfId="1361" priority="57" operator="equal">
      <formula>0</formula>
    </cfRule>
  </conditionalFormatting>
  <conditionalFormatting sqref="AR19">
    <cfRule type="cellIs" dxfId="1360" priority="14" operator="greaterThan">
      <formula>0</formula>
    </cfRule>
    <cfRule type="expression" dxfId="1359" priority="26">
      <formula>OR(AND($E$29&gt;=47,$E$29&lt;=51,AR14&gt;0),AR19&gt;52,AND($E$29&gt;52,AR14&gt;0),AND(AR19&gt;=1,AR14=0))</formula>
    </cfRule>
  </conditionalFormatting>
  <conditionalFormatting sqref="AR22">
    <cfRule type="cellIs" dxfId="1358" priority="48" operator="equal">
      <formula>0</formula>
    </cfRule>
  </conditionalFormatting>
  <conditionalFormatting sqref="AT7:BA13">
    <cfRule type="cellIs" dxfId="1357" priority="13" operator="greaterThan">
      <formula>0</formula>
    </cfRule>
  </conditionalFormatting>
  <conditionalFormatting sqref="AT17:BB17">
    <cfRule type="expression" dxfId="1356" priority="40">
      <formula>BC17=0</formula>
    </cfRule>
  </conditionalFormatting>
  <conditionalFormatting sqref="AT22:BB22">
    <cfRule type="expression" dxfId="1355" priority="33">
      <formula>BC22=0</formula>
    </cfRule>
  </conditionalFormatting>
  <conditionalFormatting sqref="BC17">
    <cfRule type="cellIs" dxfId="1354" priority="56" operator="equal">
      <formula>0</formula>
    </cfRule>
  </conditionalFormatting>
  <conditionalFormatting sqref="BC19">
    <cfRule type="expression" dxfId="1353" priority="25">
      <formula>OR(AND($E$29&gt;=47,$E$29&lt;=51,BC14&gt;0),BC19&gt;52,AND($E$29&gt;52,BC14&gt;0),AND(BC19&gt;=1,BC14=0))</formula>
    </cfRule>
    <cfRule type="cellIs" dxfId="1352" priority="12" operator="greaterThan">
      <formula>0</formula>
    </cfRule>
  </conditionalFormatting>
  <conditionalFormatting sqref="BC22">
    <cfRule type="cellIs" dxfId="1351" priority="47" operator="equal">
      <formula>0</formula>
    </cfRule>
  </conditionalFormatting>
  <conditionalFormatting sqref="BE7:BL13">
    <cfRule type="cellIs" dxfId="1350" priority="11" operator="greaterThan">
      <formula>0</formula>
    </cfRule>
  </conditionalFormatting>
  <conditionalFormatting sqref="BE17:BM17">
    <cfRule type="expression" dxfId="1349" priority="39">
      <formula>BN17=0</formula>
    </cfRule>
  </conditionalFormatting>
  <conditionalFormatting sqref="BE22:BM22">
    <cfRule type="expression" dxfId="1348" priority="32">
      <formula>BN22=0</formula>
    </cfRule>
  </conditionalFormatting>
  <conditionalFormatting sqref="BN17">
    <cfRule type="cellIs" dxfId="1347" priority="55" operator="equal">
      <formula>0</formula>
    </cfRule>
  </conditionalFormatting>
  <conditionalFormatting sqref="BN19">
    <cfRule type="expression" dxfId="1346" priority="24">
      <formula>OR(AND($E$29&gt;=47,$E$29&lt;=51,BN14&gt;0),BN19&gt;52,AND($E$29&gt;52,BN14&gt;0),AND(BN19&gt;=1,BN14=0))</formula>
    </cfRule>
    <cfRule type="cellIs" dxfId="1345" priority="10" operator="greaterThan">
      <formula>0</formula>
    </cfRule>
  </conditionalFormatting>
  <conditionalFormatting sqref="BN22">
    <cfRule type="cellIs" dxfId="1344" priority="46" operator="equal">
      <formula>0</formula>
    </cfRule>
  </conditionalFormatting>
  <conditionalFormatting sqref="BP7:BW13">
    <cfRule type="cellIs" dxfId="1343" priority="9" operator="greaterThan">
      <formula>0</formula>
    </cfRule>
  </conditionalFormatting>
  <conditionalFormatting sqref="BP17:BX17">
    <cfRule type="expression" dxfId="1342" priority="38">
      <formula>BY17=0</formula>
    </cfRule>
  </conditionalFormatting>
  <conditionalFormatting sqref="BP22:BX22">
    <cfRule type="expression" dxfId="1341" priority="31">
      <formula>BY22=0</formula>
    </cfRule>
  </conditionalFormatting>
  <conditionalFormatting sqref="BY17">
    <cfRule type="cellIs" dxfId="1340" priority="54" operator="equal">
      <formula>0</formula>
    </cfRule>
  </conditionalFormatting>
  <conditionalFormatting sqref="BY19">
    <cfRule type="cellIs" dxfId="1339" priority="8" operator="greaterThan">
      <formula>0</formula>
    </cfRule>
    <cfRule type="expression" dxfId="1338" priority="23">
      <formula>OR(AND($E$29&gt;=47,$E$29&lt;=51,BY14&gt;0),BY19&gt;52,AND($E$29&gt;52,BY14&gt;0),AND(BY19&gt;=1,BY14=0))</formula>
    </cfRule>
  </conditionalFormatting>
  <conditionalFormatting sqref="BY22">
    <cfRule type="cellIs" dxfId="1337" priority="45" operator="equal">
      <formula>0</formula>
    </cfRule>
  </conditionalFormatting>
  <conditionalFormatting sqref="CA7:CH13">
    <cfRule type="cellIs" dxfId="1336" priority="7" operator="greaterThan">
      <formula>0</formula>
    </cfRule>
  </conditionalFormatting>
  <conditionalFormatting sqref="CA17:CI17">
    <cfRule type="expression" dxfId="1335" priority="37">
      <formula>CJ17=0</formula>
    </cfRule>
  </conditionalFormatting>
  <conditionalFormatting sqref="CA22:CI22">
    <cfRule type="expression" dxfId="1334" priority="30">
      <formula>CJ22=0</formula>
    </cfRule>
  </conditionalFormatting>
  <conditionalFormatting sqref="CJ17">
    <cfRule type="cellIs" dxfId="1333" priority="53" operator="equal">
      <formula>0</formula>
    </cfRule>
  </conditionalFormatting>
  <conditionalFormatting sqref="CJ19">
    <cfRule type="expression" dxfId="1332" priority="22">
      <formula>OR(AND($E$29&gt;=47,$E$29&lt;=51,CJ14&gt;0),CJ19&gt;52,AND($E$29&gt;52,CJ14&gt;0),AND(CJ19&gt;=1,CJ14=0))</formula>
    </cfRule>
    <cfRule type="cellIs" dxfId="1331" priority="6" operator="greaterThan">
      <formula>0</formula>
    </cfRule>
  </conditionalFormatting>
  <conditionalFormatting sqref="CJ22">
    <cfRule type="cellIs" dxfId="1330"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516</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j0CIRyZXX+G9iQ5fzrUqlJ6HngR26mdsZyMBWVGtUMXfm9O4AmJ5GkZHxaSJiLVSnki9sCDx4LQ2We6MI+JIjw==" saltValue="4c0BIKtSazkJy0BUSg5bCg==" spinCount="100000" sheet="1" objects="1" scenarios="1" formatCells="0" formatColumns="0" formatRows="0" insertColumns="0" insertRows="0" insertHyperlinks="0" sort="0" autoFilter="0" pivotTables="0"/>
  <mergeCells count="70">
    <mergeCell ref="X24:AF24"/>
    <mergeCell ref="X22:AF22"/>
    <mergeCell ref="X21:AF21"/>
    <mergeCell ref="X19:AF19"/>
    <mergeCell ref="B16:J16"/>
    <mergeCell ref="X16:AF16"/>
    <mergeCell ref="M16:U16"/>
    <mergeCell ref="M17:U17"/>
    <mergeCell ref="M19:U19"/>
    <mergeCell ref="X17:AF17"/>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AS5:BC5"/>
    <mergeCell ref="BZ5:CJ5"/>
    <mergeCell ref="BO5:BY5"/>
    <mergeCell ref="A5:K5"/>
    <mergeCell ref="L5:V5"/>
    <mergeCell ref="W5:AG5"/>
    <mergeCell ref="AH5:AR5"/>
    <mergeCell ref="BD5:BN5"/>
  </mergeCells>
  <conditionalFormatting sqref="B7:I13">
    <cfRule type="cellIs" dxfId="1329" priority="21" operator="greaterThan">
      <formula>0</formula>
    </cfRule>
  </conditionalFormatting>
  <conditionalFormatting sqref="B17:J17">
    <cfRule type="expression" dxfId="1328" priority="60">
      <formula>K17=0</formula>
    </cfRule>
  </conditionalFormatting>
  <conditionalFormatting sqref="B22:J22">
    <cfRule type="expression" dxfId="1327" priority="52">
      <formula>K22=0</formula>
    </cfRule>
  </conditionalFormatting>
  <conditionalFormatting sqref="D40">
    <cfRule type="expression" dxfId="1326" priority="124">
      <formula>$E$40=0</formula>
    </cfRule>
  </conditionalFormatting>
  <conditionalFormatting sqref="D49">
    <cfRule type="expression" dxfId="1325" priority="123">
      <formula>$E$49=0</formula>
    </cfRule>
  </conditionalFormatting>
  <conditionalFormatting sqref="D58:E58">
    <cfRule type="expression" dxfId="1324" priority="66">
      <formula>$E$49&gt;0</formula>
    </cfRule>
  </conditionalFormatting>
  <conditionalFormatting sqref="E35">
    <cfRule type="cellIs" dxfId="1322" priority="5" operator="greaterThan">
      <formula>0</formula>
    </cfRule>
  </conditionalFormatting>
  <conditionalFormatting sqref="E40">
    <cfRule type="cellIs" dxfId="1321" priority="125" operator="equal">
      <formula>0</formula>
    </cfRule>
  </conditionalFormatting>
  <conditionalFormatting sqref="E49">
    <cfRule type="cellIs" dxfId="1320" priority="122" operator="equal">
      <formula>0</formula>
    </cfRule>
  </conditionalFormatting>
  <conditionalFormatting sqref="E50">
    <cfRule type="expression" dxfId="1319" priority="121">
      <formula>$E$49=0</formula>
    </cfRule>
  </conditionalFormatting>
  <conditionalFormatting sqref="E29:I29">
    <cfRule type="cellIs" dxfId="1318" priority="65" operator="between">
      <formula>46.9999999999</formula>
      <formula>51.99999</formula>
    </cfRule>
    <cfRule type="cellIs" dxfId="1317" priority="64" operator="greaterThanOrEqual">
      <formula>52.0000001</formula>
    </cfRule>
  </conditionalFormatting>
  <conditionalFormatting sqref="K17">
    <cfRule type="cellIs" dxfId="1316" priority="61" operator="equal">
      <formula>0</formula>
    </cfRule>
  </conditionalFormatting>
  <conditionalFormatting sqref="K19">
    <cfRule type="cellIs" dxfId="1315" priority="19" operator="greaterThan">
      <formula>0</formula>
    </cfRule>
    <cfRule type="expression" dxfId="1314" priority="29">
      <formula>OR(AND($E$29&gt;=47,$E$29&lt;=51,K14&gt;0),K19&gt;52,AND($E$29&gt;52,K14&gt;0),AND(K19&gt;=1,K14=0))</formula>
    </cfRule>
  </conditionalFormatting>
  <conditionalFormatting sqref="K22">
    <cfRule type="cellIs" dxfId="1313" priority="51" operator="equal">
      <formula>0</formula>
    </cfRule>
  </conditionalFormatting>
  <conditionalFormatting sqref="M7:T13">
    <cfRule type="cellIs" dxfId="1312" priority="20" operator="greaterThan">
      <formula>0</formula>
    </cfRule>
  </conditionalFormatting>
  <conditionalFormatting sqref="M17:U17">
    <cfRule type="expression" dxfId="1311" priority="43">
      <formula>V17=0</formula>
    </cfRule>
  </conditionalFormatting>
  <conditionalFormatting sqref="M22:U22">
    <cfRule type="expression" dxfId="1310" priority="36">
      <formula>V22=0</formula>
    </cfRule>
  </conditionalFormatting>
  <conditionalFormatting sqref="N31">
    <cfRule type="expression" dxfId="1309" priority="63">
      <formula>$EB$2="ROUGE"</formula>
    </cfRule>
  </conditionalFormatting>
  <conditionalFormatting sqref="N34">
    <cfRule type="cellIs" dxfId="1308" priority="4" operator="greaterThan">
      <formula>0</formula>
    </cfRule>
  </conditionalFormatting>
  <conditionalFormatting sqref="P39">
    <cfRule type="expression" dxfId="1307" priority="158">
      <formula>EB2="faux"</formula>
    </cfRule>
  </conditionalFormatting>
  <conditionalFormatting sqref="V17">
    <cfRule type="cellIs" dxfId="1306" priority="59" operator="equal">
      <formula>0</formula>
    </cfRule>
  </conditionalFormatting>
  <conditionalFormatting sqref="V19">
    <cfRule type="cellIs" dxfId="1305" priority="18" operator="greaterThan">
      <formula>0</formula>
    </cfRule>
    <cfRule type="expression" dxfId="1304" priority="28">
      <formula>OR(AND($E$29&gt;=47,$E$29&lt;=51,V14&gt;0),V19&gt;52,AND($E$29&gt;52,V14&gt;0),AND(V19&gt;=1,V14=0))</formula>
    </cfRule>
  </conditionalFormatting>
  <conditionalFormatting sqref="V22">
    <cfRule type="cellIs" dxfId="1303" priority="50" operator="equal">
      <formula>0</formula>
    </cfRule>
  </conditionalFormatting>
  <conditionalFormatting sqref="W31">
    <cfRule type="expression" dxfId="1302" priority="62">
      <formula>$EB$3="ROUGE"</formula>
    </cfRule>
  </conditionalFormatting>
  <conditionalFormatting sqref="W34">
    <cfRule type="cellIs" dxfId="1301" priority="1" operator="greaterThan">
      <formula>0</formula>
    </cfRule>
  </conditionalFormatting>
  <conditionalFormatting sqref="X7:AE13">
    <cfRule type="cellIs" dxfId="1300" priority="17" operator="greaterThan">
      <formula>0</formula>
    </cfRule>
  </conditionalFormatting>
  <conditionalFormatting sqref="X17:AF17">
    <cfRule type="expression" dxfId="1299" priority="42">
      <formula>AG17=0</formula>
    </cfRule>
  </conditionalFormatting>
  <conditionalFormatting sqref="X22:AF22">
    <cfRule type="expression" dxfId="1298" priority="35">
      <formula>AG22=0</formula>
    </cfRule>
  </conditionalFormatting>
  <conditionalFormatting sqref="AG17">
    <cfRule type="cellIs" dxfId="1297" priority="58" operator="equal">
      <formula>0</formula>
    </cfRule>
  </conditionalFormatting>
  <conditionalFormatting sqref="AG19">
    <cfRule type="cellIs" dxfId="1296" priority="16" operator="greaterThan">
      <formula>0</formula>
    </cfRule>
    <cfRule type="expression" dxfId="1295" priority="27">
      <formula>OR(AND($E$29&gt;=47,$E$29&lt;=51,AG14&gt;0),AG19&gt;52,AND($E$29&gt;52,AG14&gt;0),AND(AG19&gt;=1,AG14=0))</formula>
    </cfRule>
  </conditionalFormatting>
  <conditionalFormatting sqref="AG22">
    <cfRule type="cellIs" dxfId="1294" priority="49" operator="equal">
      <formula>0</formula>
    </cfRule>
  </conditionalFormatting>
  <conditionalFormatting sqref="AI7:AP13">
    <cfRule type="cellIs" dxfId="1293" priority="15" operator="greaterThan">
      <formula>0</formula>
    </cfRule>
  </conditionalFormatting>
  <conditionalFormatting sqref="AI17:AQ17">
    <cfRule type="expression" dxfId="1292" priority="41">
      <formula>AR17=0</formula>
    </cfRule>
  </conditionalFormatting>
  <conditionalFormatting sqref="AI22:AQ22">
    <cfRule type="expression" dxfId="1291" priority="34">
      <formula>AR22=0</formula>
    </cfRule>
  </conditionalFormatting>
  <conditionalFormatting sqref="AR17">
    <cfRule type="cellIs" dxfId="1290" priority="57" operator="equal">
      <formula>0</formula>
    </cfRule>
  </conditionalFormatting>
  <conditionalFormatting sqref="AR19">
    <cfRule type="cellIs" dxfId="1289" priority="14" operator="greaterThan">
      <formula>0</formula>
    </cfRule>
    <cfRule type="expression" dxfId="1288" priority="26">
      <formula>OR(AND($E$29&gt;=47,$E$29&lt;=51,AR14&gt;0),AR19&gt;52,AND($E$29&gt;52,AR14&gt;0),AND(AR19&gt;=1,AR14=0))</formula>
    </cfRule>
  </conditionalFormatting>
  <conditionalFormatting sqref="AR22">
    <cfRule type="cellIs" dxfId="1287" priority="48" operator="equal">
      <formula>0</formula>
    </cfRule>
  </conditionalFormatting>
  <conditionalFormatting sqref="AT7:BA13">
    <cfRule type="cellIs" dxfId="1286" priority="13" operator="greaterThan">
      <formula>0</formula>
    </cfRule>
  </conditionalFormatting>
  <conditionalFormatting sqref="AT17:BB17">
    <cfRule type="expression" dxfId="1285" priority="40">
      <formula>BC17=0</formula>
    </cfRule>
  </conditionalFormatting>
  <conditionalFormatting sqref="AT22:BB22">
    <cfRule type="expression" dxfId="1284" priority="33">
      <formula>BC22=0</formula>
    </cfRule>
  </conditionalFormatting>
  <conditionalFormatting sqref="BC17">
    <cfRule type="cellIs" dxfId="1283" priority="56" operator="equal">
      <formula>0</formula>
    </cfRule>
  </conditionalFormatting>
  <conditionalFormatting sqref="BC19">
    <cfRule type="expression" dxfId="1282" priority="25">
      <formula>OR(AND($E$29&gt;=47,$E$29&lt;=51,BC14&gt;0),BC19&gt;52,AND($E$29&gt;52,BC14&gt;0),AND(BC19&gt;=1,BC14=0))</formula>
    </cfRule>
    <cfRule type="cellIs" dxfId="1281" priority="12" operator="greaterThan">
      <formula>0</formula>
    </cfRule>
  </conditionalFormatting>
  <conditionalFormatting sqref="BC22">
    <cfRule type="cellIs" dxfId="1280" priority="47" operator="equal">
      <formula>0</formula>
    </cfRule>
  </conditionalFormatting>
  <conditionalFormatting sqref="BE7:BL13">
    <cfRule type="cellIs" dxfId="1279" priority="11" operator="greaterThan">
      <formula>0</formula>
    </cfRule>
  </conditionalFormatting>
  <conditionalFormatting sqref="BE17:BM17">
    <cfRule type="expression" dxfId="1278" priority="39">
      <formula>BN17=0</formula>
    </cfRule>
  </conditionalFormatting>
  <conditionalFormatting sqref="BE22:BM22">
    <cfRule type="expression" dxfId="1277" priority="32">
      <formula>BN22=0</formula>
    </cfRule>
  </conditionalFormatting>
  <conditionalFormatting sqref="BN17">
    <cfRule type="cellIs" dxfId="1276" priority="55" operator="equal">
      <formula>0</formula>
    </cfRule>
  </conditionalFormatting>
  <conditionalFormatting sqref="BN19">
    <cfRule type="expression" dxfId="1275" priority="24">
      <formula>OR(AND($E$29&gt;=47,$E$29&lt;=51,BN14&gt;0),BN19&gt;52,AND($E$29&gt;52,BN14&gt;0),AND(BN19&gt;=1,BN14=0))</formula>
    </cfRule>
    <cfRule type="cellIs" dxfId="1274" priority="10" operator="greaterThan">
      <formula>0</formula>
    </cfRule>
  </conditionalFormatting>
  <conditionalFormatting sqref="BN22">
    <cfRule type="cellIs" dxfId="1273" priority="46" operator="equal">
      <formula>0</formula>
    </cfRule>
  </conditionalFormatting>
  <conditionalFormatting sqref="BP7:BW13">
    <cfRule type="cellIs" dxfId="1272" priority="9" operator="greaterThan">
      <formula>0</formula>
    </cfRule>
  </conditionalFormatting>
  <conditionalFormatting sqref="BP17:BX17">
    <cfRule type="expression" dxfId="1271" priority="38">
      <formula>BY17=0</formula>
    </cfRule>
  </conditionalFormatting>
  <conditionalFormatting sqref="BP22:BX22">
    <cfRule type="expression" dxfId="1270" priority="31">
      <formula>BY22=0</formula>
    </cfRule>
  </conditionalFormatting>
  <conditionalFormatting sqref="BY17">
    <cfRule type="cellIs" dxfId="1269" priority="54" operator="equal">
      <formula>0</formula>
    </cfRule>
  </conditionalFormatting>
  <conditionalFormatting sqref="BY19">
    <cfRule type="cellIs" dxfId="1268" priority="8" operator="greaterThan">
      <formula>0</formula>
    </cfRule>
    <cfRule type="expression" dxfId="1267" priority="23">
      <formula>OR(AND($E$29&gt;=47,$E$29&lt;=51,BY14&gt;0),BY19&gt;52,AND($E$29&gt;52,BY14&gt;0),AND(BY19&gt;=1,BY14=0))</formula>
    </cfRule>
  </conditionalFormatting>
  <conditionalFormatting sqref="BY22">
    <cfRule type="cellIs" dxfId="1266" priority="45" operator="equal">
      <formula>0</formula>
    </cfRule>
  </conditionalFormatting>
  <conditionalFormatting sqref="CA7:CH13">
    <cfRule type="cellIs" dxfId="1265" priority="7" operator="greaterThan">
      <formula>0</formula>
    </cfRule>
  </conditionalFormatting>
  <conditionalFormatting sqref="CA17:CI17">
    <cfRule type="expression" dxfId="1264" priority="37">
      <formula>CJ17=0</formula>
    </cfRule>
  </conditionalFormatting>
  <conditionalFormatting sqref="CA22:CI22">
    <cfRule type="expression" dxfId="1263" priority="30">
      <formula>CJ22=0</formula>
    </cfRule>
  </conditionalFormatting>
  <conditionalFormatting sqref="CJ17">
    <cfRule type="cellIs" dxfId="1262" priority="53" operator="equal">
      <formula>0</formula>
    </cfRule>
  </conditionalFormatting>
  <conditionalFormatting sqref="CJ19">
    <cfRule type="expression" dxfId="1261" priority="22">
      <formula>OR(AND($E$29&gt;=47,$E$29&lt;=51,CJ14&gt;0),CJ19&gt;52,AND($E$29&gt;52,CJ14&gt;0),AND(CJ19&gt;=1,CJ14=0))</formula>
    </cfRule>
    <cfRule type="cellIs" dxfId="1260" priority="6" operator="greaterThan">
      <formula>0</formula>
    </cfRule>
  </conditionalFormatting>
  <conditionalFormatting sqref="CJ22">
    <cfRule type="cellIs" dxfId="1259"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772</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Mp5sCJA0GWjg58o+DPIYLxp74Tu8460u6fFJlB6sWfie7HMzHTqLKxj7HBIirTdJOG+EyYdgRN2SSYLREEotGg==" saltValue="Ssy4D8nYkEsDfgRUknjtEQ==" spinCount="100000" sheet="1" objects="1" scenarios="1" formatCells="0" formatColumns="0" formatRows="0" insertColumns="0" insertRows="0" insertHyperlinks="0" sort="0" autoFilter="0" pivotTables="0"/>
  <mergeCells count="70">
    <mergeCell ref="J3:P3"/>
    <mergeCell ref="B17:J17"/>
    <mergeCell ref="B16:J16"/>
    <mergeCell ref="M24:U24"/>
    <mergeCell ref="B24:J24"/>
    <mergeCell ref="B22:J22"/>
    <mergeCell ref="B21:J21"/>
    <mergeCell ref="B19:J19"/>
    <mergeCell ref="M16:U16"/>
    <mergeCell ref="M17:U17"/>
    <mergeCell ref="M19:U19"/>
    <mergeCell ref="M21:U21"/>
    <mergeCell ref="M22:U22"/>
    <mergeCell ref="X16:AF16"/>
    <mergeCell ref="AI24:AQ24"/>
    <mergeCell ref="AI22:AQ22"/>
    <mergeCell ref="AI21:AQ21"/>
    <mergeCell ref="AI19:AQ19"/>
    <mergeCell ref="AI17:AQ17"/>
    <mergeCell ref="X24:AF24"/>
    <mergeCell ref="X22:AF22"/>
    <mergeCell ref="X21:AF21"/>
    <mergeCell ref="X19:AF19"/>
    <mergeCell ref="X17:AF17"/>
    <mergeCell ref="BP19:BX19"/>
    <mergeCell ref="BP17:BX17"/>
    <mergeCell ref="BP16:BX16"/>
    <mergeCell ref="BE24:BM24"/>
    <mergeCell ref="BE22:BM22"/>
    <mergeCell ref="BE21:BM21"/>
    <mergeCell ref="BE19:BM19"/>
    <mergeCell ref="BE17:BM17"/>
    <mergeCell ref="BE16:BM16"/>
    <mergeCell ref="CA22:CI22"/>
    <mergeCell ref="CA24:CI24"/>
    <mergeCell ref="BP24:BX24"/>
    <mergeCell ref="BP22:BX22"/>
    <mergeCell ref="BP21:BX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s>
  <conditionalFormatting sqref="B7:I13">
    <cfRule type="cellIs" dxfId="1258" priority="21" operator="greaterThan">
      <formula>0</formula>
    </cfRule>
  </conditionalFormatting>
  <conditionalFormatting sqref="B17:J17">
    <cfRule type="expression" dxfId="1257" priority="60">
      <formula>K17=0</formula>
    </cfRule>
  </conditionalFormatting>
  <conditionalFormatting sqref="B22:J22">
    <cfRule type="expression" dxfId="1256" priority="52">
      <formula>K22=0</formula>
    </cfRule>
  </conditionalFormatting>
  <conditionalFormatting sqref="D40">
    <cfRule type="expression" dxfId="1255" priority="124">
      <formula>$E$40=0</formula>
    </cfRule>
  </conditionalFormatting>
  <conditionalFormatting sqref="D49">
    <cfRule type="expression" dxfId="1254" priority="123">
      <formula>$E$49=0</formula>
    </cfRule>
  </conditionalFormatting>
  <conditionalFormatting sqref="D58:E58">
    <cfRule type="expression" dxfId="1253" priority="66">
      <formula>$E$49&gt;0</formula>
    </cfRule>
  </conditionalFormatting>
  <conditionalFormatting sqref="E35">
    <cfRule type="cellIs" dxfId="1251" priority="5" operator="greaterThan">
      <formula>0</formula>
    </cfRule>
  </conditionalFormatting>
  <conditionalFormatting sqref="E40">
    <cfRule type="cellIs" dxfId="1250" priority="125" operator="equal">
      <formula>0</formula>
    </cfRule>
  </conditionalFormatting>
  <conditionalFormatting sqref="E49">
    <cfRule type="cellIs" dxfId="1249" priority="122" operator="equal">
      <formula>0</formula>
    </cfRule>
  </conditionalFormatting>
  <conditionalFormatting sqref="E50">
    <cfRule type="expression" dxfId="1248" priority="121">
      <formula>$E$49=0</formula>
    </cfRule>
  </conditionalFormatting>
  <conditionalFormatting sqref="E29:I29">
    <cfRule type="cellIs" dxfId="1247" priority="65" operator="between">
      <formula>46.9999999999</formula>
      <formula>51.99999</formula>
    </cfRule>
    <cfRule type="cellIs" dxfId="1246" priority="64" operator="greaterThanOrEqual">
      <formula>52.0000001</formula>
    </cfRule>
  </conditionalFormatting>
  <conditionalFormatting sqref="K17">
    <cfRule type="cellIs" dxfId="1245" priority="61" operator="equal">
      <formula>0</formula>
    </cfRule>
  </conditionalFormatting>
  <conditionalFormatting sqref="K19">
    <cfRule type="cellIs" dxfId="1244" priority="19" operator="greaterThan">
      <formula>0</formula>
    </cfRule>
    <cfRule type="expression" dxfId="1243" priority="29">
      <formula>OR(AND($E$29&gt;=47,$E$29&lt;=51,K14&gt;0),K19&gt;52,AND($E$29&gt;52,K14&gt;0),AND(K19&gt;=1,K14=0))</formula>
    </cfRule>
  </conditionalFormatting>
  <conditionalFormatting sqref="K22">
    <cfRule type="cellIs" dxfId="1242" priority="51" operator="equal">
      <formula>0</formula>
    </cfRule>
  </conditionalFormatting>
  <conditionalFormatting sqref="M7:T13">
    <cfRule type="cellIs" dxfId="1241" priority="20" operator="greaterThan">
      <formula>0</formula>
    </cfRule>
  </conditionalFormatting>
  <conditionalFormatting sqref="M17:U17">
    <cfRule type="expression" dxfId="1240" priority="43">
      <formula>V17=0</formula>
    </cfRule>
  </conditionalFormatting>
  <conditionalFormatting sqref="M22:U22">
    <cfRule type="expression" dxfId="1239" priority="36">
      <formula>V22=0</formula>
    </cfRule>
  </conditionalFormatting>
  <conditionalFormatting sqref="N31">
    <cfRule type="expression" dxfId="1238" priority="63">
      <formula>$EB$2="ROUGE"</formula>
    </cfRule>
  </conditionalFormatting>
  <conditionalFormatting sqref="N34">
    <cfRule type="cellIs" dxfId="1237" priority="4" operator="greaterThan">
      <formula>0</formula>
    </cfRule>
  </conditionalFormatting>
  <conditionalFormatting sqref="P39">
    <cfRule type="expression" dxfId="1236" priority="158">
      <formula>EB2="faux"</formula>
    </cfRule>
  </conditionalFormatting>
  <conditionalFormatting sqref="V17">
    <cfRule type="cellIs" dxfId="1235" priority="59" operator="equal">
      <formula>0</formula>
    </cfRule>
  </conditionalFormatting>
  <conditionalFormatting sqref="V19">
    <cfRule type="cellIs" dxfId="1234" priority="18" operator="greaterThan">
      <formula>0</formula>
    </cfRule>
    <cfRule type="expression" dxfId="1233" priority="28">
      <formula>OR(AND($E$29&gt;=47,$E$29&lt;=51,V14&gt;0),V19&gt;52,AND($E$29&gt;52,V14&gt;0),AND(V19&gt;=1,V14=0))</formula>
    </cfRule>
  </conditionalFormatting>
  <conditionalFormatting sqref="V22">
    <cfRule type="cellIs" dxfId="1232" priority="50" operator="equal">
      <formula>0</formula>
    </cfRule>
  </conditionalFormatting>
  <conditionalFormatting sqref="W31">
    <cfRule type="expression" dxfId="1231" priority="62">
      <formula>$EB$3="ROUGE"</formula>
    </cfRule>
  </conditionalFormatting>
  <conditionalFormatting sqref="W34">
    <cfRule type="cellIs" dxfId="1230" priority="1" operator="greaterThan">
      <formula>0</formula>
    </cfRule>
  </conditionalFormatting>
  <conditionalFormatting sqref="X7:AE13">
    <cfRule type="cellIs" dxfId="1229" priority="17" operator="greaterThan">
      <formula>0</formula>
    </cfRule>
  </conditionalFormatting>
  <conditionalFormatting sqref="X17:AF17">
    <cfRule type="expression" dxfId="1228" priority="42">
      <formula>AG17=0</formula>
    </cfRule>
  </conditionalFormatting>
  <conditionalFormatting sqref="X22:AF22">
    <cfRule type="expression" dxfId="1227" priority="35">
      <formula>AG22=0</formula>
    </cfRule>
  </conditionalFormatting>
  <conditionalFormatting sqref="AG17">
    <cfRule type="cellIs" dxfId="1226" priority="58" operator="equal">
      <formula>0</formula>
    </cfRule>
  </conditionalFormatting>
  <conditionalFormatting sqref="AG19">
    <cfRule type="cellIs" dxfId="1225" priority="16" operator="greaterThan">
      <formula>0</formula>
    </cfRule>
    <cfRule type="expression" dxfId="1224" priority="27">
      <formula>OR(AND($E$29&gt;=47,$E$29&lt;=51,AG14&gt;0),AG19&gt;52,AND($E$29&gt;52,AG14&gt;0),AND(AG19&gt;=1,AG14=0))</formula>
    </cfRule>
  </conditionalFormatting>
  <conditionalFormatting sqref="AG22">
    <cfRule type="cellIs" dxfId="1223" priority="49" operator="equal">
      <formula>0</formula>
    </cfRule>
  </conditionalFormatting>
  <conditionalFormatting sqref="AI7:AP13">
    <cfRule type="cellIs" dxfId="1222" priority="15" operator="greaterThan">
      <formula>0</formula>
    </cfRule>
  </conditionalFormatting>
  <conditionalFormatting sqref="AI17:AQ17">
    <cfRule type="expression" dxfId="1221" priority="41">
      <formula>AR17=0</formula>
    </cfRule>
  </conditionalFormatting>
  <conditionalFormatting sqref="AI22:AQ22">
    <cfRule type="expression" dxfId="1220" priority="34">
      <formula>AR22=0</formula>
    </cfRule>
  </conditionalFormatting>
  <conditionalFormatting sqref="AR17">
    <cfRule type="cellIs" dxfId="1219" priority="57" operator="equal">
      <formula>0</formula>
    </cfRule>
  </conditionalFormatting>
  <conditionalFormatting sqref="AR19">
    <cfRule type="cellIs" dxfId="1218" priority="14" operator="greaterThan">
      <formula>0</formula>
    </cfRule>
    <cfRule type="expression" dxfId="1217" priority="26">
      <formula>OR(AND($E$29&gt;=47,$E$29&lt;=51,AR14&gt;0),AR19&gt;52,AND($E$29&gt;52,AR14&gt;0),AND(AR19&gt;=1,AR14=0))</formula>
    </cfRule>
  </conditionalFormatting>
  <conditionalFormatting sqref="AR22">
    <cfRule type="cellIs" dxfId="1216" priority="48" operator="equal">
      <formula>0</formula>
    </cfRule>
  </conditionalFormatting>
  <conditionalFormatting sqref="AT7:BA13">
    <cfRule type="cellIs" dxfId="1215" priority="13" operator="greaterThan">
      <formula>0</formula>
    </cfRule>
  </conditionalFormatting>
  <conditionalFormatting sqref="AT17:BB17">
    <cfRule type="expression" dxfId="1214" priority="40">
      <formula>BC17=0</formula>
    </cfRule>
  </conditionalFormatting>
  <conditionalFormatting sqref="AT22:BB22">
    <cfRule type="expression" dxfId="1213" priority="33">
      <formula>BC22=0</formula>
    </cfRule>
  </conditionalFormatting>
  <conditionalFormatting sqref="BC17">
    <cfRule type="cellIs" dxfId="1212" priority="56" operator="equal">
      <formula>0</formula>
    </cfRule>
  </conditionalFormatting>
  <conditionalFormatting sqref="BC19">
    <cfRule type="expression" dxfId="1211" priority="25">
      <formula>OR(AND($E$29&gt;=47,$E$29&lt;=51,BC14&gt;0),BC19&gt;52,AND($E$29&gt;52,BC14&gt;0),AND(BC19&gt;=1,BC14=0))</formula>
    </cfRule>
    <cfRule type="cellIs" dxfId="1210" priority="12" operator="greaterThan">
      <formula>0</formula>
    </cfRule>
  </conditionalFormatting>
  <conditionalFormatting sqref="BC22">
    <cfRule type="cellIs" dxfId="1209" priority="47" operator="equal">
      <formula>0</formula>
    </cfRule>
  </conditionalFormatting>
  <conditionalFormatting sqref="BE7:BL13">
    <cfRule type="cellIs" dxfId="1208" priority="11" operator="greaterThan">
      <formula>0</formula>
    </cfRule>
  </conditionalFormatting>
  <conditionalFormatting sqref="BE17:BM17">
    <cfRule type="expression" dxfId="1207" priority="39">
      <formula>BN17=0</formula>
    </cfRule>
  </conditionalFormatting>
  <conditionalFormatting sqref="BE22:BM22">
    <cfRule type="expression" dxfId="1206" priority="32">
      <formula>BN22=0</formula>
    </cfRule>
  </conditionalFormatting>
  <conditionalFormatting sqref="BN17">
    <cfRule type="cellIs" dxfId="1205" priority="55" operator="equal">
      <formula>0</formula>
    </cfRule>
  </conditionalFormatting>
  <conditionalFormatting sqref="BN19">
    <cfRule type="expression" dxfId="1204" priority="24">
      <formula>OR(AND($E$29&gt;=47,$E$29&lt;=51,BN14&gt;0),BN19&gt;52,AND($E$29&gt;52,BN14&gt;0),AND(BN19&gt;=1,BN14=0))</formula>
    </cfRule>
    <cfRule type="cellIs" dxfId="1203" priority="10" operator="greaterThan">
      <formula>0</formula>
    </cfRule>
  </conditionalFormatting>
  <conditionalFormatting sqref="BN22">
    <cfRule type="cellIs" dxfId="1202" priority="46" operator="equal">
      <formula>0</formula>
    </cfRule>
  </conditionalFormatting>
  <conditionalFormatting sqref="BP7:BW13">
    <cfRule type="cellIs" dxfId="1201" priority="9" operator="greaterThan">
      <formula>0</formula>
    </cfRule>
  </conditionalFormatting>
  <conditionalFormatting sqref="BP17:BX17">
    <cfRule type="expression" dxfId="1200" priority="38">
      <formula>BY17=0</formula>
    </cfRule>
  </conditionalFormatting>
  <conditionalFormatting sqref="BP22:BX22">
    <cfRule type="expression" dxfId="1199" priority="31">
      <formula>BY22=0</formula>
    </cfRule>
  </conditionalFormatting>
  <conditionalFormatting sqref="BY17">
    <cfRule type="cellIs" dxfId="1198" priority="54" operator="equal">
      <formula>0</formula>
    </cfRule>
  </conditionalFormatting>
  <conditionalFormatting sqref="BY19">
    <cfRule type="cellIs" dxfId="1197" priority="8" operator="greaterThan">
      <formula>0</formula>
    </cfRule>
    <cfRule type="expression" dxfId="1196" priority="23">
      <formula>OR(AND($E$29&gt;=47,$E$29&lt;=51,BY14&gt;0),BY19&gt;52,AND($E$29&gt;52,BY14&gt;0),AND(BY19&gt;=1,BY14=0))</formula>
    </cfRule>
  </conditionalFormatting>
  <conditionalFormatting sqref="BY22">
    <cfRule type="cellIs" dxfId="1195" priority="45" operator="equal">
      <formula>0</formula>
    </cfRule>
  </conditionalFormatting>
  <conditionalFormatting sqref="CA7:CH13">
    <cfRule type="cellIs" dxfId="1194" priority="7" operator="greaterThan">
      <formula>0</formula>
    </cfRule>
  </conditionalFormatting>
  <conditionalFormatting sqref="CA17:CI17">
    <cfRule type="expression" dxfId="1193" priority="37">
      <formula>CJ17=0</formula>
    </cfRule>
  </conditionalFormatting>
  <conditionalFormatting sqref="CA22:CI22">
    <cfRule type="expression" dxfId="1192" priority="30">
      <formula>CJ22=0</formula>
    </cfRule>
  </conditionalFormatting>
  <conditionalFormatting sqref="CJ17">
    <cfRule type="cellIs" dxfId="1191" priority="53" operator="equal">
      <formula>0</formula>
    </cfRule>
  </conditionalFormatting>
  <conditionalFormatting sqref="CJ19">
    <cfRule type="expression" dxfId="1190" priority="22">
      <formula>OR(AND($E$29&gt;=47,$E$29&lt;=51,CJ14&gt;0),CJ19&gt;52,AND($E$29&gt;52,CJ14&gt;0),AND(CJ19&gt;=1,CJ14=0))</formula>
    </cfRule>
    <cfRule type="cellIs" dxfId="1189" priority="6" operator="greaterThan">
      <formula>0</formula>
    </cfRule>
  </conditionalFormatting>
  <conditionalFormatting sqref="CJ22">
    <cfRule type="cellIs" dxfId="1188"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773</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bkpF0hH6e7ft2tm9b4KSqapZe3AbEIhmeAkxegMwlxERPvYlkFqmE230qHVjX1UqtgrUWJvHgVKSYYNTOsmPtw==" saltValue="kxPcNfC8/vqU8AN5RCuOzw==" spinCount="100000" sheet="1" objects="1" scenarios="1" formatCells="0" formatColumns="0" formatRows="0" insertColumns="0" insertRows="0" insertHyperlinks="0" sort="0" autoFilter="0" pivotTables="0"/>
  <mergeCells count="70">
    <mergeCell ref="J3:P3"/>
    <mergeCell ref="B17:J17"/>
    <mergeCell ref="B16:J16"/>
    <mergeCell ref="M24:U24"/>
    <mergeCell ref="B24:J24"/>
    <mergeCell ref="B22:J22"/>
    <mergeCell ref="B21:J21"/>
    <mergeCell ref="B19:J19"/>
    <mergeCell ref="M16:U16"/>
    <mergeCell ref="M17:U17"/>
    <mergeCell ref="M19:U19"/>
    <mergeCell ref="M21:U21"/>
    <mergeCell ref="M22:U22"/>
    <mergeCell ref="X16:AF16"/>
    <mergeCell ref="AI24:AQ24"/>
    <mergeCell ref="AI22:AQ22"/>
    <mergeCell ref="AI21:AQ21"/>
    <mergeCell ref="AI19:AQ19"/>
    <mergeCell ref="AI17:AQ17"/>
    <mergeCell ref="X24:AF24"/>
    <mergeCell ref="X22:AF22"/>
    <mergeCell ref="X21:AF21"/>
    <mergeCell ref="X19:AF19"/>
    <mergeCell ref="X17:AF17"/>
    <mergeCell ref="BP19:BX19"/>
    <mergeCell ref="BP17:BX17"/>
    <mergeCell ref="BP16:BX16"/>
    <mergeCell ref="BE24:BM24"/>
    <mergeCell ref="BE22:BM22"/>
    <mergeCell ref="BE21:BM21"/>
    <mergeCell ref="BE19:BM19"/>
    <mergeCell ref="BE17:BM17"/>
    <mergeCell ref="BE16:BM16"/>
    <mergeCell ref="CA22:CI22"/>
    <mergeCell ref="CA24:CI24"/>
    <mergeCell ref="BP24:BX24"/>
    <mergeCell ref="BP22:BX22"/>
    <mergeCell ref="BP21:BX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s>
  <conditionalFormatting sqref="B7:I13">
    <cfRule type="cellIs" dxfId="1187" priority="21" operator="greaterThan">
      <formula>0</formula>
    </cfRule>
  </conditionalFormatting>
  <conditionalFormatting sqref="B17:J17">
    <cfRule type="expression" dxfId="1186" priority="60">
      <formula>K17=0</formula>
    </cfRule>
  </conditionalFormatting>
  <conditionalFormatting sqref="B22:J22">
    <cfRule type="expression" dxfId="1185" priority="52">
      <formula>K22=0</formula>
    </cfRule>
  </conditionalFormatting>
  <conditionalFormatting sqref="D40">
    <cfRule type="expression" dxfId="1184" priority="124">
      <formula>$E$40=0</formula>
    </cfRule>
  </conditionalFormatting>
  <conditionalFormatting sqref="D49">
    <cfRule type="expression" dxfId="1183" priority="123">
      <formula>$E$49=0</formula>
    </cfRule>
  </conditionalFormatting>
  <conditionalFormatting sqref="D58:E58">
    <cfRule type="expression" dxfId="1182" priority="66">
      <formula>$E$49&gt;0</formula>
    </cfRule>
  </conditionalFormatting>
  <conditionalFormatting sqref="E35">
    <cfRule type="cellIs" dxfId="1180" priority="5" operator="greaterThan">
      <formula>0</formula>
    </cfRule>
  </conditionalFormatting>
  <conditionalFormatting sqref="E40">
    <cfRule type="cellIs" dxfId="1179" priority="125" operator="equal">
      <formula>0</formula>
    </cfRule>
  </conditionalFormatting>
  <conditionalFormatting sqref="E49">
    <cfRule type="cellIs" dxfId="1178" priority="122" operator="equal">
      <formula>0</formula>
    </cfRule>
  </conditionalFormatting>
  <conditionalFormatting sqref="E50">
    <cfRule type="expression" dxfId="1177" priority="121">
      <formula>$E$49=0</formula>
    </cfRule>
  </conditionalFormatting>
  <conditionalFormatting sqref="E29:I29">
    <cfRule type="cellIs" dxfId="1176" priority="65" operator="between">
      <formula>46.9999999999</formula>
      <formula>51.99999</formula>
    </cfRule>
    <cfRule type="cellIs" dxfId="1175" priority="64" operator="greaterThanOrEqual">
      <formula>52.0000001</formula>
    </cfRule>
  </conditionalFormatting>
  <conditionalFormatting sqref="K17">
    <cfRule type="cellIs" dxfId="1174" priority="61" operator="equal">
      <formula>0</formula>
    </cfRule>
  </conditionalFormatting>
  <conditionalFormatting sqref="K19">
    <cfRule type="cellIs" dxfId="1173" priority="19" operator="greaterThan">
      <formula>0</formula>
    </cfRule>
    <cfRule type="expression" dxfId="1172" priority="29">
      <formula>OR(AND($E$29&gt;=47,$E$29&lt;=51,K14&gt;0),K19&gt;52,AND($E$29&gt;52,K14&gt;0),AND(K19&gt;=1,K14=0))</formula>
    </cfRule>
  </conditionalFormatting>
  <conditionalFormatting sqref="K22">
    <cfRule type="cellIs" dxfId="1171" priority="51" operator="equal">
      <formula>0</formula>
    </cfRule>
  </conditionalFormatting>
  <conditionalFormatting sqref="M7:T13">
    <cfRule type="cellIs" dxfId="1170" priority="20" operator="greaterThan">
      <formula>0</formula>
    </cfRule>
  </conditionalFormatting>
  <conditionalFormatting sqref="M17:U17">
    <cfRule type="expression" dxfId="1169" priority="43">
      <formula>V17=0</formula>
    </cfRule>
  </conditionalFormatting>
  <conditionalFormatting sqref="M22:U22">
    <cfRule type="expression" dxfId="1168" priority="36">
      <formula>V22=0</formula>
    </cfRule>
  </conditionalFormatting>
  <conditionalFormatting sqref="N31">
    <cfRule type="expression" dxfId="1167" priority="63">
      <formula>$EB$2="ROUGE"</formula>
    </cfRule>
  </conditionalFormatting>
  <conditionalFormatting sqref="N34">
    <cfRule type="cellIs" dxfId="1166" priority="4" operator="greaterThan">
      <formula>0</formula>
    </cfRule>
  </conditionalFormatting>
  <conditionalFormatting sqref="P39">
    <cfRule type="expression" dxfId="1165" priority="158">
      <formula>EB2="faux"</formula>
    </cfRule>
  </conditionalFormatting>
  <conditionalFormatting sqref="V17">
    <cfRule type="cellIs" dxfId="1164" priority="59" operator="equal">
      <formula>0</formula>
    </cfRule>
  </conditionalFormatting>
  <conditionalFormatting sqref="V19">
    <cfRule type="cellIs" dxfId="1163" priority="18" operator="greaterThan">
      <formula>0</formula>
    </cfRule>
    <cfRule type="expression" dxfId="1162" priority="28">
      <formula>OR(AND($E$29&gt;=47,$E$29&lt;=51,V14&gt;0),V19&gt;52,AND($E$29&gt;52,V14&gt;0),AND(V19&gt;=1,V14=0))</formula>
    </cfRule>
  </conditionalFormatting>
  <conditionalFormatting sqref="V22">
    <cfRule type="cellIs" dxfId="1161" priority="50" operator="equal">
      <formula>0</formula>
    </cfRule>
  </conditionalFormatting>
  <conditionalFormatting sqref="W31">
    <cfRule type="expression" dxfId="1160" priority="62">
      <formula>$EB$3="ROUGE"</formula>
    </cfRule>
  </conditionalFormatting>
  <conditionalFormatting sqref="W34">
    <cfRule type="cellIs" dxfId="1159" priority="1" operator="greaterThan">
      <formula>0</formula>
    </cfRule>
  </conditionalFormatting>
  <conditionalFormatting sqref="X7:AE13">
    <cfRule type="cellIs" dxfId="1158" priority="17" operator="greaterThan">
      <formula>0</formula>
    </cfRule>
  </conditionalFormatting>
  <conditionalFormatting sqref="X17:AF17">
    <cfRule type="expression" dxfId="1157" priority="42">
      <formula>AG17=0</formula>
    </cfRule>
  </conditionalFormatting>
  <conditionalFormatting sqref="X22:AF22">
    <cfRule type="expression" dxfId="1156" priority="35">
      <formula>AG22=0</formula>
    </cfRule>
  </conditionalFormatting>
  <conditionalFormatting sqref="AG17">
    <cfRule type="cellIs" dxfId="1155" priority="58" operator="equal">
      <formula>0</formula>
    </cfRule>
  </conditionalFormatting>
  <conditionalFormatting sqref="AG19">
    <cfRule type="cellIs" dxfId="1154" priority="16" operator="greaterThan">
      <formula>0</formula>
    </cfRule>
    <cfRule type="expression" dxfId="1153" priority="27">
      <formula>OR(AND($E$29&gt;=47,$E$29&lt;=51,AG14&gt;0),AG19&gt;52,AND($E$29&gt;52,AG14&gt;0),AND(AG19&gt;=1,AG14=0))</formula>
    </cfRule>
  </conditionalFormatting>
  <conditionalFormatting sqref="AG22">
    <cfRule type="cellIs" dxfId="1152" priority="49" operator="equal">
      <formula>0</formula>
    </cfRule>
  </conditionalFormatting>
  <conditionalFormatting sqref="AI7:AP13">
    <cfRule type="cellIs" dxfId="1151" priority="15" operator="greaterThan">
      <formula>0</formula>
    </cfRule>
  </conditionalFormatting>
  <conditionalFormatting sqref="AI17:AQ17">
    <cfRule type="expression" dxfId="1150" priority="41">
      <formula>AR17=0</formula>
    </cfRule>
  </conditionalFormatting>
  <conditionalFormatting sqref="AI22:AQ22">
    <cfRule type="expression" dxfId="1149" priority="34">
      <formula>AR22=0</formula>
    </cfRule>
  </conditionalFormatting>
  <conditionalFormatting sqref="AR17">
    <cfRule type="cellIs" dxfId="1148" priority="57" operator="equal">
      <formula>0</formula>
    </cfRule>
  </conditionalFormatting>
  <conditionalFormatting sqref="AR19">
    <cfRule type="cellIs" dxfId="1147" priority="14" operator="greaterThan">
      <formula>0</formula>
    </cfRule>
    <cfRule type="expression" dxfId="1146" priority="26">
      <formula>OR(AND($E$29&gt;=47,$E$29&lt;=51,AR14&gt;0),AR19&gt;52,AND($E$29&gt;52,AR14&gt;0),AND(AR19&gt;=1,AR14=0))</formula>
    </cfRule>
  </conditionalFormatting>
  <conditionalFormatting sqref="AR22">
    <cfRule type="cellIs" dxfId="1145" priority="48" operator="equal">
      <formula>0</formula>
    </cfRule>
  </conditionalFormatting>
  <conditionalFormatting sqref="AT7:BA13">
    <cfRule type="cellIs" dxfId="1144" priority="13" operator="greaterThan">
      <formula>0</formula>
    </cfRule>
  </conditionalFormatting>
  <conditionalFormatting sqref="AT17:BB17">
    <cfRule type="expression" dxfId="1143" priority="40">
      <formula>BC17=0</formula>
    </cfRule>
  </conditionalFormatting>
  <conditionalFormatting sqref="AT22:BB22">
    <cfRule type="expression" dxfId="1142" priority="33">
      <formula>BC22=0</formula>
    </cfRule>
  </conditionalFormatting>
  <conditionalFormatting sqref="BC17">
    <cfRule type="cellIs" dxfId="1141" priority="56" operator="equal">
      <formula>0</formula>
    </cfRule>
  </conditionalFormatting>
  <conditionalFormatting sqref="BC19">
    <cfRule type="expression" dxfId="1140" priority="25">
      <formula>OR(AND($E$29&gt;=47,$E$29&lt;=51,BC14&gt;0),BC19&gt;52,AND($E$29&gt;52,BC14&gt;0),AND(BC19&gt;=1,BC14=0))</formula>
    </cfRule>
    <cfRule type="cellIs" dxfId="1139" priority="12" operator="greaterThan">
      <formula>0</formula>
    </cfRule>
  </conditionalFormatting>
  <conditionalFormatting sqref="BC22">
    <cfRule type="cellIs" dxfId="1138" priority="47" operator="equal">
      <formula>0</formula>
    </cfRule>
  </conditionalFormatting>
  <conditionalFormatting sqref="BE7:BL13">
    <cfRule type="cellIs" dxfId="1137" priority="11" operator="greaterThan">
      <formula>0</formula>
    </cfRule>
  </conditionalFormatting>
  <conditionalFormatting sqref="BE17:BM17">
    <cfRule type="expression" dxfId="1136" priority="39">
      <formula>BN17=0</formula>
    </cfRule>
  </conditionalFormatting>
  <conditionalFormatting sqref="BE22:BM22">
    <cfRule type="expression" dxfId="1135" priority="32">
      <formula>BN22=0</formula>
    </cfRule>
  </conditionalFormatting>
  <conditionalFormatting sqref="BN17">
    <cfRule type="cellIs" dxfId="1134" priority="55" operator="equal">
      <formula>0</formula>
    </cfRule>
  </conditionalFormatting>
  <conditionalFormatting sqref="BN19">
    <cfRule type="expression" dxfId="1133" priority="24">
      <formula>OR(AND($E$29&gt;=47,$E$29&lt;=51,BN14&gt;0),BN19&gt;52,AND($E$29&gt;52,BN14&gt;0),AND(BN19&gt;=1,BN14=0))</formula>
    </cfRule>
    <cfRule type="cellIs" dxfId="1132" priority="10" operator="greaterThan">
      <formula>0</formula>
    </cfRule>
  </conditionalFormatting>
  <conditionalFormatting sqref="BN22">
    <cfRule type="cellIs" dxfId="1131" priority="46" operator="equal">
      <formula>0</formula>
    </cfRule>
  </conditionalFormatting>
  <conditionalFormatting sqref="BP7:BW13">
    <cfRule type="cellIs" dxfId="1130" priority="9" operator="greaterThan">
      <formula>0</formula>
    </cfRule>
  </conditionalFormatting>
  <conditionalFormatting sqref="BP17:BX17">
    <cfRule type="expression" dxfId="1129" priority="38">
      <formula>BY17=0</formula>
    </cfRule>
  </conditionalFormatting>
  <conditionalFormatting sqref="BP22:BX22">
    <cfRule type="expression" dxfId="1128" priority="31">
      <formula>BY22=0</formula>
    </cfRule>
  </conditionalFormatting>
  <conditionalFormatting sqref="BY17">
    <cfRule type="cellIs" dxfId="1127" priority="54" operator="equal">
      <formula>0</formula>
    </cfRule>
  </conditionalFormatting>
  <conditionalFormatting sqref="BY19">
    <cfRule type="cellIs" dxfId="1126" priority="8" operator="greaterThan">
      <formula>0</formula>
    </cfRule>
    <cfRule type="expression" dxfId="1125" priority="23">
      <formula>OR(AND($E$29&gt;=47,$E$29&lt;=51,BY14&gt;0),BY19&gt;52,AND($E$29&gt;52,BY14&gt;0),AND(BY19&gt;=1,BY14=0))</formula>
    </cfRule>
  </conditionalFormatting>
  <conditionalFormatting sqref="BY22">
    <cfRule type="cellIs" dxfId="1124" priority="45" operator="equal">
      <formula>0</formula>
    </cfRule>
  </conditionalFormatting>
  <conditionalFormatting sqref="CA7:CH13">
    <cfRule type="cellIs" dxfId="1123" priority="7" operator="greaterThan">
      <formula>0</formula>
    </cfRule>
  </conditionalFormatting>
  <conditionalFormatting sqref="CA17:CI17">
    <cfRule type="expression" dxfId="1122" priority="37">
      <formula>CJ17=0</formula>
    </cfRule>
  </conditionalFormatting>
  <conditionalFormatting sqref="CA22:CI22">
    <cfRule type="expression" dxfId="1121" priority="30">
      <formula>CJ22=0</formula>
    </cfRule>
  </conditionalFormatting>
  <conditionalFormatting sqref="CJ17">
    <cfRule type="cellIs" dxfId="1120" priority="53" operator="equal">
      <formula>0</formula>
    </cfRule>
  </conditionalFormatting>
  <conditionalFormatting sqref="CJ19">
    <cfRule type="expression" dxfId="1119" priority="22">
      <formula>OR(AND($E$29&gt;=47,$E$29&lt;=51,CJ14&gt;0),CJ19&gt;52,AND($E$29&gt;52,CJ14&gt;0),AND(CJ19&gt;=1,CJ14=0))</formula>
    </cfRule>
    <cfRule type="cellIs" dxfId="1118" priority="6" operator="greaterThan">
      <formula>0</formula>
    </cfRule>
  </conditionalFormatting>
  <conditionalFormatting sqref="CJ22">
    <cfRule type="cellIs" dxfId="1117"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774</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dFO5NaYPbrQqNegpb1zKcc1CfT0SVjjHi2UbiVDe3oRafQosPXB54Ivu66ufrLROu9vdaIt84ZKaNuGW+5yYIg==" saltValue="GZQHk8Bkc11TUSMRDQf/PA==" spinCount="100000" sheet="1" objects="1" scenarios="1" formatCells="0" formatColumns="0" formatRows="0" insertColumns="0" insertRows="0" insertHyperlinks="0" sort="0" autoFilter="0" pivotTables="0"/>
  <mergeCells count="70">
    <mergeCell ref="J3:P3"/>
    <mergeCell ref="B17:J17"/>
    <mergeCell ref="B16:J16"/>
    <mergeCell ref="M24:U24"/>
    <mergeCell ref="B24:J24"/>
    <mergeCell ref="B22:J22"/>
    <mergeCell ref="B21:J21"/>
    <mergeCell ref="B19:J19"/>
    <mergeCell ref="M16:U16"/>
    <mergeCell ref="M17:U17"/>
    <mergeCell ref="M19:U19"/>
    <mergeCell ref="M21:U21"/>
    <mergeCell ref="M22:U22"/>
    <mergeCell ref="X16:AF16"/>
    <mergeCell ref="AI24:AQ24"/>
    <mergeCell ref="AI22:AQ22"/>
    <mergeCell ref="AI21:AQ21"/>
    <mergeCell ref="AI19:AQ19"/>
    <mergeCell ref="AI17:AQ17"/>
    <mergeCell ref="X24:AF24"/>
    <mergeCell ref="X22:AF22"/>
    <mergeCell ref="X21:AF21"/>
    <mergeCell ref="X19:AF19"/>
    <mergeCell ref="X17:AF17"/>
    <mergeCell ref="BP19:BX19"/>
    <mergeCell ref="BP17:BX17"/>
    <mergeCell ref="BP16:BX16"/>
    <mergeCell ref="BE24:BM24"/>
    <mergeCell ref="BE22:BM22"/>
    <mergeCell ref="BE21:BM21"/>
    <mergeCell ref="BE19:BM19"/>
    <mergeCell ref="BE17:BM17"/>
    <mergeCell ref="BE16:BM16"/>
    <mergeCell ref="CA22:CI22"/>
    <mergeCell ref="CA24:CI24"/>
    <mergeCell ref="BP24:BX24"/>
    <mergeCell ref="BP22:BX22"/>
    <mergeCell ref="BP21:BX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s>
  <conditionalFormatting sqref="B7:I13">
    <cfRule type="cellIs" dxfId="1116" priority="21" operator="greaterThan">
      <formula>0</formula>
    </cfRule>
  </conditionalFormatting>
  <conditionalFormatting sqref="B17:J17">
    <cfRule type="expression" dxfId="1115" priority="60">
      <formula>K17=0</formula>
    </cfRule>
  </conditionalFormatting>
  <conditionalFormatting sqref="B22:J22">
    <cfRule type="expression" dxfId="1114" priority="52">
      <formula>K22=0</formula>
    </cfRule>
  </conditionalFormatting>
  <conditionalFormatting sqref="D40">
    <cfRule type="expression" dxfId="1113" priority="124">
      <formula>$E$40=0</formula>
    </cfRule>
  </conditionalFormatting>
  <conditionalFormatting sqref="D49">
    <cfRule type="expression" dxfId="1112" priority="123">
      <formula>$E$49=0</formula>
    </cfRule>
  </conditionalFormatting>
  <conditionalFormatting sqref="D58:E58">
    <cfRule type="expression" dxfId="1111" priority="66">
      <formula>$E$49&gt;0</formula>
    </cfRule>
  </conditionalFormatting>
  <conditionalFormatting sqref="E35">
    <cfRule type="cellIs" dxfId="1109" priority="5" operator="greaterThan">
      <formula>0</formula>
    </cfRule>
  </conditionalFormatting>
  <conditionalFormatting sqref="E40">
    <cfRule type="cellIs" dxfId="1108" priority="125" operator="equal">
      <formula>0</formula>
    </cfRule>
  </conditionalFormatting>
  <conditionalFormatting sqref="E49">
    <cfRule type="cellIs" dxfId="1107" priority="122" operator="equal">
      <formula>0</formula>
    </cfRule>
  </conditionalFormatting>
  <conditionalFormatting sqref="E50">
    <cfRule type="expression" dxfId="1106" priority="121">
      <formula>$E$49=0</formula>
    </cfRule>
  </conditionalFormatting>
  <conditionalFormatting sqref="E29:I29">
    <cfRule type="cellIs" dxfId="1105" priority="65" operator="between">
      <formula>46.9999999999</formula>
      <formula>51.99999</formula>
    </cfRule>
    <cfRule type="cellIs" dxfId="1104" priority="64" operator="greaterThanOrEqual">
      <formula>52.0000001</formula>
    </cfRule>
  </conditionalFormatting>
  <conditionalFormatting sqref="K17">
    <cfRule type="cellIs" dxfId="1103" priority="61" operator="equal">
      <formula>0</formula>
    </cfRule>
  </conditionalFormatting>
  <conditionalFormatting sqref="K19">
    <cfRule type="cellIs" dxfId="1102" priority="19" operator="greaterThan">
      <formula>0</formula>
    </cfRule>
    <cfRule type="expression" dxfId="1101" priority="29">
      <formula>OR(AND($E$29&gt;=47,$E$29&lt;=51,K14&gt;0),K19&gt;52,AND($E$29&gt;52,K14&gt;0),AND(K19&gt;=1,K14=0))</formula>
    </cfRule>
  </conditionalFormatting>
  <conditionalFormatting sqref="K22">
    <cfRule type="cellIs" dxfId="1100" priority="51" operator="equal">
      <formula>0</formula>
    </cfRule>
  </conditionalFormatting>
  <conditionalFormatting sqref="M7:T13">
    <cfRule type="cellIs" dxfId="1099" priority="20" operator="greaterThan">
      <formula>0</formula>
    </cfRule>
  </conditionalFormatting>
  <conditionalFormatting sqref="M17:U17">
    <cfRule type="expression" dxfId="1098" priority="43">
      <formula>V17=0</formula>
    </cfRule>
  </conditionalFormatting>
  <conditionalFormatting sqref="M22:U22">
    <cfRule type="expression" dxfId="1097" priority="36">
      <formula>V22=0</formula>
    </cfRule>
  </conditionalFormatting>
  <conditionalFormatting sqref="N31">
    <cfRule type="expression" dxfId="1096" priority="63">
      <formula>$EB$2="ROUGE"</formula>
    </cfRule>
  </conditionalFormatting>
  <conditionalFormatting sqref="N34">
    <cfRule type="cellIs" dxfId="1095" priority="4" operator="greaterThan">
      <formula>0</formula>
    </cfRule>
  </conditionalFormatting>
  <conditionalFormatting sqref="P39">
    <cfRule type="expression" dxfId="1094" priority="158">
      <formula>EB2="faux"</formula>
    </cfRule>
  </conditionalFormatting>
  <conditionalFormatting sqref="V17">
    <cfRule type="cellIs" dxfId="1093" priority="59" operator="equal">
      <formula>0</formula>
    </cfRule>
  </conditionalFormatting>
  <conditionalFormatting sqref="V19">
    <cfRule type="cellIs" dxfId="1092" priority="18" operator="greaterThan">
      <formula>0</formula>
    </cfRule>
    <cfRule type="expression" dxfId="1091" priority="28">
      <formula>OR(AND($E$29&gt;=47,$E$29&lt;=51,V14&gt;0),V19&gt;52,AND($E$29&gt;52,V14&gt;0),AND(V19&gt;=1,V14=0))</formula>
    </cfRule>
  </conditionalFormatting>
  <conditionalFormatting sqref="V22">
    <cfRule type="cellIs" dxfId="1090" priority="50" operator="equal">
      <formula>0</formula>
    </cfRule>
  </conditionalFormatting>
  <conditionalFormatting sqref="W31">
    <cfRule type="expression" dxfId="1089" priority="62">
      <formula>$EB$3="ROUGE"</formula>
    </cfRule>
  </conditionalFormatting>
  <conditionalFormatting sqref="W34">
    <cfRule type="cellIs" dxfId="1088" priority="1" operator="greaterThan">
      <formula>0</formula>
    </cfRule>
  </conditionalFormatting>
  <conditionalFormatting sqref="X7:AE13">
    <cfRule type="cellIs" dxfId="1087" priority="17" operator="greaterThan">
      <formula>0</formula>
    </cfRule>
  </conditionalFormatting>
  <conditionalFormatting sqref="X17:AF17">
    <cfRule type="expression" dxfId="1086" priority="42">
      <formula>AG17=0</formula>
    </cfRule>
  </conditionalFormatting>
  <conditionalFormatting sqref="X22:AF22">
    <cfRule type="expression" dxfId="1085" priority="35">
      <formula>AG22=0</formula>
    </cfRule>
  </conditionalFormatting>
  <conditionalFormatting sqref="AG17">
    <cfRule type="cellIs" dxfId="1084" priority="58" operator="equal">
      <formula>0</formula>
    </cfRule>
  </conditionalFormatting>
  <conditionalFormatting sqref="AG19">
    <cfRule type="cellIs" dxfId="1083" priority="16" operator="greaterThan">
      <formula>0</formula>
    </cfRule>
    <cfRule type="expression" dxfId="1082" priority="27">
      <formula>OR(AND($E$29&gt;=47,$E$29&lt;=51,AG14&gt;0),AG19&gt;52,AND($E$29&gt;52,AG14&gt;0),AND(AG19&gt;=1,AG14=0))</formula>
    </cfRule>
  </conditionalFormatting>
  <conditionalFormatting sqref="AG22">
    <cfRule type="cellIs" dxfId="1081" priority="49" operator="equal">
      <formula>0</formula>
    </cfRule>
  </conditionalFormatting>
  <conditionalFormatting sqref="AI7:AP13">
    <cfRule type="cellIs" dxfId="1080" priority="15" operator="greaterThan">
      <formula>0</formula>
    </cfRule>
  </conditionalFormatting>
  <conditionalFormatting sqref="AI17:AQ17">
    <cfRule type="expression" dxfId="1079" priority="41">
      <formula>AR17=0</formula>
    </cfRule>
  </conditionalFormatting>
  <conditionalFormatting sqref="AI22:AQ22">
    <cfRule type="expression" dxfId="1078" priority="34">
      <formula>AR22=0</formula>
    </cfRule>
  </conditionalFormatting>
  <conditionalFormatting sqref="AR17">
    <cfRule type="cellIs" dxfId="1077" priority="57" operator="equal">
      <formula>0</formula>
    </cfRule>
  </conditionalFormatting>
  <conditionalFormatting sqref="AR19">
    <cfRule type="cellIs" dxfId="1076" priority="14" operator="greaterThan">
      <formula>0</formula>
    </cfRule>
    <cfRule type="expression" dxfId="1075" priority="26">
      <formula>OR(AND($E$29&gt;=47,$E$29&lt;=51,AR14&gt;0),AR19&gt;52,AND($E$29&gt;52,AR14&gt;0),AND(AR19&gt;=1,AR14=0))</formula>
    </cfRule>
  </conditionalFormatting>
  <conditionalFormatting sqref="AR22">
    <cfRule type="cellIs" dxfId="1074" priority="48" operator="equal">
      <formula>0</formula>
    </cfRule>
  </conditionalFormatting>
  <conditionalFormatting sqref="AT7:BA13">
    <cfRule type="cellIs" dxfId="1073" priority="13" operator="greaterThan">
      <formula>0</formula>
    </cfRule>
  </conditionalFormatting>
  <conditionalFormatting sqref="AT17:BB17">
    <cfRule type="expression" dxfId="1072" priority="40">
      <formula>BC17=0</formula>
    </cfRule>
  </conditionalFormatting>
  <conditionalFormatting sqref="AT22:BB22">
    <cfRule type="expression" dxfId="1071" priority="33">
      <formula>BC22=0</formula>
    </cfRule>
  </conditionalFormatting>
  <conditionalFormatting sqref="BC17">
    <cfRule type="cellIs" dxfId="1070" priority="56" operator="equal">
      <formula>0</formula>
    </cfRule>
  </conditionalFormatting>
  <conditionalFormatting sqref="BC19">
    <cfRule type="expression" dxfId="1069" priority="25">
      <formula>OR(AND($E$29&gt;=47,$E$29&lt;=51,BC14&gt;0),BC19&gt;52,AND($E$29&gt;52,BC14&gt;0),AND(BC19&gt;=1,BC14=0))</formula>
    </cfRule>
    <cfRule type="cellIs" dxfId="1068" priority="12" operator="greaterThan">
      <formula>0</formula>
    </cfRule>
  </conditionalFormatting>
  <conditionalFormatting sqref="BC22">
    <cfRule type="cellIs" dxfId="1067" priority="47" operator="equal">
      <formula>0</formula>
    </cfRule>
  </conditionalFormatting>
  <conditionalFormatting sqref="BE7:BL13">
    <cfRule type="cellIs" dxfId="1066" priority="11" operator="greaterThan">
      <formula>0</formula>
    </cfRule>
  </conditionalFormatting>
  <conditionalFormatting sqref="BE17:BM17">
    <cfRule type="expression" dxfId="1065" priority="39">
      <formula>BN17=0</formula>
    </cfRule>
  </conditionalFormatting>
  <conditionalFormatting sqref="BE22:BM22">
    <cfRule type="expression" dxfId="1064" priority="32">
      <formula>BN22=0</formula>
    </cfRule>
  </conditionalFormatting>
  <conditionalFormatting sqref="BN17">
    <cfRule type="cellIs" dxfId="1063" priority="55" operator="equal">
      <formula>0</formula>
    </cfRule>
  </conditionalFormatting>
  <conditionalFormatting sqref="BN19">
    <cfRule type="expression" dxfId="1062" priority="24">
      <formula>OR(AND($E$29&gt;=47,$E$29&lt;=51,BN14&gt;0),BN19&gt;52,AND($E$29&gt;52,BN14&gt;0),AND(BN19&gt;=1,BN14=0))</formula>
    </cfRule>
    <cfRule type="cellIs" dxfId="1061" priority="10" operator="greaterThan">
      <formula>0</formula>
    </cfRule>
  </conditionalFormatting>
  <conditionalFormatting sqref="BN22">
    <cfRule type="cellIs" dxfId="1060" priority="46" operator="equal">
      <formula>0</formula>
    </cfRule>
  </conditionalFormatting>
  <conditionalFormatting sqref="BP7:BW13">
    <cfRule type="cellIs" dxfId="1059" priority="9" operator="greaterThan">
      <formula>0</formula>
    </cfRule>
  </conditionalFormatting>
  <conditionalFormatting sqref="BP17:BX17">
    <cfRule type="expression" dxfId="1058" priority="38">
      <formula>BY17=0</formula>
    </cfRule>
  </conditionalFormatting>
  <conditionalFormatting sqref="BP22:BX22">
    <cfRule type="expression" dxfId="1057" priority="31">
      <formula>BY22=0</formula>
    </cfRule>
  </conditionalFormatting>
  <conditionalFormatting sqref="BY17">
    <cfRule type="cellIs" dxfId="1056" priority="54" operator="equal">
      <formula>0</formula>
    </cfRule>
  </conditionalFormatting>
  <conditionalFormatting sqref="BY19">
    <cfRule type="cellIs" dxfId="1055" priority="8" operator="greaterThan">
      <formula>0</formula>
    </cfRule>
    <cfRule type="expression" dxfId="1054" priority="23">
      <formula>OR(AND($E$29&gt;=47,$E$29&lt;=51,BY14&gt;0),BY19&gt;52,AND($E$29&gt;52,BY14&gt;0),AND(BY19&gt;=1,BY14=0))</formula>
    </cfRule>
  </conditionalFormatting>
  <conditionalFormatting sqref="BY22">
    <cfRule type="cellIs" dxfId="1053" priority="45" operator="equal">
      <formula>0</formula>
    </cfRule>
  </conditionalFormatting>
  <conditionalFormatting sqref="CA7:CH13">
    <cfRule type="cellIs" dxfId="1052" priority="7" operator="greaterThan">
      <formula>0</formula>
    </cfRule>
  </conditionalFormatting>
  <conditionalFormatting sqref="CA17:CI17">
    <cfRule type="expression" dxfId="1051" priority="37">
      <formula>CJ17=0</formula>
    </cfRule>
  </conditionalFormatting>
  <conditionalFormatting sqref="CA22:CI22">
    <cfRule type="expression" dxfId="1050" priority="30">
      <formula>CJ22=0</formula>
    </cfRule>
  </conditionalFormatting>
  <conditionalFormatting sqref="CJ17">
    <cfRule type="cellIs" dxfId="1049" priority="53" operator="equal">
      <formula>0</formula>
    </cfRule>
  </conditionalFormatting>
  <conditionalFormatting sqref="CJ19">
    <cfRule type="expression" dxfId="1048" priority="22">
      <formula>OR(AND($E$29&gt;=47,$E$29&lt;=51,CJ14&gt;0),CJ19&gt;52,AND($E$29&gt;52,CJ14&gt;0),AND(CJ19&gt;=1,CJ14=0))</formula>
    </cfRule>
    <cfRule type="cellIs" dxfId="1047" priority="6" operator="greaterThan">
      <formula>0</formula>
    </cfRule>
  </conditionalFormatting>
  <conditionalFormatting sqref="CJ22">
    <cfRule type="cellIs" dxfId="1046"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775</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Man2csqFVbImSZQlasEEP7WKZIF3JAAPeLF7fNyKTw7zXZF9TwbVWZgIY3MUhcFsknsnFGVcdafB6GoInBic2w==" saltValue="VEzZFlrU6Q5XOm/IsFW7vg==" spinCount="100000" sheet="1" objects="1" scenarios="1" formatCells="0" formatColumns="0" formatRows="0" insertColumns="0" insertRows="0" insertHyperlinks="0" sort="0" autoFilter="0" pivotTables="0"/>
  <mergeCells count="70">
    <mergeCell ref="J3:P3"/>
    <mergeCell ref="B17:J17"/>
    <mergeCell ref="B16:J16"/>
    <mergeCell ref="M24:U24"/>
    <mergeCell ref="B24:J24"/>
    <mergeCell ref="B22:J22"/>
    <mergeCell ref="B21:J21"/>
    <mergeCell ref="B19:J19"/>
    <mergeCell ref="M16:U16"/>
    <mergeCell ref="M17:U17"/>
    <mergeCell ref="M19:U19"/>
    <mergeCell ref="M21:U21"/>
    <mergeCell ref="M22:U22"/>
    <mergeCell ref="X16:AF16"/>
    <mergeCell ref="AI24:AQ24"/>
    <mergeCell ref="AI22:AQ22"/>
    <mergeCell ref="AI21:AQ21"/>
    <mergeCell ref="AI19:AQ19"/>
    <mergeCell ref="AI17:AQ17"/>
    <mergeCell ref="X24:AF24"/>
    <mergeCell ref="X22:AF22"/>
    <mergeCell ref="X21:AF21"/>
    <mergeCell ref="X19:AF19"/>
    <mergeCell ref="X17:AF17"/>
    <mergeCell ref="BP19:BX19"/>
    <mergeCell ref="BP17:BX17"/>
    <mergeCell ref="BP16:BX16"/>
    <mergeCell ref="BE24:BM24"/>
    <mergeCell ref="BE22:BM22"/>
    <mergeCell ref="BE21:BM21"/>
    <mergeCell ref="BE19:BM19"/>
    <mergeCell ref="BE17:BM17"/>
    <mergeCell ref="BE16:BM16"/>
    <mergeCell ref="CA22:CI22"/>
    <mergeCell ref="CA24:CI24"/>
    <mergeCell ref="BP24:BX24"/>
    <mergeCell ref="BP22:BX22"/>
    <mergeCell ref="BP21:BX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s>
  <conditionalFormatting sqref="B7:I13">
    <cfRule type="cellIs" dxfId="1045" priority="21" operator="greaterThan">
      <formula>0</formula>
    </cfRule>
  </conditionalFormatting>
  <conditionalFormatting sqref="B17:J17">
    <cfRule type="expression" dxfId="1044" priority="60">
      <formula>K17=0</formula>
    </cfRule>
  </conditionalFormatting>
  <conditionalFormatting sqref="B22:J22">
    <cfRule type="expression" dxfId="1043" priority="52">
      <formula>K22=0</formula>
    </cfRule>
  </conditionalFormatting>
  <conditionalFormatting sqref="D40">
    <cfRule type="expression" dxfId="1042" priority="124">
      <formula>$E$40=0</formula>
    </cfRule>
  </conditionalFormatting>
  <conditionalFormatting sqref="D49">
    <cfRule type="expression" dxfId="1041" priority="123">
      <formula>$E$49=0</formula>
    </cfRule>
  </conditionalFormatting>
  <conditionalFormatting sqref="D58:E58">
    <cfRule type="expression" dxfId="1040" priority="66">
      <formula>$E$49&gt;0</formula>
    </cfRule>
  </conditionalFormatting>
  <conditionalFormatting sqref="E35">
    <cfRule type="cellIs" dxfId="1038" priority="5" operator="greaterThan">
      <formula>0</formula>
    </cfRule>
  </conditionalFormatting>
  <conditionalFormatting sqref="E40">
    <cfRule type="cellIs" dxfId="1037" priority="125" operator="equal">
      <formula>0</formula>
    </cfRule>
  </conditionalFormatting>
  <conditionalFormatting sqref="E49">
    <cfRule type="cellIs" dxfId="1036" priority="122" operator="equal">
      <formula>0</formula>
    </cfRule>
  </conditionalFormatting>
  <conditionalFormatting sqref="E50">
    <cfRule type="expression" dxfId="1035" priority="121">
      <formula>$E$49=0</formula>
    </cfRule>
  </conditionalFormatting>
  <conditionalFormatting sqref="E29:I29">
    <cfRule type="cellIs" dxfId="1034" priority="65" operator="between">
      <formula>46.9999999999</formula>
      <formula>51.99999</formula>
    </cfRule>
    <cfRule type="cellIs" dxfId="1033" priority="64" operator="greaterThanOrEqual">
      <formula>52.0000001</formula>
    </cfRule>
  </conditionalFormatting>
  <conditionalFormatting sqref="K17">
    <cfRule type="cellIs" dxfId="1032" priority="61" operator="equal">
      <formula>0</formula>
    </cfRule>
  </conditionalFormatting>
  <conditionalFormatting sqref="K19">
    <cfRule type="cellIs" dxfId="1031" priority="19" operator="greaterThan">
      <formula>0</formula>
    </cfRule>
    <cfRule type="expression" dxfId="1030" priority="29">
      <formula>OR(AND($E$29&gt;=47,$E$29&lt;=51,K14&gt;0),K19&gt;52,AND($E$29&gt;52,K14&gt;0),AND(K19&gt;=1,K14=0))</formula>
    </cfRule>
  </conditionalFormatting>
  <conditionalFormatting sqref="K22">
    <cfRule type="cellIs" dxfId="1029" priority="51" operator="equal">
      <formula>0</formula>
    </cfRule>
  </conditionalFormatting>
  <conditionalFormatting sqref="M7:T13">
    <cfRule type="cellIs" dxfId="1028" priority="20" operator="greaterThan">
      <formula>0</formula>
    </cfRule>
  </conditionalFormatting>
  <conditionalFormatting sqref="M17:U17">
    <cfRule type="expression" dxfId="1027" priority="43">
      <formula>V17=0</formula>
    </cfRule>
  </conditionalFormatting>
  <conditionalFormatting sqref="M22:U22">
    <cfRule type="expression" dxfId="1026" priority="36">
      <formula>V22=0</formula>
    </cfRule>
  </conditionalFormatting>
  <conditionalFormatting sqref="N31">
    <cfRule type="expression" dxfId="1025" priority="63">
      <formula>$EB$2="ROUGE"</formula>
    </cfRule>
  </conditionalFormatting>
  <conditionalFormatting sqref="N34">
    <cfRule type="cellIs" dxfId="1024" priority="4" operator="greaterThan">
      <formula>0</formula>
    </cfRule>
  </conditionalFormatting>
  <conditionalFormatting sqref="P39">
    <cfRule type="expression" dxfId="1023" priority="158">
      <formula>EB2="faux"</formula>
    </cfRule>
  </conditionalFormatting>
  <conditionalFormatting sqref="V17">
    <cfRule type="cellIs" dxfId="1022" priority="59" operator="equal">
      <formula>0</formula>
    </cfRule>
  </conditionalFormatting>
  <conditionalFormatting sqref="V19">
    <cfRule type="cellIs" dxfId="1021" priority="18" operator="greaterThan">
      <formula>0</formula>
    </cfRule>
    <cfRule type="expression" dxfId="1020" priority="28">
      <formula>OR(AND($E$29&gt;=47,$E$29&lt;=51,V14&gt;0),V19&gt;52,AND($E$29&gt;52,V14&gt;0),AND(V19&gt;=1,V14=0))</formula>
    </cfRule>
  </conditionalFormatting>
  <conditionalFormatting sqref="V22">
    <cfRule type="cellIs" dxfId="1019" priority="50" operator="equal">
      <formula>0</formula>
    </cfRule>
  </conditionalFormatting>
  <conditionalFormatting sqref="W31">
    <cfRule type="expression" dxfId="1018" priority="62">
      <formula>$EB$3="ROUGE"</formula>
    </cfRule>
  </conditionalFormatting>
  <conditionalFormatting sqref="W34">
    <cfRule type="cellIs" dxfId="1017" priority="1" operator="greaterThan">
      <formula>0</formula>
    </cfRule>
  </conditionalFormatting>
  <conditionalFormatting sqref="X7:AE13">
    <cfRule type="cellIs" dxfId="1016" priority="17" operator="greaterThan">
      <formula>0</formula>
    </cfRule>
  </conditionalFormatting>
  <conditionalFormatting sqref="X17:AF17">
    <cfRule type="expression" dxfId="1015" priority="42">
      <formula>AG17=0</formula>
    </cfRule>
  </conditionalFormatting>
  <conditionalFormatting sqref="X22:AF22">
    <cfRule type="expression" dxfId="1014" priority="35">
      <formula>AG22=0</formula>
    </cfRule>
  </conditionalFormatting>
  <conditionalFormatting sqref="AG17">
    <cfRule type="cellIs" dxfId="1013" priority="58" operator="equal">
      <formula>0</formula>
    </cfRule>
  </conditionalFormatting>
  <conditionalFormatting sqref="AG19">
    <cfRule type="cellIs" dxfId="1012" priority="16" operator="greaterThan">
      <formula>0</formula>
    </cfRule>
    <cfRule type="expression" dxfId="1011" priority="27">
      <formula>OR(AND($E$29&gt;=47,$E$29&lt;=51,AG14&gt;0),AG19&gt;52,AND($E$29&gt;52,AG14&gt;0),AND(AG19&gt;=1,AG14=0))</formula>
    </cfRule>
  </conditionalFormatting>
  <conditionalFormatting sqref="AG22">
    <cfRule type="cellIs" dxfId="1010" priority="49" operator="equal">
      <formula>0</formula>
    </cfRule>
  </conditionalFormatting>
  <conditionalFormatting sqref="AI7:AP13">
    <cfRule type="cellIs" dxfId="1009" priority="15" operator="greaterThan">
      <formula>0</formula>
    </cfRule>
  </conditionalFormatting>
  <conditionalFormatting sqref="AI17:AQ17">
    <cfRule type="expression" dxfId="1008" priority="41">
      <formula>AR17=0</formula>
    </cfRule>
  </conditionalFormatting>
  <conditionalFormatting sqref="AI22:AQ22">
    <cfRule type="expression" dxfId="1007" priority="34">
      <formula>AR22=0</formula>
    </cfRule>
  </conditionalFormatting>
  <conditionalFormatting sqref="AR17">
    <cfRule type="cellIs" dxfId="1006" priority="57" operator="equal">
      <formula>0</formula>
    </cfRule>
  </conditionalFormatting>
  <conditionalFormatting sqref="AR19">
    <cfRule type="cellIs" dxfId="1005" priority="14" operator="greaterThan">
      <formula>0</formula>
    </cfRule>
    <cfRule type="expression" dxfId="1004" priority="26">
      <formula>OR(AND($E$29&gt;=47,$E$29&lt;=51,AR14&gt;0),AR19&gt;52,AND($E$29&gt;52,AR14&gt;0),AND(AR19&gt;=1,AR14=0))</formula>
    </cfRule>
  </conditionalFormatting>
  <conditionalFormatting sqref="AR22">
    <cfRule type="cellIs" dxfId="1003" priority="48" operator="equal">
      <formula>0</formula>
    </cfRule>
  </conditionalFormatting>
  <conditionalFormatting sqref="AT7:BA13">
    <cfRule type="cellIs" dxfId="1002" priority="13" operator="greaterThan">
      <formula>0</formula>
    </cfRule>
  </conditionalFormatting>
  <conditionalFormatting sqref="AT17:BB17">
    <cfRule type="expression" dxfId="1001" priority="40">
      <formula>BC17=0</formula>
    </cfRule>
  </conditionalFormatting>
  <conditionalFormatting sqref="AT22:BB22">
    <cfRule type="expression" dxfId="1000" priority="33">
      <formula>BC22=0</formula>
    </cfRule>
  </conditionalFormatting>
  <conditionalFormatting sqref="BC17">
    <cfRule type="cellIs" dxfId="999" priority="56" operator="equal">
      <formula>0</formula>
    </cfRule>
  </conditionalFormatting>
  <conditionalFormatting sqref="BC19">
    <cfRule type="expression" dxfId="998" priority="25">
      <formula>OR(AND($E$29&gt;=47,$E$29&lt;=51,BC14&gt;0),BC19&gt;52,AND($E$29&gt;52,BC14&gt;0),AND(BC19&gt;=1,BC14=0))</formula>
    </cfRule>
    <cfRule type="cellIs" dxfId="997" priority="12" operator="greaterThan">
      <formula>0</formula>
    </cfRule>
  </conditionalFormatting>
  <conditionalFormatting sqref="BC22">
    <cfRule type="cellIs" dxfId="996" priority="47" operator="equal">
      <formula>0</formula>
    </cfRule>
  </conditionalFormatting>
  <conditionalFormatting sqref="BE7:BL13">
    <cfRule type="cellIs" dxfId="995" priority="11" operator="greaterThan">
      <formula>0</formula>
    </cfRule>
  </conditionalFormatting>
  <conditionalFormatting sqref="BE17:BM17">
    <cfRule type="expression" dxfId="994" priority="39">
      <formula>BN17=0</formula>
    </cfRule>
  </conditionalFormatting>
  <conditionalFormatting sqref="BE22:BM22">
    <cfRule type="expression" dxfId="993" priority="32">
      <formula>BN22=0</formula>
    </cfRule>
  </conditionalFormatting>
  <conditionalFormatting sqref="BN17">
    <cfRule type="cellIs" dxfId="992" priority="55" operator="equal">
      <formula>0</formula>
    </cfRule>
  </conditionalFormatting>
  <conditionalFormatting sqref="BN19">
    <cfRule type="expression" dxfId="991" priority="24">
      <formula>OR(AND($E$29&gt;=47,$E$29&lt;=51,BN14&gt;0),BN19&gt;52,AND($E$29&gt;52,BN14&gt;0),AND(BN19&gt;=1,BN14=0))</formula>
    </cfRule>
    <cfRule type="cellIs" dxfId="990" priority="10" operator="greaterThan">
      <formula>0</formula>
    </cfRule>
  </conditionalFormatting>
  <conditionalFormatting sqref="BN22">
    <cfRule type="cellIs" dxfId="989" priority="46" operator="equal">
      <formula>0</formula>
    </cfRule>
  </conditionalFormatting>
  <conditionalFormatting sqref="BP7:BW13">
    <cfRule type="cellIs" dxfId="988" priority="9" operator="greaterThan">
      <formula>0</formula>
    </cfRule>
  </conditionalFormatting>
  <conditionalFormatting sqref="BP17:BX17">
    <cfRule type="expression" dxfId="987" priority="38">
      <formula>BY17=0</formula>
    </cfRule>
  </conditionalFormatting>
  <conditionalFormatting sqref="BP22:BX22">
    <cfRule type="expression" dxfId="986" priority="31">
      <formula>BY22=0</formula>
    </cfRule>
  </conditionalFormatting>
  <conditionalFormatting sqref="BY17">
    <cfRule type="cellIs" dxfId="985" priority="54" operator="equal">
      <formula>0</formula>
    </cfRule>
  </conditionalFormatting>
  <conditionalFormatting sqref="BY19">
    <cfRule type="cellIs" dxfId="984" priority="8" operator="greaterThan">
      <formula>0</formula>
    </cfRule>
    <cfRule type="expression" dxfId="983" priority="23">
      <formula>OR(AND($E$29&gt;=47,$E$29&lt;=51,BY14&gt;0),BY19&gt;52,AND($E$29&gt;52,BY14&gt;0),AND(BY19&gt;=1,BY14=0))</formula>
    </cfRule>
  </conditionalFormatting>
  <conditionalFormatting sqref="BY22">
    <cfRule type="cellIs" dxfId="982" priority="45" operator="equal">
      <formula>0</formula>
    </cfRule>
  </conditionalFormatting>
  <conditionalFormatting sqref="CA7:CH13">
    <cfRule type="cellIs" dxfId="981" priority="7" operator="greaterThan">
      <formula>0</formula>
    </cfRule>
  </conditionalFormatting>
  <conditionalFormatting sqref="CA17:CI17">
    <cfRule type="expression" dxfId="980" priority="37">
      <formula>CJ17=0</formula>
    </cfRule>
  </conditionalFormatting>
  <conditionalFormatting sqref="CA22:CI22">
    <cfRule type="expression" dxfId="979" priority="30">
      <formula>CJ22=0</formula>
    </cfRule>
  </conditionalFormatting>
  <conditionalFormatting sqref="CJ17">
    <cfRule type="cellIs" dxfId="978" priority="53" operator="equal">
      <formula>0</formula>
    </cfRule>
  </conditionalFormatting>
  <conditionalFormatting sqref="CJ19">
    <cfRule type="expression" dxfId="977" priority="22">
      <formula>OR(AND($E$29&gt;=47,$E$29&lt;=51,CJ14&gt;0),CJ19&gt;52,AND($E$29&gt;52,CJ14&gt;0),AND(CJ19&gt;=1,CJ14=0))</formula>
    </cfRule>
    <cfRule type="cellIs" dxfId="976" priority="6" operator="greaterThan">
      <formula>0</formula>
    </cfRule>
  </conditionalFormatting>
  <conditionalFormatting sqref="CJ22">
    <cfRule type="cellIs" dxfId="975"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topLeftCell="A3"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776</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9FkifvDSAC7Am3VaI2eZYBq1rv37ydfyhx+ixYHS6giH53C3Yam8Ufb36sCC2SmXBl7jbXWCcHfgZ4jXP3yRgA==" saltValue="te9y9l59QDdcHX9zfuw8WA==" spinCount="100000" sheet="1" objects="1" scenarios="1" formatCells="0" formatColumns="0" formatRows="0" insertColumns="0" insertRows="0" insertHyperlinks="0" sort="0" autoFilter="0" pivotTables="0"/>
  <mergeCells count="70">
    <mergeCell ref="J3:P3"/>
    <mergeCell ref="B17:J17"/>
    <mergeCell ref="B16:J16"/>
    <mergeCell ref="M24:U24"/>
    <mergeCell ref="B24:J24"/>
    <mergeCell ref="B22:J22"/>
    <mergeCell ref="B21:J21"/>
    <mergeCell ref="B19:J19"/>
    <mergeCell ref="M16:U16"/>
    <mergeCell ref="M17:U17"/>
    <mergeCell ref="M19:U19"/>
    <mergeCell ref="M21:U21"/>
    <mergeCell ref="M22:U22"/>
    <mergeCell ref="X16:AF16"/>
    <mergeCell ref="AI24:AQ24"/>
    <mergeCell ref="AI22:AQ22"/>
    <mergeCell ref="AI21:AQ21"/>
    <mergeCell ref="AI19:AQ19"/>
    <mergeCell ref="AI17:AQ17"/>
    <mergeCell ref="X24:AF24"/>
    <mergeCell ref="X22:AF22"/>
    <mergeCell ref="X21:AF21"/>
    <mergeCell ref="X19:AF19"/>
    <mergeCell ref="X17:AF17"/>
    <mergeCell ref="BP19:BX19"/>
    <mergeCell ref="BP17:BX17"/>
    <mergeCell ref="BP16:BX16"/>
    <mergeCell ref="BE24:BM24"/>
    <mergeCell ref="BE22:BM22"/>
    <mergeCell ref="BE21:BM21"/>
    <mergeCell ref="BE19:BM19"/>
    <mergeCell ref="BE17:BM17"/>
    <mergeCell ref="BE16:BM16"/>
    <mergeCell ref="CA22:CI22"/>
    <mergeCell ref="CA24:CI24"/>
    <mergeCell ref="BP24:BX24"/>
    <mergeCell ref="BP22:BX22"/>
    <mergeCell ref="BP21:BX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s>
  <conditionalFormatting sqref="B7:I13">
    <cfRule type="cellIs" dxfId="974" priority="21" operator="greaterThan">
      <formula>0</formula>
    </cfRule>
  </conditionalFormatting>
  <conditionalFormatting sqref="B17:J17">
    <cfRule type="expression" dxfId="973" priority="60">
      <formula>K17=0</formula>
    </cfRule>
  </conditionalFormatting>
  <conditionalFormatting sqref="B22:J22">
    <cfRule type="expression" dxfId="972" priority="52">
      <formula>K22=0</formula>
    </cfRule>
  </conditionalFormatting>
  <conditionalFormatting sqref="D40">
    <cfRule type="expression" dxfId="971" priority="124">
      <formula>$E$40=0</formula>
    </cfRule>
  </conditionalFormatting>
  <conditionalFormatting sqref="D49">
    <cfRule type="expression" dxfId="970" priority="123">
      <formula>$E$49=0</formula>
    </cfRule>
  </conditionalFormatting>
  <conditionalFormatting sqref="D58:E58">
    <cfRule type="expression" dxfId="969" priority="66">
      <formula>$E$49&gt;0</formula>
    </cfRule>
  </conditionalFormatting>
  <conditionalFormatting sqref="E35">
    <cfRule type="cellIs" dxfId="967" priority="5" operator="greaterThan">
      <formula>0</formula>
    </cfRule>
  </conditionalFormatting>
  <conditionalFormatting sqref="E40">
    <cfRule type="cellIs" dxfId="966" priority="125" operator="equal">
      <formula>0</formula>
    </cfRule>
  </conditionalFormatting>
  <conditionalFormatting sqref="E49">
    <cfRule type="cellIs" dxfId="965" priority="122" operator="equal">
      <formula>0</formula>
    </cfRule>
  </conditionalFormatting>
  <conditionalFormatting sqref="E50">
    <cfRule type="expression" dxfId="964" priority="121">
      <formula>$E$49=0</formula>
    </cfRule>
  </conditionalFormatting>
  <conditionalFormatting sqref="E29:I29">
    <cfRule type="cellIs" dxfId="963" priority="65" operator="between">
      <formula>46.9999999999</formula>
      <formula>51.99999</formula>
    </cfRule>
    <cfRule type="cellIs" dxfId="962" priority="64" operator="greaterThanOrEqual">
      <formula>52.0000001</formula>
    </cfRule>
  </conditionalFormatting>
  <conditionalFormatting sqref="K17">
    <cfRule type="cellIs" dxfId="961" priority="61" operator="equal">
      <formula>0</formula>
    </cfRule>
  </conditionalFormatting>
  <conditionalFormatting sqref="K19">
    <cfRule type="cellIs" dxfId="960" priority="19" operator="greaterThan">
      <formula>0</formula>
    </cfRule>
    <cfRule type="expression" dxfId="959" priority="29">
      <formula>OR(AND($E$29&gt;=47,$E$29&lt;=51,K14&gt;0),K19&gt;52,AND($E$29&gt;52,K14&gt;0),AND(K19&gt;=1,K14=0))</formula>
    </cfRule>
  </conditionalFormatting>
  <conditionalFormatting sqref="K22">
    <cfRule type="cellIs" dxfId="958" priority="51" operator="equal">
      <formula>0</formula>
    </cfRule>
  </conditionalFormatting>
  <conditionalFormatting sqref="M7:T13">
    <cfRule type="cellIs" dxfId="957" priority="20" operator="greaterThan">
      <formula>0</formula>
    </cfRule>
  </conditionalFormatting>
  <conditionalFormatting sqref="M17:U17">
    <cfRule type="expression" dxfId="956" priority="43">
      <formula>V17=0</formula>
    </cfRule>
  </conditionalFormatting>
  <conditionalFormatting sqref="M22:U22">
    <cfRule type="expression" dxfId="955" priority="36">
      <formula>V22=0</formula>
    </cfRule>
  </conditionalFormatting>
  <conditionalFormatting sqref="N31">
    <cfRule type="expression" dxfId="954" priority="63">
      <formula>$EB$2="ROUGE"</formula>
    </cfRule>
  </conditionalFormatting>
  <conditionalFormatting sqref="N34">
    <cfRule type="cellIs" dxfId="953" priority="4" operator="greaterThan">
      <formula>0</formula>
    </cfRule>
  </conditionalFormatting>
  <conditionalFormatting sqref="P39">
    <cfRule type="expression" dxfId="952" priority="158">
      <formula>EB2="faux"</formula>
    </cfRule>
  </conditionalFormatting>
  <conditionalFormatting sqref="V17">
    <cfRule type="cellIs" dxfId="951" priority="59" operator="equal">
      <formula>0</formula>
    </cfRule>
  </conditionalFormatting>
  <conditionalFormatting sqref="V19">
    <cfRule type="cellIs" dxfId="950" priority="18" operator="greaterThan">
      <formula>0</formula>
    </cfRule>
    <cfRule type="expression" dxfId="949" priority="28">
      <formula>OR(AND($E$29&gt;=47,$E$29&lt;=51,V14&gt;0),V19&gt;52,AND($E$29&gt;52,V14&gt;0),AND(V19&gt;=1,V14=0))</formula>
    </cfRule>
  </conditionalFormatting>
  <conditionalFormatting sqref="V22">
    <cfRule type="cellIs" dxfId="948" priority="50" operator="equal">
      <formula>0</formula>
    </cfRule>
  </conditionalFormatting>
  <conditionalFormatting sqref="W31">
    <cfRule type="expression" dxfId="947" priority="62">
      <formula>$EB$3="ROUGE"</formula>
    </cfRule>
  </conditionalFormatting>
  <conditionalFormatting sqref="W34">
    <cfRule type="cellIs" dxfId="946" priority="1" operator="greaterThan">
      <formula>0</formula>
    </cfRule>
  </conditionalFormatting>
  <conditionalFormatting sqref="X7:AE13">
    <cfRule type="cellIs" dxfId="945" priority="17" operator="greaterThan">
      <formula>0</formula>
    </cfRule>
  </conditionalFormatting>
  <conditionalFormatting sqref="X17:AF17">
    <cfRule type="expression" dxfId="944" priority="42">
      <formula>AG17=0</formula>
    </cfRule>
  </conditionalFormatting>
  <conditionalFormatting sqref="X22:AF22">
    <cfRule type="expression" dxfId="943" priority="35">
      <formula>AG22=0</formula>
    </cfRule>
  </conditionalFormatting>
  <conditionalFormatting sqref="AG17">
    <cfRule type="cellIs" dxfId="942" priority="58" operator="equal">
      <formula>0</formula>
    </cfRule>
  </conditionalFormatting>
  <conditionalFormatting sqref="AG19">
    <cfRule type="cellIs" dxfId="941" priority="16" operator="greaterThan">
      <formula>0</formula>
    </cfRule>
    <cfRule type="expression" dxfId="940" priority="27">
      <formula>OR(AND($E$29&gt;=47,$E$29&lt;=51,AG14&gt;0),AG19&gt;52,AND($E$29&gt;52,AG14&gt;0),AND(AG19&gt;=1,AG14=0))</formula>
    </cfRule>
  </conditionalFormatting>
  <conditionalFormatting sqref="AG22">
    <cfRule type="cellIs" dxfId="939" priority="49" operator="equal">
      <formula>0</formula>
    </cfRule>
  </conditionalFormatting>
  <conditionalFormatting sqref="AI7:AP13">
    <cfRule type="cellIs" dxfId="938" priority="15" operator="greaterThan">
      <formula>0</formula>
    </cfRule>
  </conditionalFormatting>
  <conditionalFormatting sqref="AI17:AQ17">
    <cfRule type="expression" dxfId="937" priority="41">
      <formula>AR17=0</formula>
    </cfRule>
  </conditionalFormatting>
  <conditionalFormatting sqref="AI22:AQ22">
    <cfRule type="expression" dxfId="936" priority="34">
      <formula>AR22=0</formula>
    </cfRule>
  </conditionalFormatting>
  <conditionalFormatting sqref="AR17">
    <cfRule type="cellIs" dxfId="935" priority="57" operator="equal">
      <formula>0</formula>
    </cfRule>
  </conditionalFormatting>
  <conditionalFormatting sqref="AR19">
    <cfRule type="cellIs" dxfId="934" priority="14" operator="greaterThan">
      <formula>0</formula>
    </cfRule>
    <cfRule type="expression" dxfId="933" priority="26">
      <formula>OR(AND($E$29&gt;=47,$E$29&lt;=51,AR14&gt;0),AR19&gt;52,AND($E$29&gt;52,AR14&gt;0),AND(AR19&gt;=1,AR14=0))</formula>
    </cfRule>
  </conditionalFormatting>
  <conditionalFormatting sqref="AR22">
    <cfRule type="cellIs" dxfId="932" priority="48" operator="equal">
      <formula>0</formula>
    </cfRule>
  </conditionalFormatting>
  <conditionalFormatting sqref="AT7:BA13">
    <cfRule type="cellIs" dxfId="931" priority="13" operator="greaterThan">
      <formula>0</formula>
    </cfRule>
  </conditionalFormatting>
  <conditionalFormatting sqref="AT17:BB17">
    <cfRule type="expression" dxfId="930" priority="40">
      <formula>BC17=0</formula>
    </cfRule>
  </conditionalFormatting>
  <conditionalFormatting sqref="AT22:BB22">
    <cfRule type="expression" dxfId="929" priority="33">
      <formula>BC22=0</formula>
    </cfRule>
  </conditionalFormatting>
  <conditionalFormatting sqref="BC17">
    <cfRule type="cellIs" dxfId="928" priority="56" operator="equal">
      <formula>0</formula>
    </cfRule>
  </conditionalFormatting>
  <conditionalFormatting sqref="BC19">
    <cfRule type="expression" dxfId="927" priority="25">
      <formula>OR(AND($E$29&gt;=47,$E$29&lt;=51,BC14&gt;0),BC19&gt;52,AND($E$29&gt;52,BC14&gt;0),AND(BC19&gt;=1,BC14=0))</formula>
    </cfRule>
    <cfRule type="cellIs" dxfId="926" priority="12" operator="greaterThan">
      <formula>0</formula>
    </cfRule>
  </conditionalFormatting>
  <conditionalFormatting sqref="BC22">
    <cfRule type="cellIs" dxfId="925" priority="47" operator="equal">
      <formula>0</formula>
    </cfRule>
  </conditionalFormatting>
  <conditionalFormatting sqref="BE7:BL13">
    <cfRule type="cellIs" dxfId="924" priority="11" operator="greaterThan">
      <formula>0</formula>
    </cfRule>
  </conditionalFormatting>
  <conditionalFormatting sqref="BE17:BM17">
    <cfRule type="expression" dxfId="923" priority="39">
      <formula>BN17=0</formula>
    </cfRule>
  </conditionalFormatting>
  <conditionalFormatting sqref="BE22:BM22">
    <cfRule type="expression" dxfId="922" priority="32">
      <formula>BN22=0</formula>
    </cfRule>
  </conditionalFormatting>
  <conditionalFormatting sqref="BN17">
    <cfRule type="cellIs" dxfId="921" priority="55" operator="equal">
      <formula>0</formula>
    </cfRule>
  </conditionalFormatting>
  <conditionalFormatting sqref="BN19">
    <cfRule type="expression" dxfId="920" priority="24">
      <formula>OR(AND($E$29&gt;=47,$E$29&lt;=51,BN14&gt;0),BN19&gt;52,AND($E$29&gt;52,BN14&gt;0),AND(BN19&gt;=1,BN14=0))</formula>
    </cfRule>
    <cfRule type="cellIs" dxfId="919" priority="10" operator="greaterThan">
      <formula>0</formula>
    </cfRule>
  </conditionalFormatting>
  <conditionalFormatting sqref="BN22">
    <cfRule type="cellIs" dxfId="918" priority="46" operator="equal">
      <formula>0</formula>
    </cfRule>
  </conditionalFormatting>
  <conditionalFormatting sqref="BP7:BW13">
    <cfRule type="cellIs" dxfId="917" priority="9" operator="greaterThan">
      <formula>0</formula>
    </cfRule>
  </conditionalFormatting>
  <conditionalFormatting sqref="BP17:BX17">
    <cfRule type="expression" dxfId="916" priority="38">
      <formula>BY17=0</formula>
    </cfRule>
  </conditionalFormatting>
  <conditionalFormatting sqref="BP22:BX22">
    <cfRule type="expression" dxfId="915" priority="31">
      <formula>BY22=0</formula>
    </cfRule>
  </conditionalFormatting>
  <conditionalFormatting sqref="BY17">
    <cfRule type="cellIs" dxfId="914" priority="54" operator="equal">
      <formula>0</formula>
    </cfRule>
  </conditionalFormatting>
  <conditionalFormatting sqref="BY19">
    <cfRule type="cellIs" dxfId="913" priority="8" operator="greaterThan">
      <formula>0</formula>
    </cfRule>
    <cfRule type="expression" dxfId="912" priority="23">
      <formula>OR(AND($E$29&gt;=47,$E$29&lt;=51,BY14&gt;0),BY19&gt;52,AND($E$29&gt;52,BY14&gt;0),AND(BY19&gt;=1,BY14=0))</formula>
    </cfRule>
  </conditionalFormatting>
  <conditionalFormatting sqref="BY22">
    <cfRule type="cellIs" dxfId="911" priority="45" operator="equal">
      <formula>0</formula>
    </cfRule>
  </conditionalFormatting>
  <conditionalFormatting sqref="CA7:CH13">
    <cfRule type="cellIs" dxfId="910" priority="7" operator="greaterThan">
      <formula>0</formula>
    </cfRule>
  </conditionalFormatting>
  <conditionalFormatting sqref="CA17:CI17">
    <cfRule type="expression" dxfId="909" priority="37">
      <formula>CJ17=0</formula>
    </cfRule>
  </conditionalFormatting>
  <conditionalFormatting sqref="CA22:CI22">
    <cfRule type="expression" dxfId="908" priority="30">
      <formula>CJ22=0</formula>
    </cfRule>
  </conditionalFormatting>
  <conditionalFormatting sqref="CJ17">
    <cfRule type="cellIs" dxfId="907" priority="53" operator="equal">
      <formula>0</formula>
    </cfRule>
  </conditionalFormatting>
  <conditionalFormatting sqref="CJ19">
    <cfRule type="expression" dxfId="906" priority="22">
      <formula>OR(AND($E$29&gt;=47,$E$29&lt;=51,CJ14&gt;0),CJ19&gt;52,AND($E$29&gt;52,CJ14&gt;0),AND(CJ19&gt;=1,CJ14=0))</formula>
    </cfRule>
    <cfRule type="cellIs" dxfId="905" priority="6" operator="greaterThan">
      <formula>0</formula>
    </cfRule>
  </conditionalFormatting>
  <conditionalFormatting sqref="CJ22">
    <cfRule type="cellIs" dxfId="904"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35" t="s">
        <v>1627</v>
      </c>
      <c r="B1" s="289"/>
      <c r="C1" s="289"/>
      <c r="D1" s="289"/>
      <c r="E1" s="289"/>
      <c r="F1" s="289"/>
      <c r="G1" s="289"/>
      <c r="H1" s="289"/>
      <c r="I1" s="289"/>
      <c r="J1" s="1235"/>
      <c r="K1" s="289"/>
      <c r="L1" s="1236" t="s">
        <v>1624</v>
      </c>
      <c r="M1" s="1697" t="s">
        <v>1620</v>
      </c>
      <c r="N1" s="1697"/>
      <c r="P1" s="1236" t="s">
        <v>208</v>
      </c>
      <c r="U1" s="1696">
        <f>+IF(Identification!B28&lt;=Identification!B61,Identification!B61,DATE(YEAR(Identification!B28),MONTH(Identification!B28),1))</f>
        <v>45658</v>
      </c>
      <c r="V1" s="1696"/>
      <c r="W1" s="1696"/>
      <c r="EF1" s="16" t="s">
        <v>877</v>
      </c>
      <c r="EG1" s="16" t="str">
        <f>+IF(M1=S.CAL!GC3,"OUI",IF(M1=S.CAL!GC4,"OUI","NON"))</f>
        <v>NON</v>
      </c>
    </row>
    <row r="2" spans="1:137" s="16" customFormat="1" x14ac:dyDescent="0.2">
      <c r="J2" s="1694" t="s">
        <v>1457</v>
      </c>
      <c r="K2" s="1694"/>
      <c r="L2" s="1694"/>
      <c r="M2" s="1694"/>
      <c r="N2" s="1694"/>
      <c r="O2" s="1694"/>
      <c r="P2" s="1694"/>
      <c r="EF2" s="16" t="s">
        <v>1625</v>
      </c>
      <c r="EG2" s="16" t="str">
        <f>+IF(AND(EG1="NON",P3&lt;&gt;""),"ERR","BON")</f>
        <v>BON</v>
      </c>
    </row>
    <row r="3" spans="1:137" s="16" customFormat="1" ht="18.75" x14ac:dyDescent="0.3">
      <c r="A3" s="1233" t="s">
        <v>190</v>
      </c>
      <c r="E3" s="1057"/>
      <c r="F3" s="1057"/>
      <c r="G3" s="1057"/>
      <c r="H3" s="1057"/>
      <c r="I3" s="1057"/>
      <c r="J3" s="1057"/>
      <c r="L3" s="29" t="s">
        <v>546</v>
      </c>
      <c r="M3" s="85">
        <f>Identification!B28</f>
        <v>0</v>
      </c>
      <c r="O3" s="29" t="s">
        <v>547</v>
      </c>
      <c r="P3" s="1534"/>
      <c r="EF3" s="16" t="s">
        <v>1626</v>
      </c>
      <c r="EG3" s="16" t="str">
        <f>+IF(M1=S.CAL!GC5,"OUI","NON")</f>
        <v>NON</v>
      </c>
    </row>
    <row r="4" spans="1:137" s="16" customFormat="1" x14ac:dyDescent="0.2">
      <c r="EB4" s="16" t="str">
        <f>+IF(AND(Identification!B3="Méthode 2",P39="Méthode 1"),"faux","")</f>
        <v>faux</v>
      </c>
      <c r="EF4" s="29" t="s">
        <v>1631</v>
      </c>
      <c r="EG4" s="16" t="str">
        <f>+VLOOKUP(M1,S.CAL!GC2:GD5,2,FALSE)</f>
        <v>OUI</v>
      </c>
    </row>
    <row r="5" spans="1:137" s="16"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7"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7"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7" s="16" customFormat="1" x14ac:dyDescent="0.2">
      <c r="A8" s="91" t="s">
        <v>18</v>
      </c>
      <c r="B8" s="1092"/>
      <c r="C8" s="1092"/>
      <c r="D8" s="1092"/>
      <c r="E8" s="1092"/>
      <c r="F8" s="1093"/>
      <c r="G8" s="1093"/>
      <c r="H8" s="1093"/>
      <c r="I8" s="1093"/>
      <c r="J8" s="291">
        <f t="shared" ref="J8:J13" si="0">+C8-B8+E8-D8+G8-F8+I8-H8</f>
        <v>0</v>
      </c>
      <c r="K8" s="427">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7"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7" s="16" customFormat="1" x14ac:dyDescent="0.2">
      <c r="A10" s="91" t="s">
        <v>20</v>
      </c>
      <c r="B10" s="1092"/>
      <c r="C10" s="1092"/>
      <c r="D10" s="1092"/>
      <c r="E10" s="1533"/>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7"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7"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7"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7"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f>+IF(Identification!B66="NON",VLOOKUP(O29,Identification!A71:B74,2,TRUE),VLOOKUP(O29,Identification!A78:B81,2,TRUE))</f>
        <v>0.78120000000000001</v>
      </c>
      <c r="O29" s="30">
        <f>+U1</f>
        <v>45658</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IF(EG3="OUI","AU REEL",IF(OR(E29=52,E29=N37),"COMPLETE",IF(E29&lt;47,"INCOMPLETE","ERREUR")))</f>
        <v>INCOMPLETE</v>
      </c>
      <c r="F31" s="294"/>
      <c r="G31" s="294"/>
      <c r="H31" s="294"/>
      <c r="I31" s="294"/>
      <c r="K31" s="24"/>
      <c r="L31" s="24"/>
      <c r="M31" s="183" t="s">
        <v>1452</v>
      </c>
      <c r="N31" s="1049" t="s">
        <v>146</v>
      </c>
      <c r="O31" s="24"/>
      <c r="P31" s="24"/>
      <c r="Q31" s="24"/>
      <c r="R31" s="24"/>
      <c r="S31" s="24"/>
      <c r="T31" s="24"/>
      <c r="U31" s="24"/>
      <c r="V31" s="183" t="s">
        <v>938</v>
      </c>
      <c r="W31" s="1049" t="s">
        <v>146</v>
      </c>
      <c r="X31" s="24"/>
    </row>
    <row r="32" spans="1:88" s="16" customFormat="1" x14ac:dyDescent="0.2">
      <c r="K32" s="24"/>
      <c r="L32" s="24"/>
      <c r="M32" s="1051" t="s">
        <v>927</v>
      </c>
      <c r="N32" s="24"/>
      <c r="O32" s="24"/>
      <c r="P32" s="24"/>
      <c r="Q32" s="24"/>
      <c r="R32" s="24"/>
      <c r="S32" s="24"/>
      <c r="T32" s="24"/>
      <c r="U32" s="24"/>
      <c r="V32" s="1052" t="s">
        <v>917</v>
      </c>
      <c r="W32" s="24"/>
      <c r="X32" s="24"/>
    </row>
    <row r="33" spans="1:35" s="16" customFormat="1" ht="15.75" thickBot="1" x14ac:dyDescent="0.3">
      <c r="D33" s="295" t="s">
        <v>517</v>
      </c>
      <c r="E33" s="294">
        <f>IF(EG3="OUI",0,IF(OR(E29=52,E29=N37),52,IF(E29&lt;47,E29,"ERREUR")))</f>
        <v>0</v>
      </c>
      <c r="F33" s="294"/>
      <c r="G33" s="294"/>
      <c r="H33" s="294"/>
      <c r="I33" s="294"/>
      <c r="M33" s="487"/>
      <c r="V33" s="488"/>
    </row>
    <row r="34" spans="1:35" s="16" customFormat="1" ht="13.5" thickBot="1" x14ac:dyDescent="0.25">
      <c r="M34" s="29" t="s">
        <v>850</v>
      </c>
      <c r="N34" s="1630">
        <v>0.1</v>
      </c>
      <c r="V34" s="29" t="s">
        <v>916</v>
      </c>
      <c r="W34" s="1630"/>
    </row>
    <row r="35" spans="1:35" s="16" customFormat="1" ht="15" x14ac:dyDescent="0.25">
      <c r="D35" s="29" t="s">
        <v>1466</v>
      </c>
      <c r="E35" s="1095"/>
      <c r="I35" s="294"/>
      <c r="W35" s="24">
        <f>+E35*(1+W34)</f>
        <v>0</v>
      </c>
    </row>
    <row r="36" spans="1:35" s="16" customFormat="1" x14ac:dyDescent="0.2">
      <c r="D36" s="29"/>
      <c r="K36" s="24"/>
      <c r="L36" s="24"/>
      <c r="M36" s="183" t="s">
        <v>200</v>
      </c>
      <c r="N36" s="296">
        <f>+IF(Identification!B3=S.CAL!AY2,E35*(1+N34),E35)</f>
        <v>0</v>
      </c>
      <c r="V36" s="29" t="s">
        <v>1723</v>
      </c>
      <c r="W36" s="1610" t="str">
        <f>+IF(Y36&lt;&gt;"",Y36,IF(M1=S.CAL!GC5,"OUI",IF(AND(M1=S.CAL!GC3,N37&gt;8.5),"NON","OUI")))</f>
        <v>OUI</v>
      </c>
      <c r="X36" s="1611" t="s">
        <v>1724</v>
      </c>
      <c r="Y36" s="1612"/>
    </row>
    <row r="37" spans="1:35" s="16" customFormat="1" x14ac:dyDescent="0.2">
      <c r="D37" s="29" t="s">
        <v>1467</v>
      </c>
      <c r="E37" s="297">
        <f>+E35*N29</f>
        <v>0</v>
      </c>
      <c r="F37" s="297"/>
      <c r="G37" s="297"/>
      <c r="H37" s="297"/>
      <c r="I37" s="297"/>
      <c r="M37" s="29" t="s">
        <v>548</v>
      </c>
      <c r="N37" s="16" t="str">
        <f>+IF(EG1="OUI",CEILING(CEILING(P3-M3,1)/7,1),"")</f>
        <v/>
      </c>
    </row>
    <row r="38" spans="1:35" s="16" customFormat="1" x14ac:dyDescent="0.2">
      <c r="D38" s="29"/>
      <c r="E38" s="297"/>
      <c r="F38" s="297"/>
      <c r="G38" s="297"/>
      <c r="H38" s="297"/>
      <c r="I38" s="297"/>
      <c r="M38" s="29"/>
      <c r="N38" s="298"/>
      <c r="V38" s="29" t="s">
        <v>1726</v>
      </c>
      <c r="W38" s="1610" t="str">
        <f>+IF(Y38&lt;&gt;"",Y38,IF(E31="INCOMPLETE","OUI","NON"))</f>
        <v>OUI</v>
      </c>
      <c r="X38" s="1611" t="s">
        <v>1724</v>
      </c>
      <c r="Y38" s="1612"/>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849</v>
      </c>
      <c r="E40" s="151">
        <f>IF(E29=N37,IF(E29,(K22+V22+AG22+AR22+BC22+BN22+BY22+CJ22)*N37/E29,0),IF(E29,(K22+V22+AG22+AR22+BC22+BN22+BY22+CJ22)*E33/E29,0))</f>
        <v>0</v>
      </c>
      <c r="F40" s="151"/>
      <c r="G40" s="151"/>
      <c r="H40" s="151"/>
      <c r="I40" s="151"/>
      <c r="K40" s="24"/>
      <c r="L40" s="24"/>
      <c r="M40" s="183"/>
      <c r="N40" s="742"/>
      <c r="O40" s="24"/>
      <c r="P40" s="1055" t="s">
        <v>1239</v>
      </c>
      <c r="Q40" s="898"/>
      <c r="R40" s="898"/>
      <c r="S40" s="898"/>
      <c r="T40" s="898"/>
      <c r="U40" s="1056" t="s">
        <v>362</v>
      </c>
      <c r="V40" s="1191" t="s">
        <v>1492</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5" t="s">
        <v>1390</v>
      </c>
      <c r="Q41" s="898"/>
      <c r="R41" s="898"/>
      <c r="S41" s="898"/>
      <c r="T41" s="898"/>
      <c r="U41" s="898"/>
      <c r="V41" s="1191" t="s">
        <v>1493</v>
      </c>
      <c r="W41" s="24"/>
      <c r="X41" s="24"/>
      <c r="Y41" s="24"/>
      <c r="Z41" s="24"/>
      <c r="AA41" s="24"/>
      <c r="AB41" s="24"/>
      <c r="AC41" s="24"/>
      <c r="AD41" s="24"/>
      <c r="AE41" s="24"/>
      <c r="AF41" s="24"/>
      <c r="AG41" s="24"/>
      <c r="AH41" s="24"/>
      <c r="AI41" s="24"/>
    </row>
    <row r="42" spans="1:35" s="16" customFormat="1" x14ac:dyDescent="0.2">
      <c r="D42" s="29" t="s">
        <v>196</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5" t="s">
        <v>1239</v>
      </c>
      <c r="Q43" s="898"/>
      <c r="R43" s="898"/>
      <c r="S43" s="898"/>
      <c r="T43" s="898"/>
      <c r="U43" s="1056" t="s">
        <v>1238</v>
      </c>
      <c r="V43" s="1191" t="s">
        <v>1492</v>
      </c>
      <c r="W43" s="24"/>
      <c r="X43" s="24"/>
      <c r="Y43" s="24"/>
      <c r="Z43" s="24"/>
      <c r="AA43" s="24"/>
      <c r="AB43" s="24"/>
      <c r="AC43" s="24"/>
      <c r="AD43" s="24"/>
      <c r="AE43" s="24"/>
      <c r="AF43" s="24"/>
      <c r="AG43" s="24"/>
      <c r="AH43" s="24"/>
      <c r="AI43" s="24"/>
    </row>
    <row r="44" spans="1:35" s="16" customFormat="1" ht="18.75" x14ac:dyDescent="0.3">
      <c r="A44" s="1661" t="s">
        <v>201</v>
      </c>
      <c r="B44" s="1662"/>
      <c r="C44" s="1662"/>
      <c r="D44" s="1662"/>
      <c r="E44" s="1663"/>
      <c r="F44" s="293"/>
      <c r="G44" s="293"/>
      <c r="H44" s="293"/>
      <c r="I44" s="293"/>
      <c r="L44" s="24"/>
      <c r="M44" s="24"/>
      <c r="N44" s="24"/>
      <c r="O44" s="24"/>
      <c r="P44" s="1055" t="s">
        <v>1391</v>
      </c>
      <c r="Q44" s="898"/>
      <c r="R44" s="898"/>
      <c r="S44" s="898"/>
      <c r="T44" s="898"/>
      <c r="U44" s="898"/>
      <c r="V44" s="1191" t="s">
        <v>1494</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91" t="s">
        <v>1495</v>
      </c>
      <c r="W45" s="24"/>
      <c r="X45" s="24"/>
      <c r="Y45" s="24"/>
      <c r="Z45" s="24"/>
      <c r="AA45" s="24"/>
      <c r="AB45" s="24"/>
      <c r="AC45" s="24"/>
      <c r="AD45" s="24"/>
      <c r="AE45" s="24"/>
      <c r="AF45" s="24"/>
      <c r="AG45" s="24"/>
      <c r="AH45" s="24"/>
      <c r="AI45" s="24"/>
    </row>
    <row r="46" spans="1:35" s="16" customFormat="1" ht="18.75" x14ac:dyDescent="0.3">
      <c r="A46" s="293"/>
      <c r="D46" s="29" t="s">
        <v>202</v>
      </c>
      <c r="E46" s="299">
        <f>+IF(EG1="OUI",IF(N37,+E42*4.33/N37,0),+E42/12)</f>
        <v>0</v>
      </c>
      <c r="F46" s="299"/>
      <c r="G46" s="299"/>
      <c r="H46" s="299"/>
      <c r="I46" s="299"/>
      <c r="P46" s="1055" t="s">
        <v>1359</v>
      </c>
      <c r="Q46" s="898"/>
      <c r="R46" s="898"/>
      <c r="S46" s="898"/>
      <c r="T46" s="898"/>
      <c r="U46" s="1056" t="s">
        <v>452</v>
      </c>
      <c r="V46" s="899"/>
    </row>
    <row r="47" spans="1:35" s="16" customFormat="1" x14ac:dyDescent="0.2">
      <c r="P47" s="1055" t="s">
        <v>1360</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851</v>
      </c>
      <c r="E49" s="425">
        <f>+IF(EG1="OUI",IF(N37,ROUND((E40*52)/(N37*12),C77),0),ROUND(E40/12,C77))</f>
        <v>0</v>
      </c>
      <c r="F49" s="300"/>
      <c r="G49" s="300"/>
      <c r="H49" s="300"/>
      <c r="I49" s="300"/>
      <c r="L49" s="29" t="s">
        <v>1374</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sem X 52 sem / 12 mois</v>
      </c>
      <c r="N51" s="486"/>
      <c r="O51" s="486"/>
    </row>
    <row r="52" spans="1:114" s="16" customFormat="1" ht="15" x14ac:dyDescent="0.25">
      <c r="C52" s="294"/>
      <c r="D52" s="295" t="s">
        <v>203</v>
      </c>
      <c r="E52" s="301">
        <f>+ROUND(ROUND((E48*E35),2)+ROUND((E49*N36),2),2)</f>
        <v>0</v>
      </c>
      <c r="F52" s="301"/>
      <c r="G52" s="301"/>
      <c r="H52" s="301"/>
      <c r="I52" s="301"/>
      <c r="K52" s="486"/>
      <c r="L52" s="487" t="str">
        <f>+L51</f>
        <v>Nbre d'hrs mensualisées =</v>
      </c>
      <c r="M52" s="1019">
        <f>+E48</f>
        <v>0</v>
      </c>
      <c r="N52" s="486"/>
      <c r="O52" s="486"/>
    </row>
    <row r="53" spans="1:114" s="16" customFormat="1" x14ac:dyDescent="0.2"/>
    <row r="54" spans="1:114" s="16" customFormat="1" x14ac:dyDescent="0.2">
      <c r="D54" s="29" t="s">
        <v>204</v>
      </c>
      <c r="E54" s="302">
        <f>ROUND(+E52*N29,2)</f>
        <v>0</v>
      </c>
      <c r="F54" s="302"/>
      <c r="G54" s="302"/>
      <c r="H54" s="302"/>
      <c r="I54" s="302"/>
      <c r="L54" s="487" t="s">
        <v>1375</v>
      </c>
      <c r="M54" s="486" t="s">
        <v>1491</v>
      </c>
      <c r="N54" s="486"/>
    </row>
    <row r="55" spans="1:114" s="16" customFormat="1" x14ac:dyDescent="0.2">
      <c r="L55" s="487" t="s">
        <v>1375</v>
      </c>
      <c r="M55" s="486" t="str">
        <f>+E40&amp;" hrs / "&amp;N37&amp;" sem X 52 sem / 12 mois"</f>
        <v>0 hrs /  sem X 52 sem / 12 mois</v>
      </c>
      <c r="N55" s="486"/>
    </row>
    <row r="56" spans="1:114" s="16" customFormat="1" x14ac:dyDescent="0.2">
      <c r="D56" s="29" t="s">
        <v>205</v>
      </c>
      <c r="E56" s="302">
        <f>ROUND(+(E49*N36*0.1131),2)</f>
        <v>0</v>
      </c>
      <c r="F56" s="302"/>
      <c r="G56" s="302"/>
      <c r="H56" s="302"/>
      <c r="I56" s="302"/>
      <c r="L56" s="487" t="s">
        <v>1375</v>
      </c>
      <c r="M56" s="1019">
        <f>+E49</f>
        <v>0</v>
      </c>
      <c r="N56" s="486"/>
    </row>
    <row r="57" spans="1:114" s="16" customFormat="1" x14ac:dyDescent="0.2"/>
    <row r="58" spans="1:114" s="16" customFormat="1" ht="15" x14ac:dyDescent="0.25">
      <c r="D58" s="303" t="s">
        <v>59</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+IF(EG1="OUI",IF(E29,ROUNDUP(E42*4.33/N37,0),0),IF(E29,ROUNDUP(E42/E29*E33/12,0),0))</f>
        <v>0</v>
      </c>
      <c r="E64" s="131"/>
      <c r="F64" s="131"/>
      <c r="G64" s="131"/>
      <c r="H64" s="131"/>
      <c r="I64" s="131"/>
    </row>
    <row r="65" spans="1:12" x14ac:dyDescent="0.2">
      <c r="B65" s="131"/>
    </row>
    <row r="66" spans="1:12" ht="15.75" x14ac:dyDescent="0.25">
      <c r="C66" s="307" t="s">
        <v>24</v>
      </c>
      <c r="D66" s="308" t="s">
        <v>25</v>
      </c>
      <c r="J66" s="1011"/>
      <c r="K66" s="1011"/>
      <c r="L66" s="1011"/>
    </row>
    <row r="67" spans="1:12" x14ac:dyDescent="0.2">
      <c r="B67" s="131" t="s">
        <v>26</v>
      </c>
      <c r="C67" s="38">
        <f>IFERROR(+VLOOKUP(U1,base_smic,2,TRUE),0)</f>
        <v>11.88</v>
      </c>
      <c r="D67" s="309">
        <f>+C67*N29</f>
        <v>9.2806560000000005</v>
      </c>
    </row>
    <row r="68" spans="1:12" x14ac:dyDescent="0.2">
      <c r="J68" s="306"/>
    </row>
    <row r="69" spans="1:12" x14ac:dyDescent="0.2">
      <c r="A69" s="1664" t="s">
        <v>27</v>
      </c>
      <c r="B69" s="1664"/>
      <c r="C69" s="1012">
        <f>+C67*5*C64</f>
        <v>0</v>
      </c>
      <c r="D69" s="1012">
        <f>+C64*5*D67</f>
        <v>0</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fbhKvrwHDwAvPbi/wpWJxZ7y1YHG2g3bpkMGiaKDKmLsQ8NwxL7wxVcxj4WnLQnILhT4Kb31EMRCBsqbFbVzWA==" saltValue="+4R1P6TbTZP5TyzDUYeK6w==" spinCount="100000" sheet="1" objects="1" scenarios="1" formatCells="0" formatColumns="0" formatRows="0" insertColumns="0" insertRows="0" insertHyperlinks="0" sort="0" autoFilter="0" pivotTables="0"/>
  <mergeCells count="70">
    <mergeCell ref="U1:W1"/>
    <mergeCell ref="B19:J19"/>
    <mergeCell ref="B17:J17"/>
    <mergeCell ref="B16:J16"/>
    <mergeCell ref="M22:U22"/>
    <mergeCell ref="J2:P2"/>
    <mergeCell ref="B14:J14"/>
    <mergeCell ref="M14:U14"/>
    <mergeCell ref="M1:N1"/>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BE24:BM24"/>
    <mergeCell ref="BE22:BM22"/>
    <mergeCell ref="BE21:BM21"/>
    <mergeCell ref="BE19:BM19"/>
    <mergeCell ref="BE17:BM17"/>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X14:AF14"/>
    <mergeCell ref="AI14:AQ14"/>
    <mergeCell ref="AT14:BB14"/>
    <mergeCell ref="BP22:BX22"/>
    <mergeCell ref="BP21:BX21"/>
    <mergeCell ref="BP19:BX19"/>
    <mergeCell ref="BP16:BX16"/>
    <mergeCell ref="BE14:BM14"/>
    <mergeCell ref="BP14:BX14"/>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s>
  <conditionalFormatting sqref="A29:E29">
    <cfRule type="expression" dxfId="902" priority="35">
      <formula>$EG$3="OUI"</formula>
    </cfRule>
  </conditionalFormatting>
  <conditionalFormatting sqref="A39:E69">
    <cfRule type="expression" dxfId="901" priority="33">
      <formula>$EG$3="OUI"</formula>
    </cfRule>
  </conditionalFormatting>
  <conditionalFormatting sqref="A20:XFD25">
    <cfRule type="expression" dxfId="900" priority="36">
      <formula>$EG$3="OUI"</formula>
    </cfRule>
  </conditionalFormatting>
  <conditionalFormatting sqref="B7:I13">
    <cfRule type="cellIs" dxfId="899" priority="20" operator="greaterThan">
      <formula>0</formula>
    </cfRule>
  </conditionalFormatting>
  <conditionalFormatting sqref="B17:J17">
    <cfRule type="expression" dxfId="898" priority="70">
      <formula>K17=0</formula>
    </cfRule>
  </conditionalFormatting>
  <conditionalFormatting sqref="B22:J22">
    <cfRule type="expression" dxfId="897" priority="55">
      <formula>K22=0</formula>
    </cfRule>
  </conditionalFormatting>
  <conditionalFormatting sqref="D40">
    <cfRule type="expression" dxfId="896" priority="84">
      <formula>$E$40=0</formula>
    </cfRule>
  </conditionalFormatting>
  <conditionalFormatting sqref="D49">
    <cfRule type="expression" dxfId="895" priority="83">
      <formula>$E$49=0</formula>
    </cfRule>
  </conditionalFormatting>
  <conditionalFormatting sqref="D33:E33">
    <cfRule type="expression" dxfId="894" priority="34">
      <formula>$EG$3="OUI"</formula>
    </cfRule>
  </conditionalFormatting>
  <conditionalFormatting sqref="E35">
    <cfRule type="cellIs" dxfId="892" priority="4" operator="greaterThan">
      <formula>0</formula>
    </cfRule>
  </conditionalFormatting>
  <conditionalFormatting sqref="E40">
    <cfRule type="cellIs" dxfId="891" priority="85" operator="equal">
      <formula>0</formula>
    </cfRule>
  </conditionalFormatting>
  <conditionalFormatting sqref="E49">
    <cfRule type="cellIs" dxfId="890" priority="82" operator="equal">
      <formula>0</formula>
    </cfRule>
  </conditionalFormatting>
  <conditionalFormatting sqref="E50">
    <cfRule type="expression" dxfId="889" priority="81">
      <formula>$E$49=0</formula>
    </cfRule>
  </conditionalFormatting>
  <conditionalFormatting sqref="E29:I29">
    <cfRule type="cellIs" dxfId="888" priority="129" operator="greaterThanOrEqual">
      <formula>52.0000001</formula>
    </cfRule>
    <cfRule type="cellIs" dxfId="887" priority="130" operator="between">
      <formula>46.9999999999</formula>
      <formula>51.99999</formula>
    </cfRule>
  </conditionalFormatting>
  <conditionalFormatting sqref="K17">
    <cfRule type="cellIs" dxfId="886" priority="71" operator="equal">
      <formula>0</formula>
    </cfRule>
  </conditionalFormatting>
  <conditionalFormatting sqref="K19">
    <cfRule type="cellIs" dxfId="885" priority="5" operator="greaterThan">
      <formula>0</formula>
    </cfRule>
    <cfRule type="expression" dxfId="884" priority="28">
      <formula>OR(AND($E$29&gt;=47,$E$29&lt;=51,K14&gt;0),K19&gt;52,AND($E$29&gt;52,K14&gt;0),AND(K19&gt;=1,K14=0))</formula>
    </cfRule>
  </conditionalFormatting>
  <conditionalFormatting sqref="K22">
    <cfRule type="cellIs" dxfId="883" priority="54" operator="equal">
      <formula>0</formula>
    </cfRule>
  </conditionalFormatting>
  <conditionalFormatting sqref="K49:W59">
    <cfRule type="expression" dxfId="882" priority="31">
      <formula>$EG$1="NON"</formula>
    </cfRule>
  </conditionalFormatting>
  <conditionalFormatting sqref="L54:M56">
    <cfRule type="expression" dxfId="881" priority="80">
      <formula>$E$49=0</formula>
    </cfRule>
  </conditionalFormatting>
  <conditionalFormatting sqref="M37">
    <cfRule type="expression" dxfId="880" priority="32">
      <formula>$EG$1="NON"</formula>
    </cfRule>
  </conditionalFormatting>
  <conditionalFormatting sqref="M7:T13">
    <cfRule type="cellIs" dxfId="879" priority="19" operator="greaterThan">
      <formula>0</formula>
    </cfRule>
  </conditionalFormatting>
  <conditionalFormatting sqref="M17:U17">
    <cfRule type="expression" dxfId="878" priority="62">
      <formula>V17=0</formula>
    </cfRule>
  </conditionalFormatting>
  <conditionalFormatting sqref="M22:U22">
    <cfRule type="expression" dxfId="877" priority="46">
      <formula>V22=0</formula>
    </cfRule>
  </conditionalFormatting>
  <conditionalFormatting sqref="N34">
    <cfRule type="cellIs" dxfId="876" priority="3" operator="greaterThan">
      <formula>0</formula>
    </cfRule>
  </conditionalFormatting>
  <conditionalFormatting sqref="O3">
    <cfRule type="expression" dxfId="875" priority="39">
      <formula>$EG$1="NON"</formula>
    </cfRule>
  </conditionalFormatting>
  <conditionalFormatting sqref="P3">
    <cfRule type="expression" dxfId="874" priority="37">
      <formula>$EG$2="ERR"</formula>
    </cfRule>
    <cfRule type="expression" dxfId="873" priority="38">
      <formula>$EG$1="NON"</formula>
    </cfRule>
  </conditionalFormatting>
  <conditionalFormatting sqref="P39">
    <cfRule type="expression" dxfId="872" priority="118">
      <formula>EB2="faux"</formula>
    </cfRule>
  </conditionalFormatting>
  <conditionalFormatting sqref="V17">
    <cfRule type="cellIs" dxfId="871" priority="69" operator="equal">
      <formula>0</formula>
    </cfRule>
  </conditionalFormatting>
  <conditionalFormatting sqref="V19">
    <cfRule type="expression" dxfId="870" priority="27">
      <formula>OR(AND($E$29&gt;=47,$E$29&lt;=51,V14&gt;0),V19&gt;52,AND($E$29&gt;52,V14&gt;0),AND(V19&gt;=1,V14=0))</formula>
    </cfRule>
    <cfRule type="cellIs" dxfId="869" priority="6" operator="greaterThan">
      <formula>0</formula>
    </cfRule>
  </conditionalFormatting>
  <conditionalFormatting sqref="V22">
    <cfRule type="cellIs" dxfId="868" priority="53" operator="equal">
      <formula>0</formula>
    </cfRule>
  </conditionalFormatting>
  <conditionalFormatting sqref="W34">
    <cfRule type="cellIs" dxfId="867" priority="1" operator="greaterThan">
      <formula>0</formula>
    </cfRule>
  </conditionalFormatting>
  <conditionalFormatting sqref="X7:AE13">
    <cfRule type="cellIs" dxfId="866" priority="18" operator="greaterThan">
      <formula>0</formula>
    </cfRule>
  </conditionalFormatting>
  <conditionalFormatting sqref="X17:AF17">
    <cfRule type="expression" dxfId="865" priority="61">
      <formula>AG17=0</formula>
    </cfRule>
  </conditionalFormatting>
  <conditionalFormatting sqref="X22:AF22">
    <cfRule type="expression" dxfId="864" priority="45">
      <formula>AG22=0</formula>
    </cfRule>
  </conditionalFormatting>
  <conditionalFormatting sqref="AG17">
    <cfRule type="cellIs" dxfId="863" priority="68" operator="equal">
      <formula>0</formula>
    </cfRule>
  </conditionalFormatting>
  <conditionalFormatting sqref="AG19">
    <cfRule type="cellIs" dxfId="862" priority="7" operator="greaterThan">
      <formula>0</formula>
    </cfRule>
    <cfRule type="expression" dxfId="861" priority="26">
      <formula>OR(AND($E$29&gt;=47,$E$29&lt;=51,AG14&gt;0),AG19&gt;52,AND($E$29&gt;52,AG14&gt;0),AND(AG19&gt;=1,AG14=0))</formula>
    </cfRule>
  </conditionalFormatting>
  <conditionalFormatting sqref="AG22">
    <cfRule type="cellIs" dxfId="860" priority="52" operator="equal">
      <formula>0</formula>
    </cfRule>
  </conditionalFormatting>
  <conditionalFormatting sqref="AI7:AP13">
    <cfRule type="cellIs" dxfId="859" priority="17" operator="greaterThan">
      <formula>0</formula>
    </cfRule>
  </conditionalFormatting>
  <conditionalFormatting sqref="AI17:AQ17">
    <cfRule type="expression" dxfId="858" priority="60">
      <formula>AR17=0</formula>
    </cfRule>
  </conditionalFormatting>
  <conditionalFormatting sqref="AI22:AQ22">
    <cfRule type="expression" dxfId="857" priority="44">
      <formula>AR22=0</formula>
    </cfRule>
  </conditionalFormatting>
  <conditionalFormatting sqref="AR17">
    <cfRule type="cellIs" dxfId="856" priority="67" operator="equal">
      <formula>0</formula>
    </cfRule>
  </conditionalFormatting>
  <conditionalFormatting sqref="AR19">
    <cfRule type="cellIs" dxfId="855" priority="8" operator="greaterThan">
      <formula>0</formula>
    </cfRule>
    <cfRule type="expression" dxfId="854" priority="25">
      <formula>OR(AND($E$29&gt;=47,$E$29&lt;=51,AR14&gt;0),AR19&gt;52,AND($E$29&gt;52,AR14&gt;0),AND(AR19&gt;=1,AR14=0))</formula>
    </cfRule>
  </conditionalFormatting>
  <conditionalFormatting sqref="AR22">
    <cfRule type="cellIs" dxfId="853" priority="51" operator="equal">
      <formula>0</formula>
    </cfRule>
  </conditionalFormatting>
  <conditionalFormatting sqref="AT7:BA13">
    <cfRule type="cellIs" dxfId="852" priority="16" operator="greaterThan">
      <formula>0</formula>
    </cfRule>
  </conditionalFormatting>
  <conditionalFormatting sqref="AT17:BB17">
    <cfRule type="expression" dxfId="851" priority="59">
      <formula>BC17=0</formula>
    </cfRule>
  </conditionalFormatting>
  <conditionalFormatting sqref="AT22:BB22">
    <cfRule type="expression" dxfId="850" priority="43">
      <formula>BC22=0</formula>
    </cfRule>
  </conditionalFormatting>
  <conditionalFormatting sqref="BC17">
    <cfRule type="cellIs" dxfId="849" priority="66" operator="equal">
      <formula>0</formula>
    </cfRule>
  </conditionalFormatting>
  <conditionalFormatting sqref="BC19">
    <cfRule type="cellIs" dxfId="848" priority="9" operator="greaterThan">
      <formula>0</formula>
    </cfRule>
    <cfRule type="expression" dxfId="847" priority="24">
      <formula>OR(AND($E$29&gt;=47,$E$29&lt;=51,BC14&gt;0),BC19&gt;52,AND($E$29&gt;52,BC14&gt;0),AND(BC19&gt;=1,BC14=0))</formula>
    </cfRule>
  </conditionalFormatting>
  <conditionalFormatting sqref="BC22">
    <cfRule type="cellIs" dxfId="846" priority="50" operator="equal">
      <formula>0</formula>
    </cfRule>
  </conditionalFormatting>
  <conditionalFormatting sqref="BE7:BL13">
    <cfRule type="cellIs" dxfId="845" priority="15" operator="greaterThan">
      <formula>0</formula>
    </cfRule>
  </conditionalFormatting>
  <conditionalFormatting sqref="BE17:BM17">
    <cfRule type="expression" dxfId="844" priority="58">
      <formula>BN17=0</formula>
    </cfRule>
  </conditionalFormatting>
  <conditionalFormatting sqref="BE22:BM22">
    <cfRule type="expression" dxfId="843" priority="42">
      <formula>BN22=0</formula>
    </cfRule>
  </conditionalFormatting>
  <conditionalFormatting sqref="BN17">
    <cfRule type="cellIs" dxfId="842" priority="65" operator="equal">
      <formula>0</formula>
    </cfRule>
  </conditionalFormatting>
  <conditionalFormatting sqref="BN19">
    <cfRule type="expression" dxfId="841" priority="23">
      <formula>OR(AND($E$29&gt;=47,$E$29&lt;=51,BN14&gt;0),BN19&gt;52,AND($E$29&gt;52,BN14&gt;0),AND(BN19&gt;=1,BN14=0))</formula>
    </cfRule>
    <cfRule type="cellIs" dxfId="840" priority="10" operator="greaterThan">
      <formula>0</formula>
    </cfRule>
  </conditionalFormatting>
  <conditionalFormatting sqref="BN22">
    <cfRule type="cellIs" dxfId="839" priority="49" operator="equal">
      <formula>0</formula>
    </cfRule>
  </conditionalFormatting>
  <conditionalFormatting sqref="BP7:BW13">
    <cfRule type="cellIs" dxfId="838" priority="14" operator="greaterThan">
      <formula>0</formula>
    </cfRule>
  </conditionalFormatting>
  <conditionalFormatting sqref="BP17:BX17">
    <cfRule type="expression" dxfId="837" priority="57">
      <formula>BY17=0</formula>
    </cfRule>
  </conditionalFormatting>
  <conditionalFormatting sqref="BP22:BX22">
    <cfRule type="expression" dxfId="836" priority="41">
      <formula>BY22=0</formula>
    </cfRule>
  </conditionalFormatting>
  <conditionalFormatting sqref="BY17">
    <cfRule type="cellIs" dxfId="835" priority="64" operator="equal">
      <formula>0</formula>
    </cfRule>
  </conditionalFormatting>
  <conditionalFormatting sqref="BY19">
    <cfRule type="expression" dxfId="834" priority="22">
      <formula>OR(AND($E$29&gt;=47,$E$29&lt;=51,BY14&gt;0),BY19&gt;52,AND($E$29&gt;52,BY14&gt;0),AND(BY19&gt;=1,BY14=0))</formula>
    </cfRule>
    <cfRule type="cellIs" dxfId="833" priority="11" operator="greaterThan">
      <formula>0</formula>
    </cfRule>
  </conditionalFormatting>
  <conditionalFormatting sqref="BY22">
    <cfRule type="cellIs" dxfId="832" priority="48" operator="equal">
      <formula>0</formula>
    </cfRule>
  </conditionalFormatting>
  <conditionalFormatting sqref="CA7:CH13">
    <cfRule type="cellIs" dxfId="831" priority="13" operator="greaterThan">
      <formula>0</formula>
    </cfRule>
  </conditionalFormatting>
  <conditionalFormatting sqref="CA17:CI17">
    <cfRule type="expression" dxfId="830" priority="56">
      <formula>CJ17=0</formula>
    </cfRule>
  </conditionalFormatting>
  <conditionalFormatting sqref="CA22:CI22">
    <cfRule type="expression" dxfId="829" priority="40">
      <formula>CJ22=0</formula>
    </cfRule>
  </conditionalFormatting>
  <conditionalFormatting sqref="CJ17">
    <cfRule type="cellIs" dxfId="828" priority="63" operator="equal">
      <formula>0</formula>
    </cfRule>
  </conditionalFormatting>
  <conditionalFormatting sqref="CJ19">
    <cfRule type="expression" dxfId="827" priority="21">
      <formula>OR(AND($E$29&gt;=47,$E$29&lt;=51,CJ14&gt;0),CJ19&gt;52,AND($E$29&gt;52,CJ14&gt;0),AND(CJ19&gt;=1,CJ14=0))</formula>
    </cfRule>
    <cfRule type="cellIs" dxfId="826" priority="12" operator="greaterThan">
      <formula>0</formula>
    </cfRule>
  </conditionalFormatting>
  <conditionalFormatting sqref="CJ22">
    <cfRule type="cellIs" dxfId="825"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5" t="s">
        <v>1628</v>
      </c>
      <c r="B1" s="289"/>
      <c r="C1" s="289"/>
      <c r="D1" s="289"/>
      <c r="E1" s="289"/>
      <c r="F1" s="289"/>
      <c r="G1" s="289"/>
      <c r="H1" s="289"/>
      <c r="I1" s="289"/>
      <c r="J1" s="1235"/>
      <c r="K1" s="289"/>
      <c r="L1" s="1236" t="s">
        <v>1624</v>
      </c>
      <c r="M1" s="1697" t="s">
        <v>1621</v>
      </c>
      <c r="N1" s="1697"/>
      <c r="O1" s="289"/>
      <c r="P1" s="1236" t="s">
        <v>208</v>
      </c>
      <c r="Q1" s="289"/>
      <c r="R1" s="289"/>
      <c r="S1" s="289"/>
      <c r="T1" s="290" t="s">
        <v>208</v>
      </c>
      <c r="U1" s="1698"/>
      <c r="V1" s="1698"/>
      <c r="W1" s="1698"/>
      <c r="EF1" s="16" t="s">
        <v>877</v>
      </c>
      <c r="EG1" s="16" t="str">
        <f>+IF(M1=S.CAL!GC3,"OUI",IF(M1=S.CAL!GC4,"OUI","NON"))</f>
        <v>OUI</v>
      </c>
    </row>
    <row r="2" spans="1:137" s="16" customFormat="1" x14ac:dyDescent="0.2">
      <c r="J2" s="1699" t="s">
        <v>1457</v>
      </c>
      <c r="K2" s="1699"/>
      <c r="L2" s="1699"/>
      <c r="M2" s="1699"/>
      <c r="N2" s="1699"/>
      <c r="O2" s="1699"/>
      <c r="P2" s="1699"/>
      <c r="EF2" s="16" t="s">
        <v>1625</v>
      </c>
      <c r="EG2" s="16" t="str">
        <f>+IF(AND(EG1="NON",P3&lt;&gt;""),"ERR","BON")</f>
        <v>BON</v>
      </c>
    </row>
    <row r="3" spans="1:137" s="16" customFormat="1" ht="18.75" x14ac:dyDescent="0.3">
      <c r="A3" s="1233" t="s">
        <v>190</v>
      </c>
      <c r="D3" s="1059"/>
      <c r="E3" s="1059"/>
      <c r="F3" s="1059"/>
      <c r="G3" s="1059"/>
      <c r="H3" s="1059"/>
      <c r="I3" s="1059"/>
      <c r="J3" s="1059"/>
      <c r="L3" s="29" t="s">
        <v>546</v>
      </c>
      <c r="M3" s="85">
        <f>+U1</f>
        <v>0</v>
      </c>
      <c r="O3" s="29" t="s">
        <v>547</v>
      </c>
      <c r="P3" s="1534"/>
      <c r="EF3" s="16" t="s">
        <v>1626</v>
      </c>
      <c r="EG3" s="16" t="str">
        <f>+IF(M1=S.CAL!GC5,"OUI","NON")</f>
        <v>NON</v>
      </c>
    </row>
    <row r="4" spans="1:137" s="16" customFormat="1" x14ac:dyDescent="0.2">
      <c r="EB4" s="16" t="str">
        <f>+IF(AND(Identification!B3="Méthode 2",P39="Méthode 1"),"faux","")</f>
        <v>faux</v>
      </c>
      <c r="EF4" s="29" t="s">
        <v>1631</v>
      </c>
      <c r="EG4" s="16" t="str">
        <f>+VLOOKUP(M1,S.CAL!GC2:GD5,2,FALSE)</f>
        <v>OUI</v>
      </c>
    </row>
    <row r="5" spans="1:137" s="16"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7"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7"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7" s="16" customFormat="1" x14ac:dyDescent="0.2">
      <c r="A8" s="91" t="s">
        <v>18</v>
      </c>
      <c r="B8" s="1092"/>
      <c r="C8" s="1092"/>
      <c r="D8" s="1092"/>
      <c r="E8" s="1092"/>
      <c r="F8" s="1093"/>
      <c r="G8" s="1093"/>
      <c r="H8" s="1093"/>
      <c r="I8" s="1093"/>
      <c r="J8" s="291">
        <f t="shared" ref="J8:J13" si="0">+C8-B8+E8-D8+G8-F8+I8-H8</f>
        <v>0</v>
      </c>
      <c r="K8" s="427">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7"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7" s="16" customFormat="1" x14ac:dyDescent="0.2">
      <c r="A10" s="91" t="s">
        <v>20</v>
      </c>
      <c r="B10" s="1092"/>
      <c r="C10" s="1092"/>
      <c r="D10" s="1092"/>
      <c r="E10" s="1533"/>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7"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7"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7"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7"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+U1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IF(EG3="OUI","AU REEL",IF(OR(E29=52,E29=N37),"COMPLETE",IF(E29&lt;47,"INCOMPLETE","ERREUR")))</f>
        <v>COMPLETE</v>
      </c>
      <c r="F31" s="294"/>
      <c r="G31" s="294"/>
      <c r="H31" s="294"/>
      <c r="I31" s="294"/>
      <c r="K31" s="24"/>
      <c r="L31" s="24"/>
      <c r="M31" s="183" t="s">
        <v>1452</v>
      </c>
      <c r="N31" s="1049" t="s">
        <v>146</v>
      </c>
      <c r="O31" s="24"/>
      <c r="P31" s="24"/>
      <c r="Q31" s="24"/>
      <c r="R31" s="24"/>
      <c r="S31" s="24"/>
      <c r="T31" s="24"/>
      <c r="U31" s="24"/>
      <c r="V31" s="183" t="s">
        <v>938</v>
      </c>
      <c r="W31" s="1049" t="s">
        <v>146</v>
      </c>
      <c r="X31" s="24"/>
    </row>
    <row r="32" spans="1:88" s="16" customFormat="1" x14ac:dyDescent="0.2">
      <c r="K32" s="24"/>
      <c r="L32" s="24"/>
      <c r="M32" s="1051" t="s">
        <v>927</v>
      </c>
      <c r="N32" s="24"/>
      <c r="O32" s="24"/>
      <c r="P32" s="24"/>
      <c r="Q32" s="24"/>
      <c r="R32" s="24"/>
      <c r="S32" s="24"/>
      <c r="T32" s="24"/>
      <c r="U32" s="24"/>
      <c r="V32" s="1052" t="s">
        <v>917</v>
      </c>
      <c r="W32" s="24"/>
      <c r="X32" s="24"/>
    </row>
    <row r="33" spans="1:35" s="16" customFormat="1" ht="15.75" thickBot="1" x14ac:dyDescent="0.3">
      <c r="D33" s="295" t="s">
        <v>517</v>
      </c>
      <c r="E33" s="294">
        <f>IF(EG3="OUI",0,IF(OR(E29=52,E29=N37),52,IF(E29&lt;47,E29,"ERREUR")))</f>
        <v>52</v>
      </c>
      <c r="F33" s="294"/>
      <c r="G33" s="294"/>
      <c r="H33" s="294"/>
      <c r="I33" s="294"/>
      <c r="M33" s="487"/>
      <c r="V33" s="488"/>
    </row>
    <row r="34" spans="1:35" s="16" customFormat="1" ht="13.5" thickBot="1" x14ac:dyDescent="0.25">
      <c r="M34" s="29" t="s">
        <v>850</v>
      </c>
      <c r="N34" s="1630">
        <v>0.1</v>
      </c>
      <c r="V34" s="29" t="s">
        <v>916</v>
      </c>
      <c r="W34" s="1630"/>
    </row>
    <row r="35" spans="1:35" s="16" customFormat="1" ht="15" x14ac:dyDescent="0.25">
      <c r="D35" s="29" t="s">
        <v>1466</v>
      </c>
      <c r="E35" s="1095"/>
      <c r="I35" s="294"/>
      <c r="W35" s="24">
        <f>+E35*(1+W34)</f>
        <v>0</v>
      </c>
    </row>
    <row r="36" spans="1:35" s="16" customFormat="1" x14ac:dyDescent="0.2">
      <c r="D36" s="29"/>
      <c r="K36" s="24"/>
      <c r="L36" s="24"/>
      <c r="M36" s="183" t="s">
        <v>200</v>
      </c>
      <c r="N36" s="296">
        <f>+IF(Identification!B3=S.CAL!AY2,E35*(1+N34),E35)</f>
        <v>0</v>
      </c>
      <c r="V36" s="29" t="s">
        <v>1723</v>
      </c>
      <c r="W36" s="1610" t="str">
        <f>+IF(Y36&lt;&gt;"",Y36,IF(M1=S.CAL!GC5,"OUI",IF(AND(M1=S.CAL!GC3,N37&gt;8.5),"NON","OUI")))</f>
        <v>OUI</v>
      </c>
      <c r="X36" s="1611" t="s">
        <v>1724</v>
      </c>
      <c r="Y36" s="1612"/>
    </row>
    <row r="37" spans="1:35" s="16" customFormat="1" x14ac:dyDescent="0.2">
      <c r="D37" s="29" t="s">
        <v>1467</v>
      </c>
      <c r="E37" s="297" t="e">
        <f>+E35*N29</f>
        <v>#N/A</v>
      </c>
      <c r="F37" s="297"/>
      <c r="G37" s="297"/>
      <c r="H37" s="297"/>
      <c r="I37" s="297"/>
      <c r="M37" s="29" t="s">
        <v>548</v>
      </c>
      <c r="N37" s="16">
        <f>+IF(EG1="OUI",CEILING(CEILING(P3-M3,1)/7,1),"")</f>
        <v>0</v>
      </c>
    </row>
    <row r="38" spans="1:35" s="16" customFormat="1" x14ac:dyDescent="0.2">
      <c r="D38" s="29"/>
      <c r="E38" s="297"/>
      <c r="F38" s="297"/>
      <c r="G38" s="297"/>
      <c r="H38" s="297"/>
      <c r="I38" s="297"/>
      <c r="M38" s="29"/>
      <c r="N38" s="298"/>
      <c r="V38" s="29" t="s">
        <v>1726</v>
      </c>
      <c r="W38" s="1610" t="str">
        <f>+IF(Y38&lt;&gt;"",Y38,IF(E31="INCOMPLETE","OUI","NON"))</f>
        <v>NON</v>
      </c>
      <c r="X38" s="1611" t="s">
        <v>1724</v>
      </c>
      <c r="Y38" s="1612"/>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849</v>
      </c>
      <c r="E40" s="151">
        <f>IF(E29=N37,IF(E29,(K22+V22+AG22+AR22+BC22+BN22+BY22+CJ22)*N37/E29,0),IF(E29,(K22+V22+AG22+AR22+BC22+BN22+BY22+CJ22)*E33/E29,0))</f>
        <v>0</v>
      </c>
      <c r="F40" s="151"/>
      <c r="G40" s="151"/>
      <c r="H40" s="151"/>
      <c r="I40" s="151"/>
      <c r="K40" s="24"/>
      <c r="L40" s="24"/>
      <c r="M40" s="183"/>
      <c r="N40" s="742"/>
      <c r="O40" s="24"/>
      <c r="P40" s="1055" t="s">
        <v>1239</v>
      </c>
      <c r="Q40" s="898"/>
      <c r="R40" s="898"/>
      <c r="S40" s="898"/>
      <c r="T40" s="898"/>
      <c r="U40" s="1056" t="s">
        <v>362</v>
      </c>
      <c r="V40" s="1191" t="s">
        <v>1492</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5" t="s">
        <v>1240</v>
      </c>
      <c r="Q41" s="898"/>
      <c r="R41" s="898"/>
      <c r="S41" s="898"/>
      <c r="T41" s="898"/>
      <c r="U41" s="898"/>
      <c r="V41" s="1191" t="s">
        <v>1493</v>
      </c>
      <c r="W41" s="24"/>
      <c r="X41" s="24"/>
      <c r="Y41" s="24"/>
      <c r="Z41" s="24"/>
      <c r="AA41" s="24"/>
      <c r="AB41" s="24"/>
      <c r="AC41" s="24"/>
      <c r="AD41" s="24"/>
      <c r="AE41" s="24"/>
      <c r="AF41" s="24"/>
      <c r="AG41" s="24"/>
      <c r="AH41" s="24"/>
      <c r="AI41" s="24"/>
    </row>
    <row r="42" spans="1:35" s="16" customFormat="1" x14ac:dyDescent="0.2">
      <c r="D42" s="29" t="s">
        <v>196</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5" t="s">
        <v>1239</v>
      </c>
      <c r="Q43" s="898"/>
      <c r="R43" s="898"/>
      <c r="S43" s="898"/>
      <c r="T43" s="898"/>
      <c r="U43" s="1056" t="s">
        <v>1238</v>
      </c>
      <c r="V43" s="1191" t="s">
        <v>1492</v>
      </c>
      <c r="W43" s="24"/>
      <c r="X43" s="24"/>
      <c r="Y43" s="24"/>
      <c r="Z43" s="24"/>
      <c r="AA43" s="24"/>
      <c r="AB43" s="24"/>
      <c r="AC43" s="24"/>
      <c r="AD43" s="24"/>
      <c r="AE43" s="24"/>
      <c r="AF43" s="24"/>
      <c r="AG43" s="24"/>
      <c r="AH43" s="24"/>
      <c r="AI43" s="24"/>
    </row>
    <row r="44" spans="1:35" s="16" customFormat="1" ht="18.75" x14ac:dyDescent="0.3">
      <c r="A44" s="1661" t="s">
        <v>201</v>
      </c>
      <c r="B44" s="1662"/>
      <c r="C44" s="1662"/>
      <c r="D44" s="1662"/>
      <c r="E44" s="1663"/>
      <c r="F44" s="293"/>
      <c r="G44" s="293"/>
      <c r="H44" s="293"/>
      <c r="I44" s="293"/>
      <c r="L44" s="24"/>
      <c r="M44" s="24"/>
      <c r="N44" s="24"/>
      <c r="O44" s="24"/>
      <c r="P44" s="1055" t="s">
        <v>1241</v>
      </c>
      <c r="Q44" s="898"/>
      <c r="R44" s="898"/>
      <c r="S44" s="898"/>
      <c r="T44" s="898"/>
      <c r="U44" s="898"/>
      <c r="V44" s="1191" t="s">
        <v>1494</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91" t="s">
        <v>1495</v>
      </c>
      <c r="W45" s="24"/>
      <c r="X45" s="24"/>
      <c r="Y45" s="24"/>
      <c r="Z45" s="24"/>
      <c r="AA45" s="24"/>
      <c r="AB45" s="24"/>
      <c r="AC45" s="24"/>
      <c r="AD45" s="24"/>
      <c r="AE45" s="24"/>
      <c r="AF45" s="24"/>
      <c r="AG45" s="24"/>
      <c r="AH45" s="24"/>
      <c r="AI45" s="24"/>
    </row>
    <row r="46" spans="1:35" s="16" customFormat="1" ht="18.75" x14ac:dyDescent="0.3">
      <c r="A46" s="293"/>
      <c r="D46" s="29" t="s">
        <v>202</v>
      </c>
      <c r="E46" s="299">
        <f>+IF(EG1="OUI",IF(N37,+E42*4.33/N37,0),+E42/12)</f>
        <v>0</v>
      </c>
      <c r="F46" s="299"/>
      <c r="G46" s="299"/>
      <c r="H46" s="299"/>
      <c r="I46" s="299"/>
      <c r="P46" s="1055" t="s">
        <v>1359</v>
      </c>
      <c r="Q46" s="898"/>
      <c r="R46" s="898"/>
      <c r="S46" s="898"/>
      <c r="T46" s="898"/>
      <c r="U46" s="1056" t="s">
        <v>452</v>
      </c>
      <c r="V46" s="899"/>
    </row>
    <row r="47" spans="1:35" s="16" customFormat="1" x14ac:dyDescent="0.2">
      <c r="P47" s="1055" t="s">
        <v>1360</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851</v>
      </c>
      <c r="E49" s="425">
        <f>+IF(EG1="OUI",IF(N37,ROUND((E40*52)/(N37*12),C77),0),ROUND(E40/12,C77))</f>
        <v>0</v>
      </c>
      <c r="F49" s="300"/>
      <c r="G49" s="300"/>
      <c r="H49" s="300"/>
      <c r="I49" s="300"/>
      <c r="L49" s="29" t="s">
        <v>1374</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203</v>
      </c>
      <c r="E52" s="301">
        <f>+ROUND(ROUND((E48*E35),2)+ROUND((E49*N36),2),2)</f>
        <v>0</v>
      </c>
      <c r="F52" s="301"/>
      <c r="G52" s="301"/>
      <c r="H52" s="301"/>
      <c r="I52" s="301"/>
      <c r="K52" s="486"/>
      <c r="L52" s="487" t="str">
        <f>+L51</f>
        <v>Nbre d'hrs mensualisées =</v>
      </c>
      <c r="M52" s="1019">
        <f>+E48</f>
        <v>0</v>
      </c>
      <c r="N52" s="486"/>
      <c r="O52" s="486"/>
    </row>
    <row r="53" spans="1:114" s="16" customFormat="1" x14ac:dyDescent="0.2"/>
    <row r="54" spans="1:114" s="16" customFormat="1" x14ac:dyDescent="0.2">
      <c r="D54" s="29" t="s">
        <v>204</v>
      </c>
      <c r="E54" s="302" t="e">
        <f>ROUND(+E52*N29,2)</f>
        <v>#N/A</v>
      </c>
      <c r="F54" s="302"/>
      <c r="G54" s="302"/>
      <c r="H54" s="302"/>
      <c r="I54" s="302"/>
      <c r="L54" s="487" t="s">
        <v>1375</v>
      </c>
      <c r="M54" s="486" t="s">
        <v>1491</v>
      </c>
      <c r="N54" s="486"/>
    </row>
    <row r="55" spans="1:114" s="16" customFormat="1" x14ac:dyDescent="0.2">
      <c r="L55" s="487" t="s">
        <v>1375</v>
      </c>
      <c r="M55" s="486" t="str">
        <f>+E40&amp;" hrs / "&amp;N37&amp;" sem X 52 sem / 12 mois"</f>
        <v>0 hrs / 0 sem X 52 sem / 12 mois</v>
      </c>
      <c r="N55" s="486"/>
    </row>
    <row r="56" spans="1:114" s="16" customFormat="1" x14ac:dyDescent="0.2">
      <c r="D56" s="29" t="s">
        <v>205</v>
      </c>
      <c r="E56" s="302">
        <f>ROUND(+(E49*N36*0.1131),2)</f>
        <v>0</v>
      </c>
      <c r="F56" s="302"/>
      <c r="G56" s="302"/>
      <c r="H56" s="302"/>
      <c r="I56" s="302"/>
      <c r="L56" s="487" t="s">
        <v>1375</v>
      </c>
      <c r="M56" s="1019">
        <f>+E49</f>
        <v>0</v>
      </c>
      <c r="N56" s="486"/>
    </row>
    <row r="57" spans="1:114" s="16" customFormat="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+IF(EG1="OUI",IF(E29,ROUNDUP(E42*4.33/N37,0),0),IF(E29,ROUNDUP(E42/E29*E33/12,0),0))</f>
        <v>0</v>
      </c>
      <c r="E64" s="131"/>
      <c r="F64" s="131"/>
      <c r="G64" s="131"/>
      <c r="H64" s="131"/>
      <c r="I64" s="131"/>
    </row>
    <row r="65" spans="1:12" x14ac:dyDescent="0.2">
      <c r="B65" s="131"/>
    </row>
    <row r="66" spans="1:12" ht="15.75" x14ac:dyDescent="0.25">
      <c r="C66" s="307" t="s">
        <v>24</v>
      </c>
      <c r="D66" s="308" t="s">
        <v>25</v>
      </c>
      <c r="J66" s="1011"/>
      <c r="K66" s="1011"/>
      <c r="L66" s="1011"/>
    </row>
    <row r="67" spans="1:12" x14ac:dyDescent="0.2">
      <c r="B67" s="131" t="s">
        <v>26</v>
      </c>
      <c r="C67" s="38">
        <f>IFERROR(+VLOOKUP(U1,base_smic,2,TRUE),0)</f>
        <v>0</v>
      </c>
      <c r="D67" s="309" t="e">
        <f>+C67*N29</f>
        <v>#N/A</v>
      </c>
    </row>
    <row r="68" spans="1:12" x14ac:dyDescent="0.2">
      <c r="J68" s="306"/>
    </row>
    <row r="69" spans="1:12" ht="12.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M6kKTxduubs0KmZrf8YSZkPhIvKYyKMo00j5/UncuLligUKJ7UiY0uCCWJhcSCicNJ08igypt6YcFrEt4YqIqw==" saltValue="pGN33FK/qK7XL5L6GJ63jw==" spinCount="100000" sheet="1" objects="1" scenarios="1" formatCells="0" formatColumns="0" formatRows="0" insertColumns="0" insertRows="0" insertHyperlinks="0" sort="0" autoFilter="0" pivotTables="0"/>
  <mergeCells count="70">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 ref="AI16:AQ16"/>
    <mergeCell ref="X24:AF24"/>
    <mergeCell ref="X22:AF22"/>
    <mergeCell ref="X21:AF21"/>
    <mergeCell ref="X19:AF19"/>
    <mergeCell ref="X17:AF17"/>
    <mergeCell ref="X16:AF16"/>
    <mergeCell ref="AI24:AQ24"/>
    <mergeCell ref="AI22:AQ22"/>
    <mergeCell ref="AI21:AQ21"/>
    <mergeCell ref="AI19:AQ19"/>
    <mergeCell ref="AI17:AQ17"/>
    <mergeCell ref="BP16:BX16"/>
    <mergeCell ref="BE24:BM24"/>
    <mergeCell ref="BE22:BM22"/>
    <mergeCell ref="BE21:BM21"/>
    <mergeCell ref="BE19:BM19"/>
    <mergeCell ref="BE17:BM17"/>
    <mergeCell ref="BE16:BM16"/>
    <mergeCell ref="BP24:BX24"/>
    <mergeCell ref="BP22:BX22"/>
    <mergeCell ref="BP21:BX21"/>
    <mergeCell ref="BP19:BX19"/>
    <mergeCell ref="BP17:BX17"/>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s>
  <conditionalFormatting sqref="A29:E29">
    <cfRule type="expression" dxfId="823" priority="31">
      <formula>$EG$3="OUI"</formula>
    </cfRule>
  </conditionalFormatting>
  <conditionalFormatting sqref="A39:E69">
    <cfRule type="expression" dxfId="822" priority="80">
      <formula>$EG$3="OUI"</formula>
    </cfRule>
  </conditionalFormatting>
  <conditionalFormatting sqref="A20:XFD25">
    <cfRule type="expression" dxfId="821" priority="32">
      <formula>$EG$3="OUI"</formula>
    </cfRule>
  </conditionalFormatting>
  <conditionalFormatting sqref="B7:I13">
    <cfRule type="cellIs" dxfId="820" priority="21" operator="greaterThan">
      <formula>0</formula>
    </cfRule>
  </conditionalFormatting>
  <conditionalFormatting sqref="B17:J17">
    <cfRule type="expression" dxfId="819" priority="63">
      <formula>K17=0</formula>
    </cfRule>
  </conditionalFormatting>
  <conditionalFormatting sqref="B22:J22">
    <cfRule type="expression" dxfId="818" priority="48">
      <formula>K22=0</formula>
    </cfRule>
  </conditionalFormatting>
  <conditionalFormatting sqref="D40">
    <cfRule type="expression" dxfId="817" priority="84">
      <formula>$E$40=0</formula>
    </cfRule>
  </conditionalFormatting>
  <conditionalFormatting sqref="D49">
    <cfRule type="expression" dxfId="816" priority="83">
      <formula>$E$49=0</formula>
    </cfRule>
  </conditionalFormatting>
  <conditionalFormatting sqref="D33:E33">
    <cfRule type="expression" dxfId="815" priority="30">
      <formula>$EG$3="OUI"</formula>
    </cfRule>
  </conditionalFormatting>
  <conditionalFormatting sqref="E35">
    <cfRule type="cellIs" dxfId="813" priority="5" operator="greaterThan">
      <formula>0</formula>
    </cfRule>
  </conditionalFormatting>
  <conditionalFormatting sqref="E40">
    <cfRule type="cellIs" dxfId="812" priority="85" operator="equal">
      <formula>0</formula>
    </cfRule>
  </conditionalFormatting>
  <conditionalFormatting sqref="E49">
    <cfRule type="cellIs" dxfId="811" priority="82" operator="equal">
      <formula>0</formula>
    </cfRule>
  </conditionalFormatting>
  <conditionalFormatting sqref="E50">
    <cfRule type="expression" dxfId="810" priority="81">
      <formula>$E$49=0</formula>
    </cfRule>
  </conditionalFormatting>
  <conditionalFormatting sqref="E29:I29">
    <cfRule type="cellIs" dxfId="809" priority="66" operator="between">
      <formula>46.9999999999</formula>
      <formula>51.99999</formula>
    </cfRule>
    <cfRule type="cellIs" dxfId="808" priority="65" operator="greaterThanOrEqual">
      <formula>52.0000001</formula>
    </cfRule>
  </conditionalFormatting>
  <conditionalFormatting sqref="K17">
    <cfRule type="cellIs" dxfId="807" priority="64" operator="equal">
      <formula>0</formula>
    </cfRule>
  </conditionalFormatting>
  <conditionalFormatting sqref="K19">
    <cfRule type="cellIs" dxfId="806" priority="6" operator="greaterThan">
      <formula>0</formula>
    </cfRule>
    <cfRule type="expression" dxfId="805" priority="29">
      <formula>OR(AND($E$29&gt;=47,$E$29&lt;=51,K14&gt;0),K19&gt;52,AND($E$29&gt;52,K14&gt;0),AND(K19&gt;=1,K14=0))</formula>
    </cfRule>
  </conditionalFormatting>
  <conditionalFormatting sqref="K22">
    <cfRule type="cellIs" dxfId="804" priority="47" operator="equal">
      <formula>0</formula>
    </cfRule>
  </conditionalFormatting>
  <conditionalFormatting sqref="K49:W59">
    <cfRule type="expression" dxfId="803" priority="78">
      <formula>$EG$1="NON"</formula>
    </cfRule>
  </conditionalFormatting>
  <conditionalFormatting sqref="L54:M56">
    <cfRule type="expression" dxfId="802" priority="79">
      <formula>$E$49=0</formula>
    </cfRule>
  </conditionalFormatting>
  <conditionalFormatting sqref="M37">
    <cfRule type="expression" dxfId="801" priority="77">
      <formula>$EG$1="NON"</formula>
    </cfRule>
  </conditionalFormatting>
  <conditionalFormatting sqref="M7:T13">
    <cfRule type="cellIs" dxfId="800" priority="20" operator="greaterThan">
      <formula>0</formula>
    </cfRule>
  </conditionalFormatting>
  <conditionalFormatting sqref="M17:U17">
    <cfRule type="expression" dxfId="799" priority="55">
      <formula>V17=0</formula>
    </cfRule>
  </conditionalFormatting>
  <conditionalFormatting sqref="M22:U22">
    <cfRule type="expression" dxfId="798" priority="39">
      <formula>V22=0</formula>
    </cfRule>
  </conditionalFormatting>
  <conditionalFormatting sqref="N34">
    <cfRule type="cellIs" dxfId="797" priority="4" operator="greaterThan">
      <formula>0</formula>
    </cfRule>
  </conditionalFormatting>
  <conditionalFormatting sqref="O3">
    <cfRule type="expression" dxfId="796" priority="147">
      <formula>$EG$1="NON"</formula>
    </cfRule>
  </conditionalFormatting>
  <conditionalFormatting sqref="P3">
    <cfRule type="cellIs" dxfId="795" priority="2" operator="greaterThan">
      <formula>0</formula>
    </cfRule>
    <cfRule type="expression" dxfId="794" priority="145">
      <formula>$EG$2="ERR"</formula>
    </cfRule>
    <cfRule type="expression" dxfId="793" priority="146">
      <formula>$EG$1="NON"</formula>
    </cfRule>
  </conditionalFormatting>
  <conditionalFormatting sqref="P39">
    <cfRule type="expression" dxfId="792" priority="226">
      <formula>EB2="faux"</formula>
    </cfRule>
  </conditionalFormatting>
  <conditionalFormatting sqref="V17">
    <cfRule type="cellIs" dxfId="791" priority="62" operator="equal">
      <formula>0</formula>
    </cfRule>
  </conditionalFormatting>
  <conditionalFormatting sqref="V19">
    <cfRule type="cellIs" dxfId="790" priority="7" operator="greaterThan">
      <formula>0</formula>
    </cfRule>
    <cfRule type="expression" dxfId="789" priority="28">
      <formula>OR(AND($E$29&gt;=47,$E$29&lt;=51,V14&gt;0),V19&gt;52,AND($E$29&gt;52,V14&gt;0),AND(V19&gt;=1,V14=0))</formula>
    </cfRule>
  </conditionalFormatting>
  <conditionalFormatting sqref="V22">
    <cfRule type="cellIs" dxfId="788" priority="46" operator="equal">
      <formula>0</formula>
    </cfRule>
  </conditionalFormatting>
  <conditionalFormatting sqref="W34">
    <cfRule type="cellIs" dxfId="787" priority="1" operator="greaterThan">
      <formula>0</formula>
    </cfRule>
  </conditionalFormatting>
  <conditionalFormatting sqref="X7:AE13">
    <cfRule type="cellIs" dxfId="786" priority="19" operator="greaterThan">
      <formula>0</formula>
    </cfRule>
  </conditionalFormatting>
  <conditionalFormatting sqref="X17:AF17">
    <cfRule type="expression" dxfId="785" priority="54">
      <formula>AG17=0</formula>
    </cfRule>
  </conditionalFormatting>
  <conditionalFormatting sqref="X22:AF22">
    <cfRule type="expression" dxfId="784" priority="38">
      <formula>AG22=0</formula>
    </cfRule>
  </conditionalFormatting>
  <conditionalFormatting sqref="AG17">
    <cfRule type="cellIs" dxfId="783" priority="61" operator="equal">
      <formula>0</formula>
    </cfRule>
  </conditionalFormatting>
  <conditionalFormatting sqref="AG19">
    <cfRule type="expression" dxfId="782" priority="27">
      <formula>OR(AND($E$29&gt;=47,$E$29&lt;=51,AG14&gt;0),AG19&gt;52,AND($E$29&gt;52,AG14&gt;0),AND(AG19&gt;=1,AG14=0))</formula>
    </cfRule>
    <cfRule type="cellIs" dxfId="781" priority="8" operator="greaterThan">
      <formula>0</formula>
    </cfRule>
  </conditionalFormatting>
  <conditionalFormatting sqref="AG22">
    <cfRule type="cellIs" dxfId="780" priority="45" operator="equal">
      <formula>0</formula>
    </cfRule>
  </conditionalFormatting>
  <conditionalFormatting sqref="AI7:AP13">
    <cfRule type="cellIs" dxfId="779" priority="18" operator="greaterThan">
      <formula>0</formula>
    </cfRule>
  </conditionalFormatting>
  <conditionalFormatting sqref="AI17:AQ17">
    <cfRule type="expression" dxfId="778" priority="53">
      <formula>AR17=0</formula>
    </cfRule>
  </conditionalFormatting>
  <conditionalFormatting sqref="AI22:AQ22">
    <cfRule type="expression" dxfId="777" priority="37">
      <formula>AR22=0</formula>
    </cfRule>
  </conditionalFormatting>
  <conditionalFormatting sqref="AR17">
    <cfRule type="cellIs" dxfId="776" priority="60" operator="equal">
      <formula>0</formula>
    </cfRule>
  </conditionalFormatting>
  <conditionalFormatting sqref="AR19">
    <cfRule type="cellIs" dxfId="775" priority="9" operator="greaterThan">
      <formula>0</formula>
    </cfRule>
    <cfRule type="expression" dxfId="774" priority="26">
      <formula>OR(AND($E$29&gt;=47,$E$29&lt;=51,AR14&gt;0),AR19&gt;52,AND($E$29&gt;52,AR14&gt;0),AND(AR19&gt;=1,AR14=0))</formula>
    </cfRule>
  </conditionalFormatting>
  <conditionalFormatting sqref="AR22">
    <cfRule type="cellIs" dxfId="773" priority="44" operator="equal">
      <formula>0</formula>
    </cfRule>
  </conditionalFormatting>
  <conditionalFormatting sqref="AT7:BA13">
    <cfRule type="cellIs" dxfId="772" priority="17" operator="greaterThan">
      <formula>0</formula>
    </cfRule>
  </conditionalFormatting>
  <conditionalFormatting sqref="AT17:BB17">
    <cfRule type="expression" dxfId="771" priority="52">
      <formula>BC17=0</formula>
    </cfRule>
  </conditionalFormatting>
  <conditionalFormatting sqref="AT22:BB22">
    <cfRule type="expression" dxfId="770" priority="36">
      <formula>BC22=0</formula>
    </cfRule>
  </conditionalFormatting>
  <conditionalFormatting sqref="BC17">
    <cfRule type="cellIs" dxfId="769" priority="59" operator="equal">
      <formula>0</formula>
    </cfRule>
  </conditionalFormatting>
  <conditionalFormatting sqref="BC19">
    <cfRule type="cellIs" dxfId="768" priority="10" operator="greaterThan">
      <formula>0</formula>
    </cfRule>
    <cfRule type="expression" dxfId="767" priority="25">
      <formula>OR(AND($E$29&gt;=47,$E$29&lt;=51,BC14&gt;0),BC19&gt;52,AND($E$29&gt;52,BC14&gt;0),AND(BC19&gt;=1,BC14=0))</formula>
    </cfRule>
  </conditionalFormatting>
  <conditionalFormatting sqref="BC22">
    <cfRule type="cellIs" dxfId="766" priority="43" operator="equal">
      <formula>0</formula>
    </cfRule>
  </conditionalFormatting>
  <conditionalFormatting sqref="BE7:BL13">
    <cfRule type="cellIs" dxfId="765" priority="16" operator="greaterThan">
      <formula>0</formula>
    </cfRule>
  </conditionalFormatting>
  <conditionalFormatting sqref="BE17:BM17">
    <cfRule type="expression" dxfId="764" priority="51">
      <formula>BN17=0</formula>
    </cfRule>
  </conditionalFormatting>
  <conditionalFormatting sqref="BE22:BM22">
    <cfRule type="expression" dxfId="763" priority="35">
      <formula>BN22=0</formula>
    </cfRule>
  </conditionalFormatting>
  <conditionalFormatting sqref="BN17">
    <cfRule type="cellIs" dxfId="762" priority="58" operator="equal">
      <formula>0</formula>
    </cfRule>
  </conditionalFormatting>
  <conditionalFormatting sqref="BN19">
    <cfRule type="cellIs" dxfId="761" priority="11" operator="greaterThan">
      <formula>0</formula>
    </cfRule>
    <cfRule type="expression" dxfId="760" priority="24">
      <formula>OR(AND($E$29&gt;=47,$E$29&lt;=51,BN14&gt;0),BN19&gt;52,AND($E$29&gt;52,BN14&gt;0),AND(BN19&gt;=1,BN14=0))</formula>
    </cfRule>
  </conditionalFormatting>
  <conditionalFormatting sqref="BN22">
    <cfRule type="cellIs" dxfId="759" priority="42" operator="equal">
      <formula>0</formula>
    </cfRule>
  </conditionalFormatting>
  <conditionalFormatting sqref="BP7:BW13">
    <cfRule type="cellIs" dxfId="758" priority="15" operator="greaterThan">
      <formula>0</formula>
    </cfRule>
  </conditionalFormatting>
  <conditionalFormatting sqref="BP17:BX17">
    <cfRule type="expression" dxfId="757" priority="50">
      <formula>BY17=0</formula>
    </cfRule>
  </conditionalFormatting>
  <conditionalFormatting sqref="BP22:BX22">
    <cfRule type="expression" dxfId="756" priority="34">
      <formula>BY22=0</formula>
    </cfRule>
  </conditionalFormatting>
  <conditionalFormatting sqref="BY17">
    <cfRule type="cellIs" dxfId="755" priority="57" operator="equal">
      <formula>0</formula>
    </cfRule>
  </conditionalFormatting>
  <conditionalFormatting sqref="BY19">
    <cfRule type="expression" dxfId="754" priority="23">
      <formula>OR(AND($E$29&gt;=47,$E$29&lt;=51,BY14&gt;0),BY19&gt;52,AND($E$29&gt;52,BY14&gt;0),AND(BY19&gt;=1,BY14=0))</formula>
    </cfRule>
    <cfRule type="cellIs" dxfId="753" priority="12" operator="greaterThan">
      <formula>0</formula>
    </cfRule>
  </conditionalFormatting>
  <conditionalFormatting sqref="BY22">
    <cfRule type="cellIs" dxfId="752" priority="41" operator="equal">
      <formula>0</formula>
    </cfRule>
  </conditionalFormatting>
  <conditionalFormatting sqref="CA7:CH13">
    <cfRule type="cellIs" dxfId="751" priority="14" operator="greaterThan">
      <formula>0</formula>
    </cfRule>
  </conditionalFormatting>
  <conditionalFormatting sqref="CA17:CI17">
    <cfRule type="expression" dxfId="750" priority="49">
      <formula>CJ17=0</formula>
    </cfRule>
  </conditionalFormatting>
  <conditionalFormatting sqref="CA22:CI22">
    <cfRule type="expression" dxfId="749" priority="33">
      <formula>CJ22=0</formula>
    </cfRule>
  </conditionalFormatting>
  <conditionalFormatting sqref="CJ17">
    <cfRule type="cellIs" dxfId="748" priority="56" operator="equal">
      <formula>0</formula>
    </cfRule>
  </conditionalFormatting>
  <conditionalFormatting sqref="CJ19">
    <cfRule type="expression" dxfId="747" priority="22">
      <formula>OR(AND($E$29&gt;=47,$E$29&lt;=51,CJ14&gt;0),CJ19&gt;52,AND($E$29&gt;52,CJ14&gt;0),AND(CJ19&gt;=1,CJ14=0))</formula>
    </cfRule>
    <cfRule type="cellIs" dxfId="746" priority="13" operator="greaterThan">
      <formula>0</formula>
    </cfRule>
  </conditionalFormatting>
  <conditionalFormatting sqref="CJ22">
    <cfRule type="cellIs" dxfId="745"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D2" sqref="D2"/>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79" t="str">
        <f>+'Mode d''utilisation'!M2</f>
        <v>Année : 2025</v>
      </c>
    </row>
    <row r="2" spans="1:13" ht="25.5" customHeight="1" x14ac:dyDescent="0.2">
      <c r="C2" s="323" t="s">
        <v>528</v>
      </c>
      <c r="D2" s="1064">
        <v>2026</v>
      </c>
    </row>
    <row r="3" spans="1:13" x14ac:dyDescent="0.2">
      <c r="L3" s="29" t="s">
        <v>225</v>
      </c>
      <c r="M3" s="324">
        <f>+S.CAL!BG2</f>
        <v>2025</v>
      </c>
    </row>
    <row r="4" spans="1:13" x14ac:dyDescent="0.2">
      <c r="L4" s="29" t="s">
        <v>545</v>
      </c>
      <c r="M4" s="324">
        <f>+S.CAL!BG3</f>
        <v>2026</v>
      </c>
    </row>
    <row r="5" spans="1:13" x14ac:dyDescent="0.2">
      <c r="B5" s="1639" t="s">
        <v>508</v>
      </c>
      <c r="D5" s="1638" t="s">
        <v>509</v>
      </c>
    </row>
    <row r="6" spans="1:13" x14ac:dyDescent="0.2">
      <c r="B6" s="1639"/>
      <c r="C6" s="27"/>
      <c r="D6" s="1638"/>
    </row>
    <row r="7" spans="1:13" ht="13.5" thickBot="1" x14ac:dyDescent="0.25"/>
    <row r="8" spans="1:13" x14ac:dyDescent="0.2">
      <c r="A8" s="131" t="s">
        <v>496</v>
      </c>
      <c r="B8" s="325">
        <f>+Identification!B7</f>
        <v>0</v>
      </c>
      <c r="D8" s="1065"/>
    </row>
    <row r="9" spans="1:13" x14ac:dyDescent="0.2">
      <c r="A9" s="131" t="s">
        <v>495</v>
      </c>
      <c r="B9" s="326">
        <f>+Identification!B10</f>
        <v>0</v>
      </c>
      <c r="D9" s="1065"/>
    </row>
    <row r="10" spans="1:13" x14ac:dyDescent="0.2">
      <c r="A10" s="131" t="s">
        <v>497</v>
      </c>
      <c r="B10" s="326">
        <f>+Identification!B13</f>
        <v>0</v>
      </c>
      <c r="D10" s="1065"/>
    </row>
    <row r="11" spans="1:13" x14ac:dyDescent="0.2">
      <c r="A11" s="131" t="s">
        <v>498</v>
      </c>
      <c r="B11" s="326">
        <f>+Identification!B16</f>
        <v>0</v>
      </c>
      <c r="D11" s="1065"/>
    </row>
    <row r="12" spans="1:13" x14ac:dyDescent="0.2">
      <c r="A12" s="131" t="s">
        <v>5</v>
      </c>
      <c r="B12" s="327">
        <f>+Identification!B19</f>
        <v>0</v>
      </c>
      <c r="D12" s="1066"/>
    </row>
    <row r="13" spans="1:13" x14ac:dyDescent="0.2">
      <c r="A13" s="131" t="s">
        <v>6</v>
      </c>
      <c r="B13" s="326" t="str">
        <f>+Identification!B22</f>
        <v>Le Puy-en-Velay</v>
      </c>
      <c r="D13" s="1065"/>
    </row>
    <row r="14" spans="1:13" x14ac:dyDescent="0.2">
      <c r="A14" s="131" t="s">
        <v>7</v>
      </c>
      <c r="B14" s="326">
        <f>+Identification!B25</f>
        <v>0</v>
      </c>
      <c r="D14" s="1065"/>
    </row>
    <row r="15" spans="1:13" x14ac:dyDescent="0.2">
      <c r="A15" s="131" t="s">
        <v>8</v>
      </c>
      <c r="B15" s="328">
        <f>+Identification!B28</f>
        <v>0</v>
      </c>
      <c r="D15" s="1067"/>
    </row>
    <row r="16" spans="1:13" x14ac:dyDescent="0.2">
      <c r="A16" s="131" t="s">
        <v>494</v>
      </c>
      <c r="B16" s="326">
        <f>+Identification!B34</f>
        <v>0</v>
      </c>
      <c r="D16" s="1065"/>
    </row>
    <row r="17" spans="1:4" x14ac:dyDescent="0.2">
      <c r="A17" s="131" t="s">
        <v>499</v>
      </c>
      <c r="B17" s="326">
        <f>+Identification!B37</f>
        <v>0</v>
      </c>
      <c r="D17" s="1065"/>
    </row>
    <row r="18" spans="1:4" x14ac:dyDescent="0.2">
      <c r="A18" s="131" t="s">
        <v>500</v>
      </c>
      <c r="B18" s="326">
        <f>+Identification!B40</f>
        <v>0</v>
      </c>
      <c r="D18" s="1065"/>
    </row>
    <row r="19" spans="1:4" x14ac:dyDescent="0.2">
      <c r="A19" s="131" t="s">
        <v>501</v>
      </c>
      <c r="B19" s="326">
        <f>+Identification!B43</f>
        <v>0</v>
      </c>
      <c r="D19" s="1065"/>
    </row>
    <row r="20" spans="1:4" x14ac:dyDescent="0.2">
      <c r="A20" s="131" t="s">
        <v>10</v>
      </c>
      <c r="B20" s="327">
        <f>+Identification!B46</f>
        <v>0</v>
      </c>
      <c r="D20" s="1066"/>
    </row>
    <row r="21" spans="1:4" x14ac:dyDescent="0.2">
      <c r="A21" s="131" t="s">
        <v>11</v>
      </c>
      <c r="B21" s="326">
        <f>+Identification!B57</f>
        <v>0</v>
      </c>
      <c r="D21" s="1065"/>
    </row>
    <row r="22" spans="1:4" x14ac:dyDescent="0.2">
      <c r="A22" s="131" t="s">
        <v>14</v>
      </c>
      <c r="B22" s="1024">
        <f>IF(D2=M4,Décembre!AL78,IF(D2=M3,Janvier!AL78,"ERREUR"))</f>
        <v>0</v>
      </c>
      <c r="D22" s="1068"/>
    </row>
    <row r="23" spans="1:4" x14ac:dyDescent="0.2">
      <c r="A23" s="131" t="s">
        <v>502</v>
      </c>
      <c r="B23" s="326" t="str">
        <f>+Identification!B66</f>
        <v>NON</v>
      </c>
      <c r="D23" s="1065" t="s">
        <v>146</v>
      </c>
    </row>
    <row r="24" spans="1:4" x14ac:dyDescent="0.2">
      <c r="A24" s="131" t="s">
        <v>504</v>
      </c>
      <c r="B24" s="329">
        <f>IF(D2=M4,Décembre!AH83,IF(D2=M3,Janvier!AH83,"ERREUR"))</f>
        <v>0</v>
      </c>
      <c r="D24" s="1065"/>
    </row>
    <row r="25" spans="1:4" x14ac:dyDescent="0.2">
      <c r="A25" s="131" t="s">
        <v>505</v>
      </c>
      <c r="B25" s="329">
        <f>IF(D2=M4,Décembre!AL83+Décembre!AL84,IF(D2=M3,Janvier!AL83,"ERREUR"))</f>
        <v>0</v>
      </c>
      <c r="D25" s="1065"/>
    </row>
    <row r="26" spans="1:4" x14ac:dyDescent="0.2">
      <c r="A26" s="131" t="s">
        <v>506</v>
      </c>
      <c r="B26" s="329">
        <f>IF(D2=M4,Décembre!AH89+Décembre!AH90,IF(D2=M3,Janvier!AH89,"ERREUR"))</f>
        <v>0</v>
      </c>
      <c r="D26" s="1065"/>
    </row>
    <row r="27" spans="1:4" x14ac:dyDescent="0.2">
      <c r="A27" s="131" t="s">
        <v>507</v>
      </c>
      <c r="B27" s="329">
        <f>IF(D2=M4,Décembre!AL89+Décembre!AL90,IF(D2=M3,Janvier!AL89,"ERREUR"))</f>
        <v>0</v>
      </c>
      <c r="D27" s="1065"/>
    </row>
    <row r="28" spans="1:4" x14ac:dyDescent="0.2">
      <c r="A28" s="131" t="s">
        <v>539</v>
      </c>
      <c r="B28" s="329">
        <f>IF(D2=M4,Décembre!AH87,IF(D2=M3,Janvier!AH87,"ERREUR"))</f>
        <v>0</v>
      </c>
      <c r="D28" s="1065"/>
    </row>
    <row r="29" spans="1:4" x14ac:dyDescent="0.2">
      <c r="A29" s="131" t="s">
        <v>540</v>
      </c>
      <c r="B29" s="329">
        <f>IF(D2=M4,Décembre!AH93,IF(D2=M3,Janvier!AH93,"ERREUR"))</f>
        <v>0</v>
      </c>
      <c r="D29" s="1065"/>
    </row>
    <row r="30" spans="1:4" x14ac:dyDescent="0.2">
      <c r="A30" s="131" t="s">
        <v>858</v>
      </c>
      <c r="B30" s="330"/>
      <c r="D30" s="1065"/>
    </row>
    <row r="31" spans="1:4" x14ac:dyDescent="0.2">
      <c r="A31" s="131" t="s">
        <v>663</v>
      </c>
      <c r="B31" s="330">
        <f ca="1">IF(D2=M4,'CP Année Complète au 31-05'!D57,IF(D2=M3,Janvier!G99,"ERREUR"))</f>
        <v>0</v>
      </c>
      <c r="D31" s="1069"/>
    </row>
    <row r="32" spans="1:4" x14ac:dyDescent="0.2">
      <c r="A32" s="131" t="s">
        <v>664</v>
      </c>
      <c r="B32" s="329">
        <f>IF(D2=M4,'CP Année Complète au 31-05'!F33,IF(D2=M3,Janvier!G100,"ERREUR"))</f>
        <v>0</v>
      </c>
      <c r="D32" s="1069"/>
    </row>
    <row r="33" spans="1:4" x14ac:dyDescent="0.2">
      <c r="A33" s="131" t="s">
        <v>781</v>
      </c>
      <c r="B33" s="329">
        <f ca="1">IF(D2=M4,Régularisation!AM89,IF(D2=M3,Régularisation!F80,"ERREUR"))</f>
        <v>0</v>
      </c>
      <c r="D33" s="1069"/>
    </row>
    <row r="34" spans="1:4" x14ac:dyDescent="0.2">
      <c r="A34" s="131" t="s">
        <v>925</v>
      </c>
      <c r="B34" s="329">
        <f>IF(D2=M4,Décembre!R90,IF(D2=M3,Janvier!R87,"ERREUR"))</f>
        <v>0</v>
      </c>
      <c r="D34" s="1069"/>
    </row>
    <row r="35" spans="1:4" x14ac:dyDescent="0.2">
      <c r="A35" s="131" t="s">
        <v>1247</v>
      </c>
      <c r="B35" s="329">
        <f ca="1">+IF(D2=M4,Décembre!CB34,IF(D2=M3,Janvier!CC28,"ERREUR"))</f>
        <v>0</v>
      </c>
      <c r="D35" s="1069"/>
    </row>
    <row r="36" spans="1:4" x14ac:dyDescent="0.2">
      <c r="A36" s="29" t="s">
        <v>1246</v>
      </c>
      <c r="B36" s="329">
        <f>+IF(D2=M4,Décembre!CB35,IF(D2=M3,Janvier!CE28,"ERREUR"))</f>
        <v>0</v>
      </c>
      <c r="D36" s="1069"/>
    </row>
    <row r="37" spans="1:4" x14ac:dyDescent="0.2">
      <c r="A37" s="29" t="s">
        <v>1250</v>
      </c>
      <c r="B37" s="329">
        <f>+IF(D2=M4,'Retenue Déc'!AC42,IF(D2=M3,'Retenue Janv'!AD34,"ERREUR"))</f>
        <v>0</v>
      </c>
      <c r="D37" s="1069"/>
    </row>
    <row r="38" spans="1:4" x14ac:dyDescent="0.2">
      <c r="A38" s="29" t="s">
        <v>1251</v>
      </c>
      <c r="B38" s="329">
        <f>+IF(D2=M4,'Retenue Déc'!AC56,IF(D2=M3,'Retenue Janv'!AD48,"ERREUR"))</f>
        <v>0</v>
      </c>
      <c r="D38" s="1069"/>
    </row>
    <row r="39" spans="1:4" x14ac:dyDescent="0.2">
      <c r="A39" s="29" t="s">
        <v>1335</v>
      </c>
      <c r="B39" s="328">
        <f>+Identification!B49</f>
        <v>0</v>
      </c>
      <c r="D39" s="1070"/>
    </row>
    <row r="40" spans="1:4" x14ac:dyDescent="0.2">
      <c r="A40" s="29" t="s">
        <v>1336</v>
      </c>
      <c r="B40" s="329" t="str">
        <f>+Identification!B52</f>
        <v>NON</v>
      </c>
      <c r="D40" s="1069" t="s">
        <v>146</v>
      </c>
    </row>
    <row r="41" spans="1:4" x14ac:dyDescent="0.2">
      <c r="A41" s="29" t="s">
        <v>1434</v>
      </c>
      <c r="B41" s="329">
        <f ca="1">+IF(D2=M4,+'CP Année Incomplète au 31-05'!G70,0)</f>
        <v>0</v>
      </c>
      <c r="D41" s="1069"/>
    </row>
    <row r="42" spans="1:4" x14ac:dyDescent="0.2">
      <c r="A42" s="29" t="s">
        <v>1433</v>
      </c>
      <c r="B42" s="329">
        <f>IF(D2=M4,+'CP Année Incomplète au 31-05'!D90,0)</f>
        <v>0</v>
      </c>
      <c r="D42" s="1069"/>
    </row>
    <row r="43" spans="1:4" x14ac:dyDescent="0.2">
      <c r="A43" s="29" t="s">
        <v>1670</v>
      </c>
      <c r="B43" s="1548">
        <f>+IF(D2=M4,Décembre!X3,IF(D2=M3,Janvier!X3,"ERREUR"))</f>
        <v>45992</v>
      </c>
      <c r="C43" s="1549"/>
      <c r="D43" s="1550"/>
    </row>
    <row r="44" spans="1:4" x14ac:dyDescent="0.2">
      <c r="A44" s="29" t="s">
        <v>1655</v>
      </c>
      <c r="B44" s="329">
        <f>IF(D2=M4,Décembre!AH86,IF(D2=M3,Janvier!AH86,"ERREUR"))</f>
        <v>0</v>
      </c>
      <c r="D44" s="1069"/>
    </row>
    <row r="45" spans="1:4" ht="13.5" thickBot="1" x14ac:dyDescent="0.25">
      <c r="A45" s="29" t="s">
        <v>1656</v>
      </c>
      <c r="B45" s="331">
        <f>IF(D2=M4,Décembre!AL86,IF(D2=M3,Janvier!AL86,"ERREUR"))</f>
        <v>0</v>
      </c>
      <c r="D45" s="1069"/>
    </row>
  </sheetData>
  <sheetProtection algorithmName="SHA-512" hashValue="QmzzXq9So53yoGFsVTvsMVAgWCpDdFffeBVsNO30tHZL5EphhlpsldQuTxcHd0Yl3/5s8OlCK//VgOVURsBxvg==" saltValue="YjxQJRKQ+Tr0Xp211XAg3g==" spinCount="100000" sheet="1" objects="1" scenarios="1" formatCells="0" formatColumns="0" formatRows="0" insertColumns="0" insertRows="0" insertHyperlink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5" t="s">
        <v>1629</v>
      </c>
      <c r="B1" s="289"/>
      <c r="C1" s="289"/>
      <c r="D1" s="289"/>
      <c r="E1" s="289"/>
      <c r="F1" s="289"/>
      <c r="G1" s="289"/>
      <c r="H1" s="289"/>
      <c r="I1" s="289"/>
      <c r="J1" s="1235"/>
      <c r="K1" s="289"/>
      <c r="L1" s="1236" t="s">
        <v>1624</v>
      </c>
      <c r="M1" s="1697" t="s">
        <v>1621</v>
      </c>
      <c r="N1" s="1697"/>
      <c r="O1" s="289"/>
      <c r="P1" s="1236" t="s">
        <v>208</v>
      </c>
      <c r="Q1" s="289"/>
      <c r="R1" s="289"/>
      <c r="S1" s="289"/>
      <c r="T1" s="290" t="s">
        <v>208</v>
      </c>
      <c r="U1" s="1698"/>
      <c r="V1" s="1698"/>
      <c r="W1" s="1698"/>
      <c r="EF1" s="16" t="s">
        <v>877</v>
      </c>
      <c r="EG1" s="16" t="str">
        <f>+IF(M1=S.CAL!GC3,"OUI",IF(M1=S.CAL!GC4,"OUI","NON"))</f>
        <v>OUI</v>
      </c>
    </row>
    <row r="2" spans="1:137" s="16" customFormat="1" x14ac:dyDescent="0.2">
      <c r="J2" s="1699" t="s">
        <v>1457</v>
      </c>
      <c r="K2" s="1699"/>
      <c r="L2" s="1699"/>
      <c r="M2" s="1699"/>
      <c r="N2" s="1699"/>
      <c r="O2" s="1699"/>
      <c r="P2" s="1699"/>
      <c r="EF2" s="16" t="s">
        <v>1625</v>
      </c>
      <c r="EG2" s="16" t="str">
        <f>+IF(AND(EG1="NON",P3&lt;&gt;""),"ERR","BON")</f>
        <v>BON</v>
      </c>
    </row>
    <row r="3" spans="1:137" s="16" customFormat="1" ht="18.75" x14ac:dyDescent="0.3">
      <c r="A3" s="1233" t="s">
        <v>190</v>
      </c>
      <c r="D3" s="1059"/>
      <c r="E3" s="1059"/>
      <c r="F3" s="1059"/>
      <c r="G3" s="1059"/>
      <c r="H3" s="1059"/>
      <c r="I3" s="1059"/>
      <c r="J3" s="1059"/>
      <c r="L3" s="29" t="s">
        <v>546</v>
      </c>
      <c r="M3" s="85">
        <f>+U1</f>
        <v>0</v>
      </c>
      <c r="O3" s="29" t="s">
        <v>547</v>
      </c>
      <c r="P3" s="1534"/>
      <c r="EF3" s="16" t="s">
        <v>1626</v>
      </c>
      <c r="EG3" s="16" t="str">
        <f>+IF(M1=S.CAL!GC5,"OUI","NON")</f>
        <v>NON</v>
      </c>
    </row>
    <row r="4" spans="1:137" s="16" customFormat="1" x14ac:dyDescent="0.2">
      <c r="EB4" s="16" t="str">
        <f>+IF(AND(Identification!B3="Méthode 2",P39="Méthode 1"),"faux","")</f>
        <v>faux</v>
      </c>
      <c r="EF4" s="29" t="s">
        <v>1631</v>
      </c>
      <c r="EG4" s="16" t="str">
        <f>+VLOOKUP(M1,S.CAL!GC2:GD5,2,FALSE)</f>
        <v>OUI</v>
      </c>
    </row>
    <row r="5" spans="1:137" s="16"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7"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7"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7" s="16" customFormat="1" x14ac:dyDescent="0.2">
      <c r="A8" s="91" t="s">
        <v>18</v>
      </c>
      <c r="B8" s="1092"/>
      <c r="C8" s="1092"/>
      <c r="D8" s="1092"/>
      <c r="E8" s="1092"/>
      <c r="F8" s="1093"/>
      <c r="G8" s="1093"/>
      <c r="H8" s="1093"/>
      <c r="I8" s="1093"/>
      <c r="J8" s="291">
        <f t="shared" ref="J8:J13" si="0">+C8-B8+E8-D8+G8-F8+I8-H8</f>
        <v>0</v>
      </c>
      <c r="K8" s="427">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7"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7" s="16" customFormat="1" x14ac:dyDescent="0.2">
      <c r="A10" s="91" t="s">
        <v>20</v>
      </c>
      <c r="B10" s="1092"/>
      <c r="C10" s="1092"/>
      <c r="D10" s="1092"/>
      <c r="E10" s="1533"/>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7"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7"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7"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7"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+U1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IF(EG3="OUI","AU REEL",IF(OR(E29=52,E29=N37),"COMPLETE",IF(E29&lt;47,"INCOMPLETE","ERREUR")))</f>
        <v>COMPLETE</v>
      </c>
      <c r="F31" s="294"/>
      <c r="G31" s="294"/>
      <c r="H31" s="294"/>
      <c r="I31" s="294"/>
      <c r="K31" s="24"/>
      <c r="L31" s="24"/>
      <c r="M31" s="183" t="s">
        <v>1452</v>
      </c>
      <c r="N31" s="1049" t="s">
        <v>146</v>
      </c>
      <c r="O31" s="24"/>
      <c r="P31" s="24"/>
      <c r="Q31" s="24"/>
      <c r="R31" s="24"/>
      <c r="S31" s="24"/>
      <c r="T31" s="24"/>
      <c r="U31" s="24"/>
      <c r="V31" s="183" t="s">
        <v>938</v>
      </c>
      <c r="W31" s="1049" t="s">
        <v>146</v>
      </c>
      <c r="X31" s="24"/>
    </row>
    <row r="32" spans="1:88" s="16" customFormat="1" x14ac:dyDescent="0.2">
      <c r="K32" s="24"/>
      <c r="L32" s="24"/>
      <c r="M32" s="1051" t="s">
        <v>927</v>
      </c>
      <c r="N32" s="24"/>
      <c r="O32" s="24"/>
      <c r="P32" s="24"/>
      <c r="Q32" s="24"/>
      <c r="R32" s="24"/>
      <c r="S32" s="24"/>
      <c r="T32" s="24"/>
      <c r="U32" s="24"/>
      <c r="V32" s="1052" t="s">
        <v>917</v>
      </c>
      <c r="W32" s="24"/>
      <c r="X32" s="24"/>
    </row>
    <row r="33" spans="1:35" s="16" customFormat="1" ht="15.75" thickBot="1" x14ac:dyDescent="0.3">
      <c r="D33" s="295" t="s">
        <v>517</v>
      </c>
      <c r="E33" s="294">
        <f>IF(EG3="OUI",0,IF(OR(E29=52,E29=N37),52,IF(E29&lt;47,E29,"ERREUR")))</f>
        <v>52</v>
      </c>
      <c r="F33" s="294"/>
      <c r="G33" s="294"/>
      <c r="H33" s="294"/>
      <c r="I33" s="294"/>
      <c r="M33" s="487"/>
      <c r="V33" s="488"/>
    </row>
    <row r="34" spans="1:35" s="16" customFormat="1" ht="13.5" thickBot="1" x14ac:dyDescent="0.25">
      <c r="M34" s="29" t="s">
        <v>850</v>
      </c>
      <c r="N34" s="1630">
        <v>0.1</v>
      </c>
      <c r="V34" s="29" t="s">
        <v>916</v>
      </c>
      <c r="W34" s="1630"/>
    </row>
    <row r="35" spans="1:35" s="16" customFormat="1" ht="15" x14ac:dyDescent="0.25">
      <c r="D35" s="29" t="s">
        <v>1466</v>
      </c>
      <c r="E35" s="1095"/>
      <c r="I35" s="294"/>
      <c r="W35" s="24">
        <f>+E35*(1+W34)</f>
        <v>0</v>
      </c>
    </row>
    <row r="36" spans="1:35" s="16" customFormat="1" x14ac:dyDescent="0.2">
      <c r="D36" s="29"/>
      <c r="K36" s="24"/>
      <c r="L36" s="24"/>
      <c r="M36" s="183" t="s">
        <v>200</v>
      </c>
      <c r="N36" s="296">
        <f>+IF(Identification!B3=S.CAL!AY2,E35*(1+N34),E35)</f>
        <v>0</v>
      </c>
      <c r="V36" s="29" t="s">
        <v>1723</v>
      </c>
      <c r="W36" s="1610" t="str">
        <f>+IF(Y36&lt;&gt;"",Y36,IF(M1=S.CAL!GC5,"OUI",IF(AND(M1=S.CAL!GC3,N37&gt;8.5),"NON","OUI")))</f>
        <v>OUI</v>
      </c>
      <c r="X36" s="1611" t="s">
        <v>1724</v>
      </c>
      <c r="Y36" s="1612"/>
    </row>
    <row r="37" spans="1:35" s="16" customFormat="1" x14ac:dyDescent="0.2">
      <c r="D37" s="29" t="s">
        <v>1467</v>
      </c>
      <c r="E37" s="297" t="e">
        <f>+E35*N29</f>
        <v>#N/A</v>
      </c>
      <c r="F37" s="297"/>
      <c r="G37" s="297"/>
      <c r="H37" s="297"/>
      <c r="I37" s="297"/>
      <c r="M37" s="29" t="s">
        <v>548</v>
      </c>
      <c r="N37" s="16">
        <f>+IF(EG1="OUI",CEILING(CEILING(P3-M3,1)/7,1),"")</f>
        <v>0</v>
      </c>
    </row>
    <row r="38" spans="1:35" s="16" customFormat="1" x14ac:dyDescent="0.2">
      <c r="D38" s="29"/>
      <c r="E38" s="297"/>
      <c r="F38" s="297"/>
      <c r="G38" s="297"/>
      <c r="H38" s="297"/>
      <c r="I38" s="297"/>
      <c r="M38" s="29"/>
      <c r="N38" s="298"/>
      <c r="V38" s="29" t="s">
        <v>1726</v>
      </c>
      <c r="W38" s="1610" t="str">
        <f>+IF(Y38&lt;&gt;"",Y38,IF(E31="INCOMPLETE","OUI","NON"))</f>
        <v>NON</v>
      </c>
      <c r="X38" s="1611" t="s">
        <v>1724</v>
      </c>
      <c r="Y38" s="1612"/>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849</v>
      </c>
      <c r="E40" s="151">
        <f>IF(E29=N37,IF(E29,(K22+V22+AG22+AR22+BC22+BN22+BY22+CJ22)*N37/E29,0),IF(E29,(K22+V22+AG22+AR22+BC22+BN22+BY22+CJ22)*E33/E29,0))</f>
        <v>0</v>
      </c>
      <c r="F40" s="151"/>
      <c r="G40" s="151"/>
      <c r="H40" s="151"/>
      <c r="I40" s="151"/>
      <c r="K40" s="24"/>
      <c r="L40" s="24"/>
      <c r="M40" s="183"/>
      <c r="N40" s="742"/>
      <c r="O40" s="24"/>
      <c r="P40" s="1055" t="s">
        <v>1239</v>
      </c>
      <c r="Q40" s="898"/>
      <c r="R40" s="898"/>
      <c r="S40" s="898"/>
      <c r="T40" s="898"/>
      <c r="U40" s="1056" t="s">
        <v>362</v>
      </c>
      <c r="V40" s="1191" t="s">
        <v>1492</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5" t="s">
        <v>1240</v>
      </c>
      <c r="Q41" s="898"/>
      <c r="R41" s="898"/>
      <c r="S41" s="898"/>
      <c r="T41" s="898"/>
      <c r="U41" s="898"/>
      <c r="V41" s="1191" t="s">
        <v>1493</v>
      </c>
      <c r="W41" s="24"/>
      <c r="X41" s="24"/>
      <c r="Y41" s="24"/>
      <c r="Z41" s="24"/>
      <c r="AA41" s="24"/>
      <c r="AB41" s="24"/>
      <c r="AC41" s="24"/>
      <c r="AD41" s="24"/>
      <c r="AE41" s="24"/>
      <c r="AF41" s="24"/>
      <c r="AG41" s="24"/>
      <c r="AH41" s="24"/>
      <c r="AI41" s="24"/>
    </row>
    <row r="42" spans="1:35" s="16" customFormat="1" x14ac:dyDescent="0.2">
      <c r="D42" s="29" t="s">
        <v>196</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5" t="s">
        <v>1239</v>
      </c>
      <c r="Q43" s="898"/>
      <c r="R43" s="898"/>
      <c r="S43" s="898"/>
      <c r="T43" s="898"/>
      <c r="U43" s="1056" t="s">
        <v>1238</v>
      </c>
      <c r="V43" s="1191" t="s">
        <v>1492</v>
      </c>
      <c r="W43" s="24"/>
      <c r="X43" s="24"/>
      <c r="Y43" s="24"/>
      <c r="Z43" s="24"/>
      <c r="AA43" s="24"/>
      <c r="AB43" s="24"/>
      <c r="AC43" s="24"/>
      <c r="AD43" s="24"/>
      <c r="AE43" s="24"/>
      <c r="AF43" s="24"/>
      <c r="AG43" s="24"/>
      <c r="AH43" s="24"/>
      <c r="AI43" s="24"/>
    </row>
    <row r="44" spans="1:35" s="16" customFormat="1" ht="18.75" x14ac:dyDescent="0.3">
      <c r="A44" s="1661" t="s">
        <v>201</v>
      </c>
      <c r="B44" s="1662"/>
      <c r="C44" s="1662"/>
      <c r="D44" s="1662"/>
      <c r="E44" s="1663"/>
      <c r="F44" s="293"/>
      <c r="G44" s="293"/>
      <c r="H44" s="293"/>
      <c r="I44" s="293"/>
      <c r="L44" s="24"/>
      <c r="M44" s="24"/>
      <c r="N44" s="24"/>
      <c r="O44" s="24"/>
      <c r="P44" s="1055" t="s">
        <v>1241</v>
      </c>
      <c r="Q44" s="898"/>
      <c r="R44" s="898"/>
      <c r="S44" s="898"/>
      <c r="T44" s="898"/>
      <c r="U44" s="898"/>
      <c r="V44" s="1191" t="s">
        <v>1494</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91" t="s">
        <v>1495</v>
      </c>
      <c r="W45" s="24"/>
      <c r="X45" s="24"/>
      <c r="Y45" s="24"/>
      <c r="Z45" s="24"/>
      <c r="AA45" s="24"/>
      <c r="AB45" s="24"/>
      <c r="AC45" s="24"/>
      <c r="AD45" s="24"/>
      <c r="AE45" s="24"/>
      <c r="AF45" s="24"/>
      <c r="AG45" s="24"/>
      <c r="AH45" s="24"/>
      <c r="AI45" s="24"/>
    </row>
    <row r="46" spans="1:35" s="16" customFormat="1" ht="18.75" x14ac:dyDescent="0.3">
      <c r="A46" s="293"/>
      <c r="D46" s="29" t="s">
        <v>202</v>
      </c>
      <c r="E46" s="299">
        <f>+IF(EG1="OUI",IF(N37,+E42*4.33/N37,0),+E42/12)</f>
        <v>0</v>
      </c>
      <c r="F46" s="299"/>
      <c r="G46" s="299"/>
      <c r="H46" s="299"/>
      <c r="I46" s="299"/>
      <c r="P46" s="1055" t="s">
        <v>1359</v>
      </c>
      <c r="Q46" s="898"/>
      <c r="R46" s="898"/>
      <c r="S46" s="898"/>
      <c r="T46" s="898"/>
      <c r="U46" s="1056" t="s">
        <v>452</v>
      </c>
      <c r="V46" s="899"/>
    </row>
    <row r="47" spans="1:35" s="16" customFormat="1" x14ac:dyDescent="0.2">
      <c r="P47" s="1055" t="s">
        <v>1360</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851</v>
      </c>
      <c r="E49" s="425">
        <f>+IF(EG1="OUI",IF(N37,ROUND((E40*52)/(N37*12),C77),0),ROUND(E40/12,C77))</f>
        <v>0</v>
      </c>
      <c r="F49" s="300"/>
      <c r="G49" s="300"/>
      <c r="H49" s="300"/>
      <c r="I49" s="300"/>
      <c r="L49" s="29" t="s">
        <v>1374</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203</v>
      </c>
      <c r="E52" s="301">
        <f>+ROUND(ROUND((E48*E35),2)+ROUND((E49*N36),2),2)</f>
        <v>0</v>
      </c>
      <c r="F52" s="301"/>
      <c r="G52" s="301"/>
      <c r="H52" s="301"/>
      <c r="I52" s="301"/>
      <c r="K52" s="486"/>
      <c r="L52" s="487" t="str">
        <f>+L51</f>
        <v>Nbre d'hrs mensualisées =</v>
      </c>
      <c r="M52" s="1019">
        <f>+E48</f>
        <v>0</v>
      </c>
      <c r="N52" s="486"/>
      <c r="O52" s="486"/>
    </row>
    <row r="53" spans="1:114" s="16" customFormat="1" x14ac:dyDescent="0.2"/>
    <row r="54" spans="1:114" s="16" customFormat="1" x14ac:dyDescent="0.2">
      <c r="D54" s="29" t="s">
        <v>204</v>
      </c>
      <c r="E54" s="302" t="e">
        <f>ROUND(+E52*N29,2)</f>
        <v>#N/A</v>
      </c>
      <c r="F54" s="302"/>
      <c r="G54" s="302"/>
      <c r="H54" s="302"/>
      <c r="I54" s="302"/>
      <c r="L54" s="487" t="s">
        <v>1375</v>
      </c>
      <c r="M54" s="486" t="s">
        <v>1491</v>
      </c>
      <c r="N54" s="486"/>
    </row>
    <row r="55" spans="1:114" s="16" customFormat="1" x14ac:dyDescent="0.2">
      <c r="L55" s="487" t="s">
        <v>1375</v>
      </c>
      <c r="M55" s="486" t="str">
        <f>+E40&amp;" hrs / "&amp;N37&amp;" sem X 52 sem / 12 mois"</f>
        <v>0 hrs / 0 sem X 52 sem / 12 mois</v>
      </c>
      <c r="N55" s="486"/>
    </row>
    <row r="56" spans="1:114" s="16" customFormat="1" x14ac:dyDescent="0.2">
      <c r="D56" s="29" t="s">
        <v>205</v>
      </c>
      <c r="E56" s="302">
        <f>ROUND(+(E49*N36*0.1131),2)</f>
        <v>0</v>
      </c>
      <c r="F56" s="302"/>
      <c r="G56" s="302"/>
      <c r="H56" s="302"/>
      <c r="I56" s="302"/>
      <c r="L56" s="487" t="s">
        <v>1375</v>
      </c>
      <c r="M56" s="1019">
        <f>+E49</f>
        <v>0</v>
      </c>
      <c r="N56" s="486"/>
    </row>
    <row r="57" spans="1:114" s="16" customFormat="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+IF(EG1="OUI",IF(E29,ROUNDUP(E42*4.33/N37,0),0),IF(E29,ROUNDUP(E42/E29*E33/12,0),0))</f>
        <v>0</v>
      </c>
      <c r="E64" s="131"/>
      <c r="F64" s="131"/>
      <c r="G64" s="131"/>
      <c r="H64" s="131"/>
      <c r="I64" s="131"/>
    </row>
    <row r="65" spans="1:12" x14ac:dyDescent="0.2">
      <c r="B65" s="131"/>
    </row>
    <row r="66" spans="1:12" ht="15.75" x14ac:dyDescent="0.25">
      <c r="C66" s="307" t="s">
        <v>24</v>
      </c>
      <c r="D66" s="308" t="s">
        <v>25</v>
      </c>
      <c r="J66" s="1011"/>
      <c r="K66" s="1011"/>
      <c r="L66" s="1011"/>
    </row>
    <row r="67" spans="1:12" x14ac:dyDescent="0.2">
      <c r="B67" s="131" t="s">
        <v>26</v>
      </c>
      <c r="C67" s="38">
        <f>IFERROR(+VLOOKUP(U1,base_smic,2,TRUE),0)</f>
        <v>0</v>
      </c>
      <c r="D67" s="309" t="e">
        <f>+C67*N29</f>
        <v>#N/A</v>
      </c>
    </row>
    <row r="68" spans="1:12" x14ac:dyDescent="0.2">
      <c r="J68" s="306"/>
    </row>
    <row r="69" spans="1:12" ht="12.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tZPKaPM4GVLXdFAbeQ+Q+NOi05wiZ+Om3VZZ2jDpQJHJ1jqnkVUJlXTjtkFVRNlJGVlWAWfsD4yEjms7StwCCg==" saltValue="FuRRtdWcs/LoGtmFLIEA7w==" spinCount="100000" sheet="1" objects="1" scenarios="1" formatCells="0" formatColumns="0" formatRows="0" insertColumns="0" insertRows="0" insertHyperlinks="0" sort="0" autoFilter="0" pivotTables="0"/>
  <mergeCells count="70">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 ref="AI16:AQ16"/>
    <mergeCell ref="X24:AF24"/>
    <mergeCell ref="X22:AF22"/>
    <mergeCell ref="X21:AF21"/>
    <mergeCell ref="X19:AF19"/>
    <mergeCell ref="X17:AF17"/>
    <mergeCell ref="X16:AF16"/>
    <mergeCell ref="AI24:AQ24"/>
    <mergeCell ref="AI22:AQ22"/>
    <mergeCell ref="AI21:AQ21"/>
    <mergeCell ref="AI19:AQ19"/>
    <mergeCell ref="AI17:AQ17"/>
    <mergeCell ref="BP16:BX16"/>
    <mergeCell ref="BE24:BM24"/>
    <mergeCell ref="BE22:BM22"/>
    <mergeCell ref="BE21:BM21"/>
    <mergeCell ref="BE19:BM19"/>
    <mergeCell ref="BE17:BM17"/>
    <mergeCell ref="BE16:BM16"/>
    <mergeCell ref="BP24:BX24"/>
    <mergeCell ref="BP22:BX22"/>
    <mergeCell ref="BP21:BX21"/>
    <mergeCell ref="BP19:BX19"/>
    <mergeCell ref="BP17:BX17"/>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s>
  <conditionalFormatting sqref="A29:E29">
    <cfRule type="expression" dxfId="743" priority="31">
      <formula>$EG$3="OUI"</formula>
    </cfRule>
  </conditionalFormatting>
  <conditionalFormatting sqref="A39:E69">
    <cfRule type="expression" dxfId="742" priority="80">
      <formula>$EG$3="OUI"</formula>
    </cfRule>
  </conditionalFormatting>
  <conditionalFormatting sqref="A20:XFD25">
    <cfRule type="expression" dxfId="741" priority="32">
      <formula>$EG$3="OUI"</formula>
    </cfRule>
  </conditionalFormatting>
  <conditionalFormatting sqref="B7:I13">
    <cfRule type="cellIs" dxfId="740" priority="21" operator="greaterThan">
      <formula>0</formula>
    </cfRule>
  </conditionalFormatting>
  <conditionalFormatting sqref="B17:J17">
    <cfRule type="expression" dxfId="739" priority="63">
      <formula>K17=0</formula>
    </cfRule>
  </conditionalFormatting>
  <conditionalFormatting sqref="B22:J22">
    <cfRule type="expression" dxfId="738" priority="48">
      <formula>K22=0</formula>
    </cfRule>
  </conditionalFormatting>
  <conditionalFormatting sqref="D40">
    <cfRule type="expression" dxfId="737" priority="84">
      <formula>$E$40=0</formula>
    </cfRule>
  </conditionalFormatting>
  <conditionalFormatting sqref="D49">
    <cfRule type="expression" dxfId="736" priority="83">
      <formula>$E$49=0</formula>
    </cfRule>
  </conditionalFormatting>
  <conditionalFormatting sqref="D33:E33">
    <cfRule type="expression" dxfId="735" priority="30">
      <formula>$EG$3="OUI"</formula>
    </cfRule>
  </conditionalFormatting>
  <conditionalFormatting sqref="E35">
    <cfRule type="cellIs" dxfId="733" priority="5" operator="greaterThan">
      <formula>0</formula>
    </cfRule>
  </conditionalFormatting>
  <conditionalFormatting sqref="E40">
    <cfRule type="cellIs" dxfId="732" priority="85" operator="equal">
      <formula>0</formula>
    </cfRule>
  </conditionalFormatting>
  <conditionalFormatting sqref="E49">
    <cfRule type="cellIs" dxfId="731" priority="82" operator="equal">
      <formula>0</formula>
    </cfRule>
  </conditionalFormatting>
  <conditionalFormatting sqref="E50">
    <cfRule type="expression" dxfId="730" priority="81">
      <formula>$E$49=0</formula>
    </cfRule>
  </conditionalFormatting>
  <conditionalFormatting sqref="E29:I29">
    <cfRule type="cellIs" dxfId="729" priority="66" operator="between">
      <formula>46.9999999999</formula>
      <formula>51.99999</formula>
    </cfRule>
    <cfRule type="cellIs" dxfId="728" priority="65" operator="greaterThanOrEqual">
      <formula>52.0000001</formula>
    </cfRule>
  </conditionalFormatting>
  <conditionalFormatting sqref="K17">
    <cfRule type="cellIs" dxfId="727" priority="64" operator="equal">
      <formula>0</formula>
    </cfRule>
  </conditionalFormatting>
  <conditionalFormatting sqref="K19">
    <cfRule type="cellIs" dxfId="726" priority="6" operator="greaterThan">
      <formula>0</formula>
    </cfRule>
    <cfRule type="expression" dxfId="725" priority="29">
      <formula>OR(AND($E$29&gt;=47,$E$29&lt;=51,K14&gt;0),K19&gt;52,AND($E$29&gt;52,K14&gt;0),AND(K19&gt;=1,K14=0))</formula>
    </cfRule>
  </conditionalFormatting>
  <conditionalFormatting sqref="K22">
    <cfRule type="cellIs" dxfId="724" priority="47" operator="equal">
      <formula>0</formula>
    </cfRule>
  </conditionalFormatting>
  <conditionalFormatting sqref="K49:W59">
    <cfRule type="expression" dxfId="723" priority="78">
      <formula>$EG$1="NON"</formula>
    </cfRule>
  </conditionalFormatting>
  <conditionalFormatting sqref="L54:M56">
    <cfRule type="expression" dxfId="722" priority="79">
      <formula>$E$49=0</formula>
    </cfRule>
  </conditionalFormatting>
  <conditionalFormatting sqref="M37">
    <cfRule type="expression" dxfId="721" priority="77">
      <formula>$EG$1="NON"</formula>
    </cfRule>
  </conditionalFormatting>
  <conditionalFormatting sqref="M7:T13">
    <cfRule type="cellIs" dxfId="720" priority="20" operator="greaterThan">
      <formula>0</formula>
    </cfRule>
  </conditionalFormatting>
  <conditionalFormatting sqref="M17:U17">
    <cfRule type="expression" dxfId="719" priority="55">
      <formula>V17=0</formula>
    </cfRule>
  </conditionalFormatting>
  <conditionalFormatting sqref="M22:U22">
    <cfRule type="expression" dxfId="718" priority="39">
      <formula>V22=0</formula>
    </cfRule>
  </conditionalFormatting>
  <conditionalFormatting sqref="N34">
    <cfRule type="cellIs" dxfId="717" priority="4" operator="greaterThan">
      <formula>0</formula>
    </cfRule>
  </conditionalFormatting>
  <conditionalFormatting sqref="O3">
    <cfRule type="expression" dxfId="716" priority="94">
      <formula>$EG$1="NON"</formula>
    </cfRule>
  </conditionalFormatting>
  <conditionalFormatting sqref="P3">
    <cfRule type="cellIs" dxfId="715" priority="2" operator="greaterThan">
      <formula>0</formula>
    </cfRule>
    <cfRule type="expression" dxfId="714" priority="92">
      <formula>$EG$2="ERR"</formula>
    </cfRule>
    <cfRule type="expression" dxfId="713" priority="93">
      <formula>$EG$1="NON"</formula>
    </cfRule>
  </conditionalFormatting>
  <conditionalFormatting sqref="P39">
    <cfRule type="expression" dxfId="712" priority="173">
      <formula>EB2="faux"</formula>
    </cfRule>
  </conditionalFormatting>
  <conditionalFormatting sqref="V17">
    <cfRule type="cellIs" dxfId="711" priority="62" operator="equal">
      <formula>0</formula>
    </cfRule>
  </conditionalFormatting>
  <conditionalFormatting sqref="V19">
    <cfRule type="cellIs" dxfId="710" priority="7" operator="greaterThan">
      <formula>0</formula>
    </cfRule>
    <cfRule type="expression" dxfId="709" priority="28">
      <formula>OR(AND($E$29&gt;=47,$E$29&lt;=51,V14&gt;0),V19&gt;52,AND($E$29&gt;52,V14&gt;0),AND(V19&gt;=1,V14=0))</formula>
    </cfRule>
  </conditionalFormatting>
  <conditionalFormatting sqref="V22">
    <cfRule type="cellIs" dxfId="708" priority="46" operator="equal">
      <formula>0</formula>
    </cfRule>
  </conditionalFormatting>
  <conditionalFormatting sqref="W34">
    <cfRule type="cellIs" dxfId="707" priority="1" operator="greaterThan">
      <formula>0</formula>
    </cfRule>
  </conditionalFormatting>
  <conditionalFormatting sqref="X7:AE13">
    <cfRule type="cellIs" dxfId="706" priority="19" operator="greaterThan">
      <formula>0</formula>
    </cfRule>
  </conditionalFormatting>
  <conditionalFormatting sqref="X17:AF17">
    <cfRule type="expression" dxfId="705" priority="54">
      <formula>AG17=0</formula>
    </cfRule>
  </conditionalFormatting>
  <conditionalFormatting sqref="X22:AF22">
    <cfRule type="expression" dxfId="704" priority="38">
      <formula>AG22=0</formula>
    </cfRule>
  </conditionalFormatting>
  <conditionalFormatting sqref="AG17">
    <cfRule type="cellIs" dxfId="703" priority="61" operator="equal">
      <formula>0</formula>
    </cfRule>
  </conditionalFormatting>
  <conditionalFormatting sqref="AG19">
    <cfRule type="expression" dxfId="702" priority="27">
      <formula>OR(AND($E$29&gt;=47,$E$29&lt;=51,AG14&gt;0),AG19&gt;52,AND($E$29&gt;52,AG14&gt;0),AND(AG19&gt;=1,AG14=0))</formula>
    </cfRule>
    <cfRule type="cellIs" dxfId="701" priority="8" operator="greaterThan">
      <formula>0</formula>
    </cfRule>
  </conditionalFormatting>
  <conditionalFormatting sqref="AG22">
    <cfRule type="cellIs" dxfId="700" priority="45" operator="equal">
      <formula>0</formula>
    </cfRule>
  </conditionalFormatting>
  <conditionalFormatting sqref="AI7:AP13">
    <cfRule type="cellIs" dxfId="699" priority="18" operator="greaterThan">
      <formula>0</formula>
    </cfRule>
  </conditionalFormatting>
  <conditionalFormatting sqref="AI17:AQ17">
    <cfRule type="expression" dxfId="698" priority="53">
      <formula>AR17=0</formula>
    </cfRule>
  </conditionalFormatting>
  <conditionalFormatting sqref="AI22:AQ22">
    <cfRule type="expression" dxfId="697" priority="37">
      <formula>AR22=0</formula>
    </cfRule>
  </conditionalFormatting>
  <conditionalFormatting sqref="AR17">
    <cfRule type="cellIs" dxfId="696" priority="60" operator="equal">
      <formula>0</formula>
    </cfRule>
  </conditionalFormatting>
  <conditionalFormatting sqref="AR19">
    <cfRule type="cellIs" dxfId="695" priority="9" operator="greaterThan">
      <formula>0</formula>
    </cfRule>
    <cfRule type="expression" dxfId="694" priority="26">
      <formula>OR(AND($E$29&gt;=47,$E$29&lt;=51,AR14&gt;0),AR19&gt;52,AND($E$29&gt;52,AR14&gt;0),AND(AR19&gt;=1,AR14=0))</formula>
    </cfRule>
  </conditionalFormatting>
  <conditionalFormatting sqref="AR22">
    <cfRule type="cellIs" dxfId="693" priority="44" operator="equal">
      <formula>0</formula>
    </cfRule>
  </conditionalFormatting>
  <conditionalFormatting sqref="AT7:BA13">
    <cfRule type="cellIs" dxfId="692" priority="17" operator="greaterThan">
      <formula>0</formula>
    </cfRule>
  </conditionalFormatting>
  <conditionalFormatting sqref="AT17:BB17">
    <cfRule type="expression" dxfId="691" priority="52">
      <formula>BC17=0</formula>
    </cfRule>
  </conditionalFormatting>
  <conditionalFormatting sqref="AT22:BB22">
    <cfRule type="expression" dxfId="690" priority="36">
      <formula>BC22=0</formula>
    </cfRule>
  </conditionalFormatting>
  <conditionalFormatting sqref="BC17">
    <cfRule type="cellIs" dxfId="689" priority="59" operator="equal">
      <formula>0</formula>
    </cfRule>
  </conditionalFormatting>
  <conditionalFormatting sqref="BC19">
    <cfRule type="cellIs" dxfId="688" priority="10" operator="greaterThan">
      <formula>0</formula>
    </cfRule>
    <cfRule type="expression" dxfId="687" priority="25">
      <formula>OR(AND($E$29&gt;=47,$E$29&lt;=51,BC14&gt;0),BC19&gt;52,AND($E$29&gt;52,BC14&gt;0),AND(BC19&gt;=1,BC14=0))</formula>
    </cfRule>
  </conditionalFormatting>
  <conditionalFormatting sqref="BC22">
    <cfRule type="cellIs" dxfId="686" priority="43" operator="equal">
      <formula>0</formula>
    </cfRule>
  </conditionalFormatting>
  <conditionalFormatting sqref="BE7:BL13">
    <cfRule type="cellIs" dxfId="685" priority="16" operator="greaterThan">
      <formula>0</formula>
    </cfRule>
  </conditionalFormatting>
  <conditionalFormatting sqref="BE17:BM17">
    <cfRule type="expression" dxfId="684" priority="51">
      <formula>BN17=0</formula>
    </cfRule>
  </conditionalFormatting>
  <conditionalFormatting sqref="BE22:BM22">
    <cfRule type="expression" dxfId="683" priority="35">
      <formula>BN22=0</formula>
    </cfRule>
  </conditionalFormatting>
  <conditionalFormatting sqref="BN17">
    <cfRule type="cellIs" dxfId="682" priority="58" operator="equal">
      <formula>0</formula>
    </cfRule>
  </conditionalFormatting>
  <conditionalFormatting sqref="BN19">
    <cfRule type="cellIs" dxfId="681" priority="11" operator="greaterThan">
      <formula>0</formula>
    </cfRule>
    <cfRule type="expression" dxfId="680" priority="24">
      <formula>OR(AND($E$29&gt;=47,$E$29&lt;=51,BN14&gt;0),BN19&gt;52,AND($E$29&gt;52,BN14&gt;0),AND(BN19&gt;=1,BN14=0))</formula>
    </cfRule>
  </conditionalFormatting>
  <conditionalFormatting sqref="BN22">
    <cfRule type="cellIs" dxfId="679" priority="42" operator="equal">
      <formula>0</formula>
    </cfRule>
  </conditionalFormatting>
  <conditionalFormatting sqref="BP7:BW13">
    <cfRule type="cellIs" dxfId="678" priority="15" operator="greaterThan">
      <formula>0</formula>
    </cfRule>
  </conditionalFormatting>
  <conditionalFormatting sqref="BP17:BX17">
    <cfRule type="expression" dxfId="677" priority="50">
      <formula>BY17=0</formula>
    </cfRule>
  </conditionalFormatting>
  <conditionalFormatting sqref="BP22:BX22">
    <cfRule type="expression" dxfId="676" priority="34">
      <formula>BY22=0</formula>
    </cfRule>
  </conditionalFormatting>
  <conditionalFormatting sqref="BY17">
    <cfRule type="cellIs" dxfId="675" priority="57" operator="equal">
      <formula>0</formula>
    </cfRule>
  </conditionalFormatting>
  <conditionalFormatting sqref="BY19">
    <cfRule type="expression" dxfId="674" priority="23">
      <formula>OR(AND($E$29&gt;=47,$E$29&lt;=51,BY14&gt;0),BY19&gt;52,AND($E$29&gt;52,BY14&gt;0),AND(BY19&gt;=1,BY14=0))</formula>
    </cfRule>
    <cfRule type="cellIs" dxfId="673" priority="12" operator="greaterThan">
      <formula>0</formula>
    </cfRule>
  </conditionalFormatting>
  <conditionalFormatting sqref="BY22">
    <cfRule type="cellIs" dxfId="672" priority="41" operator="equal">
      <formula>0</formula>
    </cfRule>
  </conditionalFormatting>
  <conditionalFormatting sqref="CA7:CH13">
    <cfRule type="cellIs" dxfId="671" priority="14" operator="greaterThan">
      <formula>0</formula>
    </cfRule>
  </conditionalFormatting>
  <conditionalFormatting sqref="CA17:CI17">
    <cfRule type="expression" dxfId="670" priority="49">
      <formula>CJ17=0</formula>
    </cfRule>
  </conditionalFormatting>
  <conditionalFormatting sqref="CA22:CI22">
    <cfRule type="expression" dxfId="669" priority="33">
      <formula>CJ22=0</formula>
    </cfRule>
  </conditionalFormatting>
  <conditionalFormatting sqref="CJ17">
    <cfRule type="cellIs" dxfId="668" priority="56" operator="equal">
      <formula>0</formula>
    </cfRule>
  </conditionalFormatting>
  <conditionalFormatting sqref="CJ19">
    <cfRule type="expression" dxfId="667" priority="22">
      <formula>OR(AND($E$29&gt;=47,$E$29&lt;=51,CJ14&gt;0),CJ19&gt;52,AND($E$29&gt;52,CJ14&gt;0),AND(CJ19&gt;=1,CJ14=0))</formula>
    </cfRule>
    <cfRule type="cellIs" dxfId="666" priority="13" operator="greaterThan">
      <formula>0</formula>
    </cfRule>
  </conditionalFormatting>
  <conditionalFormatting sqref="CJ22">
    <cfRule type="cellIs" dxfId="665"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4"/>
  <sheetViews>
    <sheetView showGridLines="0" zoomScale="90" zoomScaleNormal="90" workbookViewId="0">
      <selection activeCell="B12" sqref="B12"/>
    </sheetView>
  </sheetViews>
  <sheetFormatPr baseColWidth="10" defaultColWidth="11.42578125" defaultRowHeight="12.75" x14ac:dyDescent="0.2"/>
  <cols>
    <col min="1" max="1" width="13.85546875" style="16" customWidth="1"/>
    <col min="2" max="2" width="18.140625" style="16" customWidth="1"/>
    <col min="3" max="3" width="13.85546875" style="16" customWidth="1"/>
    <col min="4" max="4" width="28.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06" t="s">
        <v>28</v>
      </c>
      <c r="B2" s="1706"/>
      <c r="C2" s="1706"/>
      <c r="D2" s="1706"/>
      <c r="E2" s="1706"/>
      <c r="F2" s="1706"/>
      <c r="G2" s="1706"/>
      <c r="H2" s="1706"/>
      <c r="I2" s="1706"/>
      <c r="J2" s="1706"/>
    </row>
    <row r="5" spans="1:10" x14ac:dyDescent="0.2">
      <c r="D5" s="29" t="s">
        <v>29</v>
      </c>
      <c r="E5" s="1710">
        <f>+Identification!B25</f>
        <v>0</v>
      </c>
      <c r="F5" s="1710"/>
      <c r="G5" s="1710"/>
      <c r="H5" s="1710"/>
    </row>
    <row r="7" spans="1:10" x14ac:dyDescent="0.2">
      <c r="D7" s="29" t="s">
        <v>1176</v>
      </c>
      <c r="E7" s="1709">
        <f>+Identification!B28</f>
        <v>0</v>
      </c>
      <c r="F7" s="1709"/>
    </row>
    <row r="8" spans="1:10" ht="13.5" thickBot="1" x14ac:dyDescent="0.25"/>
    <row r="9" spans="1:10" ht="13.5" thickBot="1" x14ac:dyDescent="0.25">
      <c r="B9" s="835"/>
      <c r="C9" s="835"/>
      <c r="D9" s="836" t="s">
        <v>1189</v>
      </c>
      <c r="E9" s="1629">
        <v>5</v>
      </c>
      <c r="F9" s="16" t="s">
        <v>1177</v>
      </c>
    </row>
    <row r="10" spans="1:10" ht="13.5" thickBot="1" x14ac:dyDescent="0.25">
      <c r="E10" s="27"/>
    </row>
    <row r="11" spans="1:10" ht="13.5" thickBot="1" x14ac:dyDescent="0.25">
      <c r="B11" s="837"/>
      <c r="C11" s="837"/>
      <c r="D11" s="838" t="s">
        <v>1190</v>
      </c>
      <c r="E11" s="1629">
        <v>14</v>
      </c>
      <c r="F11" s="16" t="s">
        <v>1177</v>
      </c>
    </row>
    <row r="14" spans="1:10" x14ac:dyDescent="0.2">
      <c r="C14" s="843"/>
      <c r="D14" s="844" t="s">
        <v>1180</v>
      </c>
      <c r="E14" s="845">
        <f>+E7</f>
        <v>0</v>
      </c>
      <c r="F14" s="846" t="s">
        <v>460</v>
      </c>
      <c r="G14" s="845">
        <f>+IF(G15="",EDATE(E14,12),G15)</f>
        <v>366</v>
      </c>
    </row>
    <row r="15" spans="1:10" x14ac:dyDescent="0.2">
      <c r="F15" s="834" t="s">
        <v>503</v>
      </c>
      <c r="G15" s="1104"/>
    </row>
    <row r="16" spans="1:10" ht="13.5" thickBot="1" x14ac:dyDescent="0.25"/>
    <row r="17" spans="2:10" ht="13.5" thickTop="1" x14ac:dyDescent="0.2">
      <c r="B17" s="1238" t="s">
        <v>30</v>
      </c>
      <c r="C17" s="1239" t="s">
        <v>1178</v>
      </c>
      <c r="D17" s="1239" t="s">
        <v>1179</v>
      </c>
      <c r="E17" s="1707" t="s">
        <v>807</v>
      </c>
      <c r="F17" s="1707"/>
      <c r="G17" s="1707"/>
      <c r="H17" s="1707"/>
      <c r="I17" s="1707"/>
      <c r="J17" s="1708"/>
    </row>
    <row r="18" spans="2:10" x14ac:dyDescent="0.2">
      <c r="B18" s="1096"/>
      <c r="C18" s="1097"/>
      <c r="D18" s="1098"/>
      <c r="E18" s="1700"/>
      <c r="F18" s="1701"/>
      <c r="G18" s="1701"/>
      <c r="H18" s="1701"/>
      <c r="I18" s="1701"/>
      <c r="J18" s="1702"/>
    </row>
    <row r="19" spans="2:10" x14ac:dyDescent="0.2">
      <c r="B19" s="1096"/>
      <c r="C19" s="1097"/>
      <c r="D19" s="1098"/>
      <c r="E19" s="1700"/>
      <c r="F19" s="1701"/>
      <c r="G19" s="1701"/>
      <c r="H19" s="1701"/>
      <c r="I19" s="1701"/>
      <c r="J19" s="1702"/>
    </row>
    <row r="20" spans="2:10" x14ac:dyDescent="0.2">
      <c r="B20" s="1096"/>
      <c r="C20" s="1097"/>
      <c r="D20" s="1098"/>
      <c r="E20" s="1700"/>
      <c r="F20" s="1701"/>
      <c r="G20" s="1701"/>
      <c r="H20" s="1701"/>
      <c r="I20" s="1701"/>
      <c r="J20" s="1702"/>
    </row>
    <row r="21" spans="2:10" x14ac:dyDescent="0.2">
      <c r="B21" s="1096"/>
      <c r="C21" s="1097"/>
      <c r="D21" s="1098"/>
      <c r="E21" s="1700"/>
      <c r="F21" s="1701"/>
      <c r="G21" s="1701"/>
      <c r="H21" s="1701"/>
      <c r="I21" s="1701"/>
      <c r="J21" s="1702"/>
    </row>
    <row r="22" spans="2:10" x14ac:dyDescent="0.2">
      <c r="B22" s="1096"/>
      <c r="C22" s="1097"/>
      <c r="D22" s="1098"/>
      <c r="E22" s="1700"/>
      <c r="F22" s="1701"/>
      <c r="G22" s="1701"/>
      <c r="H22" s="1701"/>
      <c r="I22" s="1701"/>
      <c r="J22" s="1702"/>
    </row>
    <row r="23" spans="2:10" x14ac:dyDescent="0.2">
      <c r="B23" s="1096"/>
      <c r="C23" s="1097"/>
      <c r="D23" s="1098"/>
      <c r="E23" s="1700"/>
      <c r="F23" s="1701"/>
      <c r="G23" s="1701"/>
      <c r="H23" s="1701"/>
      <c r="I23" s="1701"/>
      <c r="J23" s="1702"/>
    </row>
    <row r="24" spans="2:10" x14ac:dyDescent="0.2">
      <c r="B24" s="1096"/>
      <c r="C24" s="1097"/>
      <c r="D24" s="1098"/>
      <c r="E24" s="1700"/>
      <c r="F24" s="1701"/>
      <c r="G24" s="1701"/>
      <c r="H24" s="1701"/>
      <c r="I24" s="1701"/>
      <c r="J24" s="1702"/>
    </row>
    <row r="25" spans="2:10" x14ac:dyDescent="0.2">
      <c r="B25" s="1096"/>
      <c r="C25" s="1097"/>
      <c r="D25" s="1098"/>
      <c r="E25" s="1700"/>
      <c r="F25" s="1701"/>
      <c r="G25" s="1701"/>
      <c r="H25" s="1701"/>
      <c r="I25" s="1701"/>
      <c r="J25" s="1702"/>
    </row>
    <row r="26" spans="2:10" ht="13.5" thickBot="1" x14ac:dyDescent="0.25">
      <c r="B26" s="1099"/>
      <c r="C26" s="1100"/>
      <c r="D26" s="1101"/>
      <c r="E26" s="1703"/>
      <c r="F26" s="1704"/>
      <c r="G26" s="1704"/>
      <c r="H26" s="1704"/>
      <c r="I26" s="1704"/>
      <c r="J26" s="1705"/>
    </row>
    <row r="27" spans="2:10" ht="13.5" thickTop="1" x14ac:dyDescent="0.2"/>
    <row r="28" spans="2:10" x14ac:dyDescent="0.2">
      <c r="D28" s="836" t="s">
        <v>1182</v>
      </c>
      <c r="E28" s="839">
        <f>+SUMIF(D18:D26,"non consécutifs",C18:C26)</f>
        <v>0</v>
      </c>
      <c r="F28" s="29" t="s">
        <v>1183</v>
      </c>
      <c r="G28" s="840">
        <f>+E9-E28</f>
        <v>5</v>
      </c>
    </row>
    <row r="30" spans="2:10" x14ac:dyDescent="0.2">
      <c r="D30" s="838" t="s">
        <v>1181</v>
      </c>
      <c r="E30" s="839">
        <f>+SUMIF(D18:D26,"consécutifs",C18:C26)</f>
        <v>0</v>
      </c>
      <c r="F30" s="29" t="s">
        <v>1183</v>
      </c>
      <c r="G30" s="840">
        <f>+E11-E30</f>
        <v>14</v>
      </c>
    </row>
    <row r="32" spans="2:10" x14ac:dyDescent="0.2">
      <c r="C32" s="197" t="s">
        <v>1185</v>
      </c>
    </row>
    <row r="34" spans="2:10" x14ac:dyDescent="0.2">
      <c r="D34" s="841" t="s">
        <v>503</v>
      </c>
      <c r="E34" s="1103"/>
    </row>
    <row r="35" spans="2:10" x14ac:dyDescent="0.2">
      <c r="B35" s="835"/>
      <c r="C35" s="835"/>
      <c r="D35" s="836" t="s">
        <v>1392</v>
      </c>
      <c r="E35" s="839">
        <f>+IF(E34="",E9,E34)</f>
        <v>5</v>
      </c>
      <c r="F35" s="16" t="s">
        <v>1177</v>
      </c>
    </row>
    <row r="36" spans="2:10" x14ac:dyDescent="0.2">
      <c r="E36" s="27"/>
    </row>
    <row r="37" spans="2:10" x14ac:dyDescent="0.2">
      <c r="B37" s="837"/>
      <c r="C37" s="837"/>
      <c r="D37" s="838" t="s">
        <v>1393</v>
      </c>
      <c r="E37" s="839">
        <f>+IF(E38="",E11,E38)</f>
        <v>14</v>
      </c>
      <c r="F37" s="16" t="s">
        <v>1177</v>
      </c>
    </row>
    <row r="38" spans="2:10" x14ac:dyDescent="0.2">
      <c r="D38" s="842" t="s">
        <v>503</v>
      </c>
      <c r="E38" s="1102"/>
    </row>
    <row r="40" spans="2:10" x14ac:dyDescent="0.2">
      <c r="C40" s="847"/>
      <c r="D40" s="848" t="s">
        <v>1184</v>
      </c>
      <c r="E40" s="849">
        <f>+G14</f>
        <v>366</v>
      </c>
      <c r="F40" s="850" t="s">
        <v>460</v>
      </c>
      <c r="G40" s="849">
        <f>+IF(G41="",EDATE(E40,12),G41)</f>
        <v>731</v>
      </c>
    </row>
    <row r="41" spans="2:10" x14ac:dyDescent="0.2">
      <c r="F41" s="834" t="s">
        <v>503</v>
      </c>
      <c r="G41" s="1104"/>
    </row>
    <row r="42" spans="2:10" ht="13.5" thickBot="1" x14ac:dyDescent="0.25"/>
    <row r="43" spans="2:10" ht="13.5" thickTop="1" x14ac:dyDescent="0.2">
      <c r="B43" s="1238" t="s">
        <v>30</v>
      </c>
      <c r="C43" s="1239" t="s">
        <v>1178</v>
      </c>
      <c r="D43" s="1239" t="s">
        <v>1179</v>
      </c>
      <c r="E43" s="1707" t="s">
        <v>807</v>
      </c>
      <c r="F43" s="1707"/>
      <c r="G43" s="1707"/>
      <c r="H43" s="1707"/>
      <c r="I43" s="1707"/>
      <c r="J43" s="1708"/>
    </row>
    <row r="44" spans="2:10" x14ac:dyDescent="0.2">
      <c r="B44" s="1096"/>
      <c r="C44" s="1097"/>
      <c r="D44" s="1098"/>
      <c r="E44" s="1700"/>
      <c r="F44" s="1701"/>
      <c r="G44" s="1701"/>
      <c r="H44" s="1701"/>
      <c r="I44" s="1701"/>
      <c r="J44" s="1702"/>
    </row>
    <row r="45" spans="2:10" x14ac:dyDescent="0.2">
      <c r="B45" s="1096"/>
      <c r="C45" s="1097"/>
      <c r="D45" s="1098"/>
      <c r="E45" s="1700"/>
      <c r="F45" s="1701"/>
      <c r="G45" s="1701"/>
      <c r="H45" s="1701"/>
      <c r="I45" s="1701"/>
      <c r="J45" s="1702"/>
    </row>
    <row r="46" spans="2:10" x14ac:dyDescent="0.2">
      <c r="B46" s="1096"/>
      <c r="C46" s="1097"/>
      <c r="D46" s="1098"/>
      <c r="E46" s="1700"/>
      <c r="F46" s="1701"/>
      <c r="G46" s="1701"/>
      <c r="H46" s="1701"/>
      <c r="I46" s="1701"/>
      <c r="J46" s="1702"/>
    </row>
    <row r="47" spans="2:10" x14ac:dyDescent="0.2">
      <c r="B47" s="1096"/>
      <c r="C47" s="1097"/>
      <c r="D47" s="1098"/>
      <c r="E47" s="1700"/>
      <c r="F47" s="1701"/>
      <c r="G47" s="1701"/>
      <c r="H47" s="1701"/>
      <c r="I47" s="1701"/>
      <c r="J47" s="1702"/>
    </row>
    <row r="48" spans="2:10" x14ac:dyDescent="0.2">
      <c r="B48" s="1096"/>
      <c r="C48" s="1097"/>
      <c r="D48" s="1098"/>
      <c r="E48" s="1700"/>
      <c r="F48" s="1701"/>
      <c r="G48" s="1701"/>
      <c r="H48" s="1701"/>
      <c r="I48" s="1701"/>
      <c r="J48" s="1702"/>
    </row>
    <row r="49" spans="2:10" x14ac:dyDescent="0.2">
      <c r="B49" s="1096"/>
      <c r="C49" s="1097"/>
      <c r="D49" s="1098"/>
      <c r="E49" s="1700"/>
      <c r="F49" s="1701"/>
      <c r="G49" s="1701"/>
      <c r="H49" s="1701"/>
      <c r="I49" s="1701"/>
      <c r="J49" s="1702"/>
    </row>
    <row r="50" spans="2:10" x14ac:dyDescent="0.2">
      <c r="B50" s="1096"/>
      <c r="C50" s="1097"/>
      <c r="D50" s="1098"/>
      <c r="E50" s="1700"/>
      <c r="F50" s="1701"/>
      <c r="G50" s="1701"/>
      <c r="H50" s="1701"/>
      <c r="I50" s="1701"/>
      <c r="J50" s="1702"/>
    </row>
    <row r="51" spans="2:10" x14ac:dyDescent="0.2">
      <c r="B51" s="1096"/>
      <c r="C51" s="1097"/>
      <c r="D51" s="1098"/>
      <c r="E51" s="1700"/>
      <c r="F51" s="1701"/>
      <c r="G51" s="1701"/>
      <c r="H51" s="1701"/>
      <c r="I51" s="1701"/>
      <c r="J51" s="1702"/>
    </row>
    <row r="52" spans="2:10" ht="13.5" thickBot="1" x14ac:dyDescent="0.25">
      <c r="B52" s="1099"/>
      <c r="C52" s="1100"/>
      <c r="D52" s="1101"/>
      <c r="E52" s="1703"/>
      <c r="F52" s="1704"/>
      <c r="G52" s="1704"/>
      <c r="H52" s="1704"/>
      <c r="I52" s="1704"/>
      <c r="J52" s="1705"/>
    </row>
    <row r="53" spans="2:10" ht="13.5" thickTop="1" x14ac:dyDescent="0.2"/>
    <row r="54" spans="2:10" x14ac:dyDescent="0.2">
      <c r="D54" s="836" t="s">
        <v>1182</v>
      </c>
      <c r="E54" s="839">
        <f>+SUMIF(D44:D52,"non consécutifs",C44:C52)</f>
        <v>0</v>
      </c>
      <c r="F54" s="29" t="s">
        <v>1183</v>
      </c>
      <c r="G54" s="840">
        <f>+E35-E54</f>
        <v>5</v>
      </c>
    </row>
    <row r="56" spans="2:10" x14ac:dyDescent="0.2">
      <c r="D56" s="838" t="s">
        <v>1181</v>
      </c>
      <c r="E56" s="839">
        <f>+SUMIF(D44:D52,"consécutifs",C44:C52)</f>
        <v>0</v>
      </c>
      <c r="F56" s="29" t="s">
        <v>1183</v>
      </c>
      <c r="G56" s="840">
        <f>++E37-E56</f>
        <v>14</v>
      </c>
    </row>
    <row r="58" spans="2:10" x14ac:dyDescent="0.2">
      <c r="C58" s="197" t="s">
        <v>1185</v>
      </c>
    </row>
    <row r="60" spans="2:10" x14ac:dyDescent="0.2">
      <c r="D60" s="841" t="s">
        <v>503</v>
      </c>
      <c r="E60" s="1103"/>
    </row>
    <row r="61" spans="2:10" x14ac:dyDescent="0.2">
      <c r="B61" s="835"/>
      <c r="C61" s="835"/>
      <c r="D61" s="836" t="s">
        <v>1392</v>
      </c>
      <c r="E61" s="839">
        <f>+IF(E60="",E35,E60)</f>
        <v>5</v>
      </c>
      <c r="F61" s="16" t="s">
        <v>1177</v>
      </c>
    </row>
    <row r="62" spans="2:10" x14ac:dyDescent="0.2">
      <c r="E62" s="27"/>
    </row>
    <row r="63" spans="2:10" x14ac:dyDescent="0.2">
      <c r="B63" s="837"/>
      <c r="C63" s="837"/>
      <c r="D63" s="838" t="s">
        <v>1393</v>
      </c>
      <c r="E63" s="839">
        <f>+IF(E64="",E37,E64)</f>
        <v>14</v>
      </c>
      <c r="F63" s="16" t="s">
        <v>1177</v>
      </c>
    </row>
    <row r="64" spans="2:10" x14ac:dyDescent="0.2">
      <c r="D64" s="842" t="s">
        <v>503</v>
      </c>
      <c r="E64" s="1102"/>
    </row>
    <row r="66" spans="2:10" x14ac:dyDescent="0.2">
      <c r="C66" s="321"/>
      <c r="D66" s="851" t="s">
        <v>1186</v>
      </c>
      <c r="E66" s="852">
        <f>+G40</f>
        <v>731</v>
      </c>
      <c r="F66" s="853" t="s">
        <v>460</v>
      </c>
      <c r="G66" s="852">
        <f>+IF(G67="",EDATE(E66,12),G67)</f>
        <v>1096</v>
      </c>
    </row>
    <row r="67" spans="2:10" x14ac:dyDescent="0.2">
      <c r="F67" s="834" t="s">
        <v>503</v>
      </c>
      <c r="G67" s="1104"/>
    </row>
    <row r="68" spans="2:10" ht="13.5" thickBot="1" x14ac:dyDescent="0.25"/>
    <row r="69" spans="2:10" ht="13.5" thickTop="1" x14ac:dyDescent="0.2">
      <c r="B69" s="1238" t="s">
        <v>30</v>
      </c>
      <c r="C69" s="1239" t="s">
        <v>1178</v>
      </c>
      <c r="D69" s="1239" t="s">
        <v>1179</v>
      </c>
      <c r="E69" s="1707" t="s">
        <v>807</v>
      </c>
      <c r="F69" s="1707"/>
      <c r="G69" s="1707"/>
      <c r="H69" s="1707"/>
      <c r="I69" s="1707"/>
      <c r="J69" s="1708"/>
    </row>
    <row r="70" spans="2:10" x14ac:dyDescent="0.2">
      <c r="B70" s="1096"/>
      <c r="C70" s="1097"/>
      <c r="D70" s="1098"/>
      <c r="E70" s="1700"/>
      <c r="F70" s="1701"/>
      <c r="G70" s="1701"/>
      <c r="H70" s="1701"/>
      <c r="I70" s="1701"/>
      <c r="J70" s="1702"/>
    </row>
    <row r="71" spans="2:10" x14ac:dyDescent="0.2">
      <c r="B71" s="1096"/>
      <c r="C71" s="1097"/>
      <c r="D71" s="1098"/>
      <c r="E71" s="1700"/>
      <c r="F71" s="1701"/>
      <c r="G71" s="1701"/>
      <c r="H71" s="1701"/>
      <c r="I71" s="1701"/>
      <c r="J71" s="1702"/>
    </row>
    <row r="72" spans="2:10" x14ac:dyDescent="0.2">
      <c r="B72" s="1096"/>
      <c r="C72" s="1097"/>
      <c r="D72" s="1098"/>
      <c r="E72" s="1700"/>
      <c r="F72" s="1701"/>
      <c r="G72" s="1701"/>
      <c r="H72" s="1701"/>
      <c r="I72" s="1701"/>
      <c r="J72" s="1702"/>
    </row>
    <row r="73" spans="2:10" x14ac:dyDescent="0.2">
      <c r="B73" s="1096"/>
      <c r="C73" s="1097"/>
      <c r="D73" s="1098"/>
      <c r="E73" s="1700"/>
      <c r="F73" s="1701"/>
      <c r="G73" s="1701"/>
      <c r="H73" s="1701"/>
      <c r="I73" s="1701"/>
      <c r="J73" s="1702"/>
    </row>
    <row r="74" spans="2:10" x14ac:dyDescent="0.2">
      <c r="B74" s="1096"/>
      <c r="C74" s="1097"/>
      <c r="D74" s="1098"/>
      <c r="E74" s="1700"/>
      <c r="F74" s="1701"/>
      <c r="G74" s="1701"/>
      <c r="H74" s="1701"/>
      <c r="I74" s="1701"/>
      <c r="J74" s="1702"/>
    </row>
    <row r="75" spans="2:10" x14ac:dyDescent="0.2">
      <c r="B75" s="1096"/>
      <c r="C75" s="1097"/>
      <c r="D75" s="1098"/>
      <c r="E75" s="1700"/>
      <c r="F75" s="1701"/>
      <c r="G75" s="1701"/>
      <c r="H75" s="1701"/>
      <c r="I75" s="1701"/>
      <c r="J75" s="1702"/>
    </row>
    <row r="76" spans="2:10" x14ac:dyDescent="0.2">
      <c r="B76" s="1096"/>
      <c r="C76" s="1097"/>
      <c r="D76" s="1098"/>
      <c r="E76" s="1700"/>
      <c r="F76" s="1701"/>
      <c r="G76" s="1701"/>
      <c r="H76" s="1701"/>
      <c r="I76" s="1701"/>
      <c r="J76" s="1702"/>
    </row>
    <row r="77" spans="2:10" x14ac:dyDescent="0.2">
      <c r="B77" s="1096"/>
      <c r="C77" s="1097"/>
      <c r="D77" s="1098"/>
      <c r="E77" s="1700"/>
      <c r="F77" s="1701"/>
      <c r="G77" s="1701"/>
      <c r="H77" s="1701"/>
      <c r="I77" s="1701"/>
      <c r="J77" s="1702"/>
    </row>
    <row r="78" spans="2:10" ht="13.5" thickBot="1" x14ac:dyDescent="0.25">
      <c r="B78" s="1099"/>
      <c r="C78" s="1100"/>
      <c r="D78" s="1101"/>
      <c r="E78" s="1703"/>
      <c r="F78" s="1704"/>
      <c r="G78" s="1704"/>
      <c r="H78" s="1704"/>
      <c r="I78" s="1704"/>
      <c r="J78" s="1705"/>
    </row>
    <row r="79" spans="2:10" ht="13.5" thickTop="1" x14ac:dyDescent="0.2"/>
    <row r="80" spans="2:10" x14ac:dyDescent="0.2">
      <c r="D80" s="836" t="s">
        <v>1182</v>
      </c>
      <c r="E80" s="839">
        <f>+SUMIF(D70:D78,"non consécutifs",C70:C78)</f>
        <v>0</v>
      </c>
      <c r="F80" s="29" t="s">
        <v>1183</v>
      </c>
      <c r="G80" s="840">
        <f>+E61-E80</f>
        <v>5</v>
      </c>
    </row>
    <row r="82" spans="2:10" x14ac:dyDescent="0.2">
      <c r="D82" s="838" t="s">
        <v>1181</v>
      </c>
      <c r="E82" s="839">
        <f>+SUMIF(D70:D78,"consécutifs",C70:C78)</f>
        <v>0</v>
      </c>
      <c r="F82" s="29" t="s">
        <v>1183</v>
      </c>
      <c r="G82" s="840">
        <f>++E63-E82</f>
        <v>14</v>
      </c>
    </row>
    <row r="84" spans="2:10" x14ac:dyDescent="0.2">
      <c r="C84" s="197" t="s">
        <v>1185</v>
      </c>
    </row>
    <row r="86" spans="2:10" x14ac:dyDescent="0.2">
      <c r="D86" s="841" t="s">
        <v>503</v>
      </c>
      <c r="E86" s="1103"/>
    </row>
    <row r="87" spans="2:10" x14ac:dyDescent="0.2">
      <c r="B87" s="835"/>
      <c r="C87" s="835"/>
      <c r="D87" s="836" t="s">
        <v>1392</v>
      </c>
      <c r="E87" s="839">
        <f>+IF(E86="",E61,E86)</f>
        <v>5</v>
      </c>
      <c r="F87" s="16" t="s">
        <v>1177</v>
      </c>
    </row>
    <row r="88" spans="2:10" x14ac:dyDescent="0.2">
      <c r="E88" s="27"/>
    </row>
    <row r="89" spans="2:10" x14ac:dyDescent="0.2">
      <c r="B89" s="837"/>
      <c r="C89" s="837"/>
      <c r="D89" s="838" t="s">
        <v>1393</v>
      </c>
      <c r="E89" s="839">
        <f>+IF(E90="",E63,E90)</f>
        <v>14</v>
      </c>
      <c r="F89" s="16" t="s">
        <v>1177</v>
      </c>
    </row>
    <row r="90" spans="2:10" x14ac:dyDescent="0.2">
      <c r="D90" s="842" t="s">
        <v>503</v>
      </c>
      <c r="E90" s="1102"/>
    </row>
    <row r="92" spans="2:10" x14ac:dyDescent="0.2">
      <c r="C92" s="854"/>
      <c r="D92" s="855" t="s">
        <v>1187</v>
      </c>
      <c r="E92" s="856">
        <f>+G66</f>
        <v>1096</v>
      </c>
      <c r="F92" s="857" t="s">
        <v>460</v>
      </c>
      <c r="G92" s="856">
        <f>+IF(G93="",EDATE(E92,12),G93)</f>
        <v>1461</v>
      </c>
    </row>
    <row r="93" spans="2:10" x14ac:dyDescent="0.2">
      <c r="F93" s="834" t="s">
        <v>503</v>
      </c>
      <c r="G93" s="1104"/>
    </row>
    <row r="94" spans="2:10" ht="13.5" thickBot="1" x14ac:dyDescent="0.25"/>
    <row r="95" spans="2:10" ht="13.5" thickTop="1" x14ac:dyDescent="0.2">
      <c r="B95" s="1238" t="s">
        <v>30</v>
      </c>
      <c r="C95" s="1239" t="s">
        <v>1178</v>
      </c>
      <c r="D95" s="1239" t="s">
        <v>1179</v>
      </c>
      <c r="E95" s="1707" t="s">
        <v>807</v>
      </c>
      <c r="F95" s="1707"/>
      <c r="G95" s="1707"/>
      <c r="H95" s="1707"/>
      <c r="I95" s="1707"/>
      <c r="J95" s="1708"/>
    </row>
    <row r="96" spans="2:10" x14ac:dyDescent="0.2">
      <c r="B96" s="1096"/>
      <c r="C96" s="1097"/>
      <c r="D96" s="1098"/>
      <c r="E96" s="1700"/>
      <c r="F96" s="1701"/>
      <c r="G96" s="1701"/>
      <c r="H96" s="1701"/>
      <c r="I96" s="1701"/>
      <c r="J96" s="1702"/>
    </row>
    <row r="97" spans="2:10" x14ac:dyDescent="0.2">
      <c r="B97" s="1096"/>
      <c r="C97" s="1097"/>
      <c r="D97" s="1098"/>
      <c r="E97" s="1700"/>
      <c r="F97" s="1701"/>
      <c r="G97" s="1701"/>
      <c r="H97" s="1701"/>
      <c r="I97" s="1701"/>
      <c r="J97" s="1702"/>
    </row>
    <row r="98" spans="2:10" x14ac:dyDescent="0.2">
      <c r="B98" s="1096"/>
      <c r="C98" s="1097"/>
      <c r="D98" s="1098"/>
      <c r="E98" s="1700"/>
      <c r="F98" s="1701"/>
      <c r="G98" s="1701"/>
      <c r="H98" s="1701"/>
      <c r="I98" s="1701"/>
      <c r="J98" s="1702"/>
    </row>
    <row r="99" spans="2:10" x14ac:dyDescent="0.2">
      <c r="B99" s="1096"/>
      <c r="C99" s="1097"/>
      <c r="D99" s="1098"/>
      <c r="E99" s="1700"/>
      <c r="F99" s="1701"/>
      <c r="G99" s="1701"/>
      <c r="H99" s="1701"/>
      <c r="I99" s="1701"/>
      <c r="J99" s="1702"/>
    </row>
    <row r="100" spans="2:10" x14ac:dyDescent="0.2">
      <c r="B100" s="1096"/>
      <c r="C100" s="1097"/>
      <c r="D100" s="1098"/>
      <c r="E100" s="1700"/>
      <c r="F100" s="1701"/>
      <c r="G100" s="1701"/>
      <c r="H100" s="1701"/>
      <c r="I100" s="1701"/>
      <c r="J100" s="1702"/>
    </row>
    <row r="101" spans="2:10" x14ac:dyDescent="0.2">
      <c r="B101" s="1096"/>
      <c r="C101" s="1097"/>
      <c r="D101" s="1098"/>
      <c r="E101" s="1700"/>
      <c r="F101" s="1701"/>
      <c r="G101" s="1701"/>
      <c r="H101" s="1701"/>
      <c r="I101" s="1701"/>
      <c r="J101" s="1702"/>
    </row>
    <row r="102" spans="2:10" x14ac:dyDescent="0.2">
      <c r="B102" s="1096"/>
      <c r="C102" s="1097"/>
      <c r="D102" s="1098"/>
      <c r="E102" s="1700"/>
      <c r="F102" s="1701"/>
      <c r="G102" s="1701"/>
      <c r="H102" s="1701"/>
      <c r="I102" s="1701"/>
      <c r="J102" s="1702"/>
    </row>
    <row r="103" spans="2:10" x14ac:dyDescent="0.2">
      <c r="B103" s="1096"/>
      <c r="C103" s="1097"/>
      <c r="D103" s="1098"/>
      <c r="E103" s="1700"/>
      <c r="F103" s="1701"/>
      <c r="G103" s="1701"/>
      <c r="H103" s="1701"/>
      <c r="I103" s="1701"/>
      <c r="J103" s="1702"/>
    </row>
    <row r="104" spans="2:10" ht="13.5" thickBot="1" x14ac:dyDescent="0.25">
      <c r="B104" s="1099"/>
      <c r="C104" s="1100"/>
      <c r="D104" s="1101"/>
      <c r="E104" s="1703"/>
      <c r="F104" s="1704"/>
      <c r="G104" s="1704"/>
      <c r="H104" s="1704"/>
      <c r="I104" s="1704"/>
      <c r="J104" s="1705"/>
    </row>
    <row r="105" spans="2:10" ht="13.5" thickTop="1" x14ac:dyDescent="0.2"/>
    <row r="106" spans="2:10" x14ac:dyDescent="0.2">
      <c r="D106" s="836" t="s">
        <v>1182</v>
      </c>
      <c r="E106" s="839">
        <f>+SUMIF(D96:D104,"non consécutifs",C96:C104)</f>
        <v>0</v>
      </c>
      <c r="F106" s="29" t="s">
        <v>1183</v>
      </c>
      <c r="G106" s="840">
        <f>+E87-E106</f>
        <v>5</v>
      </c>
    </row>
    <row r="108" spans="2:10" x14ac:dyDescent="0.2">
      <c r="D108" s="838" t="s">
        <v>1181</v>
      </c>
      <c r="E108" s="839">
        <f>+SUMIF(D96:D104,"consécutifs",C96:C104)</f>
        <v>0</v>
      </c>
      <c r="F108" s="29" t="s">
        <v>1183</v>
      </c>
      <c r="G108" s="840">
        <f>++E89-E108</f>
        <v>14</v>
      </c>
    </row>
    <row r="110" spans="2:10" x14ac:dyDescent="0.2">
      <c r="C110" s="197" t="s">
        <v>1185</v>
      </c>
    </row>
    <row r="112" spans="2:10" x14ac:dyDescent="0.2">
      <c r="D112" s="841" t="s">
        <v>503</v>
      </c>
      <c r="E112" s="1103"/>
    </row>
    <row r="113" spans="2:10" x14ac:dyDescent="0.2">
      <c r="B113" s="835"/>
      <c r="C113" s="835"/>
      <c r="D113" s="836" t="s">
        <v>1392</v>
      </c>
      <c r="E113" s="839">
        <f>+IF(E112="",E87,E112)</f>
        <v>5</v>
      </c>
      <c r="F113" s="16" t="s">
        <v>1177</v>
      </c>
    </row>
    <row r="114" spans="2:10" x14ac:dyDescent="0.2">
      <c r="E114" s="27"/>
    </row>
    <row r="115" spans="2:10" x14ac:dyDescent="0.2">
      <c r="B115" s="837"/>
      <c r="C115" s="837"/>
      <c r="D115" s="838" t="s">
        <v>1393</v>
      </c>
      <c r="E115" s="839">
        <f>+IF(E116="",E89,E116)</f>
        <v>14</v>
      </c>
      <c r="F115" s="16" t="s">
        <v>1177</v>
      </c>
    </row>
    <row r="116" spans="2:10" x14ac:dyDescent="0.2">
      <c r="D116" s="842" t="s">
        <v>503</v>
      </c>
      <c r="E116" s="1102"/>
    </row>
    <row r="118" spans="2:10" x14ac:dyDescent="0.2">
      <c r="C118" s="858"/>
      <c r="D118" s="859" t="s">
        <v>1188</v>
      </c>
      <c r="E118" s="860">
        <f>+G92</f>
        <v>1461</v>
      </c>
      <c r="F118" s="861" t="s">
        <v>460</v>
      </c>
      <c r="G118" s="860">
        <f>+IF(G119="",EDATE(E118,12),G119)</f>
        <v>1827</v>
      </c>
    </row>
    <row r="119" spans="2:10" x14ac:dyDescent="0.2">
      <c r="F119" s="834" t="s">
        <v>503</v>
      </c>
      <c r="G119" s="1104"/>
    </row>
    <row r="120" spans="2:10" ht="13.5" thickBot="1" x14ac:dyDescent="0.25"/>
    <row r="121" spans="2:10" ht="13.5" thickTop="1" x14ac:dyDescent="0.2">
      <c r="B121" s="1238" t="s">
        <v>30</v>
      </c>
      <c r="C121" s="1239" t="s">
        <v>1178</v>
      </c>
      <c r="D121" s="1239" t="s">
        <v>1179</v>
      </c>
      <c r="E121" s="1707" t="s">
        <v>807</v>
      </c>
      <c r="F121" s="1707"/>
      <c r="G121" s="1707"/>
      <c r="H121" s="1707"/>
      <c r="I121" s="1707"/>
      <c r="J121" s="1708"/>
    </row>
    <row r="122" spans="2:10" x14ac:dyDescent="0.2">
      <c r="B122" s="1096"/>
      <c r="C122" s="1097"/>
      <c r="D122" s="1098"/>
      <c r="E122" s="1700"/>
      <c r="F122" s="1701"/>
      <c r="G122" s="1701"/>
      <c r="H122" s="1701"/>
      <c r="I122" s="1701"/>
      <c r="J122" s="1702"/>
    </row>
    <row r="123" spans="2:10" x14ac:dyDescent="0.2">
      <c r="B123" s="1096"/>
      <c r="C123" s="1097"/>
      <c r="D123" s="1098"/>
      <c r="E123" s="1700"/>
      <c r="F123" s="1701"/>
      <c r="G123" s="1701"/>
      <c r="H123" s="1701"/>
      <c r="I123" s="1701"/>
      <c r="J123" s="1702"/>
    </row>
    <row r="124" spans="2:10" x14ac:dyDescent="0.2">
      <c r="B124" s="1096"/>
      <c r="C124" s="1097"/>
      <c r="D124" s="1098"/>
      <c r="E124" s="1700"/>
      <c r="F124" s="1701"/>
      <c r="G124" s="1701"/>
      <c r="H124" s="1701"/>
      <c r="I124" s="1701"/>
      <c r="J124" s="1702"/>
    </row>
    <row r="125" spans="2:10" x14ac:dyDescent="0.2">
      <c r="B125" s="1096"/>
      <c r="C125" s="1097"/>
      <c r="D125" s="1098"/>
      <c r="E125" s="1700"/>
      <c r="F125" s="1701"/>
      <c r="G125" s="1701"/>
      <c r="H125" s="1701"/>
      <c r="I125" s="1701"/>
      <c r="J125" s="1702"/>
    </row>
    <row r="126" spans="2:10" x14ac:dyDescent="0.2">
      <c r="B126" s="1096"/>
      <c r="C126" s="1097"/>
      <c r="D126" s="1098"/>
      <c r="E126" s="1700"/>
      <c r="F126" s="1701"/>
      <c r="G126" s="1701"/>
      <c r="H126" s="1701"/>
      <c r="I126" s="1701"/>
      <c r="J126" s="1702"/>
    </row>
    <row r="127" spans="2:10" x14ac:dyDescent="0.2">
      <c r="B127" s="1096"/>
      <c r="C127" s="1097"/>
      <c r="D127" s="1098"/>
      <c r="E127" s="1700"/>
      <c r="F127" s="1701"/>
      <c r="G127" s="1701"/>
      <c r="H127" s="1701"/>
      <c r="I127" s="1701"/>
      <c r="J127" s="1702"/>
    </row>
    <row r="128" spans="2:10" x14ac:dyDescent="0.2">
      <c r="B128" s="1096"/>
      <c r="C128" s="1097"/>
      <c r="D128" s="1098"/>
      <c r="E128" s="1700"/>
      <c r="F128" s="1701"/>
      <c r="G128" s="1701"/>
      <c r="H128" s="1701"/>
      <c r="I128" s="1701"/>
      <c r="J128" s="1702"/>
    </row>
    <row r="129" spans="2:10" x14ac:dyDescent="0.2">
      <c r="B129" s="1096"/>
      <c r="C129" s="1097"/>
      <c r="D129" s="1098"/>
      <c r="E129" s="1700"/>
      <c r="F129" s="1701"/>
      <c r="G129" s="1701"/>
      <c r="H129" s="1701"/>
      <c r="I129" s="1701"/>
      <c r="J129" s="1702"/>
    </row>
    <row r="130" spans="2:10" ht="13.5" thickBot="1" x14ac:dyDescent="0.25">
      <c r="B130" s="1099"/>
      <c r="C130" s="1100"/>
      <c r="D130" s="1101"/>
      <c r="E130" s="1703"/>
      <c r="F130" s="1704"/>
      <c r="G130" s="1704"/>
      <c r="H130" s="1704"/>
      <c r="I130" s="1704"/>
      <c r="J130" s="1705"/>
    </row>
    <row r="131" spans="2:10" ht="13.5" thickTop="1" x14ac:dyDescent="0.2"/>
    <row r="132" spans="2:10" x14ac:dyDescent="0.2">
      <c r="D132" s="836" t="s">
        <v>1182</v>
      </c>
      <c r="E132" s="839">
        <f>+SUMIF(D122:D130,"non consécutifs",C122:C130)</f>
        <v>0</v>
      </c>
      <c r="F132" s="29" t="s">
        <v>1183</v>
      </c>
      <c r="G132" s="840">
        <f>+E113-E132</f>
        <v>5</v>
      </c>
    </row>
    <row r="134" spans="2:10" x14ac:dyDescent="0.2">
      <c r="D134" s="838" t="s">
        <v>1181</v>
      </c>
      <c r="E134" s="839">
        <f>+SUMIF(D122:D130,"consécutifs",C122:C130)</f>
        <v>0</v>
      </c>
      <c r="F134" s="29" t="s">
        <v>1183</v>
      </c>
      <c r="G134" s="840">
        <f>++E115-E134</f>
        <v>14</v>
      </c>
    </row>
  </sheetData>
  <sheetProtection algorithmName="SHA-512" hashValue="pxjpMM54m9hJ0mY36bQVwTpqK0CpIfHooitALL9Q1pMenlnO5vz/bmiKgDXLf6refB9M8JT8YcSAktI0zyOeWw==" saltValue="hOFATt5gdX9H9lkKPBw7Yg==" spinCount="100000" sheet="1" objects="1" scenarios="1" formatCells="0" formatColumns="0" formatRows="0" insertColumns="0" insertRows="0" insertHyperlinks="0" sort="0" autoFilter="0" pivotTables="0"/>
  <mergeCells count="53">
    <mergeCell ref="E129:J129"/>
    <mergeCell ref="E130:J130"/>
    <mergeCell ref="E123:J123"/>
    <mergeCell ref="E124:J124"/>
    <mergeCell ref="E125:J125"/>
    <mergeCell ref="E126:J126"/>
    <mergeCell ref="E127:J127"/>
    <mergeCell ref="E128:J128"/>
    <mergeCell ref="E122:J122"/>
    <mergeCell ref="E95:J95"/>
    <mergeCell ref="E96:J96"/>
    <mergeCell ref="E97:J97"/>
    <mergeCell ref="E98:J98"/>
    <mergeCell ref="E99:J99"/>
    <mergeCell ref="E100:J100"/>
    <mergeCell ref="E101:J101"/>
    <mergeCell ref="E102:J102"/>
    <mergeCell ref="E103:J103"/>
    <mergeCell ref="E104:J104"/>
    <mergeCell ref="E121:J121"/>
    <mergeCell ref="E78:J78"/>
    <mergeCell ref="E51:J51"/>
    <mergeCell ref="E52:J52"/>
    <mergeCell ref="E69:J69"/>
    <mergeCell ref="E70:J70"/>
    <mergeCell ref="E71:J71"/>
    <mergeCell ref="E72:J72"/>
    <mergeCell ref="E73:J73"/>
    <mergeCell ref="E74:J74"/>
    <mergeCell ref="E75:J75"/>
    <mergeCell ref="E76:J76"/>
    <mergeCell ref="E77:J77"/>
    <mergeCell ref="E45:J45"/>
    <mergeCell ref="E46:J46"/>
    <mergeCell ref="E47:J47"/>
    <mergeCell ref="E48:J48"/>
    <mergeCell ref="E49:J49"/>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s>
  <conditionalFormatting sqref="B18:J26">
    <cfRule type="cellIs" dxfId="664" priority="5" operator="greaterThan">
      <formula>0</formula>
    </cfRule>
  </conditionalFormatting>
  <conditionalFormatting sqref="B44:J52">
    <cfRule type="cellIs" dxfId="663" priority="4" operator="greaterThan">
      <formula>0</formula>
    </cfRule>
  </conditionalFormatting>
  <conditionalFormatting sqref="B70:J78">
    <cfRule type="cellIs" dxfId="662" priority="3" operator="greaterThan">
      <formula>0</formula>
    </cfRule>
  </conditionalFormatting>
  <conditionalFormatting sqref="B96:J104">
    <cfRule type="cellIs" dxfId="661" priority="2" operator="greaterThan">
      <formula>0</formula>
    </cfRule>
  </conditionalFormatting>
  <conditionalFormatting sqref="B122:J130">
    <cfRule type="cellIs" dxfId="660" priority="1" operator="greaterThan">
      <formula>0</formula>
    </cfRule>
  </conditionalFormatting>
  <conditionalFormatting sqref="E9">
    <cfRule type="cellIs" dxfId="659" priority="7" operator="greaterThan">
      <formula>0</formula>
    </cfRule>
  </conditionalFormatting>
  <conditionalFormatting sqref="E11">
    <cfRule type="cellIs" dxfId="658" priority="6" operator="greaterThan">
      <formula>0</formula>
    </cfRule>
  </conditionalFormatting>
  <conditionalFormatting sqref="E34">
    <cfRule type="notContainsBlanks" dxfId="657" priority="18">
      <formula>LEN(TRIM(E34))&gt;0</formula>
    </cfRule>
  </conditionalFormatting>
  <conditionalFormatting sqref="E60">
    <cfRule type="notContainsBlanks" dxfId="656" priority="15">
      <formula>LEN(TRIM(E60))&gt;0</formula>
    </cfRule>
  </conditionalFormatting>
  <conditionalFormatting sqref="E86">
    <cfRule type="notContainsBlanks" dxfId="655" priority="12">
      <formula>LEN(TRIM(E86))&gt;0</formula>
    </cfRule>
  </conditionalFormatting>
  <conditionalFormatting sqref="E112">
    <cfRule type="notContainsBlanks" dxfId="654" priority="9">
      <formula>LEN(TRIM(E112))&gt;0</formula>
    </cfRule>
  </conditionalFormatting>
  <conditionalFormatting sqref="G15">
    <cfRule type="notContainsBlanks" dxfId="653" priority="20">
      <formula>LEN(TRIM(G15))&gt;0</formula>
    </cfRule>
  </conditionalFormatting>
  <conditionalFormatting sqref="G41">
    <cfRule type="notContainsBlanks" dxfId="652" priority="19">
      <formula>LEN(TRIM(G41))&gt;0</formula>
    </cfRule>
  </conditionalFormatting>
  <conditionalFormatting sqref="G67">
    <cfRule type="notContainsBlanks" dxfId="651" priority="16">
      <formula>LEN(TRIM(G67))&gt;0</formula>
    </cfRule>
  </conditionalFormatting>
  <conditionalFormatting sqref="G93">
    <cfRule type="notContainsBlanks" dxfId="650" priority="13">
      <formula>LEN(TRIM(G93))&gt;0</formula>
    </cfRule>
  </conditionalFormatting>
  <conditionalFormatting sqref="G119">
    <cfRule type="notContainsBlanks" dxfId="649" priority="10">
      <formula>LEN(TRIM(G119))&gt;0</formula>
    </cfRule>
  </conditionalFormatting>
  <dataValidations count="3">
    <dataValidation type="list" allowBlank="1" showInputMessage="1" showErrorMessage="1" sqref="B18:B26 B96:B104 B44:B52 B70:B78 B122:B130" xr:uid="{00000000-0002-0000-1400-000000000000}">
      <formula1>"Janvier,Février,Mars,Avril,Mai,Juin,Juillet,Aout,Septembre,Octobre,Novembre,Décembre"</formula1>
    </dataValidation>
    <dataValidation type="list" allowBlank="1" showInputMessage="1" showErrorMessage="1" sqref="D18:D26 D96:D104 D44:D52 D70:D78 D122:D130" xr:uid="{00000000-0002-0000-1400-000001000000}">
      <formula1>"non consécutifs,consécutifs"</formula1>
    </dataValidation>
    <dataValidation type="list" allowBlank="1" showInputMessage="1" showErrorMessage="1" sqref="E11 E38 E64 E90 E116" xr:uid="{00000000-0002-0000-1400-000002000000}">
      <formula1>"0,14"</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59"/>
  <sheetViews>
    <sheetView showGridLines="0" zoomScale="90" zoomScaleNormal="90" workbookViewId="0">
      <selection activeCell="A14" sqref="A14"/>
    </sheetView>
  </sheetViews>
  <sheetFormatPr baseColWidth="10" defaultColWidth="11.42578125" defaultRowHeight="12.75" x14ac:dyDescent="0.2"/>
  <cols>
    <col min="1" max="1" width="60" style="16" customWidth="1"/>
    <col min="2" max="2" width="22.7109375" style="16" customWidth="1"/>
    <col min="3" max="16384" width="11.42578125" style="16"/>
  </cols>
  <sheetData>
    <row r="1" spans="1:2" ht="18" x14ac:dyDescent="0.25">
      <c r="A1" s="139" t="s">
        <v>489</v>
      </c>
      <c r="B1" s="140"/>
    </row>
    <row r="2" spans="1:2" x14ac:dyDescent="0.2">
      <c r="A2" s="129"/>
    </row>
    <row r="3" spans="1:2" x14ac:dyDescent="0.2">
      <c r="A3" s="129" t="str">
        <f>+"ENFANT : "&amp;Identification!B25</f>
        <v>ENFANT : 0</v>
      </c>
    </row>
    <row r="5" spans="1:2" ht="22.5" customHeight="1" x14ac:dyDescent="0.2">
      <c r="A5" s="141" t="s">
        <v>458</v>
      </c>
      <c r="B5" s="1526" t="s">
        <v>98</v>
      </c>
    </row>
    <row r="6" spans="1:2" x14ac:dyDescent="0.2">
      <c r="A6" s="129"/>
    </row>
    <row r="7" spans="1:2" ht="15.75" x14ac:dyDescent="0.25">
      <c r="A7" s="1006" t="str">
        <f>+"Période du "&amp;TEXT(HLOOKUP($B$5,base_pajemploi,29,FALSE),"JJ/MM/AaaA")&amp;" au "&amp;TEXT(HLOOKUP($B$5,base_pajemploi,30,FALSE),"JJ/MM/AaaA")</f>
        <v>Période du 01/01/2025 au 31/01/2025</v>
      </c>
    </row>
    <row r="8" spans="1:2" x14ac:dyDescent="0.2">
      <c r="A8" s="129"/>
    </row>
    <row r="9" spans="1:2" x14ac:dyDescent="0.2">
      <c r="A9" s="129" t="s">
        <v>488</v>
      </c>
      <c r="B9" s="142">
        <f>+HLOOKUP($B$5,base_pajemploi,18,FALSE)</f>
        <v>45688</v>
      </c>
    </row>
    <row r="10" spans="1:2" x14ac:dyDescent="0.2">
      <c r="A10" s="129"/>
    </row>
    <row r="11" spans="1:2" x14ac:dyDescent="0.2">
      <c r="A11" s="129" t="s">
        <v>61</v>
      </c>
      <c r="B11" s="143">
        <f>+HLOOKUP($B$5,base_pajemploi,2,FALSE)</f>
        <v>0</v>
      </c>
    </row>
    <row r="12" spans="1:2" x14ac:dyDescent="0.2">
      <c r="A12" s="1377" t="str">
        <f>+HLOOKUP($B$5,base_pajemploi,26,FALSE)</f>
        <v>(Détail du calcul : ( 0 + 0 + 0 - 0 - 0 + 0 +  + 0 + 0 + 0 ) / 0 € )</v>
      </c>
      <c r="B12" s="129"/>
    </row>
    <row r="13" spans="1:2" x14ac:dyDescent="0.2">
      <c r="A13" s="129"/>
      <c r="B13" s="129"/>
    </row>
    <row r="14" spans="1:2" x14ac:dyDescent="0.2">
      <c r="A14" s="129" t="s">
        <v>62</v>
      </c>
      <c r="B14" s="129">
        <f>+HLOOKUP($B$5,base_pajemploi,3,FALSE)</f>
        <v>0</v>
      </c>
    </row>
    <row r="15" spans="1:2" ht="51.75" customHeight="1" x14ac:dyDescent="0.2">
      <c r="A15" s="1377" t="str">
        <f>+HLOOKUP($B$5,base_pajemploi,27,FALSE)</f>
        <v>Détail : Nbre jours d'activité = jrs activités mensualisés (0 jrs) + jrs rajoutés (régul…) (0 jrs) - jrs déduits (0 jrs * (0 hrs / 0 hrs) + 0 jrs)</v>
      </c>
      <c r="B15" s="129"/>
    </row>
    <row r="16" spans="1:2" x14ac:dyDescent="0.2">
      <c r="A16" s="129"/>
      <c r="B16" s="129"/>
    </row>
    <row r="17" spans="1:2" x14ac:dyDescent="0.2">
      <c r="A17" s="129" t="s">
        <v>71</v>
      </c>
      <c r="B17" s="129">
        <f>+HLOOKUP($B$5,base_pajemploi,4,FALSE)</f>
        <v>0</v>
      </c>
    </row>
    <row r="18" spans="1:2" x14ac:dyDescent="0.2">
      <c r="A18" s="129"/>
      <c r="B18" s="129"/>
    </row>
    <row r="19" spans="1:2" x14ac:dyDescent="0.2">
      <c r="A19" s="129" t="s">
        <v>1600</v>
      </c>
      <c r="B19" s="206" t="e">
        <f ca="1">+IF(OR(B23&gt;0,B25&gt;0),"OUI","NON")</f>
        <v>#DIV/0!</v>
      </c>
    </row>
    <row r="20" spans="1:2" x14ac:dyDescent="0.2">
      <c r="A20" s="129"/>
      <c r="B20" s="129"/>
    </row>
    <row r="21" spans="1:2" x14ac:dyDescent="0.2">
      <c r="A21" s="129" t="str">
        <f>+IF(Identification!B125="Net","Sal horaire net d'une heure normale :",IF(Identification!B125="Brut","Sal horaire brut d'une heure normale :","Erreur"))</f>
        <v>Sal horaire net d'une heure normale :</v>
      </c>
      <c r="B21" s="144">
        <f>+HLOOKUP($B$5,base_pajemploi,5,FALSE)</f>
        <v>0</v>
      </c>
    </row>
    <row r="22" spans="1:2" x14ac:dyDescent="0.2">
      <c r="A22" s="129"/>
      <c r="B22" s="129"/>
    </row>
    <row r="23" spans="1:2" x14ac:dyDescent="0.2">
      <c r="A23" s="129" t="s">
        <v>78</v>
      </c>
      <c r="B23" s="129" t="e">
        <f ca="1">+HLOOKUP($B$5,base_pajemploi,6,FALSE)</f>
        <v>#DIV/0!</v>
      </c>
    </row>
    <row r="24" spans="1:2" x14ac:dyDescent="0.2">
      <c r="A24" s="129"/>
      <c r="B24" s="129"/>
    </row>
    <row r="25" spans="1:2" x14ac:dyDescent="0.2">
      <c r="A25" s="129" t="s">
        <v>80</v>
      </c>
      <c r="B25" s="129">
        <f>+HLOOKUP($B$5,base_pajemploi,7,FALSE)</f>
        <v>0</v>
      </c>
    </row>
    <row r="26" spans="1:2" x14ac:dyDescent="0.2">
      <c r="A26" s="129"/>
      <c r="B26" s="129"/>
    </row>
    <row r="27" spans="1:2" x14ac:dyDescent="0.2">
      <c r="A27" s="872" t="str">
        <f>+IF(Identification!B125="Net","Salaire net total (hors indemnités) à déclarer :",IF(Identification!B125="Brut","Salaire brut total (hors indemnités) à déclarer :","Erreur"))</f>
        <v>Salaire net total (hors indemnités) à déclarer :</v>
      </c>
      <c r="B27" s="1038">
        <f ca="1">+HLOOKUP($B$5,base_pajemploi,8,FALSE)</f>
        <v>0</v>
      </c>
    </row>
    <row r="28" spans="1:2" x14ac:dyDescent="0.2">
      <c r="A28" s="129"/>
      <c r="B28" s="129"/>
    </row>
    <row r="29" spans="1:2" x14ac:dyDescent="0.2">
      <c r="A29" s="129" t="s">
        <v>85</v>
      </c>
      <c r="B29" s="144">
        <f>+HLOOKUP($B$5,base_pajemploi,9,FALSE)</f>
        <v>0</v>
      </c>
    </row>
    <row r="30" spans="1:2" x14ac:dyDescent="0.2">
      <c r="A30" s="129"/>
      <c r="B30" s="129"/>
    </row>
    <row r="31" spans="1:2" x14ac:dyDescent="0.2">
      <c r="A31" s="129" t="s">
        <v>87</v>
      </c>
      <c r="B31" s="144">
        <f>+HLOOKUP($B$5,base_pajemploi,10,FALSE)</f>
        <v>0</v>
      </c>
    </row>
    <row r="32" spans="1:2" x14ac:dyDescent="0.2">
      <c r="A32" s="129"/>
      <c r="B32" s="129"/>
    </row>
    <row r="33" spans="1:2" x14ac:dyDescent="0.2">
      <c r="A33" s="129" t="s">
        <v>88</v>
      </c>
      <c r="B33" s="144">
        <f>+HLOOKUP($B$5,base_pajemploi,11,FALSE)</f>
        <v>0</v>
      </c>
    </row>
    <row r="34" spans="1:2" x14ac:dyDescent="0.2">
      <c r="A34" s="129"/>
      <c r="B34" s="144"/>
    </row>
    <row r="35" spans="1:2" x14ac:dyDescent="0.2">
      <c r="A35" s="129" t="s">
        <v>1603</v>
      </c>
      <c r="B35" s="1503" t="str">
        <f>+HLOOKUP($B$5,base_pajemploi,28,FALSE)</f>
        <v>NON</v>
      </c>
    </row>
    <row r="36" spans="1:2" x14ac:dyDescent="0.2">
      <c r="A36" s="129"/>
      <c r="B36" s="144"/>
    </row>
    <row r="37" spans="1:2" x14ac:dyDescent="0.2">
      <c r="A37" s="129" t="s">
        <v>475</v>
      </c>
      <c r="B37" s="144">
        <f>+HLOOKUP($B$5,base_pajemploi,12,FALSE)</f>
        <v>0</v>
      </c>
    </row>
    <row r="38" spans="1:2" x14ac:dyDescent="0.2">
      <c r="A38" s="129"/>
      <c r="B38" s="144"/>
    </row>
    <row r="39" spans="1:2" x14ac:dyDescent="0.2">
      <c r="A39" s="129" t="s">
        <v>476</v>
      </c>
      <c r="B39" s="144">
        <f>+HLOOKUP($B$5,base_pajemploi,13,FALSE)</f>
        <v>0</v>
      </c>
    </row>
    <row r="40" spans="1:2" x14ac:dyDescent="0.2">
      <c r="A40" s="129"/>
      <c r="B40" s="144"/>
    </row>
    <row r="41" spans="1:2" x14ac:dyDescent="0.2">
      <c r="A41" s="129" t="s">
        <v>477</v>
      </c>
      <c r="B41" s="144">
        <f>+HLOOKUP($B$5,base_pajemploi,14,FALSE)</f>
        <v>0</v>
      </c>
    </row>
    <row r="42" spans="1:2" x14ac:dyDescent="0.2">
      <c r="A42" s="129"/>
      <c r="B42" s="144"/>
    </row>
    <row r="43" spans="1:2" x14ac:dyDescent="0.2">
      <c r="A43" s="129" t="s">
        <v>89</v>
      </c>
      <c r="B43" s="144">
        <f>+HLOOKUP($B$5,base_pajemploi,15,FALSE)</f>
        <v>0</v>
      </c>
    </row>
    <row r="45" spans="1:2" x14ac:dyDescent="0.2">
      <c r="A45" s="198" t="s">
        <v>478</v>
      </c>
      <c r="B45" s="1037">
        <f>+HLOOKUP($B$5,base_pajemploi,16,FALSE)</f>
        <v>0</v>
      </c>
    </row>
    <row r="47" spans="1:2" ht="15.75" x14ac:dyDescent="0.25">
      <c r="A47" s="16" t="s">
        <v>479</v>
      </c>
      <c r="B47" s="145" t="str">
        <f ca="1">+HLOOKUP($B$5,base_pajemploi,17,FALSE)</f>
        <v>OUI</v>
      </c>
    </row>
    <row r="48" spans="1:2" x14ac:dyDescent="0.2">
      <c r="A48" s="16" t="s">
        <v>480</v>
      </c>
    </row>
    <row r="49" spans="1:2" ht="13.5" thickBot="1" x14ac:dyDescent="0.25"/>
    <row r="50" spans="1:2" ht="13.5" thickTop="1" x14ac:dyDescent="0.2">
      <c r="A50" s="1039"/>
      <c r="B50" s="1039"/>
    </row>
    <row r="51" spans="1:2" ht="18" x14ac:dyDescent="0.25">
      <c r="A51" s="139" t="s">
        <v>1330</v>
      </c>
    </row>
    <row r="53" spans="1:2" x14ac:dyDescent="0.2">
      <c r="A53" s="16" t="s">
        <v>1341</v>
      </c>
      <c r="B53" s="144">
        <f ca="1">+HLOOKUP($B$5,base_pajemploi,19,FALSE)</f>
        <v>0</v>
      </c>
    </row>
    <row r="55" spans="1:2" x14ac:dyDescent="0.2">
      <c r="A55" s="16" t="s">
        <v>1331</v>
      </c>
      <c r="B55" s="144">
        <f ca="1">+HLOOKUP($B$5,base_pajemploi,20,FALSE)</f>
        <v>0</v>
      </c>
    </row>
    <row r="57" spans="1:2" x14ac:dyDescent="0.2">
      <c r="A57" s="16" t="s">
        <v>1332</v>
      </c>
      <c r="B57" s="144">
        <f ca="1">+HLOOKUP($B$5,base_pajemploi,21,FALSE)</f>
        <v>0</v>
      </c>
    </row>
    <row r="59" spans="1:2" x14ac:dyDescent="0.2">
      <c r="A59" s="19" t="s">
        <v>1346</v>
      </c>
      <c r="B59" s="1227">
        <f ca="1">+HLOOKUP($B$5,base_pajemploi,22,FALSE)</f>
        <v>0</v>
      </c>
    </row>
  </sheetData>
  <sheetProtection algorithmName="SHA-512" hashValue="Oc7oSVqm8BTcuAVXaT6Y9+FLrZiIqlwU0wgz2zhaPY2Qs1VBVqvGK9aj6IDv97GA6M45zaFp2IoelUh+vInH/g==" saltValue="euLSWfsaK5IA8InTek7m5w==" spinCount="100000" sheet="1" objects="1" scenarios="1" formatCells="0" formatColumns="0" formatRows="0" insertColumns="0" insertRows="0" insertHyperlinks="0" sort="0" autoFilter="0" pivotTables="0"/>
  <conditionalFormatting sqref="A21:B25">
    <cfRule type="expression" dxfId="648" priority="2">
      <formula>$B$19="NON"</formula>
    </cfRule>
  </conditionalFormatting>
  <conditionalFormatting sqref="A37:B43">
    <cfRule type="expression" dxfId="647" priority="1">
      <formula>$B$35="NON"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9" fitToWidth="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95" hidden="1" customWidth="1"/>
    <col min="56" max="56" width="12.140625" style="395" customWidth="1"/>
    <col min="57" max="57" width="10.7109375" style="395" customWidth="1"/>
    <col min="58" max="59" width="11.42578125" style="395" hidden="1" customWidth="1"/>
    <col min="60" max="60" width="0.140625" style="395"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53" t="s">
        <v>806</v>
      </c>
      <c r="C1" s="453"/>
      <c r="D1" s="453"/>
      <c r="BS1" s="19" t="s">
        <v>1552</v>
      </c>
      <c r="EK1" s="16" t="str">
        <f>+EG11</f>
        <v>numero sem</v>
      </c>
      <c r="EL1" s="27" t="s">
        <v>1546</v>
      </c>
      <c r="EM1" s="27" t="s">
        <v>1547</v>
      </c>
      <c r="EN1" s="16" t="s">
        <v>1548</v>
      </c>
    </row>
    <row r="2" spans="1:145" ht="13.5" thickBot="1" x14ac:dyDescent="0.25">
      <c r="AR2" s="1713" t="s">
        <v>1003</v>
      </c>
      <c r="AS2" s="1714"/>
      <c r="AT2" s="1715"/>
      <c r="BT2" s="29" t="s">
        <v>1555</v>
      </c>
      <c r="BU2" s="27" t="str">
        <f>+IFERROR(EJ2,"")</f>
        <v>1</v>
      </c>
      <c r="BV2" s="53" t="str">
        <f>IF(BU2="","",+EN2)</f>
        <v>non</v>
      </c>
      <c r="BW2" s="1711" t="str">
        <f>+IF(BV2="oui", "Ecart "&amp;EO2&amp;" hrs","")</f>
        <v/>
      </c>
      <c r="BX2" s="1711"/>
      <c r="EJ2" s="16" t="str">
        <f>LEFT(EK2,LEN(EK2)-4)</f>
        <v>1</v>
      </c>
      <c r="EK2" s="16" t="str">
        <f t="array" ref="EK2">IFERROR(INDEX(EG12:EG42,MATCH(0,INDEX(COUNTIF(EK1:EK1,EG12:EG42),0,0),0)),"")</f>
        <v>12025</v>
      </c>
      <c r="EL2" s="27">
        <f>+SUMIFS($EE$12:$EE$537,$EG$12:$EG$537,EK2)</f>
        <v>0</v>
      </c>
      <c r="EM2" s="27">
        <f>+SUMIFS($EI$12:$EI$537,$EG$12:$EG$537,EK2)</f>
        <v>0</v>
      </c>
      <c r="EN2" s="16" t="str">
        <f t="shared" ref="EN2:EN7" si="0">+IF(AND(EL2&lt;&gt;EM2,EK2&lt;&gt;""),"oui","non")</f>
        <v>non</v>
      </c>
      <c r="EO2" s="16">
        <f>+EL2-EM2</f>
        <v>0</v>
      </c>
    </row>
    <row r="3" spans="1:145" ht="13.5" thickTop="1" x14ac:dyDescent="0.2">
      <c r="C3" s="39" t="s">
        <v>805</v>
      </c>
      <c r="D3" s="1710">
        <f>+Identification!B7</f>
        <v>0</v>
      </c>
      <c r="E3" s="1710"/>
      <c r="F3" s="1710"/>
      <c r="G3" s="1710"/>
      <c r="O3" s="454" t="s">
        <v>84</v>
      </c>
      <c r="P3" s="32"/>
      <c r="Q3" s="33"/>
      <c r="R3" s="454" t="s">
        <v>149</v>
      </c>
      <c r="S3" s="32"/>
      <c r="T3" s="32"/>
      <c r="U3" s="32"/>
      <c r="V3" s="32"/>
      <c r="W3" s="32"/>
      <c r="X3" s="33"/>
      <c r="AR3" s="1716"/>
      <c r="AS3" s="1717"/>
      <c r="AT3" s="1718"/>
      <c r="BU3" s="27" t="str">
        <f t="shared" ref="BU3:BU7" si="1">+IFERROR(EJ3,"")</f>
        <v>2</v>
      </c>
      <c r="BV3" s="53" t="str">
        <f t="shared" ref="BV3:BV7" si="2">IF(BU3="","",+EN3)</f>
        <v>non</v>
      </c>
      <c r="BW3" s="1711" t="str">
        <f t="shared" ref="BW3:BW7" si="3">+IF(BV3="oui", "Ecart "&amp;EO3&amp;" hrs","")</f>
        <v/>
      </c>
      <c r="BX3" s="1711"/>
      <c r="EJ3" s="16" t="str">
        <f t="shared" ref="EJ3:EJ8" si="4">LEFT(EK3,LEN(EK3)-4)</f>
        <v>2</v>
      </c>
      <c r="EK3" s="16" t="str" cm="1">
        <f t="array" ref="EK3">IFERROR(INDEX(EG12:EG42,MATCH(0,INDEX(COUNTIF(EK1:EK2,EG12:EG42),0,0),0)),"")</f>
        <v>22025</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21"/>
      <c r="S4" s="1722"/>
      <c r="T4" s="1722"/>
      <c r="U4" s="1722"/>
      <c r="V4" s="1722"/>
      <c r="W4" s="1722"/>
      <c r="X4" s="1723"/>
      <c r="Y4" s="460"/>
      <c r="Z4" s="460"/>
      <c r="AA4" s="460"/>
      <c r="AB4" s="460"/>
      <c r="AC4" s="460"/>
      <c r="AD4" s="460"/>
      <c r="AE4" s="460"/>
      <c r="AF4" s="460"/>
      <c r="AG4" s="460"/>
      <c r="AR4" s="1716"/>
      <c r="AS4" s="1717"/>
      <c r="AT4" s="1718"/>
      <c r="BU4" s="27" t="str">
        <f t="shared" si="1"/>
        <v>3</v>
      </c>
      <c r="BV4" s="53" t="str">
        <f t="shared" si="2"/>
        <v>non</v>
      </c>
      <c r="BW4" s="1711" t="str">
        <f t="shared" si="3"/>
        <v/>
      </c>
      <c r="BX4" s="1711"/>
      <c r="EJ4" s="16" t="str">
        <f t="shared" si="4"/>
        <v>3</v>
      </c>
      <c r="EK4" s="16" t="str">
        <f t="array" ref="EK4">IFERROR(INDEX(EG12:EG42,MATCH(0,INDEX(COUNTIF(EK1:EK3,EG12:EG42),0,0),0)),"")</f>
        <v>32025</v>
      </c>
      <c r="EL4" s="27">
        <f t="shared" si="5"/>
        <v>0</v>
      </c>
      <c r="EM4" s="27">
        <f t="shared" si="6"/>
        <v>0</v>
      </c>
      <c r="EN4" s="16" t="str">
        <f t="shared" si="0"/>
        <v>non</v>
      </c>
      <c r="EO4" s="16">
        <f t="shared" si="7"/>
        <v>0</v>
      </c>
    </row>
    <row r="5" spans="1:145" x14ac:dyDescent="0.2">
      <c r="C5" s="39" t="s">
        <v>29</v>
      </c>
      <c r="D5" s="1710">
        <f>+Identification!B25</f>
        <v>0</v>
      </c>
      <c r="E5" s="1710"/>
      <c r="O5" s="35"/>
      <c r="Q5" s="36"/>
      <c r="R5" s="1721"/>
      <c r="S5" s="1722"/>
      <c r="T5" s="1722"/>
      <c r="U5" s="1722"/>
      <c r="V5" s="1722"/>
      <c r="W5" s="1722"/>
      <c r="X5" s="1723"/>
      <c r="Y5" s="460"/>
      <c r="Z5" s="460"/>
      <c r="AA5" s="460"/>
      <c r="AB5" s="460"/>
      <c r="AC5" s="460"/>
      <c r="AD5" s="460"/>
      <c r="AE5" s="460"/>
      <c r="AF5" s="460"/>
      <c r="AG5" s="460"/>
      <c r="AL5" s="16" t="str">
        <f t="shared" ref="AL5:AN5" si="8">C8</f>
        <v>Mois :</v>
      </c>
      <c r="AM5" s="1712">
        <f t="shared" si="8"/>
        <v>45658</v>
      </c>
      <c r="AN5" s="1712">
        <f t="shared" si="8"/>
        <v>0</v>
      </c>
      <c r="AR5" s="557" t="str">
        <f>+AT5</f>
        <v>NON</v>
      </c>
      <c r="AS5" s="556" t="s">
        <v>503</v>
      </c>
      <c r="AT5" s="1105" t="s">
        <v>146</v>
      </c>
      <c r="BU5" s="27" t="str">
        <f t="shared" si="1"/>
        <v>4</v>
      </c>
      <c r="BV5" s="53" t="str">
        <f t="shared" si="2"/>
        <v>non</v>
      </c>
      <c r="BW5" s="1711" t="str">
        <f t="shared" si="3"/>
        <v/>
      </c>
      <c r="BX5" s="1711"/>
      <c r="EJ5" s="16" t="str">
        <f t="shared" si="4"/>
        <v>4</v>
      </c>
      <c r="EK5" s="16" t="str">
        <f t="array" ref="EK5">IFERROR(INDEX(EG12:EG42,MATCH(0,INDEX(COUNTIF(EK1:EK4,EG12:EG42),0,0),0)),"")</f>
        <v>42025</v>
      </c>
      <c r="EL5" s="27">
        <f t="shared" si="5"/>
        <v>0</v>
      </c>
      <c r="EM5" s="27">
        <f t="shared" si="6"/>
        <v>0</v>
      </c>
      <c r="EN5" s="16" t="str">
        <f t="shared" si="0"/>
        <v>non</v>
      </c>
      <c r="EO5" s="16">
        <f t="shared" si="7"/>
        <v>0</v>
      </c>
    </row>
    <row r="6" spans="1:145" ht="13.5" thickBot="1" x14ac:dyDescent="0.25">
      <c r="O6" s="42"/>
      <c r="P6" s="43"/>
      <c r="Q6" s="44"/>
      <c r="R6" s="1724"/>
      <c r="S6" s="1725"/>
      <c r="T6" s="1725"/>
      <c r="U6" s="1725"/>
      <c r="V6" s="1725"/>
      <c r="W6" s="1725"/>
      <c r="X6" s="1726"/>
      <c r="Y6" s="460"/>
      <c r="Z6" s="460"/>
      <c r="AA6" s="460"/>
      <c r="AB6" s="460"/>
      <c r="AC6" s="460"/>
      <c r="AD6" s="460"/>
      <c r="AE6" s="460"/>
      <c r="AF6" s="460"/>
      <c r="AG6" s="460"/>
      <c r="BJ6" s="16" t="str">
        <f t="shared" ref="BJ6:BK6" si="9">AL5</f>
        <v>Mois :</v>
      </c>
      <c r="BK6" s="1712">
        <f t="shared" si="9"/>
        <v>45658</v>
      </c>
      <c r="BL6" s="1712"/>
      <c r="BU6" s="27" t="str">
        <f t="shared" si="1"/>
        <v>5</v>
      </c>
      <c r="BV6" s="53" t="str">
        <f t="shared" si="2"/>
        <v>non</v>
      </c>
      <c r="BW6" s="1711" t="str">
        <f t="shared" si="3"/>
        <v/>
      </c>
      <c r="BX6" s="1711"/>
      <c r="EJ6" s="16" t="str">
        <f t="shared" si="4"/>
        <v>5</v>
      </c>
      <c r="EK6" s="16" t="str">
        <f t="array" ref="EK6">IFERROR(INDEX(EG12:EG42,MATCH(0,INDEX(COUNTIF(EK1:EK5,EG12:EG42),0,0),0)),"")</f>
        <v>52025</v>
      </c>
      <c r="EL6" s="27">
        <f t="shared" si="5"/>
        <v>0</v>
      </c>
      <c r="EM6" s="27">
        <f t="shared" si="6"/>
        <v>0</v>
      </c>
      <c r="EN6" s="16" t="str">
        <f t="shared" si="0"/>
        <v>non</v>
      </c>
      <c r="EO6" s="16">
        <f t="shared" si="7"/>
        <v>0</v>
      </c>
    </row>
    <row r="7" spans="1:145" ht="13.5" thickTop="1" x14ac:dyDescent="0.2">
      <c r="AI7" s="553" t="s">
        <v>1000</v>
      </c>
      <c r="BU7" s="27" t="str">
        <f t="shared" si="1"/>
        <v/>
      </c>
      <c r="BV7" s="53" t="str">
        <f t="shared" si="2"/>
        <v/>
      </c>
      <c r="BW7" s="1711" t="str">
        <f t="shared" si="3"/>
        <v/>
      </c>
      <c r="BX7" s="1711"/>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32</v>
      </c>
      <c r="D8" s="1712">
        <f>+Janvier!X3</f>
        <v>45658</v>
      </c>
      <c r="E8" s="1712"/>
      <c r="F8" s="39" t="s">
        <v>12</v>
      </c>
      <c r="G8" s="63">
        <f>+Janvier!X4</f>
        <v>2025</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20" t="s">
        <v>974</v>
      </c>
      <c r="AM9" s="1720"/>
      <c r="AN9" s="1720"/>
      <c r="AO9" s="1720"/>
      <c r="AP9" s="1720"/>
      <c r="AQ9" s="510"/>
      <c r="AT9" s="1719" t="s">
        <v>761</v>
      </c>
      <c r="AU9" s="1719"/>
      <c r="AV9" s="1719"/>
      <c r="AW9" s="63"/>
      <c r="AX9" s="63"/>
      <c r="AY9" s="535" t="s">
        <v>989</v>
      </c>
      <c r="AZ9" s="536"/>
      <c r="BA9" s="536"/>
      <c r="BB9" s="536"/>
      <c r="BC9" s="537"/>
      <c r="BD9" s="537"/>
      <c r="BE9" s="537"/>
      <c r="BF9" s="530"/>
      <c r="BG9" s="530"/>
      <c r="BJ9" s="455"/>
      <c r="BK9" s="455"/>
      <c r="BL9" s="455"/>
      <c r="BM9" s="455"/>
      <c r="BN9" s="455"/>
      <c r="BO9" s="455"/>
      <c r="BP9" s="455"/>
      <c r="BQ9" s="455"/>
      <c r="BU9" s="456"/>
      <c r="BV9" s="456"/>
      <c r="BW9" s="456"/>
      <c r="BX9" s="456"/>
      <c r="BY9" s="456"/>
      <c r="BZ9" s="456"/>
      <c r="CA9" s="456"/>
      <c r="CB9" s="456"/>
      <c r="EL9" s="27"/>
    </row>
    <row r="10" spans="1:145" ht="15" customHeight="1" x14ac:dyDescent="0.2">
      <c r="D10" s="457" t="s">
        <v>803</v>
      </c>
      <c r="E10" s="456"/>
      <c r="F10" s="456"/>
      <c r="G10" s="456"/>
      <c r="H10" s="456"/>
      <c r="I10" s="456"/>
      <c r="J10" s="456"/>
      <c r="K10" s="456"/>
      <c r="L10" s="456"/>
      <c r="M10" s="456"/>
      <c r="O10" s="458" t="s">
        <v>802</v>
      </c>
      <c r="P10" s="455"/>
      <c r="Q10" s="455"/>
      <c r="R10" s="455"/>
      <c r="S10" s="455"/>
      <c r="T10" s="455"/>
      <c r="U10" s="455"/>
      <c r="V10" s="455"/>
      <c r="W10" s="455"/>
      <c r="X10" s="455"/>
      <c r="BJ10" s="1109" t="s">
        <v>804</v>
      </c>
      <c r="BK10" s="1110"/>
      <c r="BL10" s="1110"/>
      <c r="BM10" s="1110"/>
      <c r="BN10" s="1110"/>
      <c r="BO10" s="1110"/>
      <c r="BP10" s="1110"/>
      <c r="BQ10" s="1110"/>
      <c r="BU10" s="1109" t="s">
        <v>1394</v>
      </c>
      <c r="BV10" s="1110"/>
      <c r="BW10" s="1110"/>
      <c r="BX10" s="1110"/>
      <c r="BY10" s="1110"/>
      <c r="BZ10" s="1110"/>
      <c r="CA10" s="1110"/>
      <c r="CB10" s="1110"/>
      <c r="DG10" s="333" t="s">
        <v>1349</v>
      </c>
      <c r="DH10" s="129"/>
      <c r="DI10" s="129"/>
      <c r="DK10" s="129" t="s">
        <v>1354</v>
      </c>
      <c r="DN10" s="16" t="s">
        <v>1357</v>
      </c>
      <c r="DV10" s="843" t="s">
        <v>1549</v>
      </c>
      <c r="DW10" s="843"/>
      <c r="DX10" s="843"/>
      <c r="DY10" s="843"/>
      <c r="DZ10" s="843"/>
      <c r="EA10" s="843"/>
      <c r="EB10" s="843"/>
      <c r="EC10" s="843"/>
      <c r="ED10" s="843"/>
      <c r="EE10" s="843"/>
    </row>
    <row r="11" spans="1:145" ht="56.25" customHeight="1" x14ac:dyDescent="0.2">
      <c r="A11" s="24" t="s">
        <v>801</v>
      </c>
      <c r="B11" s="450" t="s">
        <v>16</v>
      </c>
      <c r="C11" s="451" t="s">
        <v>1553</v>
      </c>
      <c r="D11" s="450" t="s">
        <v>228</v>
      </c>
      <c r="E11" s="450" t="s">
        <v>229</v>
      </c>
      <c r="F11" s="450" t="s">
        <v>230</v>
      </c>
      <c r="G11" s="450" t="s">
        <v>231</v>
      </c>
      <c r="H11" s="450" t="s">
        <v>533</v>
      </c>
      <c r="I11" s="450" t="s">
        <v>534</v>
      </c>
      <c r="J11" s="450" t="s">
        <v>535</v>
      </c>
      <c r="K11" s="450" t="s">
        <v>536</v>
      </c>
      <c r="L11" s="450" t="s">
        <v>191</v>
      </c>
      <c r="M11" s="450" t="s">
        <v>192</v>
      </c>
      <c r="N11" s="451"/>
      <c r="O11" s="450" t="s">
        <v>228</v>
      </c>
      <c r="P11" s="450" t="s">
        <v>229</v>
      </c>
      <c r="Q11" s="450" t="s">
        <v>230</v>
      </c>
      <c r="R11" s="450" t="s">
        <v>231</v>
      </c>
      <c r="S11" s="450" t="s">
        <v>533</v>
      </c>
      <c r="T11" s="450" t="s">
        <v>534</v>
      </c>
      <c r="U11" s="450" t="s">
        <v>535</v>
      </c>
      <c r="V11" s="450" t="s">
        <v>536</v>
      </c>
      <c r="W11" s="450" t="s">
        <v>191</v>
      </c>
      <c r="X11" s="450" t="s">
        <v>192</v>
      </c>
      <c r="Y11" s="451"/>
      <c r="Z11" s="450" t="s">
        <v>808</v>
      </c>
      <c r="AA11" s="450" t="s">
        <v>809</v>
      </c>
      <c r="AB11" s="450" t="s">
        <v>810</v>
      </c>
      <c r="AC11" s="450" t="s">
        <v>811</v>
      </c>
      <c r="AD11" s="450" t="s">
        <v>812</v>
      </c>
      <c r="AE11" s="450" t="s">
        <v>813</v>
      </c>
      <c r="AF11" s="450" t="s">
        <v>814</v>
      </c>
      <c r="AG11" s="450" t="s">
        <v>815</v>
      </c>
      <c r="AI11" s="450" t="s">
        <v>816</v>
      </c>
      <c r="AJ11" s="450" t="s">
        <v>807</v>
      </c>
      <c r="AK11" s="451"/>
      <c r="AL11" s="513" t="s">
        <v>16</v>
      </c>
      <c r="AM11" s="548" t="s">
        <v>1017</v>
      </c>
      <c r="AN11" s="1106" t="s">
        <v>972</v>
      </c>
      <c r="AO11" s="1107" t="s">
        <v>973</v>
      </c>
      <c r="AP11" s="514" t="s">
        <v>1018</v>
      </c>
      <c r="AQ11" s="511"/>
      <c r="AR11" s="1108" t="s">
        <v>696</v>
      </c>
      <c r="AT11" s="1108" t="s">
        <v>1356</v>
      </c>
      <c r="AU11" s="1107" t="s">
        <v>1019</v>
      </c>
      <c r="AV11" s="450" t="s">
        <v>16</v>
      </c>
      <c r="AW11" s="451"/>
      <c r="AX11" s="451"/>
      <c r="AY11" s="547" t="s">
        <v>986</v>
      </c>
      <c r="AZ11" s="548" t="s">
        <v>992</v>
      </c>
      <c r="BA11" s="531" t="s">
        <v>990</v>
      </c>
      <c r="BB11" s="568" t="s">
        <v>991</v>
      </c>
      <c r="BC11" s="569" t="s">
        <v>1021</v>
      </c>
      <c r="BD11" s="568" t="s">
        <v>993</v>
      </c>
      <c r="BE11" s="570" t="s">
        <v>1020</v>
      </c>
      <c r="BF11" s="531" t="s">
        <v>994</v>
      </c>
      <c r="BG11" s="531" t="s">
        <v>999</v>
      </c>
      <c r="BI11" s="24" t="s">
        <v>1027</v>
      </c>
      <c r="BJ11" s="450" t="s">
        <v>228</v>
      </c>
      <c r="BK11" s="450" t="s">
        <v>229</v>
      </c>
      <c r="BL11" s="450" t="s">
        <v>230</v>
      </c>
      <c r="BM11" s="450" t="s">
        <v>231</v>
      </c>
      <c r="BN11" s="450" t="s">
        <v>533</v>
      </c>
      <c r="BO11" s="450" t="s">
        <v>534</v>
      </c>
      <c r="BP11" s="450" t="s">
        <v>535</v>
      </c>
      <c r="BQ11" s="450" t="s">
        <v>536</v>
      </c>
      <c r="BS11" s="450" t="str">
        <f t="shared" ref="BS11:BS42" si="10">AV11</f>
        <v>Jours</v>
      </c>
      <c r="BU11" s="450" t="s">
        <v>228</v>
      </c>
      <c r="BV11" s="450" t="s">
        <v>229</v>
      </c>
      <c r="BW11" s="450" t="s">
        <v>230</v>
      </c>
      <c r="BX11" s="450" t="s">
        <v>231</v>
      </c>
      <c r="BY11" s="450" t="s">
        <v>533</v>
      </c>
      <c r="BZ11" s="450" t="s">
        <v>534</v>
      </c>
      <c r="CA11" s="450" t="s">
        <v>535</v>
      </c>
      <c r="CB11" s="450" t="s">
        <v>536</v>
      </c>
      <c r="CD11" s="1383" t="s">
        <v>1554</v>
      </c>
      <c r="CS11" s="506"/>
      <c r="CT11" s="506"/>
      <c r="CU11" s="506"/>
      <c r="CV11" s="506"/>
      <c r="DG11" s="333" t="s">
        <v>1350</v>
      </c>
      <c r="DH11" s="129" t="s">
        <v>1351</v>
      </c>
      <c r="DI11" s="129" t="s">
        <v>1353</v>
      </c>
      <c r="DK11" s="129" t="s">
        <v>1355</v>
      </c>
      <c r="DU11" s="1383" t="s">
        <v>247</v>
      </c>
      <c r="DV11" s="1383" t="s">
        <v>228</v>
      </c>
      <c r="DW11" s="1383" t="s">
        <v>229</v>
      </c>
      <c r="DX11" s="1383" t="s">
        <v>230</v>
      </c>
      <c r="DY11" s="1383" t="s">
        <v>231</v>
      </c>
      <c r="DZ11" s="1383" t="s">
        <v>533</v>
      </c>
      <c r="EA11" s="1383" t="s">
        <v>534</v>
      </c>
      <c r="EB11" s="1383" t="s">
        <v>535</v>
      </c>
      <c r="EC11" s="1383" t="s">
        <v>536</v>
      </c>
      <c r="ED11" s="1383" t="s">
        <v>191</v>
      </c>
      <c r="EE11" s="1383" t="s">
        <v>192</v>
      </c>
      <c r="EG11" s="1383" t="s">
        <v>1244</v>
      </c>
      <c r="EH11" s="1383" t="s">
        <v>1550</v>
      </c>
      <c r="EI11" s="1383" t="s">
        <v>1551</v>
      </c>
      <c r="EJ11" s="451"/>
      <c r="EK11" s="451"/>
    </row>
    <row r="12" spans="1:145" x14ac:dyDescent="0.2">
      <c r="A12" s="24" t="str">
        <f>Janvier!BJ20</f>
        <v>Fiche infoA3</v>
      </c>
      <c r="B12" s="828">
        <f>Janvier!AB20</f>
        <v>45658</v>
      </c>
      <c r="C12" s="1393">
        <f>IFERROR(WEEKNUM(B12,21),"")</f>
        <v>1</v>
      </c>
      <c r="D12" s="998">
        <f t="shared" ref="D12:D42" si="11">IF(AR12&lt;&gt;"",0,IF(DN12=10,0,IFERROR(+IF(BU12="",VLOOKUP(A12,base_horaire,2,FALSE),BU12),0)))</f>
        <v>0</v>
      </c>
      <c r="E12" s="999">
        <f t="shared" ref="E12:E42" si="12">IF(AR12&lt;&gt;"",0,IF(DN12=10,0,IFERROR(+IF(BV12="",VLOOKUP(A12,base_horaire,3,FALSE),BV12),0)))</f>
        <v>0</v>
      </c>
      <c r="F12" s="999">
        <f t="shared" ref="F12:F42" si="13">IF(AR12&lt;&gt;"",0,IF(DN12=10,0,IFERROR(+IF(BW12="",VLOOKUP(A12,base_horaire,4,FALSE),BW12),0)))</f>
        <v>0</v>
      </c>
      <c r="G12" s="999">
        <f t="shared" ref="G12:G42" si="14">IF(AR12&lt;&gt;"",0,IF(DN12=10,0,IFERROR(+IF(BX12="",VLOOKUP(A12,base_horaire,5,FALSE),BX12),0)))</f>
        <v>0</v>
      </c>
      <c r="H12" s="999">
        <f t="shared" ref="H12:H42" si="15">IF(AR12&lt;&gt;"",0,IF(DN12=10,0,IFERROR(+IF(BY12="",VLOOKUP(A12,base_horaire,6,FALSE),BY12),0)))</f>
        <v>0</v>
      </c>
      <c r="I12" s="999">
        <f t="shared" ref="I12:I42" si="16">IF(AR12&lt;&gt;"",0,IF(DN12=10,0,IFERROR(+IF(BZ12="",VLOOKUP(A12,base_horaire,7,FALSE),BZ12),0)))</f>
        <v>0</v>
      </c>
      <c r="J12" s="999">
        <f t="shared" ref="J12:J42" si="17">IF(AR12&lt;&gt;"",0,IF(DN12=10,0,IFERROR(+IF(CA12="",VLOOKUP(A12,base_horaire,8,FALSE),CA12),0)))</f>
        <v>0</v>
      </c>
      <c r="K12" s="999">
        <f t="shared" ref="K12:K42" si="18">IF(AR12&lt;&gt;"",0,IF(DN12=10,0,IFERROR(+IF(CB12="",VLOOKUP(A12,base_horaire,9,FALSE),CB12),0)))</f>
        <v>0</v>
      </c>
      <c r="L12" s="999">
        <f>+E12-D12+G12-F12+I12-H12+K12-J12</f>
        <v>0</v>
      </c>
      <c r="M12" s="1000">
        <f>ROUND(+L12*24,2)</f>
        <v>0</v>
      </c>
      <c r="O12" s="998">
        <f t="shared" ref="O12:O19" si="19">IF(AR12&lt;&gt;"",0,IF(DC12="oui",0,IF(AND(ISTEXT(AT12)=TRUE,BJ12=""),0,IF(BJ12="",D12,BJ12))))</f>
        <v>0</v>
      </c>
      <c r="P12" s="999">
        <f t="shared" ref="P12:P19" si="20">IF(AR12&lt;&gt;"",0,IF(DC12="oui",0,IF(AND(ISTEXT(AT12)=TRUE,BK12=""),0,IF(BK12="",E12,BK12))))</f>
        <v>0</v>
      </c>
      <c r="Q12" s="999">
        <f t="shared" ref="Q12:Q19" si="21">IF(AR12&lt;&gt;"",0,IF(DC12="oui",0,IF(AND(ISTEXT(AT12)=TRUE,BL12=""),0,IF(BL12="",F12,BL12))))</f>
        <v>0</v>
      </c>
      <c r="R12" s="999">
        <f t="shared" ref="R12:R19" si="22">IF(AR12&lt;&gt;"",0,IF(DC12="oui",0,IF(AND(ISTEXT(AT12)=TRUE,BM12=""),0,IF(BM12="",G12,BM12))))</f>
        <v>0</v>
      </c>
      <c r="S12" s="999">
        <f t="shared" ref="S12:S19" si="23">IF(AR12&lt;&gt;"",0,IF(DC12="oui",0,IF(AND(ISTEXT(AT12)=TRUE,BN12=""),0,IF(BN12="",H12,BN12))))</f>
        <v>0</v>
      </c>
      <c r="T12" s="999">
        <f t="shared" ref="T12:T19" si="24">IF(AR12&lt;&gt;"",0,IF(DC12="oui",0,IF(AND(ISTEXT(AT12)=TRUE,BO12=""),0,IF(BO12="",I12,BO12))))</f>
        <v>0</v>
      </c>
      <c r="U12" s="999">
        <f t="shared" ref="U12:U19" si="25">IF(AR12&lt;&gt;"",0,IF(DC12="oui",0,IF(AND(ISTEXT(AT12)=TRUE,BP12=""),0,IF(BP12="",J12,BP12))))</f>
        <v>0</v>
      </c>
      <c r="V12" s="999">
        <f t="shared" ref="V12:V19" si="26">IF(AR12&lt;&gt;"",0,IF(DC12="oui",0,IF(AND(ISTEXT(AT12)=TRUE,BQ12=""),0,IF(BQ12="",K12,BQ12))))</f>
        <v>0</v>
      </c>
      <c r="W12" s="999">
        <f t="shared" ref="W12:W42" si="27">+P12-O12+R12-Q12+T12-S12+V12-U12</f>
        <v>0</v>
      </c>
      <c r="X12" s="1000">
        <f t="shared" ref="X12:X42" si="28">ROUND(+W12*24,2)</f>
        <v>0</v>
      </c>
      <c r="Y12" s="459"/>
      <c r="Z12" s="291">
        <f t="shared" ref="Z12:Z42" si="29">+IF(AND(O12&gt;D12,D12&gt;0),D12,O12)</f>
        <v>0</v>
      </c>
      <c r="AA12" s="291">
        <f t="shared" ref="AA12:AA42" si="30">+IF(P12&gt;E12,P12,E12)</f>
        <v>0</v>
      </c>
      <c r="AB12" s="291">
        <f t="shared" ref="AB12:AB42" si="31">+IF(AND(Q12&gt;F12,F12&gt;0),F12,Q12)</f>
        <v>0</v>
      </c>
      <c r="AC12" s="291">
        <f t="shared" ref="AC12:AC42" si="32">+IF(R12&gt;G12,R12,G12)</f>
        <v>0</v>
      </c>
      <c r="AD12" s="291">
        <f t="shared" ref="AD12:AD42" si="33">+IF(AND(S12&gt;H12,H12&gt;0),H12,S12)</f>
        <v>0</v>
      </c>
      <c r="AE12" s="291">
        <f t="shared" ref="AE12:AE42" si="34">+IF(T12&gt;I12,T12,I12)</f>
        <v>0</v>
      </c>
      <c r="AF12" s="291">
        <f t="shared" ref="AF12:AF42" si="35">+IF(AND(U12&gt;J12,J12&gt;0),J12,U12)</f>
        <v>0</v>
      </c>
      <c r="AG12" s="291">
        <f t="shared" ref="AG12:AG42" si="36">+IF(V12&gt;K12,V12,K12)</f>
        <v>0</v>
      </c>
      <c r="AI12" s="461">
        <f t="shared" ref="AI12:AI19" si="37">IF(DC12="oui",0,IF(AND(ISTEXT(AT12)=TRUE,OR(X12=0,X12="")),0,ROUND(((((AA12-Z12)-(E12-D12))+((AC12-AB12)-(G12-F12))+((AE12-AD12)-(I12-H12))+(AG12-AF12)-(K12-J12))*24),2)))</f>
        <v>0</v>
      </c>
      <c r="AJ12" s="1111"/>
      <c r="AK12" s="507"/>
      <c r="AL12" s="828">
        <f t="shared" ref="AL12:AL42" si="38">B12</f>
        <v>45658</v>
      </c>
      <c r="AM12" s="515">
        <f>IFERROR(IF(AND(AT12="",AR12&lt;&gt;S.CAL!$BJ$3,AR12&lt;&gt;S.CAL!$BJ$4,$AR$5="NON"),M12-BD12,IF(AND(AT12="",AR12&lt;&gt;S.CAL!$BJ$3,AR12&lt;&gt;S.CAL!$BJ$4,$AR$5="OUI"),X12-AI12,IF(AT12&lt;&gt;0,AT12,IF(OR(AR12=S.CAL!$BJ$3,AR12=S.CAL!$BJ$4),AR12,"")))),"")</f>
        <v>0</v>
      </c>
      <c r="AN12" s="1113"/>
      <c r="AO12" s="1114"/>
      <c r="AP12" s="515">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516">
        <f>AI12-SUM(AN12:AO12)</f>
        <v>0</v>
      </c>
      <c r="AR12" s="1119"/>
      <c r="AT12" s="1122"/>
      <c r="AU12" s="995"/>
      <c r="AV12" s="1391">
        <f t="shared" ref="AV12:AV42" si="39">B12</f>
        <v>45658</v>
      </c>
      <c r="AX12" s="529">
        <f>+AV12</f>
        <v>45658</v>
      </c>
      <c r="AY12" s="546">
        <f t="shared" ref="AY12:AY14" si="40">+IF(M12-X12&lt;0,0,M12-X12)</f>
        <v>0</v>
      </c>
      <c r="AZ12" s="549" t="s">
        <v>146</v>
      </c>
      <c r="BA12" s="550">
        <f t="shared" ref="BA12:BA14" si="41">+IF(AZ12="OUI",AY12,0)</f>
        <v>0</v>
      </c>
      <c r="BB12" s="551" t="str">
        <f t="shared" ref="BB12:BB42" si="42">IF(AND(BE12="",+IFERROR(VLOOKUP(AT12,Liste_motif_formule,5,FALSE),0)="OUI"),"OUI",IF(AND(BE12="",IFERROR(VLOOKUP(AT12,Liste_motif_formule,5,FALSE),0)="NON"),"NON",IF(AND(BE12="",IFERROR(M12-AT12&gt;=0,0),AT12&lt;&gt;""),"OUI",IF(AND(BE12="",DC12="oui"),"OUI",IF(BE12&lt;&gt;"",BE12,"")))))</f>
        <v/>
      </c>
      <c r="BC12" s="546">
        <f>+IF(BB12="OUI",IFERROR(M12-AT12,M12),0)</f>
        <v>0</v>
      </c>
      <c r="BD12" s="546">
        <f>+BC12+BA12</f>
        <v>0</v>
      </c>
      <c r="BE12" s="1125"/>
      <c r="BF12" s="532" t="str">
        <f t="shared" ref="BF12:BF42" si="43">+IF(AND(AZ12="OUI",BB12="OUI"),"ERREUR","")</f>
        <v/>
      </c>
      <c r="BG12" s="532" t="str">
        <f>+IF(AND(M12=0,AT12=""),"oui","non")</f>
        <v>oui</v>
      </c>
      <c r="BH12" s="395" t="str">
        <f t="shared" ref="BH12:BH42" si="44">IFERROR(+VLOOKUP(AT12,Liste_motif_formule,4,FALSE),"")</f>
        <v/>
      </c>
      <c r="BI12" s="24" t="str">
        <f t="shared" ref="BI12:BI42" si="45">IFERROR(+VLOOKUP(AT12,Liste_motif_formule,5,FALSE),"")</f>
        <v/>
      </c>
      <c r="BJ12" s="1403"/>
      <c r="BK12" s="1403"/>
      <c r="BL12" s="1403"/>
      <c r="BM12" s="1403"/>
      <c r="BN12" s="1403"/>
      <c r="BO12" s="1403"/>
      <c r="BP12" s="1403"/>
      <c r="BQ12" s="1403"/>
      <c r="BS12" s="1391">
        <f t="shared" si="10"/>
        <v>45658</v>
      </c>
      <c r="BT12" s="27">
        <f>IFERROR(WEEKNUM(BS12,21),"")</f>
        <v>1</v>
      </c>
      <c r="BU12" s="1401"/>
      <c r="BV12" s="1401"/>
      <c r="BW12" s="1401"/>
      <c r="BX12" s="1401"/>
      <c r="BY12" s="1401"/>
      <c r="BZ12" s="1401"/>
      <c r="CA12" s="1401"/>
      <c r="CB12" s="1401"/>
      <c r="CD12" s="1407">
        <f>+M12</f>
        <v>0</v>
      </c>
      <c r="DC12" s="16" t="str">
        <f>Janvier!FC20</f>
        <v>non</v>
      </c>
      <c r="DG12" s="333">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96" t="str">
        <f>+A12&amp;B12</f>
        <v>Fiche infoA345658</v>
      </c>
      <c r="DV12" s="1384">
        <f t="shared" ref="DV12:DV42" si="48">+IFERROR(+IF(BU12="",VLOOKUP(A12,base_horaire,2,FALSE),BU12),0)</f>
        <v>0</v>
      </c>
      <c r="DW12" s="1385">
        <f t="shared" ref="DW12:DW42" si="49">+IFERROR(+IF(BV12="",VLOOKUP(A12,base_horaire,3,FALSE),BV12),0)</f>
        <v>0</v>
      </c>
      <c r="DX12" s="1385">
        <f t="shared" ref="DX12:DX42" si="50">+IFERROR(+IF(BW12="",VLOOKUP(A12,base_horaire,4,FALSE),BW12),0)</f>
        <v>0</v>
      </c>
      <c r="DY12" s="1385">
        <f t="shared" ref="DY12:DY42" si="51">+IFERROR(+IF(BX12="",VLOOKUP(A12,base_horaire,5,FALSE),BX12),0)</f>
        <v>0</v>
      </c>
      <c r="DZ12" s="1385">
        <f t="shared" ref="DZ12:DZ42" si="52">+IFERROR(+IF(BY12="",VLOOKUP(A12,base_horaire,6,FALSE),BY12),0)</f>
        <v>0</v>
      </c>
      <c r="EA12" s="1385">
        <f t="shared" ref="EA12:EA42" si="53">IFERROR(+IF(BZ12="",VLOOKUP(A12,base_horaire,7,FALSE),BZ12),0)</f>
        <v>0</v>
      </c>
      <c r="EB12" s="1385">
        <f t="shared" ref="EB12:EB42" si="54">IFERROR(+IF(CA12="",VLOOKUP(A12,base_horaire,8,FALSE),CA12),0)</f>
        <v>0</v>
      </c>
      <c r="EC12" s="1385">
        <f t="shared" ref="EC12:EC42" si="55">IFERROR(+IF(CB12="",VLOOKUP(A12,base_horaire,9,FALSE),CB12),0)</f>
        <v>0</v>
      </c>
      <c r="ED12" s="1385">
        <f>+DW12-DV12+DY12-DX12+EA12-DZ12+EC12-EB12</f>
        <v>0</v>
      </c>
      <c r="EE12" s="1386">
        <f>ROUND(+ED12*24,2)</f>
        <v>0</v>
      </c>
      <c r="EG12" s="16" t="str">
        <f>IF(+WEEKNUM(B12,21)=52,WEEKNUM(B12,21)&amp;YEAR(B12)-1,IF(+WEEKNUM(B12,21)=53,WEEKNUM(B12,21)&amp;YEAR(B12)-1,WEEKNUM(B12,21)&amp;YEAR(B12)))</f>
        <v>12025</v>
      </c>
      <c r="EH12" s="16" t="str">
        <f t="shared" ref="EH12:EH42" si="56">+A12</f>
        <v>Fiche infoA3</v>
      </c>
      <c r="EI12" s="16" t="str">
        <f t="shared" ref="EI12:EI42" si="57">+VLOOKUP(EH12,Base_heures,6,FALSE)</f>
        <v/>
      </c>
    </row>
    <row r="13" spans="1:145" x14ac:dyDescent="0.2">
      <c r="A13" s="1395" t="str">
        <f>Janvier!BJ21</f>
        <v>Fiche infoA4</v>
      </c>
      <c r="B13" s="829">
        <f>Janvier!AB21</f>
        <v>45659</v>
      </c>
      <c r="C13" s="1394" t="str">
        <f>IFERROR(IF(WEEKDAY(B13,11)=1,WEEKNUM(B13,21),""),"")</f>
        <v/>
      </c>
      <c r="D13" s="1001">
        <f t="shared" si="11"/>
        <v>0</v>
      </c>
      <c r="E13" s="452">
        <f t="shared" si="12"/>
        <v>0</v>
      </c>
      <c r="F13" s="452">
        <f t="shared" si="13"/>
        <v>0</v>
      </c>
      <c r="G13" s="452">
        <f t="shared" si="14"/>
        <v>0</v>
      </c>
      <c r="H13" s="452">
        <f t="shared" si="15"/>
        <v>0</v>
      </c>
      <c r="I13" s="452">
        <f t="shared" si="16"/>
        <v>0</v>
      </c>
      <c r="J13" s="452">
        <f t="shared" si="17"/>
        <v>0</v>
      </c>
      <c r="K13" s="452">
        <f t="shared" si="18"/>
        <v>0</v>
      </c>
      <c r="L13" s="452">
        <f t="shared" ref="L13:L42" si="58">+E13-D13+G13-F13+I13-H13+K13-J13</f>
        <v>0</v>
      </c>
      <c r="M13" s="1002">
        <f t="shared" ref="M13:M42" si="59">ROUND(+L13*24,2)</f>
        <v>0</v>
      </c>
      <c r="N13" s="1396"/>
      <c r="O13" s="1001">
        <f t="shared" si="19"/>
        <v>0</v>
      </c>
      <c r="P13" s="452">
        <f t="shared" si="20"/>
        <v>0</v>
      </c>
      <c r="Q13" s="452">
        <f t="shared" si="21"/>
        <v>0</v>
      </c>
      <c r="R13" s="452">
        <f t="shared" si="22"/>
        <v>0</v>
      </c>
      <c r="S13" s="452">
        <f t="shared" si="23"/>
        <v>0</v>
      </c>
      <c r="T13" s="452">
        <f t="shared" si="24"/>
        <v>0</v>
      </c>
      <c r="U13" s="452">
        <f t="shared" si="25"/>
        <v>0</v>
      </c>
      <c r="V13" s="452">
        <f t="shared" si="26"/>
        <v>0</v>
      </c>
      <c r="W13" s="452">
        <f t="shared" si="27"/>
        <v>0</v>
      </c>
      <c r="X13" s="1002">
        <f t="shared" si="28"/>
        <v>0</v>
      </c>
      <c r="Y13" s="1397"/>
      <c r="Z13" s="1398">
        <f t="shared" si="29"/>
        <v>0</v>
      </c>
      <c r="AA13" s="1398">
        <f t="shared" si="30"/>
        <v>0</v>
      </c>
      <c r="AB13" s="1398">
        <f t="shared" si="31"/>
        <v>0</v>
      </c>
      <c r="AC13" s="1398">
        <f t="shared" si="32"/>
        <v>0</v>
      </c>
      <c r="AD13" s="1398">
        <f t="shared" si="33"/>
        <v>0</v>
      </c>
      <c r="AE13" s="1398">
        <f t="shared" si="34"/>
        <v>0</v>
      </c>
      <c r="AF13" s="1398">
        <f t="shared" si="35"/>
        <v>0</v>
      </c>
      <c r="AG13" s="1398">
        <f t="shared" si="36"/>
        <v>0</v>
      </c>
      <c r="AH13" s="1396"/>
      <c r="AI13" s="462">
        <f t="shared" si="37"/>
        <v>0</v>
      </c>
      <c r="AJ13" s="1112"/>
      <c r="AK13" s="1399"/>
      <c r="AL13" s="829">
        <f t="shared" si="38"/>
        <v>45659</v>
      </c>
      <c r="AM13" s="684">
        <f>IFERROR(IF(AND(AT13="",AR13&lt;&gt;S.CAL!$BJ$3,AR13&lt;&gt;S.CAL!$BJ$4,$AR$5="NON"),M13-BD13,IF(AND(AT13="",AR13&lt;&gt;S.CAL!$BJ$3,AR13&lt;&gt;S.CAL!$BJ$4,$AR$5="OUI"),X13-AI13,IF(AT13&lt;&gt;0,AT13,IF(OR(AR13=S.CAL!$BJ$3,AR13=S.CAL!$BJ$4),AR13,"")))),"")</f>
        <v>0</v>
      </c>
      <c r="AN13" s="1115"/>
      <c r="AO13" s="1116"/>
      <c r="AP13" s="684">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400">
        <f t="shared" ref="AQ13:AQ42" si="60">AI13-SUM(AN13:AO13)</f>
        <v>0</v>
      </c>
      <c r="AR13" s="1120"/>
      <c r="AS13" s="1396"/>
      <c r="AT13" s="1123"/>
      <c r="AU13" s="995"/>
      <c r="AV13" s="1392">
        <f t="shared" si="39"/>
        <v>45659</v>
      </c>
      <c r="AW13" s="1396"/>
      <c r="AX13" s="529">
        <f t="shared" ref="AX13:AX42" si="61">+AV13</f>
        <v>45659</v>
      </c>
      <c r="AY13" s="541">
        <f t="shared" si="40"/>
        <v>0</v>
      </c>
      <c r="AZ13" s="538" t="s">
        <v>146</v>
      </c>
      <c r="BA13" s="534">
        <f t="shared" si="41"/>
        <v>0</v>
      </c>
      <c r="BB13" s="567" t="str">
        <f t="shared" si="42"/>
        <v/>
      </c>
      <c r="BC13" s="541">
        <f t="shared" ref="BC13:BC42" si="62">+IF(BB13="OUI",IFERROR(M13-AT13,M13),0)</f>
        <v>0</v>
      </c>
      <c r="BD13" s="541">
        <f t="shared" ref="BD13:BD42" si="63">+BC13+BA13</f>
        <v>0</v>
      </c>
      <c r="BE13" s="1126"/>
      <c r="BF13" s="532" t="str">
        <f t="shared" si="43"/>
        <v/>
      </c>
      <c r="BG13" s="532" t="str">
        <f t="shared" ref="BG13:BG42" si="64">+IF(AND(M13=0,AT13=""),"oui","non")</f>
        <v>oui</v>
      </c>
      <c r="BH13" s="395" t="str">
        <f t="shared" si="44"/>
        <v/>
      </c>
      <c r="BI13" s="24" t="str">
        <f t="shared" si="45"/>
        <v/>
      </c>
      <c r="BJ13" s="1404"/>
      <c r="BK13" s="1404"/>
      <c r="BL13" s="1404"/>
      <c r="BM13" s="1404"/>
      <c r="BN13" s="1404"/>
      <c r="BO13" s="1404"/>
      <c r="BP13" s="1404"/>
      <c r="BQ13" s="1404"/>
      <c r="BR13" s="1405"/>
      <c r="BS13" s="1392">
        <f t="shared" si="10"/>
        <v>45659</v>
      </c>
      <c r="BT13" s="1406" t="str">
        <f>IFERROR(IF(WEEKDAY(BS13,11)=1,WEEKNUM(BS13,21),""),"")</f>
        <v/>
      </c>
      <c r="BU13" s="1404"/>
      <c r="BV13" s="1404"/>
      <c r="BW13" s="1404"/>
      <c r="BX13" s="1404"/>
      <c r="BY13" s="1404"/>
      <c r="BZ13" s="1404"/>
      <c r="CA13" s="1404"/>
      <c r="CB13" s="1404"/>
      <c r="CD13" s="1408">
        <f t="shared" ref="CD13:CD42" si="65">+M13</f>
        <v>0</v>
      </c>
      <c r="DC13" s="16" t="str">
        <f>Janvier!FC21</f>
        <v>non</v>
      </c>
      <c r="DG13" s="333">
        <f t="shared" ref="DG13:DG42" si="66">IF(OR(AT13=0,AT13=""),1,10)</f>
        <v>1</v>
      </c>
      <c r="DH13" s="129">
        <f t="shared" si="46"/>
        <v>10</v>
      </c>
      <c r="DI13" s="129">
        <f t="shared" ref="DI13:DI42" si="67">+IF(OR(DG13=1,DH13=1),1,10)</f>
        <v>1</v>
      </c>
      <c r="DK13" s="16">
        <f>+IF(AND(Janvier!$DP$8&lt;&gt;52,AR13=S.CAL!$BJ$4),10,1)</f>
        <v>1</v>
      </c>
      <c r="DN13" s="16">
        <f t="shared" si="47"/>
        <v>1</v>
      </c>
      <c r="DU13" s="1296" t="str">
        <f t="shared" ref="DU13:DU42" si="68">+A13&amp;B13</f>
        <v>Fiche infoA445659</v>
      </c>
      <c r="DV13" s="1384">
        <f t="shared" si="48"/>
        <v>0</v>
      </c>
      <c r="DW13" s="1385">
        <f t="shared" si="49"/>
        <v>0</v>
      </c>
      <c r="DX13" s="1385">
        <f t="shared" si="50"/>
        <v>0</v>
      </c>
      <c r="DY13" s="1385">
        <f t="shared" si="51"/>
        <v>0</v>
      </c>
      <c r="DZ13" s="1385">
        <f t="shared" si="52"/>
        <v>0</v>
      </c>
      <c r="EA13" s="1385">
        <f t="shared" si="53"/>
        <v>0</v>
      </c>
      <c r="EB13" s="1385">
        <f t="shared" si="54"/>
        <v>0</v>
      </c>
      <c r="EC13" s="1385">
        <f t="shared" si="55"/>
        <v>0</v>
      </c>
      <c r="ED13" s="1385">
        <f t="shared" ref="ED13:ED42" si="69">+DW13-DV13+DY13-DX13+EA13-DZ13+EC13-EB13</f>
        <v>0</v>
      </c>
      <c r="EE13" s="1386">
        <f t="shared" ref="EE13:EE42" si="70">ROUND(+ED13*24,2)</f>
        <v>0</v>
      </c>
      <c r="EG13" s="16" t="str">
        <f t="shared" ref="EG13:EG42" si="71">IF(+WEEKNUM(B13,21)=52,WEEKNUM(B13,21)&amp;YEAR(B13)-1,IF(+WEEKNUM(B13,21)=53,WEEKNUM(B13,21)&amp;YEAR(B13)-1,WEEKNUM(B13,21)&amp;YEAR(B13)))</f>
        <v>12025</v>
      </c>
      <c r="EH13" s="16" t="str">
        <f t="shared" si="56"/>
        <v>Fiche infoA4</v>
      </c>
      <c r="EI13" s="16" t="str">
        <f t="shared" si="57"/>
        <v/>
      </c>
    </row>
    <row r="14" spans="1:145" x14ac:dyDescent="0.2">
      <c r="A14" s="24" t="str">
        <f>Janvier!BJ22</f>
        <v>Fiche infoA5</v>
      </c>
      <c r="B14" s="829">
        <f>Janvier!AB22</f>
        <v>45660</v>
      </c>
      <c r="C14" s="1393" t="str">
        <f t="shared" ref="C14:C42" si="72">IFERROR(IF(WEEKDAY(B14,11)=1,WEEKNUM(B14,21),""),"")</f>
        <v/>
      </c>
      <c r="D14" s="1001">
        <f t="shared" si="11"/>
        <v>0</v>
      </c>
      <c r="E14" s="452">
        <f t="shared" si="12"/>
        <v>0</v>
      </c>
      <c r="F14" s="452">
        <f t="shared" si="13"/>
        <v>0</v>
      </c>
      <c r="G14" s="452">
        <f t="shared" si="14"/>
        <v>0</v>
      </c>
      <c r="H14" s="452">
        <f t="shared" si="15"/>
        <v>0</v>
      </c>
      <c r="I14" s="452">
        <f t="shared" si="16"/>
        <v>0</v>
      </c>
      <c r="J14" s="452">
        <f t="shared" si="17"/>
        <v>0</v>
      </c>
      <c r="K14" s="452">
        <f t="shared" si="18"/>
        <v>0</v>
      </c>
      <c r="L14" s="452">
        <f t="shared" si="58"/>
        <v>0</v>
      </c>
      <c r="M14" s="1002">
        <f t="shared" si="59"/>
        <v>0</v>
      </c>
      <c r="O14" s="1001">
        <f t="shared" si="19"/>
        <v>0</v>
      </c>
      <c r="P14" s="452">
        <f t="shared" si="20"/>
        <v>0</v>
      </c>
      <c r="Q14" s="452">
        <f t="shared" si="21"/>
        <v>0</v>
      </c>
      <c r="R14" s="452">
        <f t="shared" si="22"/>
        <v>0</v>
      </c>
      <c r="S14" s="452">
        <f t="shared" si="23"/>
        <v>0</v>
      </c>
      <c r="T14" s="452">
        <f t="shared" si="24"/>
        <v>0</v>
      </c>
      <c r="U14" s="452">
        <f t="shared" si="25"/>
        <v>0</v>
      </c>
      <c r="V14" s="452">
        <f t="shared" si="26"/>
        <v>0</v>
      </c>
      <c r="W14" s="452">
        <f t="shared" si="27"/>
        <v>0</v>
      </c>
      <c r="X14" s="1002">
        <f t="shared" si="28"/>
        <v>0</v>
      </c>
      <c r="Y14" s="459"/>
      <c r="Z14" s="291">
        <f t="shared" si="29"/>
        <v>0</v>
      </c>
      <c r="AA14" s="291">
        <f t="shared" si="30"/>
        <v>0</v>
      </c>
      <c r="AB14" s="291">
        <f t="shared" si="31"/>
        <v>0</v>
      </c>
      <c r="AC14" s="291">
        <f t="shared" si="32"/>
        <v>0</v>
      </c>
      <c r="AD14" s="291">
        <f t="shared" si="33"/>
        <v>0</v>
      </c>
      <c r="AE14" s="291">
        <f t="shared" si="34"/>
        <v>0</v>
      </c>
      <c r="AF14" s="291">
        <f t="shared" si="35"/>
        <v>0</v>
      </c>
      <c r="AG14" s="291">
        <f t="shared" si="36"/>
        <v>0</v>
      </c>
      <c r="AI14" s="462">
        <f t="shared" si="37"/>
        <v>0</v>
      </c>
      <c r="AJ14" s="1112"/>
      <c r="AK14" s="507"/>
      <c r="AL14" s="829">
        <f t="shared" si="38"/>
        <v>45660</v>
      </c>
      <c r="AM14" s="684">
        <f>IFERROR(IF(AND(AT14="",AR14&lt;&gt;S.CAL!$BJ$3,AR14&lt;&gt;S.CAL!$BJ$4,$AR$5="NON"),M14-BD14,IF(AND(AT14="",AR14&lt;&gt;S.CAL!$BJ$3,AR14&lt;&gt;S.CAL!$BJ$4,$AR$5="OUI"),X14-AI14,IF(AT14&lt;&gt;0,AT14,IF(OR(AR14=S.CAL!$BJ$3,AR14=S.CAL!$BJ$4),AR14,"")))),"")</f>
        <v>0</v>
      </c>
      <c r="AN14" s="1115"/>
      <c r="AO14" s="1116"/>
      <c r="AP14" s="684">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516">
        <f t="shared" si="60"/>
        <v>0</v>
      </c>
      <c r="AR14" s="1120"/>
      <c r="AT14" s="1123"/>
      <c r="AU14" s="995"/>
      <c r="AV14" s="1392">
        <f t="shared" si="39"/>
        <v>45660</v>
      </c>
      <c r="AX14" s="529">
        <f t="shared" si="61"/>
        <v>45660</v>
      </c>
      <c r="AY14" s="541">
        <f t="shared" si="40"/>
        <v>0</v>
      </c>
      <c r="AZ14" s="538" t="s">
        <v>146</v>
      </c>
      <c r="BA14" s="534">
        <f t="shared" si="41"/>
        <v>0</v>
      </c>
      <c r="BB14" s="567" t="str">
        <f t="shared" si="42"/>
        <v/>
      </c>
      <c r="BC14" s="541">
        <f t="shared" si="62"/>
        <v>0</v>
      </c>
      <c r="BD14" s="541">
        <f t="shared" si="63"/>
        <v>0</v>
      </c>
      <c r="BE14" s="1126"/>
      <c r="BF14" s="532" t="str">
        <f t="shared" si="43"/>
        <v/>
      </c>
      <c r="BG14" s="532" t="str">
        <f t="shared" si="64"/>
        <v>oui</v>
      </c>
      <c r="BH14" s="395" t="str">
        <f t="shared" si="44"/>
        <v/>
      </c>
      <c r="BI14" s="24" t="str">
        <f t="shared" si="45"/>
        <v/>
      </c>
      <c r="BJ14" s="1403"/>
      <c r="BK14" s="1403"/>
      <c r="BL14" s="1403"/>
      <c r="BM14" s="1403"/>
      <c r="BN14" s="1403"/>
      <c r="BO14" s="1403"/>
      <c r="BP14" s="1403"/>
      <c r="BQ14" s="1403"/>
      <c r="BS14" s="1392">
        <f t="shared" si="10"/>
        <v>45660</v>
      </c>
      <c r="BT14" s="27" t="str">
        <f t="shared" ref="BT14:BT42" si="73">IFERROR(IF(WEEKDAY(BS14,11)=1,WEEKNUM(BS14,21),""),"")</f>
        <v/>
      </c>
      <c r="BU14" s="1402"/>
      <c r="BV14" s="1402"/>
      <c r="BW14" s="1402"/>
      <c r="BX14" s="1402"/>
      <c r="BY14" s="1402"/>
      <c r="BZ14" s="1402"/>
      <c r="CA14" s="1402"/>
      <c r="CB14" s="1402"/>
      <c r="CD14" s="1408">
        <f t="shared" si="65"/>
        <v>0</v>
      </c>
      <c r="DC14" s="16" t="str">
        <f>Janvier!FC22</f>
        <v>non</v>
      </c>
      <c r="DG14" s="333">
        <f t="shared" si="66"/>
        <v>1</v>
      </c>
      <c r="DH14" s="129">
        <f t="shared" si="46"/>
        <v>10</v>
      </c>
      <c r="DI14" s="129">
        <f t="shared" si="67"/>
        <v>1</v>
      </c>
      <c r="DK14" s="16">
        <f>+IF(AND(Janvier!$DP$8&lt;&gt;52,AR14=S.CAL!$BJ$4),10,1)</f>
        <v>1</v>
      </c>
      <c r="DN14" s="16">
        <f t="shared" si="47"/>
        <v>1</v>
      </c>
      <c r="DU14" s="1296" t="str">
        <f t="shared" si="68"/>
        <v>Fiche infoA545660</v>
      </c>
      <c r="DV14" s="1384">
        <f t="shared" si="48"/>
        <v>0</v>
      </c>
      <c r="DW14" s="1385">
        <f t="shared" si="49"/>
        <v>0</v>
      </c>
      <c r="DX14" s="1385">
        <f t="shared" si="50"/>
        <v>0</v>
      </c>
      <c r="DY14" s="1385">
        <f t="shared" si="51"/>
        <v>0</v>
      </c>
      <c r="DZ14" s="1385">
        <f t="shared" si="52"/>
        <v>0</v>
      </c>
      <c r="EA14" s="1385">
        <f t="shared" si="53"/>
        <v>0</v>
      </c>
      <c r="EB14" s="1385">
        <f t="shared" si="54"/>
        <v>0</v>
      </c>
      <c r="EC14" s="1385">
        <f t="shared" si="55"/>
        <v>0</v>
      </c>
      <c r="ED14" s="1385">
        <f t="shared" si="69"/>
        <v>0</v>
      </c>
      <c r="EE14" s="1386">
        <f t="shared" si="70"/>
        <v>0</v>
      </c>
      <c r="EG14" s="16" t="str">
        <f t="shared" si="71"/>
        <v>12025</v>
      </c>
      <c r="EH14" s="16" t="str">
        <f t="shared" si="56"/>
        <v>Fiche infoA5</v>
      </c>
      <c r="EI14" s="16" t="str">
        <f t="shared" si="57"/>
        <v/>
      </c>
    </row>
    <row r="15" spans="1:145" x14ac:dyDescent="0.2">
      <c r="A15" s="1395" t="str">
        <f>Janvier!BJ23</f>
        <v>Fiche infoA6</v>
      </c>
      <c r="B15" s="829">
        <f>Janvier!AB23</f>
        <v>45661</v>
      </c>
      <c r="C15" s="1394" t="str">
        <f t="shared" si="72"/>
        <v/>
      </c>
      <c r="D15" s="1001">
        <f t="shared" si="11"/>
        <v>0</v>
      </c>
      <c r="E15" s="452">
        <f t="shared" si="12"/>
        <v>0</v>
      </c>
      <c r="F15" s="452">
        <f t="shared" si="13"/>
        <v>0</v>
      </c>
      <c r="G15" s="452">
        <f t="shared" si="14"/>
        <v>0</v>
      </c>
      <c r="H15" s="452">
        <f t="shared" si="15"/>
        <v>0</v>
      </c>
      <c r="I15" s="452">
        <f t="shared" si="16"/>
        <v>0</v>
      </c>
      <c r="J15" s="452">
        <f t="shared" si="17"/>
        <v>0</v>
      </c>
      <c r="K15" s="452">
        <f t="shared" si="18"/>
        <v>0</v>
      </c>
      <c r="L15" s="452">
        <f t="shared" si="58"/>
        <v>0</v>
      </c>
      <c r="M15" s="1002">
        <f t="shared" si="59"/>
        <v>0</v>
      </c>
      <c r="N15" s="1396"/>
      <c r="O15" s="1001">
        <f t="shared" si="19"/>
        <v>0</v>
      </c>
      <c r="P15" s="452">
        <f t="shared" si="20"/>
        <v>0</v>
      </c>
      <c r="Q15" s="452">
        <f t="shared" si="21"/>
        <v>0</v>
      </c>
      <c r="R15" s="452">
        <f t="shared" si="22"/>
        <v>0</v>
      </c>
      <c r="S15" s="452">
        <f t="shared" si="23"/>
        <v>0</v>
      </c>
      <c r="T15" s="452">
        <f t="shared" si="24"/>
        <v>0</v>
      </c>
      <c r="U15" s="452">
        <f t="shared" si="25"/>
        <v>0</v>
      </c>
      <c r="V15" s="452">
        <f t="shared" si="26"/>
        <v>0</v>
      </c>
      <c r="W15" s="452">
        <f t="shared" si="27"/>
        <v>0</v>
      </c>
      <c r="X15" s="1002">
        <f t="shared" si="28"/>
        <v>0</v>
      </c>
      <c r="Y15" s="1397"/>
      <c r="Z15" s="1398">
        <f t="shared" si="29"/>
        <v>0</v>
      </c>
      <c r="AA15" s="1398">
        <f t="shared" si="30"/>
        <v>0</v>
      </c>
      <c r="AB15" s="1398">
        <f t="shared" si="31"/>
        <v>0</v>
      </c>
      <c r="AC15" s="1398">
        <f t="shared" si="32"/>
        <v>0</v>
      </c>
      <c r="AD15" s="1398">
        <f t="shared" si="33"/>
        <v>0</v>
      </c>
      <c r="AE15" s="1398">
        <f t="shared" si="34"/>
        <v>0</v>
      </c>
      <c r="AF15" s="1398">
        <f t="shared" si="35"/>
        <v>0</v>
      </c>
      <c r="AG15" s="1398">
        <f t="shared" si="36"/>
        <v>0</v>
      </c>
      <c r="AH15" s="1396"/>
      <c r="AI15" s="462">
        <f t="shared" si="37"/>
        <v>0</v>
      </c>
      <c r="AJ15" s="1112"/>
      <c r="AK15" s="1399"/>
      <c r="AL15" s="829">
        <f t="shared" si="38"/>
        <v>45661</v>
      </c>
      <c r="AM15" s="684">
        <f>IFERROR(IF(AND(AT15="",AR15&lt;&gt;S.CAL!$BJ$3,AR15&lt;&gt;S.CAL!$BJ$4,$AR$5="NON"),M15-BD15,IF(AND(AT15="",AR15&lt;&gt;S.CAL!$BJ$3,AR15&lt;&gt;S.CAL!$BJ$4,$AR$5="OUI"),X15-AI15,IF(AT15&lt;&gt;0,AT15,IF(OR(AR15=S.CAL!$BJ$3,AR15=S.CAL!$BJ$4),AR15,"")))),"")</f>
        <v>0</v>
      </c>
      <c r="AN15" s="1115"/>
      <c r="AO15" s="1116"/>
      <c r="AP15" s="684">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400">
        <f t="shared" si="60"/>
        <v>0</v>
      </c>
      <c r="AR15" s="1120"/>
      <c r="AS15" s="1396"/>
      <c r="AT15" s="1123"/>
      <c r="AU15" s="995"/>
      <c r="AV15" s="1392">
        <f t="shared" si="39"/>
        <v>45661</v>
      </c>
      <c r="AW15" s="1396"/>
      <c r="AX15" s="529">
        <f t="shared" si="61"/>
        <v>45661</v>
      </c>
      <c r="AY15" s="541">
        <f t="shared" ref="AY15:AY42" si="74">+IF(M15-X15&lt;0,0,M15-X15)</f>
        <v>0</v>
      </c>
      <c r="AZ15" s="538" t="s">
        <v>146</v>
      </c>
      <c r="BA15" s="534">
        <f t="shared" ref="BA15:BA42" si="75">+IF(AZ15="OUI",AY15,0)</f>
        <v>0</v>
      </c>
      <c r="BB15" s="567" t="str">
        <f t="shared" si="42"/>
        <v/>
      </c>
      <c r="BC15" s="541">
        <f t="shared" si="62"/>
        <v>0</v>
      </c>
      <c r="BD15" s="541">
        <f t="shared" si="63"/>
        <v>0</v>
      </c>
      <c r="BE15" s="1126"/>
      <c r="BF15" s="532" t="str">
        <f t="shared" si="43"/>
        <v/>
      </c>
      <c r="BG15" s="532" t="str">
        <f t="shared" si="64"/>
        <v>oui</v>
      </c>
      <c r="BH15" s="395" t="str">
        <f t="shared" si="44"/>
        <v/>
      </c>
      <c r="BI15" s="24" t="str">
        <f t="shared" si="45"/>
        <v/>
      </c>
      <c r="BJ15" s="1404"/>
      <c r="BK15" s="1404"/>
      <c r="BL15" s="1404"/>
      <c r="BM15" s="1404"/>
      <c r="BN15" s="1404"/>
      <c r="BO15" s="1404"/>
      <c r="BP15" s="1404"/>
      <c r="BQ15" s="1404"/>
      <c r="BR15" s="1405"/>
      <c r="BS15" s="1392">
        <f t="shared" si="10"/>
        <v>45661</v>
      </c>
      <c r="BT15" s="1406" t="str">
        <f t="shared" si="73"/>
        <v/>
      </c>
      <c r="BU15" s="1404"/>
      <c r="BV15" s="1404"/>
      <c r="BW15" s="1404"/>
      <c r="BX15" s="1404"/>
      <c r="BY15" s="1404"/>
      <c r="BZ15" s="1404"/>
      <c r="CA15" s="1404"/>
      <c r="CB15" s="1404"/>
      <c r="CD15" s="1408">
        <f t="shared" si="65"/>
        <v>0</v>
      </c>
      <c r="DC15" s="16" t="str">
        <f>Janvier!FC23</f>
        <v>non</v>
      </c>
      <c r="DG15" s="333">
        <f t="shared" si="66"/>
        <v>1</v>
      </c>
      <c r="DH15" s="129">
        <f t="shared" si="46"/>
        <v>10</v>
      </c>
      <c r="DI15" s="129">
        <f t="shared" si="67"/>
        <v>1</v>
      </c>
      <c r="DK15" s="16">
        <f>+IF(AND(Janvier!$DP$8&lt;&gt;52,AR15=S.CAL!$BJ$4),10,1)</f>
        <v>1</v>
      </c>
      <c r="DN15" s="16">
        <f t="shared" si="47"/>
        <v>1</v>
      </c>
      <c r="DU15" s="1296" t="str">
        <f t="shared" si="68"/>
        <v>Fiche infoA645661</v>
      </c>
      <c r="DV15" s="1384">
        <f t="shared" si="48"/>
        <v>0</v>
      </c>
      <c r="DW15" s="1385">
        <f t="shared" si="49"/>
        <v>0</v>
      </c>
      <c r="DX15" s="1385">
        <f t="shared" si="50"/>
        <v>0</v>
      </c>
      <c r="DY15" s="1385">
        <f t="shared" si="51"/>
        <v>0</v>
      </c>
      <c r="DZ15" s="1385">
        <f t="shared" si="52"/>
        <v>0</v>
      </c>
      <c r="EA15" s="1385">
        <f t="shared" si="53"/>
        <v>0</v>
      </c>
      <c r="EB15" s="1385">
        <f t="shared" si="54"/>
        <v>0</v>
      </c>
      <c r="EC15" s="1385">
        <f t="shared" si="55"/>
        <v>0</v>
      </c>
      <c r="ED15" s="1385">
        <f t="shared" si="69"/>
        <v>0</v>
      </c>
      <c r="EE15" s="1386">
        <f t="shared" si="70"/>
        <v>0</v>
      </c>
      <c r="EG15" s="16" t="str">
        <f t="shared" si="71"/>
        <v>12025</v>
      </c>
      <c r="EH15" s="16" t="str">
        <f t="shared" si="56"/>
        <v>Fiche infoA6</v>
      </c>
      <c r="EI15" s="16" t="str">
        <f t="shared" si="57"/>
        <v/>
      </c>
    </row>
    <row r="16" spans="1:145" x14ac:dyDescent="0.2">
      <c r="A16" s="24" t="str">
        <f>Janvier!BJ24</f>
        <v>Fiche infoA7</v>
      </c>
      <c r="B16" s="829">
        <f>Janvier!AB24</f>
        <v>45662</v>
      </c>
      <c r="C16" s="1393" t="str">
        <f t="shared" si="72"/>
        <v/>
      </c>
      <c r="D16" s="1001">
        <f t="shared" si="11"/>
        <v>0</v>
      </c>
      <c r="E16" s="452">
        <f t="shared" si="12"/>
        <v>0</v>
      </c>
      <c r="F16" s="452">
        <f t="shared" si="13"/>
        <v>0</v>
      </c>
      <c r="G16" s="452">
        <f t="shared" si="14"/>
        <v>0</v>
      </c>
      <c r="H16" s="452">
        <f t="shared" si="15"/>
        <v>0</v>
      </c>
      <c r="I16" s="452">
        <f t="shared" si="16"/>
        <v>0</v>
      </c>
      <c r="J16" s="452">
        <f t="shared" si="17"/>
        <v>0</v>
      </c>
      <c r="K16" s="452">
        <f t="shared" si="18"/>
        <v>0</v>
      </c>
      <c r="L16" s="452">
        <f t="shared" si="58"/>
        <v>0</v>
      </c>
      <c r="M16" s="1002">
        <f t="shared" si="59"/>
        <v>0</v>
      </c>
      <c r="O16" s="1001">
        <f t="shared" si="19"/>
        <v>0</v>
      </c>
      <c r="P16" s="452">
        <f t="shared" si="20"/>
        <v>0</v>
      </c>
      <c r="Q16" s="452">
        <f t="shared" si="21"/>
        <v>0</v>
      </c>
      <c r="R16" s="452">
        <f t="shared" si="22"/>
        <v>0</v>
      </c>
      <c r="S16" s="452">
        <f t="shared" si="23"/>
        <v>0</v>
      </c>
      <c r="T16" s="452">
        <f t="shared" si="24"/>
        <v>0</v>
      </c>
      <c r="U16" s="452">
        <f t="shared" si="25"/>
        <v>0</v>
      </c>
      <c r="V16" s="452">
        <f t="shared" si="26"/>
        <v>0</v>
      </c>
      <c r="W16" s="452">
        <f t="shared" si="27"/>
        <v>0</v>
      </c>
      <c r="X16" s="1002">
        <f t="shared" si="28"/>
        <v>0</v>
      </c>
      <c r="Y16" s="459"/>
      <c r="Z16" s="291">
        <f t="shared" si="29"/>
        <v>0</v>
      </c>
      <c r="AA16" s="291">
        <f t="shared" si="30"/>
        <v>0</v>
      </c>
      <c r="AB16" s="291">
        <f t="shared" si="31"/>
        <v>0</v>
      </c>
      <c r="AC16" s="291">
        <f t="shared" si="32"/>
        <v>0</v>
      </c>
      <c r="AD16" s="291">
        <f t="shared" si="33"/>
        <v>0</v>
      </c>
      <c r="AE16" s="291">
        <f t="shared" si="34"/>
        <v>0</v>
      </c>
      <c r="AF16" s="291">
        <f t="shared" si="35"/>
        <v>0</v>
      </c>
      <c r="AG16" s="291">
        <f t="shared" si="36"/>
        <v>0</v>
      </c>
      <c r="AI16" s="462">
        <f t="shared" si="37"/>
        <v>0</v>
      </c>
      <c r="AJ16" s="1112"/>
      <c r="AK16" s="507"/>
      <c r="AL16" s="829">
        <f t="shared" si="38"/>
        <v>45662</v>
      </c>
      <c r="AM16" s="684">
        <f>IFERROR(IF(AND(AT16="",AR16&lt;&gt;S.CAL!$BJ$3,AR16&lt;&gt;S.CAL!$BJ$4,$AR$5="NON"),M16-BD16,IF(AND(AT16="",AR16&lt;&gt;S.CAL!$BJ$3,AR16&lt;&gt;S.CAL!$BJ$4,$AR$5="OUI"),X16-AI16,IF(AT16&lt;&gt;0,AT16,IF(OR(AR16=S.CAL!$BJ$3,AR16=S.CAL!$BJ$4),AR16,"")))),"")</f>
        <v>0</v>
      </c>
      <c r="AN16" s="1115"/>
      <c r="AO16" s="1116"/>
      <c r="AP16" s="684">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516">
        <f t="shared" si="60"/>
        <v>0</v>
      </c>
      <c r="AR16" s="1120"/>
      <c r="AT16" s="1123"/>
      <c r="AU16" s="995"/>
      <c r="AV16" s="1392">
        <f t="shared" si="39"/>
        <v>45662</v>
      </c>
      <c r="AX16" s="529">
        <f t="shared" si="61"/>
        <v>45662</v>
      </c>
      <c r="AY16" s="541">
        <f t="shared" si="74"/>
        <v>0</v>
      </c>
      <c r="AZ16" s="538" t="s">
        <v>146</v>
      </c>
      <c r="BA16" s="534">
        <f t="shared" si="75"/>
        <v>0</v>
      </c>
      <c r="BB16" s="567" t="str">
        <f t="shared" si="42"/>
        <v/>
      </c>
      <c r="BC16" s="541">
        <f t="shared" si="62"/>
        <v>0</v>
      </c>
      <c r="BD16" s="541">
        <f t="shared" si="63"/>
        <v>0</v>
      </c>
      <c r="BE16" s="1126"/>
      <c r="BF16" s="532" t="str">
        <f t="shared" si="43"/>
        <v/>
      </c>
      <c r="BG16" s="532" t="str">
        <f t="shared" si="64"/>
        <v>oui</v>
      </c>
      <c r="BH16" s="395" t="str">
        <f t="shared" si="44"/>
        <v/>
      </c>
      <c r="BI16" s="24" t="str">
        <f t="shared" si="45"/>
        <v/>
      </c>
      <c r="BJ16" s="1403"/>
      <c r="BK16" s="1403"/>
      <c r="BL16" s="1403"/>
      <c r="BM16" s="1403"/>
      <c r="BN16" s="1403"/>
      <c r="BO16" s="1403"/>
      <c r="BP16" s="1403"/>
      <c r="BQ16" s="1403"/>
      <c r="BS16" s="1392">
        <f t="shared" si="10"/>
        <v>45662</v>
      </c>
      <c r="BT16" s="27" t="str">
        <f t="shared" si="73"/>
        <v/>
      </c>
      <c r="BU16" s="1402"/>
      <c r="BV16" s="1402"/>
      <c r="BW16" s="1402"/>
      <c r="BX16" s="1402"/>
      <c r="BY16" s="1402"/>
      <c r="BZ16" s="1402"/>
      <c r="CA16" s="1402"/>
      <c r="CB16" s="1402"/>
      <c r="CD16" s="1408">
        <f t="shared" si="65"/>
        <v>0</v>
      </c>
      <c r="DC16" s="16" t="str">
        <f>Janvier!FC24</f>
        <v>non</v>
      </c>
      <c r="DG16" s="333">
        <f t="shared" si="66"/>
        <v>1</v>
      </c>
      <c r="DH16" s="129">
        <f t="shared" si="46"/>
        <v>10</v>
      </c>
      <c r="DI16" s="129">
        <f t="shared" si="67"/>
        <v>1</v>
      </c>
      <c r="DK16" s="16">
        <f>+IF(AND(Janvier!$DP$8&lt;&gt;52,AR16=S.CAL!$BJ$4),10,1)</f>
        <v>1</v>
      </c>
      <c r="DN16" s="16">
        <f t="shared" si="47"/>
        <v>1</v>
      </c>
      <c r="DU16" s="1296" t="str">
        <f t="shared" si="68"/>
        <v>Fiche infoA745662</v>
      </c>
      <c r="DV16" s="1384">
        <f t="shared" si="48"/>
        <v>0</v>
      </c>
      <c r="DW16" s="1385">
        <f t="shared" si="49"/>
        <v>0</v>
      </c>
      <c r="DX16" s="1385">
        <f t="shared" si="50"/>
        <v>0</v>
      </c>
      <c r="DY16" s="1385">
        <f t="shared" si="51"/>
        <v>0</v>
      </c>
      <c r="DZ16" s="1385">
        <f t="shared" si="52"/>
        <v>0</v>
      </c>
      <c r="EA16" s="1385">
        <f t="shared" si="53"/>
        <v>0</v>
      </c>
      <c r="EB16" s="1385">
        <f t="shared" si="54"/>
        <v>0</v>
      </c>
      <c r="EC16" s="1385">
        <f t="shared" si="55"/>
        <v>0</v>
      </c>
      <c r="ED16" s="1385">
        <f t="shared" si="69"/>
        <v>0</v>
      </c>
      <c r="EE16" s="1386">
        <f t="shared" si="70"/>
        <v>0</v>
      </c>
      <c r="EG16" s="16" t="str">
        <f t="shared" si="71"/>
        <v>12025</v>
      </c>
      <c r="EH16" s="16" t="str">
        <f t="shared" si="56"/>
        <v>Fiche infoA7</v>
      </c>
      <c r="EI16" s="16" t="str">
        <f t="shared" si="57"/>
        <v/>
      </c>
    </row>
    <row r="17" spans="1:139" x14ac:dyDescent="0.2">
      <c r="A17" s="1395" t="str">
        <f>Janvier!BJ25</f>
        <v>Fiche infoA1</v>
      </c>
      <c r="B17" s="829">
        <f>Janvier!AB25</f>
        <v>45663</v>
      </c>
      <c r="C17" s="1394">
        <f t="shared" si="72"/>
        <v>2</v>
      </c>
      <c r="D17" s="1001">
        <f t="shared" si="11"/>
        <v>0</v>
      </c>
      <c r="E17" s="452">
        <f t="shared" si="12"/>
        <v>0</v>
      </c>
      <c r="F17" s="452">
        <f t="shared" si="13"/>
        <v>0</v>
      </c>
      <c r="G17" s="452">
        <f t="shared" si="14"/>
        <v>0</v>
      </c>
      <c r="H17" s="452">
        <f t="shared" si="15"/>
        <v>0</v>
      </c>
      <c r="I17" s="452">
        <f t="shared" si="16"/>
        <v>0</v>
      </c>
      <c r="J17" s="452">
        <f t="shared" si="17"/>
        <v>0</v>
      </c>
      <c r="K17" s="452">
        <f t="shared" si="18"/>
        <v>0</v>
      </c>
      <c r="L17" s="452">
        <f t="shared" si="58"/>
        <v>0</v>
      </c>
      <c r="M17" s="1002">
        <f t="shared" si="59"/>
        <v>0</v>
      </c>
      <c r="N17" s="1396"/>
      <c r="O17" s="1001">
        <f t="shared" si="19"/>
        <v>0</v>
      </c>
      <c r="P17" s="452">
        <f t="shared" si="20"/>
        <v>0</v>
      </c>
      <c r="Q17" s="452">
        <f t="shared" si="21"/>
        <v>0</v>
      </c>
      <c r="R17" s="452">
        <f t="shared" si="22"/>
        <v>0</v>
      </c>
      <c r="S17" s="452">
        <f t="shared" si="23"/>
        <v>0</v>
      </c>
      <c r="T17" s="452">
        <f t="shared" si="24"/>
        <v>0</v>
      </c>
      <c r="U17" s="452">
        <f t="shared" si="25"/>
        <v>0</v>
      </c>
      <c r="V17" s="452">
        <f t="shared" si="26"/>
        <v>0</v>
      </c>
      <c r="W17" s="452">
        <f t="shared" si="27"/>
        <v>0</v>
      </c>
      <c r="X17" s="1002">
        <f t="shared" si="28"/>
        <v>0</v>
      </c>
      <c r="Y17" s="1397"/>
      <c r="Z17" s="1398">
        <f t="shared" si="29"/>
        <v>0</v>
      </c>
      <c r="AA17" s="1398">
        <f t="shared" si="30"/>
        <v>0</v>
      </c>
      <c r="AB17" s="1398">
        <f t="shared" si="31"/>
        <v>0</v>
      </c>
      <c r="AC17" s="1398">
        <f t="shared" si="32"/>
        <v>0</v>
      </c>
      <c r="AD17" s="1398">
        <f t="shared" si="33"/>
        <v>0</v>
      </c>
      <c r="AE17" s="1398">
        <f t="shared" si="34"/>
        <v>0</v>
      </c>
      <c r="AF17" s="1398">
        <f t="shared" si="35"/>
        <v>0</v>
      </c>
      <c r="AG17" s="1398">
        <f t="shared" si="36"/>
        <v>0</v>
      </c>
      <c r="AH17" s="1396"/>
      <c r="AI17" s="462">
        <f t="shared" si="37"/>
        <v>0</v>
      </c>
      <c r="AJ17" s="1112"/>
      <c r="AK17" s="1399"/>
      <c r="AL17" s="829">
        <f t="shared" si="38"/>
        <v>45663</v>
      </c>
      <c r="AM17" s="684">
        <f>IFERROR(IF(AND(AT17="",AR17&lt;&gt;S.CAL!$BJ$3,AR17&lt;&gt;S.CAL!$BJ$4,$AR$5="NON"),M17-BD17,IF(AND(AT17="",AR17&lt;&gt;S.CAL!$BJ$3,AR17&lt;&gt;S.CAL!$BJ$4,$AR$5="OUI"),X17-AI17,IF(AT17&lt;&gt;0,AT17,IF(OR(AR17=S.CAL!$BJ$3,AR17=S.CAL!$BJ$4),AR17,"")))),"")</f>
        <v>0</v>
      </c>
      <c r="AN17" s="1115"/>
      <c r="AO17" s="1116"/>
      <c r="AP17" s="684">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400">
        <f t="shared" si="60"/>
        <v>0</v>
      </c>
      <c r="AR17" s="1120"/>
      <c r="AS17" s="1396"/>
      <c r="AT17" s="1123"/>
      <c r="AU17" s="995"/>
      <c r="AV17" s="1392">
        <f t="shared" si="39"/>
        <v>45663</v>
      </c>
      <c r="AW17" s="1396"/>
      <c r="AX17" s="529">
        <f t="shared" si="61"/>
        <v>45663</v>
      </c>
      <c r="AY17" s="541">
        <f t="shared" si="74"/>
        <v>0</v>
      </c>
      <c r="AZ17" s="538" t="s">
        <v>146</v>
      </c>
      <c r="BA17" s="534">
        <f t="shared" si="75"/>
        <v>0</v>
      </c>
      <c r="BB17" s="567" t="str">
        <f t="shared" si="42"/>
        <v/>
      </c>
      <c r="BC17" s="541">
        <f t="shared" si="62"/>
        <v>0</v>
      </c>
      <c r="BD17" s="541">
        <f t="shared" si="63"/>
        <v>0</v>
      </c>
      <c r="BE17" s="1126"/>
      <c r="BF17" s="532" t="str">
        <f t="shared" si="43"/>
        <v/>
      </c>
      <c r="BG17" s="532" t="str">
        <f t="shared" si="64"/>
        <v>oui</v>
      </c>
      <c r="BH17" s="395" t="str">
        <f t="shared" si="44"/>
        <v/>
      </c>
      <c r="BI17" s="24" t="str">
        <f t="shared" si="45"/>
        <v/>
      </c>
      <c r="BJ17" s="1404"/>
      <c r="BK17" s="1404"/>
      <c r="BL17" s="1404"/>
      <c r="BM17" s="1404"/>
      <c r="BN17" s="1404"/>
      <c r="BO17" s="1404"/>
      <c r="BP17" s="1404"/>
      <c r="BQ17" s="1404"/>
      <c r="BR17" s="1405"/>
      <c r="BS17" s="1392">
        <f t="shared" si="10"/>
        <v>45663</v>
      </c>
      <c r="BT17" s="1406">
        <f t="shared" si="73"/>
        <v>2</v>
      </c>
      <c r="BU17" s="1404"/>
      <c r="BV17" s="1404"/>
      <c r="BW17" s="1404"/>
      <c r="BX17" s="1404"/>
      <c r="BY17" s="1404"/>
      <c r="BZ17" s="1404"/>
      <c r="CA17" s="1404"/>
      <c r="CB17" s="1404"/>
      <c r="CD17" s="1408">
        <f t="shared" si="65"/>
        <v>0</v>
      </c>
      <c r="DC17" s="16" t="str">
        <f>Janvier!FC25</f>
        <v>non</v>
      </c>
      <c r="DG17" s="333">
        <f t="shared" si="66"/>
        <v>1</v>
      </c>
      <c r="DH17" s="129">
        <f t="shared" si="46"/>
        <v>10</v>
      </c>
      <c r="DI17" s="129">
        <f t="shared" si="67"/>
        <v>1</v>
      </c>
      <c r="DK17" s="16">
        <f>+IF(AND(Janvier!$DP$8&lt;&gt;52,AR17=S.CAL!$BJ$4),10,1)</f>
        <v>1</v>
      </c>
      <c r="DN17" s="16">
        <f t="shared" si="47"/>
        <v>1</v>
      </c>
      <c r="DU17" s="1296" t="str">
        <f t="shared" si="68"/>
        <v>Fiche infoA145663</v>
      </c>
      <c r="DV17" s="1384">
        <f t="shared" si="48"/>
        <v>0</v>
      </c>
      <c r="DW17" s="1385">
        <f t="shared" si="49"/>
        <v>0</v>
      </c>
      <c r="DX17" s="1385">
        <f t="shared" si="50"/>
        <v>0</v>
      </c>
      <c r="DY17" s="1385">
        <f t="shared" si="51"/>
        <v>0</v>
      </c>
      <c r="DZ17" s="1385">
        <f t="shared" si="52"/>
        <v>0</v>
      </c>
      <c r="EA17" s="1385">
        <f t="shared" si="53"/>
        <v>0</v>
      </c>
      <c r="EB17" s="1385">
        <f t="shared" si="54"/>
        <v>0</v>
      </c>
      <c r="EC17" s="1385">
        <f t="shared" si="55"/>
        <v>0</v>
      </c>
      <c r="ED17" s="1385">
        <f t="shared" si="69"/>
        <v>0</v>
      </c>
      <c r="EE17" s="1386">
        <f t="shared" si="70"/>
        <v>0</v>
      </c>
      <c r="EG17" s="16" t="str">
        <f t="shared" si="71"/>
        <v>22025</v>
      </c>
      <c r="EH17" s="16" t="str">
        <f t="shared" si="56"/>
        <v>Fiche infoA1</v>
      </c>
      <c r="EI17" s="16" t="str">
        <f t="shared" si="57"/>
        <v/>
      </c>
    </row>
    <row r="18" spans="1:139" x14ac:dyDescent="0.2">
      <c r="A18" s="24" t="str">
        <f>Janvier!BJ26</f>
        <v>Fiche infoA2</v>
      </c>
      <c r="B18" s="829">
        <f>Janvier!AB26</f>
        <v>45664</v>
      </c>
      <c r="C18" s="1393" t="str">
        <f t="shared" si="72"/>
        <v/>
      </c>
      <c r="D18" s="1001">
        <f t="shared" si="11"/>
        <v>0</v>
      </c>
      <c r="E18" s="452">
        <f t="shared" si="12"/>
        <v>0</v>
      </c>
      <c r="F18" s="452">
        <f t="shared" si="13"/>
        <v>0</v>
      </c>
      <c r="G18" s="452">
        <f t="shared" si="14"/>
        <v>0</v>
      </c>
      <c r="H18" s="452">
        <f t="shared" si="15"/>
        <v>0</v>
      </c>
      <c r="I18" s="452">
        <f t="shared" si="16"/>
        <v>0</v>
      </c>
      <c r="J18" s="452">
        <f t="shared" si="17"/>
        <v>0</v>
      </c>
      <c r="K18" s="452">
        <f t="shared" si="18"/>
        <v>0</v>
      </c>
      <c r="L18" s="452">
        <f t="shared" si="58"/>
        <v>0</v>
      </c>
      <c r="M18" s="1002">
        <f t="shared" si="59"/>
        <v>0</v>
      </c>
      <c r="O18" s="1001">
        <f t="shared" si="19"/>
        <v>0</v>
      </c>
      <c r="P18" s="452">
        <f t="shared" si="20"/>
        <v>0</v>
      </c>
      <c r="Q18" s="452">
        <f t="shared" si="21"/>
        <v>0</v>
      </c>
      <c r="R18" s="452">
        <f t="shared" si="22"/>
        <v>0</v>
      </c>
      <c r="S18" s="452">
        <f t="shared" si="23"/>
        <v>0</v>
      </c>
      <c r="T18" s="452">
        <f t="shared" si="24"/>
        <v>0</v>
      </c>
      <c r="U18" s="452">
        <f t="shared" si="25"/>
        <v>0</v>
      </c>
      <c r="V18" s="452">
        <f t="shared" si="26"/>
        <v>0</v>
      </c>
      <c r="W18" s="452">
        <f t="shared" si="27"/>
        <v>0</v>
      </c>
      <c r="X18" s="1002">
        <f t="shared" si="28"/>
        <v>0</v>
      </c>
      <c r="Y18" s="459"/>
      <c r="Z18" s="291">
        <f t="shared" si="29"/>
        <v>0</v>
      </c>
      <c r="AA18" s="291">
        <f t="shared" si="30"/>
        <v>0</v>
      </c>
      <c r="AB18" s="291">
        <f t="shared" si="31"/>
        <v>0</v>
      </c>
      <c r="AC18" s="291">
        <f t="shared" si="32"/>
        <v>0</v>
      </c>
      <c r="AD18" s="291">
        <f t="shared" si="33"/>
        <v>0</v>
      </c>
      <c r="AE18" s="291">
        <f t="shared" si="34"/>
        <v>0</v>
      </c>
      <c r="AF18" s="291">
        <f t="shared" si="35"/>
        <v>0</v>
      </c>
      <c r="AG18" s="291">
        <f t="shared" si="36"/>
        <v>0</v>
      </c>
      <c r="AI18" s="462">
        <f t="shared" si="37"/>
        <v>0</v>
      </c>
      <c r="AJ18" s="1112"/>
      <c r="AK18" s="507"/>
      <c r="AL18" s="829">
        <f t="shared" si="38"/>
        <v>45664</v>
      </c>
      <c r="AM18" s="684">
        <f>IFERROR(IF(AND(AT18="",AR18&lt;&gt;S.CAL!$BJ$3,AR18&lt;&gt;S.CAL!$BJ$4,$AR$5="NON"),M18-BD18,IF(AND(AT18="",AR18&lt;&gt;S.CAL!$BJ$3,AR18&lt;&gt;S.CAL!$BJ$4,$AR$5="OUI"),X18-AI18,IF(AT18&lt;&gt;0,AT18,IF(OR(AR18=S.CAL!$BJ$3,AR18=S.CAL!$BJ$4),AR18,"")))),"")</f>
        <v>0</v>
      </c>
      <c r="AN18" s="1115"/>
      <c r="AO18" s="1116"/>
      <c r="AP18" s="684">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516">
        <f t="shared" si="60"/>
        <v>0</v>
      </c>
      <c r="AR18" s="1120"/>
      <c r="AT18" s="1123"/>
      <c r="AU18" s="995"/>
      <c r="AV18" s="1392">
        <f t="shared" si="39"/>
        <v>45664</v>
      </c>
      <c r="AX18" s="529">
        <f t="shared" si="61"/>
        <v>45664</v>
      </c>
      <c r="AY18" s="541">
        <f t="shared" si="74"/>
        <v>0</v>
      </c>
      <c r="AZ18" s="538" t="s">
        <v>146</v>
      </c>
      <c r="BA18" s="534">
        <f t="shared" si="75"/>
        <v>0</v>
      </c>
      <c r="BB18" s="567" t="str">
        <f t="shared" si="42"/>
        <v/>
      </c>
      <c r="BC18" s="541">
        <f t="shared" si="62"/>
        <v>0</v>
      </c>
      <c r="BD18" s="541">
        <f t="shared" si="63"/>
        <v>0</v>
      </c>
      <c r="BE18" s="1126"/>
      <c r="BF18" s="532" t="str">
        <f t="shared" si="43"/>
        <v/>
      </c>
      <c r="BG18" s="532" t="str">
        <f t="shared" si="64"/>
        <v>oui</v>
      </c>
      <c r="BH18" s="395" t="str">
        <f t="shared" si="44"/>
        <v/>
      </c>
      <c r="BI18" s="24" t="str">
        <f t="shared" si="45"/>
        <v/>
      </c>
      <c r="BJ18" s="1403"/>
      <c r="BK18" s="1403"/>
      <c r="BL18" s="1403"/>
      <c r="BM18" s="1403"/>
      <c r="BN18" s="1403"/>
      <c r="BO18" s="1403"/>
      <c r="BP18" s="1403"/>
      <c r="BQ18" s="1403"/>
      <c r="BS18" s="1392">
        <f t="shared" si="10"/>
        <v>45664</v>
      </c>
      <c r="BT18" s="27" t="str">
        <f t="shared" si="73"/>
        <v/>
      </c>
      <c r="BU18" s="1402"/>
      <c r="BV18" s="1402"/>
      <c r="BW18" s="1402"/>
      <c r="BX18" s="1402"/>
      <c r="BY18" s="1402"/>
      <c r="BZ18" s="1402"/>
      <c r="CA18" s="1402"/>
      <c r="CB18" s="1402"/>
      <c r="CD18" s="1408">
        <f t="shared" si="65"/>
        <v>0</v>
      </c>
      <c r="DC18" s="16" t="str">
        <f>Janvier!FC26</f>
        <v>non</v>
      </c>
      <c r="DG18" s="333">
        <f t="shared" si="66"/>
        <v>1</v>
      </c>
      <c r="DH18" s="129">
        <f t="shared" si="46"/>
        <v>10</v>
      </c>
      <c r="DI18" s="129">
        <f t="shared" si="67"/>
        <v>1</v>
      </c>
      <c r="DK18" s="16">
        <f>+IF(AND(Janvier!$DP$8&lt;&gt;52,AR18=S.CAL!$BJ$4),10,1)</f>
        <v>1</v>
      </c>
      <c r="DN18" s="16">
        <f t="shared" si="47"/>
        <v>1</v>
      </c>
      <c r="DU18" s="1296" t="str">
        <f t="shared" si="68"/>
        <v>Fiche infoA245664</v>
      </c>
      <c r="DV18" s="1384">
        <f t="shared" si="48"/>
        <v>0</v>
      </c>
      <c r="DW18" s="1385">
        <f t="shared" si="49"/>
        <v>0</v>
      </c>
      <c r="DX18" s="1385">
        <f t="shared" si="50"/>
        <v>0</v>
      </c>
      <c r="DY18" s="1385">
        <f t="shared" si="51"/>
        <v>0</v>
      </c>
      <c r="DZ18" s="1385">
        <f t="shared" si="52"/>
        <v>0</v>
      </c>
      <c r="EA18" s="1385">
        <f t="shared" si="53"/>
        <v>0</v>
      </c>
      <c r="EB18" s="1385">
        <f t="shared" si="54"/>
        <v>0</v>
      </c>
      <c r="EC18" s="1385">
        <f t="shared" si="55"/>
        <v>0</v>
      </c>
      <c r="ED18" s="1385">
        <f t="shared" si="69"/>
        <v>0</v>
      </c>
      <c r="EE18" s="1386">
        <f t="shared" si="70"/>
        <v>0</v>
      </c>
      <c r="EG18" s="16" t="str">
        <f t="shared" si="71"/>
        <v>22025</v>
      </c>
      <c r="EH18" s="16" t="str">
        <f t="shared" si="56"/>
        <v>Fiche infoA2</v>
      </c>
      <c r="EI18" s="16" t="str">
        <f t="shared" si="57"/>
        <v/>
      </c>
    </row>
    <row r="19" spans="1:139" x14ac:dyDescent="0.2">
      <c r="A19" s="1395" t="str">
        <f>Janvier!BJ27</f>
        <v>Fiche infoA3</v>
      </c>
      <c r="B19" s="829">
        <f>Janvier!AB27</f>
        <v>45665</v>
      </c>
      <c r="C19" s="1394" t="str">
        <f t="shared" si="72"/>
        <v/>
      </c>
      <c r="D19" s="1001">
        <f t="shared" si="11"/>
        <v>0</v>
      </c>
      <c r="E19" s="452">
        <f t="shared" si="12"/>
        <v>0</v>
      </c>
      <c r="F19" s="452">
        <f t="shared" si="13"/>
        <v>0</v>
      </c>
      <c r="G19" s="452">
        <f t="shared" si="14"/>
        <v>0</v>
      </c>
      <c r="H19" s="452">
        <f t="shared" si="15"/>
        <v>0</v>
      </c>
      <c r="I19" s="452">
        <f t="shared" si="16"/>
        <v>0</v>
      </c>
      <c r="J19" s="452">
        <f t="shared" si="17"/>
        <v>0</v>
      </c>
      <c r="K19" s="452">
        <f t="shared" si="18"/>
        <v>0</v>
      </c>
      <c r="L19" s="452">
        <f t="shared" si="58"/>
        <v>0</v>
      </c>
      <c r="M19" s="1002">
        <f t="shared" si="59"/>
        <v>0</v>
      </c>
      <c r="N19" s="1396"/>
      <c r="O19" s="1001">
        <f t="shared" si="19"/>
        <v>0</v>
      </c>
      <c r="P19" s="452">
        <f t="shared" si="20"/>
        <v>0</v>
      </c>
      <c r="Q19" s="452">
        <f t="shared" si="21"/>
        <v>0</v>
      </c>
      <c r="R19" s="452">
        <f t="shared" si="22"/>
        <v>0</v>
      </c>
      <c r="S19" s="452">
        <f t="shared" si="23"/>
        <v>0</v>
      </c>
      <c r="T19" s="452">
        <f t="shared" si="24"/>
        <v>0</v>
      </c>
      <c r="U19" s="452">
        <f t="shared" si="25"/>
        <v>0</v>
      </c>
      <c r="V19" s="452">
        <f t="shared" si="26"/>
        <v>0</v>
      </c>
      <c r="W19" s="452">
        <f t="shared" si="27"/>
        <v>0</v>
      </c>
      <c r="X19" s="1002">
        <f t="shared" si="28"/>
        <v>0</v>
      </c>
      <c r="Y19" s="1397"/>
      <c r="Z19" s="1398">
        <f t="shared" si="29"/>
        <v>0</v>
      </c>
      <c r="AA19" s="1398">
        <f t="shared" si="30"/>
        <v>0</v>
      </c>
      <c r="AB19" s="1398">
        <f t="shared" si="31"/>
        <v>0</v>
      </c>
      <c r="AC19" s="1398">
        <f t="shared" si="32"/>
        <v>0</v>
      </c>
      <c r="AD19" s="1398">
        <f t="shared" si="33"/>
        <v>0</v>
      </c>
      <c r="AE19" s="1398">
        <f t="shared" si="34"/>
        <v>0</v>
      </c>
      <c r="AF19" s="1398">
        <f t="shared" si="35"/>
        <v>0</v>
      </c>
      <c r="AG19" s="1398">
        <f t="shared" si="36"/>
        <v>0</v>
      </c>
      <c r="AH19" s="1396"/>
      <c r="AI19" s="462">
        <f t="shared" si="37"/>
        <v>0</v>
      </c>
      <c r="AJ19" s="1112"/>
      <c r="AK19" s="1399"/>
      <c r="AL19" s="829">
        <f t="shared" si="38"/>
        <v>45665</v>
      </c>
      <c r="AM19" s="684">
        <f>IFERROR(IF(AND(AT19="",AR19&lt;&gt;S.CAL!$BJ$3,AR19&lt;&gt;S.CAL!$BJ$4,$AR$5="NON"),M19-BD19,IF(AND(AT19="",AR19&lt;&gt;S.CAL!$BJ$3,AR19&lt;&gt;S.CAL!$BJ$4,$AR$5="OUI"),X19-AI19,IF(AT19&lt;&gt;0,AT19,IF(OR(AR19=S.CAL!$BJ$3,AR19=S.CAL!$BJ$4),AR19,"")))),"")</f>
        <v>0</v>
      </c>
      <c r="AN19" s="1115"/>
      <c r="AO19" s="1116"/>
      <c r="AP19" s="684">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400">
        <f t="shared" si="60"/>
        <v>0</v>
      </c>
      <c r="AR19" s="1120"/>
      <c r="AS19" s="1396"/>
      <c r="AT19" s="1123"/>
      <c r="AU19" s="995"/>
      <c r="AV19" s="1392">
        <f t="shared" si="39"/>
        <v>45665</v>
      </c>
      <c r="AW19" s="1396"/>
      <c r="AX19" s="529">
        <f t="shared" si="61"/>
        <v>45665</v>
      </c>
      <c r="AY19" s="541">
        <f t="shared" si="74"/>
        <v>0</v>
      </c>
      <c r="AZ19" s="538" t="s">
        <v>146</v>
      </c>
      <c r="BA19" s="534">
        <f t="shared" si="75"/>
        <v>0</v>
      </c>
      <c r="BB19" s="567" t="str">
        <f t="shared" si="42"/>
        <v/>
      </c>
      <c r="BC19" s="541">
        <f t="shared" si="62"/>
        <v>0</v>
      </c>
      <c r="BD19" s="541">
        <f t="shared" si="63"/>
        <v>0</v>
      </c>
      <c r="BE19" s="1126"/>
      <c r="BF19" s="532" t="str">
        <f t="shared" si="43"/>
        <v/>
      </c>
      <c r="BG19" s="532" t="str">
        <f t="shared" si="64"/>
        <v>oui</v>
      </c>
      <c r="BH19" s="395" t="str">
        <f t="shared" si="44"/>
        <v/>
      </c>
      <c r="BI19" s="24" t="str">
        <f t="shared" si="45"/>
        <v/>
      </c>
      <c r="BJ19" s="1404"/>
      <c r="BK19" s="1404"/>
      <c r="BL19" s="1404"/>
      <c r="BM19" s="1404"/>
      <c r="BN19" s="1404"/>
      <c r="BO19" s="1404"/>
      <c r="BP19" s="1404"/>
      <c r="BQ19" s="1404"/>
      <c r="BR19" s="1405"/>
      <c r="BS19" s="1392">
        <f t="shared" si="10"/>
        <v>45665</v>
      </c>
      <c r="BT19" s="1406" t="str">
        <f t="shared" si="73"/>
        <v/>
      </c>
      <c r="BU19" s="1404"/>
      <c r="BV19" s="1404"/>
      <c r="BW19" s="1404"/>
      <c r="BX19" s="1404"/>
      <c r="BY19" s="1404"/>
      <c r="BZ19" s="1404"/>
      <c r="CA19" s="1404"/>
      <c r="CB19" s="1404"/>
      <c r="CD19" s="1408">
        <f t="shared" si="65"/>
        <v>0</v>
      </c>
      <c r="DC19" s="16" t="str">
        <f>Janvier!FC27</f>
        <v>non</v>
      </c>
      <c r="DG19" s="333">
        <f t="shared" si="66"/>
        <v>1</v>
      </c>
      <c r="DH19" s="129">
        <f t="shared" si="46"/>
        <v>10</v>
      </c>
      <c r="DI19" s="129">
        <f t="shared" si="67"/>
        <v>1</v>
      </c>
      <c r="DK19" s="16">
        <f>+IF(AND(Janvier!$DP$8&lt;&gt;52,AR19=S.CAL!$BJ$4),10,1)</f>
        <v>1</v>
      </c>
      <c r="DN19" s="16">
        <f t="shared" si="47"/>
        <v>1</v>
      </c>
      <c r="DU19" s="1296" t="str">
        <f t="shared" si="68"/>
        <v>Fiche infoA345665</v>
      </c>
      <c r="DV19" s="1384">
        <f t="shared" si="48"/>
        <v>0</v>
      </c>
      <c r="DW19" s="1385">
        <f t="shared" si="49"/>
        <v>0</v>
      </c>
      <c r="DX19" s="1385">
        <f t="shared" si="50"/>
        <v>0</v>
      </c>
      <c r="DY19" s="1385">
        <f t="shared" si="51"/>
        <v>0</v>
      </c>
      <c r="DZ19" s="1385">
        <f t="shared" si="52"/>
        <v>0</v>
      </c>
      <c r="EA19" s="1385">
        <f t="shared" si="53"/>
        <v>0</v>
      </c>
      <c r="EB19" s="1385">
        <f t="shared" si="54"/>
        <v>0</v>
      </c>
      <c r="EC19" s="1385">
        <f t="shared" si="55"/>
        <v>0</v>
      </c>
      <c r="ED19" s="1385">
        <f t="shared" si="69"/>
        <v>0</v>
      </c>
      <c r="EE19" s="1386">
        <f t="shared" si="70"/>
        <v>0</v>
      </c>
      <c r="EG19" s="16" t="str">
        <f t="shared" si="71"/>
        <v>22025</v>
      </c>
      <c r="EH19" s="16" t="str">
        <f t="shared" si="56"/>
        <v>Fiche infoA3</v>
      </c>
      <c r="EI19" s="16" t="str">
        <f t="shared" si="57"/>
        <v/>
      </c>
    </row>
    <row r="20" spans="1:139" x14ac:dyDescent="0.2">
      <c r="A20" s="24" t="str">
        <f>Janvier!BJ28</f>
        <v>Fiche infoA4</v>
      </c>
      <c r="B20" s="829">
        <f>Janvier!AB28</f>
        <v>45666</v>
      </c>
      <c r="C20" s="1393" t="str">
        <f t="shared" si="72"/>
        <v/>
      </c>
      <c r="D20" s="1001">
        <f t="shared" si="11"/>
        <v>0</v>
      </c>
      <c r="E20" s="452">
        <f t="shared" si="12"/>
        <v>0</v>
      </c>
      <c r="F20" s="452">
        <f t="shared" si="13"/>
        <v>0</v>
      </c>
      <c r="G20" s="452">
        <f t="shared" si="14"/>
        <v>0</v>
      </c>
      <c r="H20" s="452">
        <f t="shared" si="15"/>
        <v>0</v>
      </c>
      <c r="I20" s="452">
        <f t="shared" si="16"/>
        <v>0</v>
      </c>
      <c r="J20" s="452">
        <f t="shared" si="17"/>
        <v>0</v>
      </c>
      <c r="K20" s="452">
        <f t="shared" si="18"/>
        <v>0</v>
      </c>
      <c r="L20" s="452">
        <f t="shared" si="58"/>
        <v>0</v>
      </c>
      <c r="M20" s="1002">
        <f t="shared" si="59"/>
        <v>0</v>
      </c>
      <c r="O20" s="1001">
        <f>IF(AR20&lt;&gt;"",0,IF(DC20="oui",0,IF(AND(ISTEXT(AT20)=TRUE,BJ20=""),0,IF(BJ20="",D20,BJ20))))</f>
        <v>0</v>
      </c>
      <c r="P20" s="452">
        <f>IF(AR20&lt;&gt;"",0,IF(DC20="oui",0,IF(AND(ISTEXT(AT20)=TRUE,BK20=""),0,IF(BK20="",E20,BK20))))</f>
        <v>0</v>
      </c>
      <c r="Q20" s="452">
        <f>IF(AR20&lt;&gt;"",0,IF(DC20="oui",0,IF(AND(ISTEXT(AT20)=TRUE,BL20=""),0,IF(BL20="",F20,BL20))))</f>
        <v>0</v>
      </c>
      <c r="R20" s="452">
        <f>IF(AR20&lt;&gt;"",0,IF(DC20="oui",0,IF(AND(ISTEXT(AT20)=TRUE,BM20=""),0,IF(BM20="",G20,BM20))))</f>
        <v>0</v>
      </c>
      <c r="S20" s="452">
        <f>IF(AR20&lt;&gt;"",0,IF(DC20="oui",0,IF(AND(ISTEXT(AT20)=TRUE,BN20=""),0,IF(BN20="",H20,BN20))))</f>
        <v>0</v>
      </c>
      <c r="T20" s="452">
        <f>IF(AR20&lt;&gt;"",0,IF(DC20="oui",0,IF(AND(ISTEXT(AT20)=TRUE,BO20=""),0,IF(BO20="",I20,BO20))))</f>
        <v>0</v>
      </c>
      <c r="U20" s="452">
        <f>IF(AR20&lt;&gt;"",0,IF(DC20="oui",0,IF(AND(ISTEXT(AT20)=TRUE,BP20=""),0,IF(BP20="",J20,BP20))))</f>
        <v>0</v>
      </c>
      <c r="V20" s="452">
        <f>IF(AR20&lt;&gt;"",0,IF(DC20="oui",0,IF(AND(ISTEXT(AT20)=TRUE,BQ20=""),0,IF(BQ20="",K20,BQ20))))</f>
        <v>0</v>
      </c>
      <c r="W20" s="452">
        <f t="shared" si="27"/>
        <v>0</v>
      </c>
      <c r="X20" s="1002">
        <f t="shared" si="28"/>
        <v>0</v>
      </c>
      <c r="Y20" s="459"/>
      <c r="Z20" s="291">
        <f t="shared" si="29"/>
        <v>0</v>
      </c>
      <c r="AA20" s="291">
        <f t="shared" si="30"/>
        <v>0</v>
      </c>
      <c r="AB20" s="291">
        <f t="shared" si="31"/>
        <v>0</v>
      </c>
      <c r="AC20" s="291">
        <f t="shared" si="32"/>
        <v>0</v>
      </c>
      <c r="AD20" s="291">
        <f t="shared" si="33"/>
        <v>0</v>
      </c>
      <c r="AE20" s="291">
        <f t="shared" si="34"/>
        <v>0</v>
      </c>
      <c r="AF20" s="291">
        <f t="shared" si="35"/>
        <v>0</v>
      </c>
      <c r="AG20" s="291">
        <f t="shared" si="36"/>
        <v>0</v>
      </c>
      <c r="AI20" s="462">
        <f>IF(DC20="oui",0,IF(AND(ISTEXT(AT20)=TRUE,OR(X20=0,X20="")),0,ROUND(((((AA20-Z20)-(E20-D20))+((AC20-AB20)-(G20-F20))+((AE20-AD20)-(I20-H20))+(AG20-AF20)-(K20-J20))*24),2)))</f>
        <v>0</v>
      </c>
      <c r="AJ20" s="1112"/>
      <c r="AK20" s="507"/>
      <c r="AL20" s="829">
        <f t="shared" si="38"/>
        <v>45666</v>
      </c>
      <c r="AM20" s="684">
        <f>IFERROR(IF(AND(AT20="",AR20&lt;&gt;S.CAL!$BJ$3,AR20&lt;&gt;S.CAL!$BJ$4,$AR$5="NON"),M20-BD20,IF(AND(AT20="",AR20&lt;&gt;S.CAL!$BJ$3,AR20&lt;&gt;S.CAL!$BJ$4,$AR$5="OUI"),X20-AI20,IF(AT20&lt;&gt;0,AT20,IF(OR(AR20=S.CAL!$BJ$3,AR20=S.CAL!$BJ$4),AR20,"")))),"")</f>
        <v>0</v>
      </c>
      <c r="AN20" s="1115"/>
      <c r="AO20" s="1116"/>
      <c r="AP20" s="684">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516">
        <f t="shared" si="60"/>
        <v>0</v>
      </c>
      <c r="AR20" s="1120"/>
      <c r="AT20" s="1123"/>
      <c r="AU20" s="995"/>
      <c r="AV20" s="1392">
        <f t="shared" si="39"/>
        <v>45666</v>
      </c>
      <c r="AX20" s="529">
        <f t="shared" si="61"/>
        <v>45666</v>
      </c>
      <c r="AY20" s="541">
        <f t="shared" si="74"/>
        <v>0</v>
      </c>
      <c r="AZ20" s="538" t="s">
        <v>146</v>
      </c>
      <c r="BA20" s="534">
        <f t="shared" si="75"/>
        <v>0</v>
      </c>
      <c r="BB20" s="567" t="str">
        <f t="shared" si="42"/>
        <v/>
      </c>
      <c r="BC20" s="541">
        <f t="shared" si="62"/>
        <v>0</v>
      </c>
      <c r="BD20" s="541">
        <f t="shared" si="63"/>
        <v>0</v>
      </c>
      <c r="BE20" s="1126"/>
      <c r="BF20" s="532" t="str">
        <f t="shared" si="43"/>
        <v/>
      </c>
      <c r="BG20" s="532" t="str">
        <f t="shared" si="64"/>
        <v>oui</v>
      </c>
      <c r="BH20" s="395" t="str">
        <f t="shared" si="44"/>
        <v/>
      </c>
      <c r="BI20" s="24" t="str">
        <f t="shared" si="45"/>
        <v/>
      </c>
      <c r="BJ20" s="1403"/>
      <c r="BK20" s="1403"/>
      <c r="BL20" s="1403"/>
      <c r="BM20" s="1403"/>
      <c r="BN20" s="1403"/>
      <c r="BO20" s="1403"/>
      <c r="BP20" s="1403"/>
      <c r="BQ20" s="1403"/>
      <c r="BS20" s="1392">
        <f t="shared" si="10"/>
        <v>45666</v>
      </c>
      <c r="BT20" s="27" t="str">
        <f t="shared" si="73"/>
        <v/>
      </c>
      <c r="BU20" s="1402"/>
      <c r="BV20" s="1402"/>
      <c r="BW20" s="1402"/>
      <c r="BX20" s="1402"/>
      <c r="BY20" s="1402"/>
      <c r="BZ20" s="1402"/>
      <c r="CA20" s="1402"/>
      <c r="CB20" s="1402"/>
      <c r="CD20" s="1408">
        <f t="shared" si="65"/>
        <v>0</v>
      </c>
      <c r="DC20" s="16" t="str">
        <f>Janvier!FC28</f>
        <v>non</v>
      </c>
      <c r="DG20" s="333">
        <f t="shared" si="66"/>
        <v>1</v>
      </c>
      <c r="DH20" s="129">
        <f t="shared" si="46"/>
        <v>10</v>
      </c>
      <c r="DI20" s="129">
        <f t="shared" si="67"/>
        <v>1</v>
      </c>
      <c r="DK20" s="16">
        <f>+IF(AND(Janvier!$DP$8&lt;&gt;52,AR20=S.CAL!$BJ$4),10,1)</f>
        <v>1</v>
      </c>
      <c r="DN20" s="16">
        <f t="shared" si="47"/>
        <v>1</v>
      </c>
      <c r="DU20" s="1296" t="str">
        <f t="shared" si="68"/>
        <v>Fiche infoA445666</v>
      </c>
      <c r="DV20" s="1384">
        <f t="shared" si="48"/>
        <v>0</v>
      </c>
      <c r="DW20" s="1385">
        <f t="shared" si="49"/>
        <v>0</v>
      </c>
      <c r="DX20" s="1385">
        <f t="shared" si="50"/>
        <v>0</v>
      </c>
      <c r="DY20" s="1385">
        <f t="shared" si="51"/>
        <v>0</v>
      </c>
      <c r="DZ20" s="1385">
        <f t="shared" si="52"/>
        <v>0</v>
      </c>
      <c r="EA20" s="1385">
        <f t="shared" si="53"/>
        <v>0</v>
      </c>
      <c r="EB20" s="1385">
        <f t="shared" si="54"/>
        <v>0</v>
      </c>
      <c r="EC20" s="1385">
        <f t="shared" si="55"/>
        <v>0</v>
      </c>
      <c r="ED20" s="1385">
        <f t="shared" si="69"/>
        <v>0</v>
      </c>
      <c r="EE20" s="1386">
        <f t="shared" si="70"/>
        <v>0</v>
      </c>
      <c r="EG20" s="16" t="str">
        <f t="shared" si="71"/>
        <v>22025</v>
      </c>
      <c r="EH20" s="16" t="str">
        <f t="shared" si="56"/>
        <v>Fiche infoA4</v>
      </c>
      <c r="EI20" s="16" t="str">
        <f t="shared" si="57"/>
        <v/>
      </c>
    </row>
    <row r="21" spans="1:139" x14ac:dyDescent="0.2">
      <c r="A21" s="1395" t="str">
        <f>Janvier!BJ29</f>
        <v>Fiche infoA5</v>
      </c>
      <c r="B21" s="829">
        <f>Janvier!AB29</f>
        <v>45667</v>
      </c>
      <c r="C21" s="1394" t="str">
        <f t="shared" si="72"/>
        <v/>
      </c>
      <c r="D21" s="1001">
        <f t="shared" si="11"/>
        <v>0</v>
      </c>
      <c r="E21" s="452">
        <f t="shared" si="12"/>
        <v>0</v>
      </c>
      <c r="F21" s="452">
        <f t="shared" si="13"/>
        <v>0</v>
      </c>
      <c r="G21" s="452">
        <f t="shared" si="14"/>
        <v>0</v>
      </c>
      <c r="H21" s="452">
        <f t="shared" si="15"/>
        <v>0</v>
      </c>
      <c r="I21" s="452">
        <f t="shared" si="16"/>
        <v>0</v>
      </c>
      <c r="J21" s="452">
        <f t="shared" si="17"/>
        <v>0</v>
      </c>
      <c r="K21" s="452">
        <f t="shared" si="18"/>
        <v>0</v>
      </c>
      <c r="L21" s="452">
        <f t="shared" si="58"/>
        <v>0</v>
      </c>
      <c r="M21" s="1002">
        <f t="shared" si="59"/>
        <v>0</v>
      </c>
      <c r="N21" s="1396"/>
      <c r="O21" s="1001">
        <f t="shared" ref="O21:O42" si="76">IF(AR21&lt;&gt;"",0,IF(DC21="oui",0,IF(AND(ISTEXT(AT21)=TRUE,BJ21=""),0,IF(BJ21="",D21,BJ21))))</f>
        <v>0</v>
      </c>
      <c r="P21" s="452">
        <f t="shared" ref="P21:P42" si="77">IF(AR21&lt;&gt;"",0,IF(DC21="oui",0,IF(AND(ISTEXT(AT21)=TRUE,BK21=""),0,IF(BK21="",E21,BK21))))</f>
        <v>0</v>
      </c>
      <c r="Q21" s="452">
        <f t="shared" ref="Q21:Q42" si="78">IF(AR21&lt;&gt;"",0,IF(DC21="oui",0,IF(AND(ISTEXT(AT21)=TRUE,BL21=""),0,IF(BL21="",F21,BL21))))</f>
        <v>0</v>
      </c>
      <c r="R21" s="452">
        <f t="shared" ref="R21:R42" si="79">IF(AR21&lt;&gt;"",0,IF(DC21="oui",0,IF(AND(ISTEXT(AT21)=TRUE,BM21=""),0,IF(BM21="",G21,BM21))))</f>
        <v>0</v>
      </c>
      <c r="S21" s="452">
        <f t="shared" ref="S21:S42" si="80">IF(AR21&lt;&gt;"",0,IF(DC21="oui",0,IF(AND(ISTEXT(AT21)=TRUE,BN21=""),0,IF(BN21="",H21,BN21))))</f>
        <v>0</v>
      </c>
      <c r="T21" s="452">
        <f t="shared" ref="T21:T42" si="81">IF(AR21&lt;&gt;"",0,IF(DC21="oui",0,IF(AND(ISTEXT(AT21)=TRUE,BO21=""),0,IF(BO21="",I21,BO21))))</f>
        <v>0</v>
      </c>
      <c r="U21" s="452">
        <f t="shared" ref="U21:U42" si="82">IF(AR21&lt;&gt;"",0,IF(DC21="oui",0,IF(AND(ISTEXT(AT21)=TRUE,BP21=""),0,IF(BP21="",J21,BP21))))</f>
        <v>0</v>
      </c>
      <c r="V21" s="452">
        <f t="shared" ref="V21:V42" si="83">IF(AR21&lt;&gt;"",0,IF(DC21="oui",0,IF(AND(ISTEXT(AT21)=TRUE,BQ21=""),0,IF(BQ21="",K21,BQ21))))</f>
        <v>0</v>
      </c>
      <c r="W21" s="452">
        <f t="shared" si="27"/>
        <v>0</v>
      </c>
      <c r="X21" s="1002">
        <f t="shared" si="28"/>
        <v>0</v>
      </c>
      <c r="Y21" s="1397"/>
      <c r="Z21" s="1398">
        <f t="shared" si="29"/>
        <v>0</v>
      </c>
      <c r="AA21" s="1398">
        <f t="shared" si="30"/>
        <v>0</v>
      </c>
      <c r="AB21" s="1398">
        <f t="shared" si="31"/>
        <v>0</v>
      </c>
      <c r="AC21" s="1398">
        <f t="shared" si="32"/>
        <v>0</v>
      </c>
      <c r="AD21" s="1398">
        <f t="shared" si="33"/>
        <v>0</v>
      </c>
      <c r="AE21" s="1398">
        <f t="shared" si="34"/>
        <v>0</v>
      </c>
      <c r="AF21" s="1398">
        <f t="shared" si="35"/>
        <v>0</v>
      </c>
      <c r="AG21" s="1398">
        <f t="shared" si="36"/>
        <v>0</v>
      </c>
      <c r="AH21" s="1396"/>
      <c r="AI21" s="462">
        <f t="shared" ref="AI21:AI42" si="84">IF(DC21="oui",0,IF(AND(ISTEXT(AT21)=TRUE,OR(X21=0,X21="")),0,ROUND(((((AA21-Z21)-(E21-D21))+((AC21-AB21)-(G21-F21))+((AE21-AD21)-(I21-H21))+(AG21-AF21)-(K21-J21))*24),2)))</f>
        <v>0</v>
      </c>
      <c r="AJ21" s="1112"/>
      <c r="AK21" s="1399"/>
      <c r="AL21" s="829">
        <f t="shared" si="38"/>
        <v>45667</v>
      </c>
      <c r="AM21" s="684">
        <f>IFERROR(IF(AND(AT21="",AR21&lt;&gt;S.CAL!$BJ$3,AR21&lt;&gt;S.CAL!$BJ$4,$AR$5="NON"),M21-BD21,IF(AND(AT21="",AR21&lt;&gt;S.CAL!$BJ$3,AR21&lt;&gt;S.CAL!$BJ$4,$AR$5="OUI"),X21-AI21,IF(AT21&lt;&gt;0,AT21,IF(OR(AR21=S.CAL!$BJ$3,AR21=S.CAL!$BJ$4),AR21,"")))),"")</f>
        <v>0</v>
      </c>
      <c r="AN21" s="1115"/>
      <c r="AO21" s="1116"/>
      <c r="AP21" s="684">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400">
        <f t="shared" si="60"/>
        <v>0</v>
      </c>
      <c r="AR21" s="1120"/>
      <c r="AS21" s="1396"/>
      <c r="AT21" s="1123"/>
      <c r="AU21" s="995"/>
      <c r="AV21" s="1392">
        <f t="shared" si="39"/>
        <v>45667</v>
      </c>
      <c r="AW21" s="1396"/>
      <c r="AX21" s="529">
        <f t="shared" si="61"/>
        <v>45667</v>
      </c>
      <c r="AY21" s="541">
        <f t="shared" si="74"/>
        <v>0</v>
      </c>
      <c r="AZ21" s="538" t="s">
        <v>146</v>
      </c>
      <c r="BA21" s="534">
        <f t="shared" si="75"/>
        <v>0</v>
      </c>
      <c r="BB21" s="567" t="str">
        <f t="shared" si="42"/>
        <v/>
      </c>
      <c r="BC21" s="541">
        <f t="shared" si="62"/>
        <v>0</v>
      </c>
      <c r="BD21" s="541">
        <f t="shared" si="63"/>
        <v>0</v>
      </c>
      <c r="BE21" s="1126"/>
      <c r="BF21" s="532" t="str">
        <f t="shared" si="43"/>
        <v/>
      </c>
      <c r="BG21" s="532" t="str">
        <f t="shared" si="64"/>
        <v>oui</v>
      </c>
      <c r="BH21" s="395" t="str">
        <f t="shared" si="44"/>
        <v/>
      </c>
      <c r="BI21" s="24" t="str">
        <f t="shared" si="45"/>
        <v/>
      </c>
      <c r="BJ21" s="1404"/>
      <c r="BK21" s="1404"/>
      <c r="BL21" s="1404"/>
      <c r="BM21" s="1404"/>
      <c r="BN21" s="1404"/>
      <c r="BO21" s="1404"/>
      <c r="BP21" s="1404"/>
      <c r="BQ21" s="1404"/>
      <c r="BR21" s="1405"/>
      <c r="BS21" s="1392">
        <f t="shared" si="10"/>
        <v>45667</v>
      </c>
      <c r="BT21" s="1406" t="str">
        <f t="shared" si="73"/>
        <v/>
      </c>
      <c r="BU21" s="1404"/>
      <c r="BV21" s="1404"/>
      <c r="BW21" s="1404"/>
      <c r="BX21" s="1404"/>
      <c r="BY21" s="1404"/>
      <c r="BZ21" s="1404"/>
      <c r="CA21" s="1404"/>
      <c r="CB21" s="1404"/>
      <c r="CD21" s="1408">
        <f t="shared" si="65"/>
        <v>0</v>
      </c>
      <c r="DC21" s="16" t="str">
        <f>Janvier!FC29</f>
        <v>non</v>
      </c>
      <c r="DG21" s="333">
        <f t="shared" si="66"/>
        <v>1</v>
      </c>
      <c r="DH21" s="129">
        <f t="shared" si="46"/>
        <v>10</v>
      </c>
      <c r="DI21" s="129">
        <f t="shared" si="67"/>
        <v>1</v>
      </c>
      <c r="DK21" s="16">
        <f>+IF(AND(Janvier!$DP$8&lt;&gt;52,AR21=S.CAL!$BJ$4),10,1)</f>
        <v>1</v>
      </c>
      <c r="DN21" s="16">
        <f t="shared" si="47"/>
        <v>1</v>
      </c>
      <c r="DU21" s="1296" t="str">
        <f t="shared" si="68"/>
        <v>Fiche infoA545667</v>
      </c>
      <c r="DV21" s="1384">
        <f t="shared" si="48"/>
        <v>0</v>
      </c>
      <c r="DW21" s="1385">
        <f t="shared" si="49"/>
        <v>0</v>
      </c>
      <c r="DX21" s="1385">
        <f t="shared" si="50"/>
        <v>0</v>
      </c>
      <c r="DY21" s="1385">
        <f t="shared" si="51"/>
        <v>0</v>
      </c>
      <c r="DZ21" s="1385">
        <f t="shared" si="52"/>
        <v>0</v>
      </c>
      <c r="EA21" s="1385">
        <f t="shared" si="53"/>
        <v>0</v>
      </c>
      <c r="EB21" s="1385">
        <f t="shared" si="54"/>
        <v>0</v>
      </c>
      <c r="EC21" s="1385">
        <f t="shared" si="55"/>
        <v>0</v>
      </c>
      <c r="ED21" s="1385">
        <f t="shared" si="69"/>
        <v>0</v>
      </c>
      <c r="EE21" s="1386">
        <f t="shared" si="70"/>
        <v>0</v>
      </c>
      <c r="EG21" s="16" t="str">
        <f t="shared" si="71"/>
        <v>22025</v>
      </c>
      <c r="EH21" s="16" t="str">
        <f t="shared" si="56"/>
        <v>Fiche infoA5</v>
      </c>
      <c r="EI21" s="16" t="str">
        <f t="shared" si="57"/>
        <v/>
      </c>
    </row>
    <row r="22" spans="1:139" x14ac:dyDescent="0.2">
      <c r="A22" s="24" t="str">
        <f>Janvier!BJ30</f>
        <v>Fiche infoA6</v>
      </c>
      <c r="B22" s="829">
        <f>Janvier!AB30</f>
        <v>45668</v>
      </c>
      <c r="C22" s="1393" t="str">
        <f t="shared" si="72"/>
        <v/>
      </c>
      <c r="D22" s="1001">
        <f t="shared" si="11"/>
        <v>0</v>
      </c>
      <c r="E22" s="452">
        <f t="shared" si="12"/>
        <v>0</v>
      </c>
      <c r="F22" s="452">
        <f t="shared" si="13"/>
        <v>0</v>
      </c>
      <c r="G22" s="452">
        <f t="shared" si="14"/>
        <v>0</v>
      </c>
      <c r="H22" s="452">
        <f t="shared" si="15"/>
        <v>0</v>
      </c>
      <c r="I22" s="452">
        <f t="shared" si="16"/>
        <v>0</v>
      </c>
      <c r="J22" s="452">
        <f t="shared" si="17"/>
        <v>0</v>
      </c>
      <c r="K22" s="452">
        <f t="shared" si="18"/>
        <v>0</v>
      </c>
      <c r="L22" s="452">
        <f t="shared" si="58"/>
        <v>0</v>
      </c>
      <c r="M22" s="1002">
        <f t="shared" si="59"/>
        <v>0</v>
      </c>
      <c r="O22" s="1001">
        <f t="shared" si="76"/>
        <v>0</v>
      </c>
      <c r="P22" s="452">
        <f t="shared" si="77"/>
        <v>0</v>
      </c>
      <c r="Q22" s="452">
        <f t="shared" si="78"/>
        <v>0</v>
      </c>
      <c r="R22" s="452">
        <f t="shared" si="79"/>
        <v>0</v>
      </c>
      <c r="S22" s="452">
        <f t="shared" si="80"/>
        <v>0</v>
      </c>
      <c r="T22" s="452">
        <f t="shared" si="81"/>
        <v>0</v>
      </c>
      <c r="U22" s="452">
        <f t="shared" si="82"/>
        <v>0</v>
      </c>
      <c r="V22" s="452">
        <f t="shared" si="83"/>
        <v>0</v>
      </c>
      <c r="W22" s="452">
        <f t="shared" si="27"/>
        <v>0</v>
      </c>
      <c r="X22" s="1002">
        <f t="shared" si="28"/>
        <v>0</v>
      </c>
      <c r="Y22" s="459"/>
      <c r="Z22" s="291">
        <f t="shared" si="29"/>
        <v>0</v>
      </c>
      <c r="AA22" s="291">
        <f t="shared" si="30"/>
        <v>0</v>
      </c>
      <c r="AB22" s="291">
        <f t="shared" si="31"/>
        <v>0</v>
      </c>
      <c r="AC22" s="291">
        <f t="shared" si="32"/>
        <v>0</v>
      </c>
      <c r="AD22" s="291">
        <f t="shared" si="33"/>
        <v>0</v>
      </c>
      <c r="AE22" s="291">
        <f t="shared" si="34"/>
        <v>0</v>
      </c>
      <c r="AF22" s="291">
        <f t="shared" si="35"/>
        <v>0</v>
      </c>
      <c r="AG22" s="291">
        <f t="shared" si="36"/>
        <v>0</v>
      </c>
      <c r="AI22" s="462">
        <f t="shared" si="84"/>
        <v>0</v>
      </c>
      <c r="AJ22" s="1112"/>
      <c r="AK22" s="507"/>
      <c r="AL22" s="829">
        <f t="shared" si="38"/>
        <v>45668</v>
      </c>
      <c r="AM22" s="684">
        <f>IFERROR(IF(AND(AT22="",AR22&lt;&gt;S.CAL!$BJ$3,AR22&lt;&gt;S.CAL!$BJ$4,$AR$5="NON"),M22-BD22,IF(AND(AT22="",AR22&lt;&gt;S.CAL!$BJ$3,AR22&lt;&gt;S.CAL!$BJ$4,$AR$5="OUI"),X22-AI22,IF(AT22&lt;&gt;0,AT22,IF(OR(AR22=S.CAL!$BJ$3,AR22=S.CAL!$BJ$4),AR22,"")))),"")</f>
        <v>0</v>
      </c>
      <c r="AN22" s="1115"/>
      <c r="AO22" s="1116"/>
      <c r="AP22" s="684">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516">
        <f t="shared" si="60"/>
        <v>0</v>
      </c>
      <c r="AR22" s="1120"/>
      <c r="AT22" s="1123"/>
      <c r="AU22" s="995"/>
      <c r="AV22" s="1392">
        <f t="shared" si="39"/>
        <v>45668</v>
      </c>
      <c r="AX22" s="529">
        <f t="shared" si="61"/>
        <v>45668</v>
      </c>
      <c r="AY22" s="541">
        <f t="shared" si="74"/>
        <v>0</v>
      </c>
      <c r="AZ22" s="538" t="s">
        <v>146</v>
      </c>
      <c r="BA22" s="534">
        <f t="shared" si="75"/>
        <v>0</v>
      </c>
      <c r="BB22" s="567" t="str">
        <f t="shared" si="42"/>
        <v/>
      </c>
      <c r="BC22" s="541">
        <f t="shared" si="62"/>
        <v>0</v>
      </c>
      <c r="BD22" s="541">
        <f t="shared" si="63"/>
        <v>0</v>
      </c>
      <c r="BE22" s="1126"/>
      <c r="BF22" s="532" t="str">
        <f t="shared" si="43"/>
        <v/>
      </c>
      <c r="BG22" s="532" t="str">
        <f t="shared" si="64"/>
        <v>oui</v>
      </c>
      <c r="BH22" s="395" t="str">
        <f t="shared" si="44"/>
        <v/>
      </c>
      <c r="BI22" s="24" t="str">
        <f t="shared" si="45"/>
        <v/>
      </c>
      <c r="BJ22" s="1403"/>
      <c r="BK22" s="1403"/>
      <c r="BL22" s="1403"/>
      <c r="BM22" s="1403"/>
      <c r="BN22" s="1403"/>
      <c r="BO22" s="1403"/>
      <c r="BP22" s="1403"/>
      <c r="BQ22" s="1403"/>
      <c r="BS22" s="1392">
        <f t="shared" si="10"/>
        <v>45668</v>
      </c>
      <c r="BT22" s="27" t="str">
        <f t="shared" si="73"/>
        <v/>
      </c>
      <c r="BU22" s="1402"/>
      <c r="BV22" s="1402"/>
      <c r="BW22" s="1402"/>
      <c r="BX22" s="1402"/>
      <c r="BY22" s="1402"/>
      <c r="BZ22" s="1402"/>
      <c r="CA22" s="1402"/>
      <c r="CB22" s="1402"/>
      <c r="CD22" s="1408">
        <f t="shared" si="65"/>
        <v>0</v>
      </c>
      <c r="DC22" s="16" t="str">
        <f>Janvier!FC30</f>
        <v>non</v>
      </c>
      <c r="DG22" s="333">
        <f t="shared" si="66"/>
        <v>1</v>
      </c>
      <c r="DH22" s="129">
        <f t="shared" si="46"/>
        <v>10</v>
      </c>
      <c r="DI22" s="129">
        <f t="shared" si="67"/>
        <v>1</v>
      </c>
      <c r="DK22" s="16">
        <f>+IF(AND(Janvier!$DP$8&lt;&gt;52,AR22=S.CAL!$BJ$4),10,1)</f>
        <v>1</v>
      </c>
      <c r="DN22" s="16">
        <f t="shared" si="47"/>
        <v>1</v>
      </c>
      <c r="DU22" s="1296" t="str">
        <f t="shared" si="68"/>
        <v>Fiche infoA645668</v>
      </c>
      <c r="DV22" s="1384">
        <f t="shared" si="48"/>
        <v>0</v>
      </c>
      <c r="DW22" s="1385">
        <f t="shared" si="49"/>
        <v>0</v>
      </c>
      <c r="DX22" s="1385">
        <f t="shared" si="50"/>
        <v>0</v>
      </c>
      <c r="DY22" s="1385">
        <f t="shared" si="51"/>
        <v>0</v>
      </c>
      <c r="DZ22" s="1385">
        <f t="shared" si="52"/>
        <v>0</v>
      </c>
      <c r="EA22" s="1385">
        <f t="shared" si="53"/>
        <v>0</v>
      </c>
      <c r="EB22" s="1385">
        <f t="shared" si="54"/>
        <v>0</v>
      </c>
      <c r="EC22" s="1385">
        <f t="shared" si="55"/>
        <v>0</v>
      </c>
      <c r="ED22" s="1385">
        <f t="shared" si="69"/>
        <v>0</v>
      </c>
      <c r="EE22" s="1386">
        <f t="shared" si="70"/>
        <v>0</v>
      </c>
      <c r="EG22" s="16" t="str">
        <f t="shared" si="71"/>
        <v>22025</v>
      </c>
      <c r="EH22" s="16" t="str">
        <f t="shared" si="56"/>
        <v>Fiche infoA6</v>
      </c>
      <c r="EI22" s="16" t="str">
        <f t="shared" si="57"/>
        <v/>
      </c>
    </row>
    <row r="23" spans="1:139" x14ac:dyDescent="0.2">
      <c r="A23" s="1395" t="str">
        <f>Janvier!BJ31</f>
        <v>Fiche infoA7</v>
      </c>
      <c r="B23" s="829">
        <f>Janvier!AB31</f>
        <v>45669</v>
      </c>
      <c r="C23" s="1394" t="str">
        <f t="shared" si="72"/>
        <v/>
      </c>
      <c r="D23" s="1001">
        <f t="shared" si="11"/>
        <v>0</v>
      </c>
      <c r="E23" s="452">
        <f t="shared" si="12"/>
        <v>0</v>
      </c>
      <c r="F23" s="452">
        <f t="shared" si="13"/>
        <v>0</v>
      </c>
      <c r="G23" s="452">
        <f t="shared" si="14"/>
        <v>0</v>
      </c>
      <c r="H23" s="452">
        <f t="shared" si="15"/>
        <v>0</v>
      </c>
      <c r="I23" s="452">
        <f t="shared" si="16"/>
        <v>0</v>
      </c>
      <c r="J23" s="452">
        <f t="shared" si="17"/>
        <v>0</v>
      </c>
      <c r="K23" s="452">
        <f t="shared" si="18"/>
        <v>0</v>
      </c>
      <c r="L23" s="452">
        <f t="shared" si="58"/>
        <v>0</v>
      </c>
      <c r="M23" s="1002">
        <f t="shared" si="59"/>
        <v>0</v>
      </c>
      <c r="N23" s="1396"/>
      <c r="O23" s="1001">
        <f t="shared" si="76"/>
        <v>0</v>
      </c>
      <c r="P23" s="452">
        <f t="shared" si="77"/>
        <v>0</v>
      </c>
      <c r="Q23" s="452">
        <f t="shared" si="78"/>
        <v>0</v>
      </c>
      <c r="R23" s="452">
        <f t="shared" si="79"/>
        <v>0</v>
      </c>
      <c r="S23" s="452">
        <f t="shared" si="80"/>
        <v>0</v>
      </c>
      <c r="T23" s="452">
        <f t="shared" si="81"/>
        <v>0</v>
      </c>
      <c r="U23" s="452">
        <f t="shared" si="82"/>
        <v>0</v>
      </c>
      <c r="V23" s="452">
        <f t="shared" si="83"/>
        <v>0</v>
      </c>
      <c r="W23" s="452">
        <f t="shared" si="27"/>
        <v>0</v>
      </c>
      <c r="X23" s="1002">
        <f t="shared" si="28"/>
        <v>0</v>
      </c>
      <c r="Y23" s="1397"/>
      <c r="Z23" s="1398">
        <f t="shared" si="29"/>
        <v>0</v>
      </c>
      <c r="AA23" s="1398">
        <f t="shared" si="30"/>
        <v>0</v>
      </c>
      <c r="AB23" s="1398">
        <f t="shared" si="31"/>
        <v>0</v>
      </c>
      <c r="AC23" s="1398">
        <f t="shared" si="32"/>
        <v>0</v>
      </c>
      <c r="AD23" s="1398">
        <f t="shared" si="33"/>
        <v>0</v>
      </c>
      <c r="AE23" s="1398">
        <f t="shared" si="34"/>
        <v>0</v>
      </c>
      <c r="AF23" s="1398">
        <f t="shared" si="35"/>
        <v>0</v>
      </c>
      <c r="AG23" s="1398">
        <f t="shared" si="36"/>
        <v>0</v>
      </c>
      <c r="AH23" s="1396"/>
      <c r="AI23" s="462">
        <f t="shared" si="84"/>
        <v>0</v>
      </c>
      <c r="AJ23" s="1112"/>
      <c r="AK23" s="1399"/>
      <c r="AL23" s="829">
        <f t="shared" si="38"/>
        <v>45669</v>
      </c>
      <c r="AM23" s="684">
        <f>IFERROR(IF(AND(AT23="",AR23&lt;&gt;S.CAL!$BJ$3,AR23&lt;&gt;S.CAL!$BJ$4,$AR$5="NON"),M23-BD23,IF(AND(AT23="",AR23&lt;&gt;S.CAL!$BJ$3,AR23&lt;&gt;S.CAL!$BJ$4,$AR$5="OUI"),X23-AI23,IF(AT23&lt;&gt;0,AT23,IF(OR(AR23=S.CAL!$BJ$3,AR23=S.CAL!$BJ$4),AR23,"")))),"")</f>
        <v>0</v>
      </c>
      <c r="AN23" s="1115"/>
      <c r="AO23" s="1116"/>
      <c r="AP23" s="684">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400">
        <f t="shared" si="60"/>
        <v>0</v>
      </c>
      <c r="AR23" s="1120"/>
      <c r="AS23" s="1396"/>
      <c r="AT23" s="1123"/>
      <c r="AU23" s="995"/>
      <c r="AV23" s="1392">
        <f t="shared" si="39"/>
        <v>45669</v>
      </c>
      <c r="AW23" s="1396"/>
      <c r="AX23" s="529">
        <f t="shared" si="61"/>
        <v>45669</v>
      </c>
      <c r="AY23" s="541">
        <f t="shared" si="74"/>
        <v>0</v>
      </c>
      <c r="AZ23" s="538" t="s">
        <v>146</v>
      </c>
      <c r="BA23" s="534">
        <f t="shared" si="75"/>
        <v>0</v>
      </c>
      <c r="BB23" s="567" t="str">
        <f t="shared" si="42"/>
        <v/>
      </c>
      <c r="BC23" s="541">
        <f t="shared" si="62"/>
        <v>0</v>
      </c>
      <c r="BD23" s="541">
        <f t="shared" si="63"/>
        <v>0</v>
      </c>
      <c r="BE23" s="1126"/>
      <c r="BF23" s="532" t="str">
        <f t="shared" si="43"/>
        <v/>
      </c>
      <c r="BG23" s="532" t="str">
        <f t="shared" si="64"/>
        <v>oui</v>
      </c>
      <c r="BH23" s="395" t="str">
        <f t="shared" si="44"/>
        <v/>
      </c>
      <c r="BI23" s="24" t="str">
        <f t="shared" si="45"/>
        <v/>
      </c>
      <c r="BJ23" s="1404"/>
      <c r="BK23" s="1404"/>
      <c r="BL23" s="1404"/>
      <c r="BM23" s="1404"/>
      <c r="BN23" s="1404"/>
      <c r="BO23" s="1404"/>
      <c r="BP23" s="1404"/>
      <c r="BQ23" s="1404"/>
      <c r="BR23" s="1405"/>
      <c r="BS23" s="1392">
        <f t="shared" si="10"/>
        <v>45669</v>
      </c>
      <c r="BT23" s="1406" t="str">
        <f t="shared" si="73"/>
        <v/>
      </c>
      <c r="BU23" s="1404"/>
      <c r="BV23" s="1404"/>
      <c r="BW23" s="1404"/>
      <c r="BX23" s="1404"/>
      <c r="BY23" s="1404"/>
      <c r="BZ23" s="1404"/>
      <c r="CA23" s="1404"/>
      <c r="CB23" s="1404"/>
      <c r="CD23" s="1408">
        <f t="shared" si="65"/>
        <v>0</v>
      </c>
      <c r="DC23" s="16" t="str">
        <f>Janvier!FC31</f>
        <v>non</v>
      </c>
      <c r="DG23" s="333">
        <f t="shared" si="66"/>
        <v>1</v>
      </c>
      <c r="DH23" s="129">
        <f t="shared" si="46"/>
        <v>10</v>
      </c>
      <c r="DI23" s="129">
        <f t="shared" si="67"/>
        <v>1</v>
      </c>
      <c r="DK23" s="16">
        <f>+IF(AND(Janvier!$DP$8&lt;&gt;52,AR23=S.CAL!$BJ$4),10,1)</f>
        <v>1</v>
      </c>
      <c r="DN23" s="16">
        <f t="shared" si="47"/>
        <v>1</v>
      </c>
      <c r="DU23" s="1296" t="str">
        <f t="shared" si="68"/>
        <v>Fiche infoA745669</v>
      </c>
      <c r="DV23" s="1384">
        <f t="shared" si="48"/>
        <v>0</v>
      </c>
      <c r="DW23" s="1385">
        <f t="shared" si="49"/>
        <v>0</v>
      </c>
      <c r="DX23" s="1385">
        <f t="shared" si="50"/>
        <v>0</v>
      </c>
      <c r="DY23" s="1385">
        <f t="shared" si="51"/>
        <v>0</v>
      </c>
      <c r="DZ23" s="1385">
        <f t="shared" si="52"/>
        <v>0</v>
      </c>
      <c r="EA23" s="1385">
        <f t="shared" si="53"/>
        <v>0</v>
      </c>
      <c r="EB23" s="1385">
        <f t="shared" si="54"/>
        <v>0</v>
      </c>
      <c r="EC23" s="1385">
        <f t="shared" si="55"/>
        <v>0</v>
      </c>
      <c r="ED23" s="1385">
        <f t="shared" si="69"/>
        <v>0</v>
      </c>
      <c r="EE23" s="1386">
        <f t="shared" si="70"/>
        <v>0</v>
      </c>
      <c r="EG23" s="16" t="str">
        <f t="shared" si="71"/>
        <v>22025</v>
      </c>
      <c r="EH23" s="16" t="str">
        <f t="shared" si="56"/>
        <v>Fiche infoA7</v>
      </c>
      <c r="EI23" s="16" t="str">
        <f t="shared" si="57"/>
        <v/>
      </c>
    </row>
    <row r="24" spans="1:139" x14ac:dyDescent="0.2">
      <c r="A24" s="24" t="str">
        <f>Janvier!BJ32</f>
        <v>Fiche infoA1</v>
      </c>
      <c r="B24" s="829">
        <f>Janvier!AB32</f>
        <v>45670</v>
      </c>
      <c r="C24" s="1393">
        <f t="shared" si="72"/>
        <v>3</v>
      </c>
      <c r="D24" s="1001">
        <f t="shared" si="11"/>
        <v>0</v>
      </c>
      <c r="E24" s="452">
        <f t="shared" si="12"/>
        <v>0</v>
      </c>
      <c r="F24" s="452">
        <f t="shared" si="13"/>
        <v>0</v>
      </c>
      <c r="G24" s="452">
        <f t="shared" si="14"/>
        <v>0</v>
      </c>
      <c r="H24" s="452">
        <f t="shared" si="15"/>
        <v>0</v>
      </c>
      <c r="I24" s="452">
        <f t="shared" si="16"/>
        <v>0</v>
      </c>
      <c r="J24" s="452">
        <f t="shared" si="17"/>
        <v>0</v>
      </c>
      <c r="K24" s="452">
        <f t="shared" si="18"/>
        <v>0</v>
      </c>
      <c r="L24" s="452">
        <f t="shared" si="58"/>
        <v>0</v>
      </c>
      <c r="M24" s="1002">
        <f t="shared" si="59"/>
        <v>0</v>
      </c>
      <c r="O24" s="1001">
        <f t="shared" si="76"/>
        <v>0</v>
      </c>
      <c r="P24" s="452">
        <f t="shared" si="77"/>
        <v>0</v>
      </c>
      <c r="Q24" s="452">
        <f t="shared" si="78"/>
        <v>0</v>
      </c>
      <c r="R24" s="452">
        <f t="shared" si="79"/>
        <v>0</v>
      </c>
      <c r="S24" s="452">
        <f t="shared" si="80"/>
        <v>0</v>
      </c>
      <c r="T24" s="452">
        <f t="shared" si="81"/>
        <v>0</v>
      </c>
      <c r="U24" s="452">
        <f t="shared" si="82"/>
        <v>0</v>
      </c>
      <c r="V24" s="452">
        <f t="shared" si="83"/>
        <v>0</v>
      </c>
      <c r="W24" s="452">
        <f t="shared" si="27"/>
        <v>0</v>
      </c>
      <c r="X24" s="1002">
        <f t="shared" si="28"/>
        <v>0</v>
      </c>
      <c r="Y24" s="459"/>
      <c r="Z24" s="291">
        <f t="shared" si="29"/>
        <v>0</v>
      </c>
      <c r="AA24" s="291">
        <f t="shared" si="30"/>
        <v>0</v>
      </c>
      <c r="AB24" s="291">
        <f t="shared" si="31"/>
        <v>0</v>
      </c>
      <c r="AC24" s="291">
        <f t="shared" si="32"/>
        <v>0</v>
      </c>
      <c r="AD24" s="291">
        <f t="shared" si="33"/>
        <v>0</v>
      </c>
      <c r="AE24" s="291">
        <f t="shared" si="34"/>
        <v>0</v>
      </c>
      <c r="AF24" s="291">
        <f t="shared" si="35"/>
        <v>0</v>
      </c>
      <c r="AG24" s="291">
        <f t="shared" si="36"/>
        <v>0</v>
      </c>
      <c r="AI24" s="462">
        <f t="shared" si="84"/>
        <v>0</v>
      </c>
      <c r="AJ24" s="1112"/>
      <c r="AK24" s="507"/>
      <c r="AL24" s="829">
        <f t="shared" si="38"/>
        <v>45670</v>
      </c>
      <c r="AM24" s="684">
        <f>IFERROR(IF(AND(AT24="",AR24&lt;&gt;S.CAL!$BJ$3,AR24&lt;&gt;S.CAL!$BJ$4,$AR$5="NON"),M24-BD24,IF(AND(AT24="",AR24&lt;&gt;S.CAL!$BJ$3,AR24&lt;&gt;S.CAL!$BJ$4,$AR$5="OUI"),X24-AI24,IF(AT24&lt;&gt;0,AT24,IF(OR(AR24=S.CAL!$BJ$3,AR24=S.CAL!$BJ$4),AR24,"")))),"")</f>
        <v>0</v>
      </c>
      <c r="AN24" s="1115"/>
      <c r="AO24" s="1116"/>
      <c r="AP24" s="684">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516">
        <f t="shared" si="60"/>
        <v>0</v>
      </c>
      <c r="AR24" s="1120"/>
      <c r="AT24" s="1123"/>
      <c r="AU24" s="995"/>
      <c r="AV24" s="1392">
        <f t="shared" si="39"/>
        <v>45670</v>
      </c>
      <c r="AX24" s="529">
        <f t="shared" si="61"/>
        <v>45670</v>
      </c>
      <c r="AY24" s="541">
        <f t="shared" si="74"/>
        <v>0</v>
      </c>
      <c r="AZ24" s="538" t="s">
        <v>146</v>
      </c>
      <c r="BA24" s="534">
        <f t="shared" si="75"/>
        <v>0</v>
      </c>
      <c r="BB24" s="567" t="str">
        <f t="shared" si="42"/>
        <v/>
      </c>
      <c r="BC24" s="541">
        <f t="shared" si="62"/>
        <v>0</v>
      </c>
      <c r="BD24" s="541">
        <f t="shared" si="63"/>
        <v>0</v>
      </c>
      <c r="BE24" s="1126"/>
      <c r="BF24" s="532" t="str">
        <f t="shared" si="43"/>
        <v/>
      </c>
      <c r="BG24" s="532" t="str">
        <f t="shared" si="64"/>
        <v>oui</v>
      </c>
      <c r="BH24" s="395" t="str">
        <f t="shared" si="44"/>
        <v/>
      </c>
      <c r="BI24" s="24" t="str">
        <f t="shared" si="45"/>
        <v/>
      </c>
      <c r="BJ24" s="1403"/>
      <c r="BK24" s="1403"/>
      <c r="BL24" s="1403"/>
      <c r="BM24" s="1403"/>
      <c r="BN24" s="1403"/>
      <c r="BO24" s="1403"/>
      <c r="BP24" s="1403"/>
      <c r="BQ24" s="1403"/>
      <c r="BS24" s="1392">
        <f t="shared" si="10"/>
        <v>45670</v>
      </c>
      <c r="BT24" s="27">
        <f t="shared" si="73"/>
        <v>3</v>
      </c>
      <c r="BU24" s="1402"/>
      <c r="BV24" s="1402"/>
      <c r="BW24" s="1402"/>
      <c r="BX24" s="1402"/>
      <c r="BY24" s="1402"/>
      <c r="BZ24" s="1402"/>
      <c r="CA24" s="1402"/>
      <c r="CB24" s="1402"/>
      <c r="CD24" s="1408">
        <f t="shared" si="65"/>
        <v>0</v>
      </c>
      <c r="DC24" s="16" t="str">
        <f>Janvier!FC32</f>
        <v>non</v>
      </c>
      <c r="DG24" s="333">
        <f t="shared" si="66"/>
        <v>1</v>
      </c>
      <c r="DH24" s="129">
        <f t="shared" si="46"/>
        <v>10</v>
      </c>
      <c r="DI24" s="129">
        <f t="shared" si="67"/>
        <v>1</v>
      </c>
      <c r="DK24" s="16">
        <f>+IF(AND(Janvier!$DP$8&lt;&gt;52,AR24=S.CAL!$BJ$4),10,1)</f>
        <v>1</v>
      </c>
      <c r="DN24" s="16">
        <f t="shared" si="47"/>
        <v>1</v>
      </c>
      <c r="DU24" s="1296" t="str">
        <f t="shared" si="68"/>
        <v>Fiche infoA145670</v>
      </c>
      <c r="DV24" s="1384">
        <f t="shared" si="48"/>
        <v>0</v>
      </c>
      <c r="DW24" s="1385">
        <f t="shared" si="49"/>
        <v>0</v>
      </c>
      <c r="DX24" s="1385">
        <f t="shared" si="50"/>
        <v>0</v>
      </c>
      <c r="DY24" s="1385">
        <f t="shared" si="51"/>
        <v>0</v>
      </c>
      <c r="DZ24" s="1385">
        <f t="shared" si="52"/>
        <v>0</v>
      </c>
      <c r="EA24" s="1385">
        <f t="shared" si="53"/>
        <v>0</v>
      </c>
      <c r="EB24" s="1385">
        <f t="shared" si="54"/>
        <v>0</v>
      </c>
      <c r="EC24" s="1385">
        <f t="shared" si="55"/>
        <v>0</v>
      </c>
      <c r="ED24" s="1385">
        <f t="shared" si="69"/>
        <v>0</v>
      </c>
      <c r="EE24" s="1386">
        <f t="shared" si="70"/>
        <v>0</v>
      </c>
      <c r="EG24" s="16" t="str">
        <f t="shared" si="71"/>
        <v>32025</v>
      </c>
      <c r="EH24" s="16" t="str">
        <f t="shared" si="56"/>
        <v>Fiche infoA1</v>
      </c>
      <c r="EI24" s="16" t="str">
        <f t="shared" si="57"/>
        <v/>
      </c>
    </row>
    <row r="25" spans="1:139" x14ac:dyDescent="0.2">
      <c r="A25" s="1395" t="str">
        <f>Janvier!BJ33</f>
        <v>Fiche infoA2</v>
      </c>
      <c r="B25" s="829">
        <f>Janvier!AB33</f>
        <v>45671</v>
      </c>
      <c r="C25" s="1394" t="str">
        <f t="shared" si="72"/>
        <v/>
      </c>
      <c r="D25" s="1001">
        <f t="shared" si="11"/>
        <v>0</v>
      </c>
      <c r="E25" s="452">
        <f t="shared" si="12"/>
        <v>0</v>
      </c>
      <c r="F25" s="452">
        <f t="shared" si="13"/>
        <v>0</v>
      </c>
      <c r="G25" s="452">
        <f t="shared" si="14"/>
        <v>0</v>
      </c>
      <c r="H25" s="452">
        <f t="shared" si="15"/>
        <v>0</v>
      </c>
      <c r="I25" s="452">
        <f t="shared" si="16"/>
        <v>0</v>
      </c>
      <c r="J25" s="452">
        <f t="shared" si="17"/>
        <v>0</v>
      </c>
      <c r="K25" s="452">
        <f t="shared" si="18"/>
        <v>0</v>
      </c>
      <c r="L25" s="452">
        <f t="shared" si="58"/>
        <v>0</v>
      </c>
      <c r="M25" s="1002">
        <f t="shared" si="59"/>
        <v>0</v>
      </c>
      <c r="N25" s="1396"/>
      <c r="O25" s="1001">
        <f t="shared" si="76"/>
        <v>0</v>
      </c>
      <c r="P25" s="452">
        <f t="shared" si="77"/>
        <v>0</v>
      </c>
      <c r="Q25" s="452">
        <f t="shared" si="78"/>
        <v>0</v>
      </c>
      <c r="R25" s="452">
        <f t="shared" si="79"/>
        <v>0</v>
      </c>
      <c r="S25" s="452">
        <f t="shared" si="80"/>
        <v>0</v>
      </c>
      <c r="T25" s="452">
        <f t="shared" si="81"/>
        <v>0</v>
      </c>
      <c r="U25" s="452">
        <f t="shared" si="82"/>
        <v>0</v>
      </c>
      <c r="V25" s="452">
        <f t="shared" si="83"/>
        <v>0</v>
      </c>
      <c r="W25" s="452">
        <f t="shared" si="27"/>
        <v>0</v>
      </c>
      <c r="X25" s="1002">
        <f t="shared" si="28"/>
        <v>0</v>
      </c>
      <c r="Y25" s="1397"/>
      <c r="Z25" s="1398">
        <f t="shared" si="29"/>
        <v>0</v>
      </c>
      <c r="AA25" s="1398">
        <f t="shared" si="30"/>
        <v>0</v>
      </c>
      <c r="AB25" s="1398">
        <f t="shared" si="31"/>
        <v>0</v>
      </c>
      <c r="AC25" s="1398">
        <f t="shared" si="32"/>
        <v>0</v>
      </c>
      <c r="AD25" s="1398">
        <f t="shared" si="33"/>
        <v>0</v>
      </c>
      <c r="AE25" s="1398">
        <f t="shared" si="34"/>
        <v>0</v>
      </c>
      <c r="AF25" s="1398">
        <f t="shared" si="35"/>
        <v>0</v>
      </c>
      <c r="AG25" s="1398">
        <f t="shared" si="36"/>
        <v>0</v>
      </c>
      <c r="AH25" s="1396"/>
      <c r="AI25" s="462">
        <f t="shared" si="84"/>
        <v>0</v>
      </c>
      <c r="AJ25" s="1112"/>
      <c r="AK25" s="1399"/>
      <c r="AL25" s="829">
        <f t="shared" si="38"/>
        <v>45671</v>
      </c>
      <c r="AM25" s="684">
        <f>IFERROR(IF(AND(AT25="",AR25&lt;&gt;S.CAL!$BJ$3,AR25&lt;&gt;S.CAL!$BJ$4,$AR$5="NON"),M25-BD25,IF(AND(AT25="",AR25&lt;&gt;S.CAL!$BJ$3,AR25&lt;&gt;S.CAL!$BJ$4,$AR$5="OUI"),X25-AI25,IF(AT25&lt;&gt;0,AT25,IF(OR(AR25=S.CAL!$BJ$3,AR25=S.CAL!$BJ$4),AR25,"")))),"")</f>
        <v>0</v>
      </c>
      <c r="AN25" s="1115"/>
      <c r="AO25" s="1116"/>
      <c r="AP25" s="684">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400">
        <f t="shared" si="60"/>
        <v>0</v>
      </c>
      <c r="AR25" s="1120"/>
      <c r="AS25" s="1396"/>
      <c r="AT25" s="1123"/>
      <c r="AU25" s="995"/>
      <c r="AV25" s="1392">
        <f t="shared" si="39"/>
        <v>45671</v>
      </c>
      <c r="AW25" s="1396"/>
      <c r="AX25" s="529">
        <f t="shared" si="61"/>
        <v>45671</v>
      </c>
      <c r="AY25" s="541">
        <f t="shared" si="74"/>
        <v>0</v>
      </c>
      <c r="AZ25" s="538" t="s">
        <v>146</v>
      </c>
      <c r="BA25" s="534">
        <f t="shared" si="75"/>
        <v>0</v>
      </c>
      <c r="BB25" s="567" t="str">
        <f t="shared" si="42"/>
        <v/>
      </c>
      <c r="BC25" s="541">
        <f t="shared" si="62"/>
        <v>0</v>
      </c>
      <c r="BD25" s="541">
        <f t="shared" si="63"/>
        <v>0</v>
      </c>
      <c r="BE25" s="1126"/>
      <c r="BF25" s="532" t="str">
        <f t="shared" si="43"/>
        <v/>
      </c>
      <c r="BG25" s="532" t="str">
        <f t="shared" si="64"/>
        <v>oui</v>
      </c>
      <c r="BH25" s="395" t="str">
        <f t="shared" si="44"/>
        <v/>
      </c>
      <c r="BI25" s="24" t="str">
        <f t="shared" si="45"/>
        <v/>
      </c>
      <c r="BJ25" s="1404"/>
      <c r="BK25" s="1404"/>
      <c r="BL25" s="1404"/>
      <c r="BM25" s="1404"/>
      <c r="BN25" s="1404"/>
      <c r="BO25" s="1404"/>
      <c r="BP25" s="1404"/>
      <c r="BQ25" s="1404"/>
      <c r="BR25" s="1405"/>
      <c r="BS25" s="1392">
        <f t="shared" si="10"/>
        <v>45671</v>
      </c>
      <c r="BT25" s="1406" t="str">
        <f t="shared" si="73"/>
        <v/>
      </c>
      <c r="BU25" s="1404"/>
      <c r="BV25" s="1404"/>
      <c r="BW25" s="1404"/>
      <c r="BX25" s="1404"/>
      <c r="BY25" s="1404"/>
      <c r="BZ25" s="1404"/>
      <c r="CA25" s="1404"/>
      <c r="CB25" s="1404"/>
      <c r="CD25" s="1408">
        <f t="shared" si="65"/>
        <v>0</v>
      </c>
      <c r="DC25" s="16" t="str">
        <f>Janvier!FC33</f>
        <v>non</v>
      </c>
      <c r="DG25" s="333">
        <f t="shared" si="66"/>
        <v>1</v>
      </c>
      <c r="DH25" s="129">
        <f t="shared" si="46"/>
        <v>10</v>
      </c>
      <c r="DI25" s="129">
        <f t="shared" si="67"/>
        <v>1</v>
      </c>
      <c r="DK25" s="16">
        <f>+IF(AND(Janvier!$DP$8&lt;&gt;52,AR25=S.CAL!$BJ$4),10,1)</f>
        <v>1</v>
      </c>
      <c r="DN25" s="16">
        <f t="shared" si="47"/>
        <v>1</v>
      </c>
      <c r="DU25" s="1296" t="str">
        <f t="shared" si="68"/>
        <v>Fiche infoA245671</v>
      </c>
      <c r="DV25" s="1384">
        <f t="shared" si="48"/>
        <v>0</v>
      </c>
      <c r="DW25" s="1385">
        <f t="shared" si="49"/>
        <v>0</v>
      </c>
      <c r="DX25" s="1385">
        <f t="shared" si="50"/>
        <v>0</v>
      </c>
      <c r="DY25" s="1385">
        <f t="shared" si="51"/>
        <v>0</v>
      </c>
      <c r="DZ25" s="1385">
        <f t="shared" si="52"/>
        <v>0</v>
      </c>
      <c r="EA25" s="1385">
        <f t="shared" si="53"/>
        <v>0</v>
      </c>
      <c r="EB25" s="1385">
        <f t="shared" si="54"/>
        <v>0</v>
      </c>
      <c r="EC25" s="1385">
        <f t="shared" si="55"/>
        <v>0</v>
      </c>
      <c r="ED25" s="1385">
        <f t="shared" si="69"/>
        <v>0</v>
      </c>
      <c r="EE25" s="1386">
        <f t="shared" si="70"/>
        <v>0</v>
      </c>
      <c r="EG25" s="16" t="str">
        <f t="shared" si="71"/>
        <v>32025</v>
      </c>
      <c r="EH25" s="16" t="str">
        <f t="shared" si="56"/>
        <v>Fiche infoA2</v>
      </c>
      <c r="EI25" s="16" t="str">
        <f t="shared" si="57"/>
        <v/>
      </c>
    </row>
    <row r="26" spans="1:139" x14ac:dyDescent="0.2">
      <c r="A26" s="24" t="str">
        <f>Janvier!BJ34</f>
        <v>Fiche infoA3</v>
      </c>
      <c r="B26" s="829">
        <f>Janvier!AB34</f>
        <v>45672</v>
      </c>
      <c r="C26" s="1393" t="str">
        <f t="shared" si="72"/>
        <v/>
      </c>
      <c r="D26" s="1001">
        <f t="shared" si="11"/>
        <v>0</v>
      </c>
      <c r="E26" s="452">
        <f t="shared" si="12"/>
        <v>0</v>
      </c>
      <c r="F26" s="452">
        <f t="shared" si="13"/>
        <v>0</v>
      </c>
      <c r="G26" s="452">
        <f t="shared" si="14"/>
        <v>0</v>
      </c>
      <c r="H26" s="452">
        <f t="shared" si="15"/>
        <v>0</v>
      </c>
      <c r="I26" s="452">
        <f t="shared" si="16"/>
        <v>0</v>
      </c>
      <c r="J26" s="452">
        <f t="shared" si="17"/>
        <v>0</v>
      </c>
      <c r="K26" s="452">
        <f t="shared" si="18"/>
        <v>0</v>
      </c>
      <c r="L26" s="452">
        <f t="shared" si="58"/>
        <v>0</v>
      </c>
      <c r="M26" s="1002">
        <f t="shared" si="59"/>
        <v>0</v>
      </c>
      <c r="O26" s="1001">
        <f t="shared" si="76"/>
        <v>0</v>
      </c>
      <c r="P26" s="452">
        <f t="shared" si="77"/>
        <v>0</v>
      </c>
      <c r="Q26" s="452">
        <f t="shared" si="78"/>
        <v>0</v>
      </c>
      <c r="R26" s="452">
        <f t="shared" si="79"/>
        <v>0</v>
      </c>
      <c r="S26" s="452">
        <f t="shared" si="80"/>
        <v>0</v>
      </c>
      <c r="T26" s="452">
        <f t="shared" si="81"/>
        <v>0</v>
      </c>
      <c r="U26" s="452">
        <f t="shared" si="82"/>
        <v>0</v>
      </c>
      <c r="V26" s="452">
        <f t="shared" si="83"/>
        <v>0</v>
      </c>
      <c r="W26" s="452">
        <f t="shared" si="27"/>
        <v>0</v>
      </c>
      <c r="X26" s="1002">
        <f t="shared" si="28"/>
        <v>0</v>
      </c>
      <c r="Y26" s="459"/>
      <c r="Z26" s="291">
        <f t="shared" si="29"/>
        <v>0</v>
      </c>
      <c r="AA26" s="291">
        <f t="shared" si="30"/>
        <v>0</v>
      </c>
      <c r="AB26" s="291">
        <f t="shared" si="31"/>
        <v>0</v>
      </c>
      <c r="AC26" s="291">
        <f t="shared" si="32"/>
        <v>0</v>
      </c>
      <c r="AD26" s="291">
        <f t="shared" si="33"/>
        <v>0</v>
      </c>
      <c r="AE26" s="291">
        <f t="shared" si="34"/>
        <v>0</v>
      </c>
      <c r="AF26" s="291">
        <f t="shared" si="35"/>
        <v>0</v>
      </c>
      <c r="AG26" s="291">
        <f t="shared" si="36"/>
        <v>0</v>
      </c>
      <c r="AI26" s="462">
        <f t="shared" si="84"/>
        <v>0</v>
      </c>
      <c r="AJ26" s="1112"/>
      <c r="AK26" s="507"/>
      <c r="AL26" s="829">
        <f t="shared" si="38"/>
        <v>45672</v>
      </c>
      <c r="AM26" s="684">
        <f>IFERROR(IF(AND(AT26="",AR26&lt;&gt;S.CAL!$BJ$3,AR26&lt;&gt;S.CAL!$BJ$4,$AR$5="NON"),M26-BD26,IF(AND(AT26="",AR26&lt;&gt;S.CAL!$BJ$3,AR26&lt;&gt;S.CAL!$BJ$4,$AR$5="OUI"),X26-AI26,IF(AT26&lt;&gt;0,AT26,IF(OR(AR26=S.CAL!$BJ$3,AR26=S.CAL!$BJ$4),AR26,"")))),"")</f>
        <v>0</v>
      </c>
      <c r="AN26" s="1115"/>
      <c r="AO26" s="1116"/>
      <c r="AP26" s="684">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516">
        <f t="shared" si="60"/>
        <v>0</v>
      </c>
      <c r="AR26" s="1120"/>
      <c r="AT26" s="1123"/>
      <c r="AU26" s="995"/>
      <c r="AV26" s="1392">
        <f t="shared" si="39"/>
        <v>45672</v>
      </c>
      <c r="AX26" s="529">
        <f t="shared" si="61"/>
        <v>45672</v>
      </c>
      <c r="AY26" s="541">
        <f t="shared" si="74"/>
        <v>0</v>
      </c>
      <c r="AZ26" s="538" t="s">
        <v>146</v>
      </c>
      <c r="BA26" s="534">
        <f t="shared" si="75"/>
        <v>0</v>
      </c>
      <c r="BB26" s="567" t="str">
        <f t="shared" si="42"/>
        <v/>
      </c>
      <c r="BC26" s="541">
        <f t="shared" si="62"/>
        <v>0</v>
      </c>
      <c r="BD26" s="541">
        <f t="shared" si="63"/>
        <v>0</v>
      </c>
      <c r="BE26" s="1126"/>
      <c r="BF26" s="532" t="str">
        <f t="shared" si="43"/>
        <v/>
      </c>
      <c r="BG26" s="532" t="str">
        <f t="shared" si="64"/>
        <v>oui</v>
      </c>
      <c r="BH26" s="395" t="str">
        <f t="shared" si="44"/>
        <v/>
      </c>
      <c r="BI26" s="24" t="str">
        <f t="shared" si="45"/>
        <v/>
      </c>
      <c r="BJ26" s="1403"/>
      <c r="BK26" s="1403"/>
      <c r="BL26" s="1403"/>
      <c r="BM26" s="1403"/>
      <c r="BN26" s="1403"/>
      <c r="BO26" s="1403"/>
      <c r="BP26" s="1403"/>
      <c r="BQ26" s="1403"/>
      <c r="BS26" s="1392">
        <f t="shared" si="10"/>
        <v>45672</v>
      </c>
      <c r="BT26" s="27" t="str">
        <f t="shared" si="73"/>
        <v/>
      </c>
      <c r="BU26" s="1402"/>
      <c r="BV26" s="1402"/>
      <c r="BW26" s="1402"/>
      <c r="BX26" s="1402"/>
      <c r="BY26" s="1402"/>
      <c r="BZ26" s="1402"/>
      <c r="CA26" s="1402"/>
      <c r="CB26" s="1402"/>
      <c r="CD26" s="1408">
        <f t="shared" si="65"/>
        <v>0</v>
      </c>
      <c r="DC26" s="16" t="str">
        <f>Janvier!FC34</f>
        <v>non</v>
      </c>
      <c r="DG26" s="333">
        <f t="shared" si="66"/>
        <v>1</v>
      </c>
      <c r="DH26" s="129">
        <f t="shared" si="46"/>
        <v>10</v>
      </c>
      <c r="DI26" s="129">
        <f t="shared" si="67"/>
        <v>1</v>
      </c>
      <c r="DK26" s="16">
        <f>+IF(AND(Janvier!$DP$8&lt;&gt;52,AR26=S.CAL!$BJ$4),10,1)</f>
        <v>1</v>
      </c>
      <c r="DN26" s="16">
        <f t="shared" si="47"/>
        <v>1</v>
      </c>
      <c r="DU26" s="1296" t="str">
        <f t="shared" si="68"/>
        <v>Fiche infoA345672</v>
      </c>
      <c r="DV26" s="1384">
        <f t="shared" si="48"/>
        <v>0</v>
      </c>
      <c r="DW26" s="1385">
        <f t="shared" si="49"/>
        <v>0</v>
      </c>
      <c r="DX26" s="1385">
        <f t="shared" si="50"/>
        <v>0</v>
      </c>
      <c r="DY26" s="1385">
        <f t="shared" si="51"/>
        <v>0</v>
      </c>
      <c r="DZ26" s="1385">
        <f t="shared" si="52"/>
        <v>0</v>
      </c>
      <c r="EA26" s="1385">
        <f t="shared" si="53"/>
        <v>0</v>
      </c>
      <c r="EB26" s="1385">
        <f t="shared" si="54"/>
        <v>0</v>
      </c>
      <c r="EC26" s="1385">
        <f t="shared" si="55"/>
        <v>0</v>
      </c>
      <c r="ED26" s="1385">
        <f t="shared" si="69"/>
        <v>0</v>
      </c>
      <c r="EE26" s="1386">
        <f t="shared" si="70"/>
        <v>0</v>
      </c>
      <c r="EG26" s="16" t="str">
        <f t="shared" si="71"/>
        <v>32025</v>
      </c>
      <c r="EH26" s="16" t="str">
        <f t="shared" si="56"/>
        <v>Fiche infoA3</v>
      </c>
      <c r="EI26" s="16" t="str">
        <f t="shared" si="57"/>
        <v/>
      </c>
    </row>
    <row r="27" spans="1:139" x14ac:dyDescent="0.2">
      <c r="A27" s="1395" t="str">
        <f>Janvier!BJ35</f>
        <v>Fiche infoA4</v>
      </c>
      <c r="B27" s="829">
        <f>Janvier!AB35</f>
        <v>45673</v>
      </c>
      <c r="C27" s="1394" t="str">
        <f t="shared" si="72"/>
        <v/>
      </c>
      <c r="D27" s="1001">
        <f t="shared" si="11"/>
        <v>0</v>
      </c>
      <c r="E27" s="452">
        <f t="shared" si="12"/>
        <v>0</v>
      </c>
      <c r="F27" s="452">
        <f t="shared" si="13"/>
        <v>0</v>
      </c>
      <c r="G27" s="452">
        <f t="shared" si="14"/>
        <v>0</v>
      </c>
      <c r="H27" s="452">
        <f t="shared" si="15"/>
        <v>0</v>
      </c>
      <c r="I27" s="452">
        <f t="shared" si="16"/>
        <v>0</v>
      </c>
      <c r="J27" s="452">
        <f t="shared" si="17"/>
        <v>0</v>
      </c>
      <c r="K27" s="452">
        <f t="shared" si="18"/>
        <v>0</v>
      </c>
      <c r="L27" s="452">
        <f t="shared" si="58"/>
        <v>0</v>
      </c>
      <c r="M27" s="1002">
        <f t="shared" si="59"/>
        <v>0</v>
      </c>
      <c r="N27" s="1396"/>
      <c r="O27" s="1001">
        <f t="shared" si="76"/>
        <v>0</v>
      </c>
      <c r="P27" s="452">
        <f t="shared" si="77"/>
        <v>0</v>
      </c>
      <c r="Q27" s="452">
        <f t="shared" si="78"/>
        <v>0</v>
      </c>
      <c r="R27" s="452">
        <f t="shared" si="79"/>
        <v>0</v>
      </c>
      <c r="S27" s="452">
        <f t="shared" si="80"/>
        <v>0</v>
      </c>
      <c r="T27" s="452">
        <f t="shared" si="81"/>
        <v>0</v>
      </c>
      <c r="U27" s="452">
        <f t="shared" si="82"/>
        <v>0</v>
      </c>
      <c r="V27" s="452">
        <f t="shared" si="83"/>
        <v>0</v>
      </c>
      <c r="W27" s="452">
        <f t="shared" si="27"/>
        <v>0</v>
      </c>
      <c r="X27" s="1002">
        <f t="shared" si="28"/>
        <v>0</v>
      </c>
      <c r="Y27" s="1397"/>
      <c r="Z27" s="1398">
        <f t="shared" si="29"/>
        <v>0</v>
      </c>
      <c r="AA27" s="1398">
        <f t="shared" si="30"/>
        <v>0</v>
      </c>
      <c r="AB27" s="1398">
        <f t="shared" si="31"/>
        <v>0</v>
      </c>
      <c r="AC27" s="1398">
        <f t="shared" si="32"/>
        <v>0</v>
      </c>
      <c r="AD27" s="1398">
        <f t="shared" si="33"/>
        <v>0</v>
      </c>
      <c r="AE27" s="1398">
        <f t="shared" si="34"/>
        <v>0</v>
      </c>
      <c r="AF27" s="1398">
        <f t="shared" si="35"/>
        <v>0</v>
      </c>
      <c r="AG27" s="1398">
        <f t="shared" si="36"/>
        <v>0</v>
      </c>
      <c r="AH27" s="1396"/>
      <c r="AI27" s="462">
        <f t="shared" si="84"/>
        <v>0</v>
      </c>
      <c r="AJ27" s="1112"/>
      <c r="AK27" s="1399"/>
      <c r="AL27" s="829">
        <f t="shared" si="38"/>
        <v>45673</v>
      </c>
      <c r="AM27" s="684">
        <f>IFERROR(IF(AND(AT27="",AR27&lt;&gt;S.CAL!$BJ$3,AR27&lt;&gt;S.CAL!$BJ$4,$AR$5="NON"),M27-BD27,IF(AND(AT27="",AR27&lt;&gt;S.CAL!$BJ$3,AR27&lt;&gt;S.CAL!$BJ$4,$AR$5="OUI"),X27-AI27,IF(AT27&lt;&gt;0,AT27,IF(OR(AR27=S.CAL!$BJ$3,AR27=S.CAL!$BJ$4),AR27,"")))),"")</f>
        <v>0</v>
      </c>
      <c r="AN27" s="1115"/>
      <c r="AO27" s="1116"/>
      <c r="AP27" s="684">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400">
        <f t="shared" si="60"/>
        <v>0</v>
      </c>
      <c r="AR27" s="1120"/>
      <c r="AS27" s="1396"/>
      <c r="AT27" s="1123"/>
      <c r="AU27" s="995"/>
      <c r="AV27" s="1392">
        <f t="shared" si="39"/>
        <v>45673</v>
      </c>
      <c r="AW27" s="1396"/>
      <c r="AX27" s="529">
        <f t="shared" si="61"/>
        <v>45673</v>
      </c>
      <c r="AY27" s="541">
        <f t="shared" si="74"/>
        <v>0</v>
      </c>
      <c r="AZ27" s="538" t="s">
        <v>146</v>
      </c>
      <c r="BA27" s="534">
        <f t="shared" si="75"/>
        <v>0</v>
      </c>
      <c r="BB27" s="567" t="str">
        <f t="shared" si="42"/>
        <v/>
      </c>
      <c r="BC27" s="541">
        <f t="shared" si="62"/>
        <v>0</v>
      </c>
      <c r="BD27" s="541">
        <f t="shared" si="63"/>
        <v>0</v>
      </c>
      <c r="BE27" s="1126"/>
      <c r="BF27" s="532" t="str">
        <f t="shared" si="43"/>
        <v/>
      </c>
      <c r="BG27" s="532" t="str">
        <f t="shared" si="64"/>
        <v>oui</v>
      </c>
      <c r="BH27" s="395" t="str">
        <f t="shared" si="44"/>
        <v/>
      </c>
      <c r="BI27" s="24" t="str">
        <f t="shared" si="45"/>
        <v/>
      </c>
      <c r="BJ27" s="1404"/>
      <c r="BK27" s="1404"/>
      <c r="BL27" s="1404"/>
      <c r="BM27" s="1404"/>
      <c r="BN27" s="1404"/>
      <c r="BO27" s="1404"/>
      <c r="BP27" s="1404"/>
      <c r="BQ27" s="1404"/>
      <c r="BR27" s="1405"/>
      <c r="BS27" s="1392">
        <f t="shared" si="10"/>
        <v>45673</v>
      </c>
      <c r="BT27" s="1406" t="str">
        <f t="shared" si="73"/>
        <v/>
      </c>
      <c r="BU27" s="1404"/>
      <c r="BV27" s="1404"/>
      <c r="BW27" s="1404"/>
      <c r="BX27" s="1404"/>
      <c r="BY27" s="1404"/>
      <c r="BZ27" s="1404"/>
      <c r="CA27" s="1404"/>
      <c r="CB27" s="1404"/>
      <c r="CD27" s="1408">
        <f t="shared" si="65"/>
        <v>0</v>
      </c>
      <c r="DC27" s="16" t="str">
        <f>Janvier!FC35</f>
        <v>non</v>
      </c>
      <c r="DG27" s="333">
        <f t="shared" si="66"/>
        <v>1</v>
      </c>
      <c r="DH27" s="129">
        <f t="shared" si="46"/>
        <v>10</v>
      </c>
      <c r="DI27" s="129">
        <f t="shared" si="67"/>
        <v>1</v>
      </c>
      <c r="DK27" s="16">
        <f>+IF(AND(Janvier!$DP$8&lt;&gt;52,AR27=S.CAL!$BJ$4),10,1)</f>
        <v>1</v>
      </c>
      <c r="DN27" s="16">
        <f t="shared" si="47"/>
        <v>1</v>
      </c>
      <c r="DU27" s="1296" t="str">
        <f t="shared" si="68"/>
        <v>Fiche infoA445673</v>
      </c>
      <c r="DV27" s="1384">
        <f t="shared" si="48"/>
        <v>0</v>
      </c>
      <c r="DW27" s="1385">
        <f t="shared" si="49"/>
        <v>0</v>
      </c>
      <c r="DX27" s="1385">
        <f t="shared" si="50"/>
        <v>0</v>
      </c>
      <c r="DY27" s="1385">
        <f t="shared" si="51"/>
        <v>0</v>
      </c>
      <c r="DZ27" s="1385">
        <f t="shared" si="52"/>
        <v>0</v>
      </c>
      <c r="EA27" s="1385">
        <f t="shared" si="53"/>
        <v>0</v>
      </c>
      <c r="EB27" s="1385">
        <f t="shared" si="54"/>
        <v>0</v>
      </c>
      <c r="EC27" s="1385">
        <f t="shared" si="55"/>
        <v>0</v>
      </c>
      <c r="ED27" s="1385">
        <f t="shared" si="69"/>
        <v>0</v>
      </c>
      <c r="EE27" s="1386">
        <f t="shared" si="70"/>
        <v>0</v>
      </c>
      <c r="EG27" s="16" t="str">
        <f t="shared" si="71"/>
        <v>32025</v>
      </c>
      <c r="EH27" s="16" t="str">
        <f t="shared" si="56"/>
        <v>Fiche infoA4</v>
      </c>
      <c r="EI27" s="16" t="str">
        <f t="shared" si="57"/>
        <v/>
      </c>
    </row>
    <row r="28" spans="1:139" x14ac:dyDescent="0.2">
      <c r="A28" s="24" t="str">
        <f>Janvier!BJ36</f>
        <v>Fiche infoA5</v>
      </c>
      <c r="B28" s="829">
        <f>Janvier!AB36</f>
        <v>45674</v>
      </c>
      <c r="C28" s="1393" t="str">
        <f t="shared" si="72"/>
        <v/>
      </c>
      <c r="D28" s="1001">
        <f t="shared" si="11"/>
        <v>0</v>
      </c>
      <c r="E28" s="452">
        <f t="shared" si="12"/>
        <v>0</v>
      </c>
      <c r="F28" s="452">
        <f t="shared" si="13"/>
        <v>0</v>
      </c>
      <c r="G28" s="452">
        <f t="shared" si="14"/>
        <v>0</v>
      </c>
      <c r="H28" s="452">
        <f t="shared" si="15"/>
        <v>0</v>
      </c>
      <c r="I28" s="452">
        <f t="shared" si="16"/>
        <v>0</v>
      </c>
      <c r="J28" s="452">
        <f t="shared" si="17"/>
        <v>0</v>
      </c>
      <c r="K28" s="452">
        <f t="shared" si="18"/>
        <v>0</v>
      </c>
      <c r="L28" s="452">
        <f t="shared" si="58"/>
        <v>0</v>
      </c>
      <c r="M28" s="1002">
        <f t="shared" si="59"/>
        <v>0</v>
      </c>
      <c r="O28" s="1001">
        <f t="shared" si="76"/>
        <v>0</v>
      </c>
      <c r="P28" s="452">
        <f t="shared" si="77"/>
        <v>0</v>
      </c>
      <c r="Q28" s="452">
        <f t="shared" si="78"/>
        <v>0</v>
      </c>
      <c r="R28" s="452">
        <f t="shared" si="79"/>
        <v>0</v>
      </c>
      <c r="S28" s="452">
        <f t="shared" si="80"/>
        <v>0</v>
      </c>
      <c r="T28" s="452">
        <f t="shared" si="81"/>
        <v>0</v>
      </c>
      <c r="U28" s="452">
        <f t="shared" si="82"/>
        <v>0</v>
      </c>
      <c r="V28" s="452">
        <f t="shared" si="83"/>
        <v>0</v>
      </c>
      <c r="W28" s="452">
        <f t="shared" si="27"/>
        <v>0</v>
      </c>
      <c r="X28" s="1002">
        <f t="shared" si="28"/>
        <v>0</v>
      </c>
      <c r="Y28" s="459"/>
      <c r="Z28" s="291">
        <f t="shared" si="29"/>
        <v>0</v>
      </c>
      <c r="AA28" s="291">
        <f t="shared" si="30"/>
        <v>0</v>
      </c>
      <c r="AB28" s="291">
        <f t="shared" si="31"/>
        <v>0</v>
      </c>
      <c r="AC28" s="291">
        <f t="shared" si="32"/>
        <v>0</v>
      </c>
      <c r="AD28" s="291">
        <f t="shared" si="33"/>
        <v>0</v>
      </c>
      <c r="AE28" s="291">
        <f t="shared" si="34"/>
        <v>0</v>
      </c>
      <c r="AF28" s="291">
        <f t="shared" si="35"/>
        <v>0</v>
      </c>
      <c r="AG28" s="291">
        <f t="shared" si="36"/>
        <v>0</v>
      </c>
      <c r="AI28" s="462">
        <f t="shared" si="84"/>
        <v>0</v>
      </c>
      <c r="AJ28" s="1112"/>
      <c r="AK28" s="507"/>
      <c r="AL28" s="829">
        <f t="shared" si="38"/>
        <v>45674</v>
      </c>
      <c r="AM28" s="684">
        <f>IFERROR(IF(AND(AT28="",AR28&lt;&gt;S.CAL!$BJ$3,AR28&lt;&gt;S.CAL!$BJ$4,$AR$5="NON"),M28-BD28,IF(AND(AT28="",AR28&lt;&gt;S.CAL!$BJ$3,AR28&lt;&gt;S.CAL!$BJ$4,$AR$5="OUI"),X28-AI28,IF(AT28&lt;&gt;0,AT28,IF(OR(AR28=S.CAL!$BJ$3,AR28=S.CAL!$BJ$4),AR28,"")))),"")</f>
        <v>0</v>
      </c>
      <c r="AN28" s="1115"/>
      <c r="AO28" s="1116"/>
      <c r="AP28" s="684">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516">
        <f t="shared" si="60"/>
        <v>0</v>
      </c>
      <c r="AR28" s="1120"/>
      <c r="AT28" s="1123"/>
      <c r="AU28" s="995"/>
      <c r="AV28" s="1392">
        <f t="shared" si="39"/>
        <v>45674</v>
      </c>
      <c r="AX28" s="529">
        <f t="shared" si="61"/>
        <v>45674</v>
      </c>
      <c r="AY28" s="541">
        <f t="shared" si="74"/>
        <v>0</v>
      </c>
      <c r="AZ28" s="538" t="s">
        <v>146</v>
      </c>
      <c r="BA28" s="534">
        <f t="shared" si="75"/>
        <v>0</v>
      </c>
      <c r="BB28" s="567" t="str">
        <f t="shared" si="42"/>
        <v/>
      </c>
      <c r="BC28" s="541">
        <f t="shared" si="62"/>
        <v>0</v>
      </c>
      <c r="BD28" s="541">
        <f t="shared" si="63"/>
        <v>0</v>
      </c>
      <c r="BE28" s="1126"/>
      <c r="BF28" s="532" t="str">
        <f t="shared" si="43"/>
        <v/>
      </c>
      <c r="BG28" s="532" t="str">
        <f t="shared" si="64"/>
        <v>oui</v>
      </c>
      <c r="BH28" s="395" t="str">
        <f t="shared" si="44"/>
        <v/>
      </c>
      <c r="BI28" s="24" t="str">
        <f t="shared" si="45"/>
        <v/>
      </c>
      <c r="BJ28" s="1403"/>
      <c r="BK28" s="1403"/>
      <c r="BL28" s="1403"/>
      <c r="BM28" s="1403"/>
      <c r="BN28" s="1403"/>
      <c r="BO28" s="1403"/>
      <c r="BP28" s="1403"/>
      <c r="BQ28" s="1403"/>
      <c r="BS28" s="1392">
        <f t="shared" si="10"/>
        <v>45674</v>
      </c>
      <c r="BT28" s="27" t="str">
        <f t="shared" si="73"/>
        <v/>
      </c>
      <c r="BU28" s="1402"/>
      <c r="BV28" s="1402"/>
      <c r="BW28" s="1402"/>
      <c r="BX28" s="1402"/>
      <c r="BY28" s="1402"/>
      <c r="BZ28" s="1402"/>
      <c r="CA28" s="1402"/>
      <c r="CB28" s="1402"/>
      <c r="CD28" s="1408">
        <f t="shared" si="65"/>
        <v>0</v>
      </c>
      <c r="DC28" s="16" t="str">
        <f>Janvier!FC36</f>
        <v>non</v>
      </c>
      <c r="DG28" s="333">
        <f t="shared" si="66"/>
        <v>1</v>
      </c>
      <c r="DH28" s="129">
        <f t="shared" si="46"/>
        <v>10</v>
      </c>
      <c r="DI28" s="129">
        <f t="shared" si="67"/>
        <v>1</v>
      </c>
      <c r="DK28" s="16">
        <f>+IF(AND(Janvier!$DP$8&lt;&gt;52,AR28=S.CAL!$BJ$4),10,1)</f>
        <v>1</v>
      </c>
      <c r="DN28" s="16">
        <f t="shared" si="47"/>
        <v>1</v>
      </c>
      <c r="DU28" s="1296" t="str">
        <f t="shared" si="68"/>
        <v>Fiche infoA545674</v>
      </c>
      <c r="DV28" s="1384">
        <f t="shared" si="48"/>
        <v>0</v>
      </c>
      <c r="DW28" s="1385">
        <f t="shared" si="49"/>
        <v>0</v>
      </c>
      <c r="DX28" s="1385">
        <f t="shared" si="50"/>
        <v>0</v>
      </c>
      <c r="DY28" s="1385">
        <f t="shared" si="51"/>
        <v>0</v>
      </c>
      <c r="DZ28" s="1385">
        <f t="shared" si="52"/>
        <v>0</v>
      </c>
      <c r="EA28" s="1385">
        <f t="shared" si="53"/>
        <v>0</v>
      </c>
      <c r="EB28" s="1385">
        <f t="shared" si="54"/>
        <v>0</v>
      </c>
      <c r="EC28" s="1385">
        <f t="shared" si="55"/>
        <v>0</v>
      </c>
      <c r="ED28" s="1385">
        <f t="shared" si="69"/>
        <v>0</v>
      </c>
      <c r="EE28" s="1386">
        <f t="shared" si="70"/>
        <v>0</v>
      </c>
      <c r="EG28" s="16" t="str">
        <f t="shared" si="71"/>
        <v>32025</v>
      </c>
      <c r="EH28" s="16" t="str">
        <f t="shared" si="56"/>
        <v>Fiche infoA5</v>
      </c>
      <c r="EI28" s="16" t="str">
        <f t="shared" si="57"/>
        <v/>
      </c>
    </row>
    <row r="29" spans="1:139" x14ac:dyDescent="0.2">
      <c r="A29" s="1395" t="str">
        <f>Janvier!BJ37</f>
        <v>Fiche infoA6</v>
      </c>
      <c r="B29" s="829">
        <f>Janvier!AB37</f>
        <v>45675</v>
      </c>
      <c r="C29" s="1394" t="str">
        <f t="shared" si="72"/>
        <v/>
      </c>
      <c r="D29" s="1001">
        <f t="shared" si="11"/>
        <v>0</v>
      </c>
      <c r="E29" s="452">
        <f t="shared" si="12"/>
        <v>0</v>
      </c>
      <c r="F29" s="452">
        <f t="shared" si="13"/>
        <v>0</v>
      </c>
      <c r="G29" s="452">
        <f t="shared" si="14"/>
        <v>0</v>
      </c>
      <c r="H29" s="452">
        <f t="shared" si="15"/>
        <v>0</v>
      </c>
      <c r="I29" s="452">
        <f t="shared" si="16"/>
        <v>0</v>
      </c>
      <c r="J29" s="452">
        <f t="shared" si="17"/>
        <v>0</v>
      </c>
      <c r="K29" s="452">
        <f t="shared" si="18"/>
        <v>0</v>
      </c>
      <c r="L29" s="452">
        <f t="shared" si="58"/>
        <v>0</v>
      </c>
      <c r="M29" s="1002">
        <f t="shared" si="59"/>
        <v>0</v>
      </c>
      <c r="N29" s="1396"/>
      <c r="O29" s="1001">
        <f t="shared" si="76"/>
        <v>0</v>
      </c>
      <c r="P29" s="452">
        <f t="shared" si="77"/>
        <v>0</v>
      </c>
      <c r="Q29" s="452">
        <f t="shared" si="78"/>
        <v>0</v>
      </c>
      <c r="R29" s="452">
        <f t="shared" si="79"/>
        <v>0</v>
      </c>
      <c r="S29" s="452">
        <f t="shared" si="80"/>
        <v>0</v>
      </c>
      <c r="T29" s="452">
        <f t="shared" si="81"/>
        <v>0</v>
      </c>
      <c r="U29" s="452">
        <f t="shared" si="82"/>
        <v>0</v>
      </c>
      <c r="V29" s="452">
        <f t="shared" si="83"/>
        <v>0</v>
      </c>
      <c r="W29" s="452">
        <f t="shared" si="27"/>
        <v>0</v>
      </c>
      <c r="X29" s="1002">
        <f t="shared" si="28"/>
        <v>0</v>
      </c>
      <c r="Y29" s="1397"/>
      <c r="Z29" s="1398">
        <f t="shared" si="29"/>
        <v>0</v>
      </c>
      <c r="AA29" s="1398">
        <f t="shared" si="30"/>
        <v>0</v>
      </c>
      <c r="AB29" s="1398">
        <f t="shared" si="31"/>
        <v>0</v>
      </c>
      <c r="AC29" s="1398">
        <f t="shared" si="32"/>
        <v>0</v>
      </c>
      <c r="AD29" s="1398">
        <f t="shared" si="33"/>
        <v>0</v>
      </c>
      <c r="AE29" s="1398">
        <f t="shared" si="34"/>
        <v>0</v>
      </c>
      <c r="AF29" s="1398">
        <f t="shared" si="35"/>
        <v>0</v>
      </c>
      <c r="AG29" s="1398">
        <f t="shared" si="36"/>
        <v>0</v>
      </c>
      <c r="AH29" s="1396"/>
      <c r="AI29" s="462">
        <f t="shared" si="84"/>
        <v>0</v>
      </c>
      <c r="AJ29" s="1112"/>
      <c r="AK29" s="1399"/>
      <c r="AL29" s="829">
        <f t="shared" si="38"/>
        <v>45675</v>
      </c>
      <c r="AM29" s="684">
        <f>IFERROR(IF(AND(AT29="",AR29&lt;&gt;S.CAL!$BJ$3,AR29&lt;&gt;S.CAL!$BJ$4,$AR$5="NON"),M29-BD29,IF(AND(AT29="",AR29&lt;&gt;S.CAL!$BJ$3,AR29&lt;&gt;S.CAL!$BJ$4,$AR$5="OUI"),X29-AI29,IF(AT29&lt;&gt;0,AT29,IF(OR(AR29=S.CAL!$BJ$3,AR29=S.CAL!$BJ$4),AR29,"")))),"")</f>
        <v>0</v>
      </c>
      <c r="AN29" s="1115"/>
      <c r="AO29" s="1116"/>
      <c r="AP29" s="684">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400">
        <f t="shared" si="60"/>
        <v>0</v>
      </c>
      <c r="AR29" s="1120"/>
      <c r="AS29" s="1396"/>
      <c r="AT29" s="1123"/>
      <c r="AU29" s="995"/>
      <c r="AV29" s="1392">
        <f t="shared" si="39"/>
        <v>45675</v>
      </c>
      <c r="AW29" s="1396"/>
      <c r="AX29" s="529">
        <f t="shared" si="61"/>
        <v>45675</v>
      </c>
      <c r="AY29" s="541">
        <f t="shared" si="74"/>
        <v>0</v>
      </c>
      <c r="AZ29" s="538" t="s">
        <v>146</v>
      </c>
      <c r="BA29" s="534">
        <f t="shared" si="75"/>
        <v>0</v>
      </c>
      <c r="BB29" s="567" t="str">
        <f t="shared" si="42"/>
        <v/>
      </c>
      <c r="BC29" s="541">
        <f t="shared" si="62"/>
        <v>0</v>
      </c>
      <c r="BD29" s="541">
        <f t="shared" si="63"/>
        <v>0</v>
      </c>
      <c r="BE29" s="1126"/>
      <c r="BF29" s="532" t="str">
        <f t="shared" si="43"/>
        <v/>
      </c>
      <c r="BG29" s="532" t="str">
        <f t="shared" si="64"/>
        <v>oui</v>
      </c>
      <c r="BH29" s="395" t="str">
        <f t="shared" si="44"/>
        <v/>
      </c>
      <c r="BI29" s="24" t="str">
        <f t="shared" si="45"/>
        <v/>
      </c>
      <c r="BJ29" s="1404"/>
      <c r="BK29" s="1404"/>
      <c r="BL29" s="1404"/>
      <c r="BM29" s="1404"/>
      <c r="BN29" s="1404"/>
      <c r="BO29" s="1404"/>
      <c r="BP29" s="1404"/>
      <c r="BQ29" s="1404"/>
      <c r="BR29" s="1405"/>
      <c r="BS29" s="1392">
        <f t="shared" si="10"/>
        <v>45675</v>
      </c>
      <c r="BT29" s="1406" t="str">
        <f t="shared" si="73"/>
        <v/>
      </c>
      <c r="BU29" s="1404"/>
      <c r="BV29" s="1404"/>
      <c r="BW29" s="1404"/>
      <c r="BX29" s="1404"/>
      <c r="BY29" s="1404"/>
      <c r="BZ29" s="1404"/>
      <c r="CA29" s="1404"/>
      <c r="CB29" s="1404"/>
      <c r="CD29" s="1408">
        <f t="shared" si="65"/>
        <v>0</v>
      </c>
      <c r="DC29" s="16" t="str">
        <f>Janvier!FC37</f>
        <v>non</v>
      </c>
      <c r="DG29" s="333">
        <f t="shared" si="66"/>
        <v>1</v>
      </c>
      <c r="DH29" s="129">
        <f t="shared" si="46"/>
        <v>10</v>
      </c>
      <c r="DI29" s="129">
        <f t="shared" si="67"/>
        <v>1</v>
      </c>
      <c r="DK29" s="16">
        <f>+IF(AND(Janvier!$DP$8&lt;&gt;52,AR29=S.CAL!$BJ$4),10,1)</f>
        <v>1</v>
      </c>
      <c r="DN29" s="16">
        <f t="shared" si="47"/>
        <v>1</v>
      </c>
      <c r="DU29" s="1296" t="str">
        <f t="shared" si="68"/>
        <v>Fiche infoA645675</v>
      </c>
      <c r="DV29" s="1384">
        <f t="shared" si="48"/>
        <v>0</v>
      </c>
      <c r="DW29" s="1385">
        <f t="shared" si="49"/>
        <v>0</v>
      </c>
      <c r="DX29" s="1385">
        <f t="shared" si="50"/>
        <v>0</v>
      </c>
      <c r="DY29" s="1385">
        <f t="shared" si="51"/>
        <v>0</v>
      </c>
      <c r="DZ29" s="1385">
        <f t="shared" si="52"/>
        <v>0</v>
      </c>
      <c r="EA29" s="1385">
        <f t="shared" si="53"/>
        <v>0</v>
      </c>
      <c r="EB29" s="1385">
        <f t="shared" si="54"/>
        <v>0</v>
      </c>
      <c r="EC29" s="1385">
        <f t="shared" si="55"/>
        <v>0</v>
      </c>
      <c r="ED29" s="1385">
        <f t="shared" si="69"/>
        <v>0</v>
      </c>
      <c r="EE29" s="1386">
        <f t="shared" si="70"/>
        <v>0</v>
      </c>
      <c r="EG29" s="16" t="str">
        <f t="shared" si="71"/>
        <v>32025</v>
      </c>
      <c r="EH29" s="16" t="str">
        <f t="shared" si="56"/>
        <v>Fiche infoA6</v>
      </c>
      <c r="EI29" s="16" t="str">
        <f t="shared" si="57"/>
        <v/>
      </c>
    </row>
    <row r="30" spans="1:139" x14ac:dyDescent="0.2">
      <c r="A30" s="24" t="str">
        <f>Janvier!BJ38</f>
        <v>Fiche infoA7</v>
      </c>
      <c r="B30" s="829">
        <f>Janvier!AB38</f>
        <v>45676</v>
      </c>
      <c r="C30" s="1393" t="str">
        <f t="shared" si="72"/>
        <v/>
      </c>
      <c r="D30" s="1001">
        <f t="shared" si="11"/>
        <v>0</v>
      </c>
      <c r="E30" s="452">
        <f t="shared" si="12"/>
        <v>0</v>
      </c>
      <c r="F30" s="452">
        <f t="shared" si="13"/>
        <v>0</v>
      </c>
      <c r="G30" s="452">
        <f t="shared" si="14"/>
        <v>0</v>
      </c>
      <c r="H30" s="452">
        <f t="shared" si="15"/>
        <v>0</v>
      </c>
      <c r="I30" s="452">
        <f t="shared" si="16"/>
        <v>0</v>
      </c>
      <c r="J30" s="452">
        <f t="shared" si="17"/>
        <v>0</v>
      </c>
      <c r="K30" s="452">
        <f t="shared" si="18"/>
        <v>0</v>
      </c>
      <c r="L30" s="452">
        <f t="shared" si="58"/>
        <v>0</v>
      </c>
      <c r="M30" s="1002">
        <f t="shared" si="59"/>
        <v>0</v>
      </c>
      <c r="O30" s="1001">
        <f t="shared" si="76"/>
        <v>0</v>
      </c>
      <c r="P30" s="452">
        <f t="shared" si="77"/>
        <v>0</v>
      </c>
      <c r="Q30" s="452">
        <f t="shared" si="78"/>
        <v>0</v>
      </c>
      <c r="R30" s="452">
        <f t="shared" si="79"/>
        <v>0</v>
      </c>
      <c r="S30" s="452">
        <f t="shared" si="80"/>
        <v>0</v>
      </c>
      <c r="T30" s="452">
        <f t="shared" si="81"/>
        <v>0</v>
      </c>
      <c r="U30" s="452">
        <f t="shared" si="82"/>
        <v>0</v>
      </c>
      <c r="V30" s="452">
        <f t="shared" si="83"/>
        <v>0</v>
      </c>
      <c r="W30" s="452">
        <f t="shared" si="27"/>
        <v>0</v>
      </c>
      <c r="X30" s="1002">
        <f t="shared" si="28"/>
        <v>0</v>
      </c>
      <c r="Y30" s="459"/>
      <c r="Z30" s="291">
        <f t="shared" si="29"/>
        <v>0</v>
      </c>
      <c r="AA30" s="291">
        <f t="shared" si="30"/>
        <v>0</v>
      </c>
      <c r="AB30" s="291">
        <f t="shared" si="31"/>
        <v>0</v>
      </c>
      <c r="AC30" s="291">
        <f t="shared" si="32"/>
        <v>0</v>
      </c>
      <c r="AD30" s="291">
        <f t="shared" si="33"/>
        <v>0</v>
      </c>
      <c r="AE30" s="291">
        <f t="shared" si="34"/>
        <v>0</v>
      </c>
      <c r="AF30" s="291">
        <f t="shared" si="35"/>
        <v>0</v>
      </c>
      <c r="AG30" s="291">
        <f t="shared" si="36"/>
        <v>0</v>
      </c>
      <c r="AI30" s="462">
        <f t="shared" si="84"/>
        <v>0</v>
      </c>
      <c r="AJ30" s="1112"/>
      <c r="AK30" s="507"/>
      <c r="AL30" s="829">
        <f t="shared" si="38"/>
        <v>45676</v>
      </c>
      <c r="AM30" s="684">
        <f>IFERROR(IF(AND(AT30="",AR30&lt;&gt;S.CAL!$BJ$3,AR30&lt;&gt;S.CAL!$BJ$4,$AR$5="NON"),M30-BD30,IF(AND(AT30="",AR30&lt;&gt;S.CAL!$BJ$3,AR30&lt;&gt;S.CAL!$BJ$4,$AR$5="OUI"),X30-AI30,IF(AT30&lt;&gt;0,AT30,IF(OR(AR30=S.CAL!$BJ$3,AR30=S.CAL!$BJ$4),AR30,"")))),"")</f>
        <v>0</v>
      </c>
      <c r="AN30" s="1115"/>
      <c r="AO30" s="1116"/>
      <c r="AP30" s="684">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516">
        <f t="shared" si="60"/>
        <v>0</v>
      </c>
      <c r="AR30" s="1120"/>
      <c r="AT30" s="1123"/>
      <c r="AU30" s="995"/>
      <c r="AV30" s="1392">
        <f t="shared" si="39"/>
        <v>45676</v>
      </c>
      <c r="AX30" s="529">
        <f t="shared" si="61"/>
        <v>45676</v>
      </c>
      <c r="AY30" s="541">
        <f t="shared" si="74"/>
        <v>0</v>
      </c>
      <c r="AZ30" s="538" t="s">
        <v>146</v>
      </c>
      <c r="BA30" s="534">
        <f t="shared" si="75"/>
        <v>0</v>
      </c>
      <c r="BB30" s="567" t="str">
        <f t="shared" si="42"/>
        <v/>
      </c>
      <c r="BC30" s="541">
        <f t="shared" si="62"/>
        <v>0</v>
      </c>
      <c r="BD30" s="541">
        <f t="shared" si="63"/>
        <v>0</v>
      </c>
      <c r="BE30" s="1126"/>
      <c r="BF30" s="532" t="str">
        <f t="shared" si="43"/>
        <v/>
      </c>
      <c r="BG30" s="532" t="str">
        <f t="shared" si="64"/>
        <v>oui</v>
      </c>
      <c r="BH30" s="395" t="str">
        <f t="shared" si="44"/>
        <v/>
      </c>
      <c r="BI30" s="24" t="str">
        <f t="shared" si="45"/>
        <v/>
      </c>
      <c r="BJ30" s="1403"/>
      <c r="BK30" s="1403"/>
      <c r="BL30" s="1403"/>
      <c r="BM30" s="1403"/>
      <c r="BN30" s="1403"/>
      <c r="BO30" s="1403"/>
      <c r="BP30" s="1403"/>
      <c r="BQ30" s="1403"/>
      <c r="BS30" s="1392">
        <f t="shared" si="10"/>
        <v>45676</v>
      </c>
      <c r="BT30" s="27" t="str">
        <f t="shared" si="73"/>
        <v/>
      </c>
      <c r="BU30" s="1402"/>
      <c r="BV30" s="1402"/>
      <c r="BW30" s="1402"/>
      <c r="BX30" s="1402"/>
      <c r="BY30" s="1402"/>
      <c r="BZ30" s="1402"/>
      <c r="CA30" s="1402"/>
      <c r="CB30" s="1402"/>
      <c r="CD30" s="1408">
        <f t="shared" si="65"/>
        <v>0</v>
      </c>
      <c r="DC30" s="16" t="str">
        <f>Janvier!FC38</f>
        <v>non</v>
      </c>
      <c r="DG30" s="333">
        <f t="shared" si="66"/>
        <v>1</v>
      </c>
      <c r="DH30" s="129">
        <f t="shared" si="46"/>
        <v>10</v>
      </c>
      <c r="DI30" s="129">
        <f t="shared" si="67"/>
        <v>1</v>
      </c>
      <c r="DK30" s="16">
        <f>+IF(AND(Janvier!$DP$8&lt;&gt;52,AR30=S.CAL!$BJ$4),10,1)</f>
        <v>1</v>
      </c>
      <c r="DN30" s="16">
        <f t="shared" si="47"/>
        <v>1</v>
      </c>
      <c r="DU30" s="1296" t="str">
        <f t="shared" si="68"/>
        <v>Fiche infoA745676</v>
      </c>
      <c r="DV30" s="1384">
        <f t="shared" si="48"/>
        <v>0</v>
      </c>
      <c r="DW30" s="1385">
        <f t="shared" si="49"/>
        <v>0</v>
      </c>
      <c r="DX30" s="1385">
        <f t="shared" si="50"/>
        <v>0</v>
      </c>
      <c r="DY30" s="1385">
        <f t="shared" si="51"/>
        <v>0</v>
      </c>
      <c r="DZ30" s="1385">
        <f t="shared" si="52"/>
        <v>0</v>
      </c>
      <c r="EA30" s="1385">
        <f t="shared" si="53"/>
        <v>0</v>
      </c>
      <c r="EB30" s="1385">
        <f t="shared" si="54"/>
        <v>0</v>
      </c>
      <c r="EC30" s="1385">
        <f t="shared" si="55"/>
        <v>0</v>
      </c>
      <c r="ED30" s="1385">
        <f t="shared" si="69"/>
        <v>0</v>
      </c>
      <c r="EE30" s="1386">
        <f t="shared" si="70"/>
        <v>0</v>
      </c>
      <c r="EG30" s="16" t="str">
        <f t="shared" si="71"/>
        <v>32025</v>
      </c>
      <c r="EH30" s="16" t="str">
        <f t="shared" si="56"/>
        <v>Fiche infoA7</v>
      </c>
      <c r="EI30" s="16" t="str">
        <f t="shared" si="57"/>
        <v/>
      </c>
    </row>
    <row r="31" spans="1:139" x14ac:dyDescent="0.2">
      <c r="A31" s="1395" t="str">
        <f>Janvier!BJ39</f>
        <v>Fiche infoA1</v>
      </c>
      <c r="B31" s="829">
        <f>Janvier!AB39</f>
        <v>45677</v>
      </c>
      <c r="C31" s="1394">
        <f t="shared" si="72"/>
        <v>4</v>
      </c>
      <c r="D31" s="1001">
        <f t="shared" si="11"/>
        <v>0</v>
      </c>
      <c r="E31" s="452">
        <f t="shared" si="12"/>
        <v>0</v>
      </c>
      <c r="F31" s="452">
        <f t="shared" si="13"/>
        <v>0</v>
      </c>
      <c r="G31" s="452">
        <f t="shared" si="14"/>
        <v>0</v>
      </c>
      <c r="H31" s="452">
        <f t="shared" si="15"/>
        <v>0</v>
      </c>
      <c r="I31" s="452">
        <f t="shared" si="16"/>
        <v>0</v>
      </c>
      <c r="J31" s="452">
        <f t="shared" si="17"/>
        <v>0</v>
      </c>
      <c r="K31" s="452">
        <f t="shared" si="18"/>
        <v>0</v>
      </c>
      <c r="L31" s="452">
        <f t="shared" si="58"/>
        <v>0</v>
      </c>
      <c r="M31" s="1002">
        <f t="shared" si="59"/>
        <v>0</v>
      </c>
      <c r="N31" s="1396"/>
      <c r="O31" s="1001">
        <f t="shared" si="76"/>
        <v>0</v>
      </c>
      <c r="P31" s="452">
        <f t="shared" si="77"/>
        <v>0</v>
      </c>
      <c r="Q31" s="452">
        <f t="shared" si="78"/>
        <v>0</v>
      </c>
      <c r="R31" s="452">
        <f t="shared" si="79"/>
        <v>0</v>
      </c>
      <c r="S31" s="452">
        <f t="shared" si="80"/>
        <v>0</v>
      </c>
      <c r="T31" s="452">
        <f t="shared" si="81"/>
        <v>0</v>
      </c>
      <c r="U31" s="452">
        <f t="shared" si="82"/>
        <v>0</v>
      </c>
      <c r="V31" s="452">
        <f t="shared" si="83"/>
        <v>0</v>
      </c>
      <c r="W31" s="452">
        <f t="shared" si="27"/>
        <v>0</v>
      </c>
      <c r="X31" s="1002">
        <f t="shared" si="28"/>
        <v>0</v>
      </c>
      <c r="Y31" s="1397"/>
      <c r="Z31" s="1398">
        <f t="shared" si="29"/>
        <v>0</v>
      </c>
      <c r="AA31" s="1398">
        <f t="shared" si="30"/>
        <v>0</v>
      </c>
      <c r="AB31" s="1398">
        <f t="shared" si="31"/>
        <v>0</v>
      </c>
      <c r="AC31" s="1398">
        <f t="shared" si="32"/>
        <v>0</v>
      </c>
      <c r="AD31" s="1398">
        <f t="shared" si="33"/>
        <v>0</v>
      </c>
      <c r="AE31" s="1398">
        <f t="shared" si="34"/>
        <v>0</v>
      </c>
      <c r="AF31" s="1398">
        <f t="shared" si="35"/>
        <v>0</v>
      </c>
      <c r="AG31" s="1398">
        <f t="shared" si="36"/>
        <v>0</v>
      </c>
      <c r="AH31" s="1396"/>
      <c r="AI31" s="462">
        <f t="shared" si="84"/>
        <v>0</v>
      </c>
      <c r="AJ31" s="1112"/>
      <c r="AK31" s="1399"/>
      <c r="AL31" s="829">
        <f t="shared" si="38"/>
        <v>45677</v>
      </c>
      <c r="AM31" s="684">
        <f>IFERROR(IF(AND(AT31="",AR31&lt;&gt;S.CAL!$BJ$3,AR31&lt;&gt;S.CAL!$BJ$4,$AR$5="NON"),M31-BD31,IF(AND(AT31="",AR31&lt;&gt;S.CAL!$BJ$3,AR31&lt;&gt;S.CAL!$BJ$4,$AR$5="OUI"),X31-AI31,IF(AT31&lt;&gt;0,AT31,IF(OR(AR31=S.CAL!$BJ$3,AR31=S.CAL!$BJ$4),AR31,"")))),"")</f>
        <v>0</v>
      </c>
      <c r="AN31" s="1115"/>
      <c r="AO31" s="1116"/>
      <c r="AP31" s="684">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400">
        <f t="shared" si="60"/>
        <v>0</v>
      </c>
      <c r="AR31" s="1120"/>
      <c r="AS31" s="1396"/>
      <c r="AT31" s="1123"/>
      <c r="AU31" s="995"/>
      <c r="AV31" s="1392">
        <f t="shared" si="39"/>
        <v>45677</v>
      </c>
      <c r="AW31" s="1396"/>
      <c r="AX31" s="529">
        <f t="shared" si="61"/>
        <v>45677</v>
      </c>
      <c r="AY31" s="541">
        <f t="shared" si="74"/>
        <v>0</v>
      </c>
      <c r="AZ31" s="538" t="s">
        <v>146</v>
      </c>
      <c r="BA31" s="534">
        <f t="shared" si="75"/>
        <v>0</v>
      </c>
      <c r="BB31" s="567" t="str">
        <f t="shared" si="42"/>
        <v/>
      </c>
      <c r="BC31" s="541">
        <f t="shared" si="62"/>
        <v>0</v>
      </c>
      <c r="BD31" s="541">
        <f t="shared" si="63"/>
        <v>0</v>
      </c>
      <c r="BE31" s="1126"/>
      <c r="BF31" s="532" t="str">
        <f t="shared" si="43"/>
        <v/>
      </c>
      <c r="BG31" s="532" t="str">
        <f t="shared" si="64"/>
        <v>oui</v>
      </c>
      <c r="BH31" s="395" t="str">
        <f t="shared" si="44"/>
        <v/>
      </c>
      <c r="BI31" s="24" t="str">
        <f t="shared" si="45"/>
        <v/>
      </c>
      <c r="BJ31" s="1404"/>
      <c r="BK31" s="1404"/>
      <c r="BL31" s="1404"/>
      <c r="BM31" s="1404"/>
      <c r="BN31" s="1404"/>
      <c r="BO31" s="1404"/>
      <c r="BP31" s="1404"/>
      <c r="BQ31" s="1404"/>
      <c r="BR31" s="1405"/>
      <c r="BS31" s="1392">
        <f t="shared" si="10"/>
        <v>45677</v>
      </c>
      <c r="BT31" s="1406">
        <f t="shared" si="73"/>
        <v>4</v>
      </c>
      <c r="BU31" s="1404"/>
      <c r="BV31" s="1404"/>
      <c r="BW31" s="1404"/>
      <c r="BX31" s="1404"/>
      <c r="BY31" s="1404"/>
      <c r="BZ31" s="1404"/>
      <c r="CA31" s="1404"/>
      <c r="CB31" s="1404"/>
      <c r="CD31" s="1408">
        <f t="shared" si="65"/>
        <v>0</v>
      </c>
      <c r="DC31" s="16" t="str">
        <f>Janvier!FC39</f>
        <v>non</v>
      </c>
      <c r="DG31" s="333">
        <f t="shared" si="66"/>
        <v>1</v>
      </c>
      <c r="DH31" s="129">
        <f t="shared" si="46"/>
        <v>10</v>
      </c>
      <c r="DI31" s="129">
        <f t="shared" si="67"/>
        <v>1</v>
      </c>
      <c r="DK31" s="16">
        <f>+IF(AND(Janvier!$DP$8&lt;&gt;52,AR31=S.CAL!$BJ$4),10,1)</f>
        <v>1</v>
      </c>
      <c r="DN31" s="16">
        <f t="shared" si="47"/>
        <v>1</v>
      </c>
      <c r="DU31" s="1296" t="str">
        <f t="shared" si="68"/>
        <v>Fiche infoA145677</v>
      </c>
      <c r="DV31" s="1384">
        <f t="shared" si="48"/>
        <v>0</v>
      </c>
      <c r="DW31" s="1385">
        <f t="shared" si="49"/>
        <v>0</v>
      </c>
      <c r="DX31" s="1385">
        <f t="shared" si="50"/>
        <v>0</v>
      </c>
      <c r="DY31" s="1385">
        <f t="shared" si="51"/>
        <v>0</v>
      </c>
      <c r="DZ31" s="1385">
        <f t="shared" si="52"/>
        <v>0</v>
      </c>
      <c r="EA31" s="1385">
        <f t="shared" si="53"/>
        <v>0</v>
      </c>
      <c r="EB31" s="1385">
        <f t="shared" si="54"/>
        <v>0</v>
      </c>
      <c r="EC31" s="1385">
        <f t="shared" si="55"/>
        <v>0</v>
      </c>
      <c r="ED31" s="1385">
        <f t="shared" si="69"/>
        <v>0</v>
      </c>
      <c r="EE31" s="1386">
        <f t="shared" si="70"/>
        <v>0</v>
      </c>
      <c r="EG31" s="16" t="str">
        <f t="shared" si="71"/>
        <v>42025</v>
      </c>
      <c r="EH31" s="16" t="str">
        <f t="shared" si="56"/>
        <v>Fiche infoA1</v>
      </c>
      <c r="EI31" s="16" t="str">
        <f t="shared" si="57"/>
        <v/>
      </c>
    </row>
    <row r="32" spans="1:139" x14ac:dyDescent="0.2">
      <c r="A32" s="24" t="str">
        <f>Janvier!BJ40</f>
        <v>Fiche infoA2</v>
      </c>
      <c r="B32" s="829">
        <f>Janvier!AB40</f>
        <v>45678</v>
      </c>
      <c r="C32" s="1393" t="str">
        <f t="shared" si="72"/>
        <v/>
      </c>
      <c r="D32" s="1001">
        <f t="shared" si="11"/>
        <v>0</v>
      </c>
      <c r="E32" s="452">
        <f t="shared" si="12"/>
        <v>0</v>
      </c>
      <c r="F32" s="452">
        <f t="shared" si="13"/>
        <v>0</v>
      </c>
      <c r="G32" s="452">
        <f t="shared" si="14"/>
        <v>0</v>
      </c>
      <c r="H32" s="452">
        <f t="shared" si="15"/>
        <v>0</v>
      </c>
      <c r="I32" s="452">
        <f t="shared" si="16"/>
        <v>0</v>
      </c>
      <c r="J32" s="452">
        <f t="shared" si="17"/>
        <v>0</v>
      </c>
      <c r="K32" s="452">
        <f t="shared" si="18"/>
        <v>0</v>
      </c>
      <c r="L32" s="452">
        <f t="shared" si="58"/>
        <v>0</v>
      </c>
      <c r="M32" s="1002">
        <f t="shared" si="59"/>
        <v>0</v>
      </c>
      <c r="O32" s="1001">
        <f t="shared" si="76"/>
        <v>0</v>
      </c>
      <c r="P32" s="452">
        <f t="shared" si="77"/>
        <v>0</v>
      </c>
      <c r="Q32" s="452">
        <f t="shared" si="78"/>
        <v>0</v>
      </c>
      <c r="R32" s="452">
        <f t="shared" si="79"/>
        <v>0</v>
      </c>
      <c r="S32" s="452">
        <f t="shared" si="80"/>
        <v>0</v>
      </c>
      <c r="T32" s="452">
        <f t="shared" si="81"/>
        <v>0</v>
      </c>
      <c r="U32" s="452">
        <f t="shared" si="82"/>
        <v>0</v>
      </c>
      <c r="V32" s="452">
        <f t="shared" si="83"/>
        <v>0</v>
      </c>
      <c r="W32" s="452">
        <f t="shared" si="27"/>
        <v>0</v>
      </c>
      <c r="X32" s="1002">
        <f t="shared" si="28"/>
        <v>0</v>
      </c>
      <c r="Y32" s="459"/>
      <c r="Z32" s="291">
        <f t="shared" si="29"/>
        <v>0</v>
      </c>
      <c r="AA32" s="291">
        <f t="shared" si="30"/>
        <v>0</v>
      </c>
      <c r="AB32" s="291">
        <f t="shared" si="31"/>
        <v>0</v>
      </c>
      <c r="AC32" s="291">
        <f t="shared" si="32"/>
        <v>0</v>
      </c>
      <c r="AD32" s="291">
        <f t="shared" si="33"/>
        <v>0</v>
      </c>
      <c r="AE32" s="291">
        <f t="shared" si="34"/>
        <v>0</v>
      </c>
      <c r="AF32" s="291">
        <f t="shared" si="35"/>
        <v>0</v>
      </c>
      <c r="AG32" s="291">
        <f t="shared" si="36"/>
        <v>0</v>
      </c>
      <c r="AI32" s="462">
        <f t="shared" si="84"/>
        <v>0</v>
      </c>
      <c r="AJ32" s="1112"/>
      <c r="AK32" s="507"/>
      <c r="AL32" s="829">
        <f t="shared" si="38"/>
        <v>45678</v>
      </c>
      <c r="AM32" s="684">
        <f>IFERROR(IF(AND(AT32="",AR32&lt;&gt;S.CAL!$BJ$3,AR32&lt;&gt;S.CAL!$BJ$4,$AR$5="NON"),M32-BD32,IF(AND(AT32="",AR32&lt;&gt;S.CAL!$BJ$3,AR32&lt;&gt;S.CAL!$BJ$4,$AR$5="OUI"),X32-AI32,IF(AT32&lt;&gt;0,AT32,IF(OR(AR32=S.CAL!$BJ$3,AR32=S.CAL!$BJ$4),AR32,"")))),"")</f>
        <v>0</v>
      </c>
      <c r="AN32" s="1115"/>
      <c r="AO32" s="1116"/>
      <c r="AP32" s="684">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516">
        <f t="shared" si="60"/>
        <v>0</v>
      </c>
      <c r="AR32" s="1120"/>
      <c r="AT32" s="1123"/>
      <c r="AU32" s="995"/>
      <c r="AV32" s="1392">
        <f t="shared" si="39"/>
        <v>45678</v>
      </c>
      <c r="AX32" s="529">
        <f t="shared" si="61"/>
        <v>45678</v>
      </c>
      <c r="AY32" s="541">
        <f t="shared" si="74"/>
        <v>0</v>
      </c>
      <c r="AZ32" s="538" t="s">
        <v>146</v>
      </c>
      <c r="BA32" s="534">
        <f t="shared" si="75"/>
        <v>0</v>
      </c>
      <c r="BB32" s="567" t="str">
        <f t="shared" si="42"/>
        <v/>
      </c>
      <c r="BC32" s="541">
        <f t="shared" si="62"/>
        <v>0</v>
      </c>
      <c r="BD32" s="541">
        <f t="shared" si="63"/>
        <v>0</v>
      </c>
      <c r="BE32" s="1126"/>
      <c r="BF32" s="532" t="str">
        <f t="shared" si="43"/>
        <v/>
      </c>
      <c r="BG32" s="532" t="str">
        <f t="shared" si="64"/>
        <v>oui</v>
      </c>
      <c r="BH32" s="395" t="str">
        <f t="shared" si="44"/>
        <v/>
      </c>
      <c r="BI32" s="24" t="str">
        <f t="shared" si="45"/>
        <v/>
      </c>
      <c r="BJ32" s="1403"/>
      <c r="BK32" s="1403"/>
      <c r="BL32" s="1403"/>
      <c r="BM32" s="1403"/>
      <c r="BN32" s="1403"/>
      <c r="BO32" s="1403"/>
      <c r="BP32" s="1403"/>
      <c r="BQ32" s="1403"/>
      <c r="BS32" s="1392">
        <f t="shared" si="10"/>
        <v>45678</v>
      </c>
      <c r="BT32" s="27" t="str">
        <f t="shared" si="73"/>
        <v/>
      </c>
      <c r="BU32" s="1402"/>
      <c r="BV32" s="1402"/>
      <c r="BW32" s="1402"/>
      <c r="BX32" s="1402"/>
      <c r="BY32" s="1402"/>
      <c r="BZ32" s="1402"/>
      <c r="CA32" s="1402"/>
      <c r="CB32" s="1402"/>
      <c r="CD32" s="1408">
        <f t="shared" si="65"/>
        <v>0</v>
      </c>
      <c r="DC32" s="16" t="str">
        <f>Janvier!FC40</f>
        <v>non</v>
      </c>
      <c r="DG32" s="333">
        <f t="shared" si="66"/>
        <v>1</v>
      </c>
      <c r="DH32" s="129">
        <f t="shared" si="46"/>
        <v>10</v>
      </c>
      <c r="DI32" s="129">
        <f t="shared" si="67"/>
        <v>1</v>
      </c>
      <c r="DK32" s="16">
        <f>+IF(AND(Janvier!$DP$8&lt;&gt;52,AR32=S.CAL!$BJ$4),10,1)</f>
        <v>1</v>
      </c>
      <c r="DN32" s="16">
        <f t="shared" si="47"/>
        <v>1</v>
      </c>
      <c r="DU32" s="1296" t="str">
        <f t="shared" si="68"/>
        <v>Fiche infoA245678</v>
      </c>
      <c r="DV32" s="1384">
        <f t="shared" si="48"/>
        <v>0</v>
      </c>
      <c r="DW32" s="1385">
        <f t="shared" si="49"/>
        <v>0</v>
      </c>
      <c r="DX32" s="1385">
        <f t="shared" si="50"/>
        <v>0</v>
      </c>
      <c r="DY32" s="1385">
        <f t="shared" si="51"/>
        <v>0</v>
      </c>
      <c r="DZ32" s="1385">
        <f t="shared" si="52"/>
        <v>0</v>
      </c>
      <c r="EA32" s="1385">
        <f t="shared" si="53"/>
        <v>0</v>
      </c>
      <c r="EB32" s="1385">
        <f t="shared" si="54"/>
        <v>0</v>
      </c>
      <c r="EC32" s="1385">
        <f t="shared" si="55"/>
        <v>0</v>
      </c>
      <c r="ED32" s="1385">
        <f t="shared" si="69"/>
        <v>0</v>
      </c>
      <c r="EE32" s="1386">
        <f t="shared" si="70"/>
        <v>0</v>
      </c>
      <c r="EG32" s="16" t="str">
        <f t="shared" si="71"/>
        <v>42025</v>
      </c>
      <c r="EH32" s="16" t="str">
        <f t="shared" si="56"/>
        <v>Fiche infoA2</v>
      </c>
      <c r="EI32" s="16" t="str">
        <f t="shared" si="57"/>
        <v/>
      </c>
    </row>
    <row r="33" spans="1:145" x14ac:dyDescent="0.2">
      <c r="A33" s="1395" t="str">
        <f>Janvier!BJ41</f>
        <v>Fiche infoA3</v>
      </c>
      <c r="B33" s="829">
        <f>Janvier!AB41</f>
        <v>45679</v>
      </c>
      <c r="C33" s="1394" t="str">
        <f t="shared" si="72"/>
        <v/>
      </c>
      <c r="D33" s="1001">
        <f t="shared" si="11"/>
        <v>0</v>
      </c>
      <c r="E33" s="452">
        <f t="shared" si="12"/>
        <v>0</v>
      </c>
      <c r="F33" s="452">
        <f t="shared" si="13"/>
        <v>0</v>
      </c>
      <c r="G33" s="452">
        <f t="shared" si="14"/>
        <v>0</v>
      </c>
      <c r="H33" s="452">
        <f t="shared" si="15"/>
        <v>0</v>
      </c>
      <c r="I33" s="452">
        <f t="shared" si="16"/>
        <v>0</v>
      </c>
      <c r="J33" s="452">
        <f t="shared" si="17"/>
        <v>0</v>
      </c>
      <c r="K33" s="452">
        <f t="shared" si="18"/>
        <v>0</v>
      </c>
      <c r="L33" s="452">
        <f t="shared" si="58"/>
        <v>0</v>
      </c>
      <c r="M33" s="1002">
        <f t="shared" si="59"/>
        <v>0</v>
      </c>
      <c r="N33" s="1396"/>
      <c r="O33" s="1001">
        <f t="shared" si="76"/>
        <v>0</v>
      </c>
      <c r="P33" s="452">
        <f t="shared" si="77"/>
        <v>0</v>
      </c>
      <c r="Q33" s="452">
        <f t="shared" si="78"/>
        <v>0</v>
      </c>
      <c r="R33" s="452">
        <f t="shared" si="79"/>
        <v>0</v>
      </c>
      <c r="S33" s="452">
        <f t="shared" si="80"/>
        <v>0</v>
      </c>
      <c r="T33" s="452">
        <f t="shared" si="81"/>
        <v>0</v>
      </c>
      <c r="U33" s="452">
        <f t="shared" si="82"/>
        <v>0</v>
      </c>
      <c r="V33" s="452">
        <f t="shared" si="83"/>
        <v>0</v>
      </c>
      <c r="W33" s="452">
        <f t="shared" si="27"/>
        <v>0</v>
      </c>
      <c r="X33" s="1002">
        <f t="shared" si="28"/>
        <v>0</v>
      </c>
      <c r="Y33" s="1397"/>
      <c r="Z33" s="1398">
        <f t="shared" si="29"/>
        <v>0</v>
      </c>
      <c r="AA33" s="1398">
        <f t="shared" si="30"/>
        <v>0</v>
      </c>
      <c r="AB33" s="1398">
        <f t="shared" si="31"/>
        <v>0</v>
      </c>
      <c r="AC33" s="1398">
        <f t="shared" si="32"/>
        <v>0</v>
      </c>
      <c r="AD33" s="1398">
        <f t="shared" si="33"/>
        <v>0</v>
      </c>
      <c r="AE33" s="1398">
        <f t="shared" si="34"/>
        <v>0</v>
      </c>
      <c r="AF33" s="1398">
        <f t="shared" si="35"/>
        <v>0</v>
      </c>
      <c r="AG33" s="1398">
        <f t="shared" si="36"/>
        <v>0</v>
      </c>
      <c r="AH33" s="1396"/>
      <c r="AI33" s="462">
        <f t="shared" si="84"/>
        <v>0</v>
      </c>
      <c r="AJ33" s="1112"/>
      <c r="AK33" s="1399"/>
      <c r="AL33" s="829">
        <f t="shared" si="38"/>
        <v>45679</v>
      </c>
      <c r="AM33" s="684">
        <f>IFERROR(IF(AND(AT33="",AR33&lt;&gt;S.CAL!$BJ$3,AR33&lt;&gt;S.CAL!$BJ$4,$AR$5="NON"),M33-BD33,IF(AND(AT33="",AR33&lt;&gt;S.CAL!$BJ$3,AR33&lt;&gt;S.CAL!$BJ$4,$AR$5="OUI"),X33-AI33,IF(AT33&lt;&gt;0,AT33,IF(OR(AR33=S.CAL!$BJ$3,AR33=S.CAL!$BJ$4),AR33,"")))),"")</f>
        <v>0</v>
      </c>
      <c r="AN33" s="1115"/>
      <c r="AO33" s="1116"/>
      <c r="AP33" s="684">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400">
        <f t="shared" si="60"/>
        <v>0</v>
      </c>
      <c r="AR33" s="1120"/>
      <c r="AS33" s="1396"/>
      <c r="AT33" s="1123"/>
      <c r="AU33" s="995"/>
      <c r="AV33" s="1392">
        <f t="shared" si="39"/>
        <v>45679</v>
      </c>
      <c r="AW33" s="1396"/>
      <c r="AX33" s="529">
        <f t="shared" si="61"/>
        <v>45679</v>
      </c>
      <c r="AY33" s="541">
        <f t="shared" si="74"/>
        <v>0</v>
      </c>
      <c r="AZ33" s="538" t="s">
        <v>146</v>
      </c>
      <c r="BA33" s="534">
        <f t="shared" si="75"/>
        <v>0</v>
      </c>
      <c r="BB33" s="567" t="str">
        <f t="shared" si="42"/>
        <v/>
      </c>
      <c r="BC33" s="541">
        <f t="shared" si="62"/>
        <v>0</v>
      </c>
      <c r="BD33" s="541">
        <f t="shared" si="63"/>
        <v>0</v>
      </c>
      <c r="BE33" s="1126"/>
      <c r="BF33" s="532" t="str">
        <f t="shared" si="43"/>
        <v/>
      </c>
      <c r="BG33" s="532" t="str">
        <f t="shared" si="64"/>
        <v>oui</v>
      </c>
      <c r="BH33" s="395" t="str">
        <f t="shared" si="44"/>
        <v/>
      </c>
      <c r="BI33" s="24" t="str">
        <f t="shared" si="45"/>
        <v/>
      </c>
      <c r="BJ33" s="1404"/>
      <c r="BK33" s="1404"/>
      <c r="BL33" s="1404"/>
      <c r="BM33" s="1404"/>
      <c r="BN33" s="1404"/>
      <c r="BO33" s="1404"/>
      <c r="BP33" s="1404"/>
      <c r="BQ33" s="1404"/>
      <c r="BR33" s="1405"/>
      <c r="BS33" s="1392">
        <f t="shared" si="10"/>
        <v>45679</v>
      </c>
      <c r="BT33" s="1406" t="str">
        <f t="shared" si="73"/>
        <v/>
      </c>
      <c r="BU33" s="1404"/>
      <c r="BV33" s="1404"/>
      <c r="BW33" s="1404"/>
      <c r="BX33" s="1404"/>
      <c r="BY33" s="1404"/>
      <c r="BZ33" s="1404"/>
      <c r="CA33" s="1404"/>
      <c r="CB33" s="1404"/>
      <c r="CD33" s="1408">
        <f t="shared" si="65"/>
        <v>0</v>
      </c>
      <c r="DC33" s="16" t="str">
        <f>Janvier!FC41</f>
        <v>non</v>
      </c>
      <c r="DG33" s="333">
        <f t="shared" si="66"/>
        <v>1</v>
      </c>
      <c r="DH33" s="129">
        <f t="shared" si="46"/>
        <v>10</v>
      </c>
      <c r="DI33" s="129">
        <f t="shared" si="67"/>
        <v>1</v>
      </c>
      <c r="DK33" s="16">
        <f>+IF(AND(Janvier!$DP$8&lt;&gt;52,AR33=S.CAL!$BJ$4),10,1)</f>
        <v>1</v>
      </c>
      <c r="DN33" s="16">
        <f t="shared" si="47"/>
        <v>1</v>
      </c>
      <c r="DU33" s="1296" t="str">
        <f t="shared" si="68"/>
        <v>Fiche infoA345679</v>
      </c>
      <c r="DV33" s="1384">
        <f t="shared" si="48"/>
        <v>0</v>
      </c>
      <c r="DW33" s="1385">
        <f t="shared" si="49"/>
        <v>0</v>
      </c>
      <c r="DX33" s="1385">
        <f t="shared" si="50"/>
        <v>0</v>
      </c>
      <c r="DY33" s="1385">
        <f t="shared" si="51"/>
        <v>0</v>
      </c>
      <c r="DZ33" s="1385">
        <f t="shared" si="52"/>
        <v>0</v>
      </c>
      <c r="EA33" s="1385">
        <f t="shared" si="53"/>
        <v>0</v>
      </c>
      <c r="EB33" s="1385">
        <f t="shared" si="54"/>
        <v>0</v>
      </c>
      <c r="EC33" s="1385">
        <f t="shared" si="55"/>
        <v>0</v>
      </c>
      <c r="ED33" s="1385">
        <f t="shared" si="69"/>
        <v>0</v>
      </c>
      <c r="EE33" s="1386">
        <f t="shared" si="70"/>
        <v>0</v>
      </c>
      <c r="EG33" s="16" t="str">
        <f t="shared" si="71"/>
        <v>42025</v>
      </c>
      <c r="EH33" s="16" t="str">
        <f t="shared" si="56"/>
        <v>Fiche infoA3</v>
      </c>
      <c r="EI33" s="16" t="str">
        <f t="shared" si="57"/>
        <v/>
      </c>
    </row>
    <row r="34" spans="1:145" x14ac:dyDescent="0.2">
      <c r="A34" s="24" t="str">
        <f>Janvier!BJ42</f>
        <v>Fiche infoA4</v>
      </c>
      <c r="B34" s="829">
        <f>Janvier!AB42</f>
        <v>45680</v>
      </c>
      <c r="C34" s="1393" t="str">
        <f t="shared" si="72"/>
        <v/>
      </c>
      <c r="D34" s="1001">
        <f t="shared" si="11"/>
        <v>0</v>
      </c>
      <c r="E34" s="452">
        <f t="shared" si="12"/>
        <v>0</v>
      </c>
      <c r="F34" s="452">
        <f t="shared" si="13"/>
        <v>0</v>
      </c>
      <c r="G34" s="452">
        <f t="shared" si="14"/>
        <v>0</v>
      </c>
      <c r="H34" s="452">
        <f t="shared" si="15"/>
        <v>0</v>
      </c>
      <c r="I34" s="452">
        <f t="shared" si="16"/>
        <v>0</v>
      </c>
      <c r="J34" s="452">
        <f t="shared" si="17"/>
        <v>0</v>
      </c>
      <c r="K34" s="452">
        <f t="shared" si="18"/>
        <v>0</v>
      </c>
      <c r="L34" s="452">
        <f t="shared" si="58"/>
        <v>0</v>
      </c>
      <c r="M34" s="1002">
        <f t="shared" si="59"/>
        <v>0</v>
      </c>
      <c r="O34" s="1001">
        <f t="shared" si="76"/>
        <v>0</v>
      </c>
      <c r="P34" s="452">
        <f t="shared" si="77"/>
        <v>0</v>
      </c>
      <c r="Q34" s="452">
        <f t="shared" si="78"/>
        <v>0</v>
      </c>
      <c r="R34" s="452">
        <f t="shared" si="79"/>
        <v>0</v>
      </c>
      <c r="S34" s="452">
        <f t="shared" si="80"/>
        <v>0</v>
      </c>
      <c r="T34" s="452">
        <f t="shared" si="81"/>
        <v>0</v>
      </c>
      <c r="U34" s="452">
        <f t="shared" si="82"/>
        <v>0</v>
      </c>
      <c r="V34" s="452">
        <f t="shared" si="83"/>
        <v>0</v>
      </c>
      <c r="W34" s="452">
        <f t="shared" si="27"/>
        <v>0</v>
      </c>
      <c r="X34" s="1002">
        <f t="shared" si="28"/>
        <v>0</v>
      </c>
      <c r="Y34" s="459"/>
      <c r="Z34" s="291">
        <f t="shared" si="29"/>
        <v>0</v>
      </c>
      <c r="AA34" s="291">
        <f t="shared" si="30"/>
        <v>0</v>
      </c>
      <c r="AB34" s="291">
        <f t="shared" si="31"/>
        <v>0</v>
      </c>
      <c r="AC34" s="291">
        <f t="shared" si="32"/>
        <v>0</v>
      </c>
      <c r="AD34" s="291">
        <f t="shared" si="33"/>
        <v>0</v>
      </c>
      <c r="AE34" s="291">
        <f t="shared" si="34"/>
        <v>0</v>
      </c>
      <c r="AF34" s="291">
        <f t="shared" si="35"/>
        <v>0</v>
      </c>
      <c r="AG34" s="291">
        <f t="shared" si="36"/>
        <v>0</v>
      </c>
      <c r="AI34" s="462">
        <f t="shared" si="84"/>
        <v>0</v>
      </c>
      <c r="AJ34" s="1112"/>
      <c r="AK34" s="507"/>
      <c r="AL34" s="829">
        <f t="shared" si="38"/>
        <v>45680</v>
      </c>
      <c r="AM34" s="684">
        <f>IFERROR(IF(AND(AT34="",AR34&lt;&gt;S.CAL!$BJ$3,AR34&lt;&gt;S.CAL!$BJ$4,$AR$5="NON"),M34-BD34,IF(AND(AT34="",AR34&lt;&gt;S.CAL!$BJ$3,AR34&lt;&gt;S.CAL!$BJ$4,$AR$5="OUI"),X34-AI34,IF(AT34&lt;&gt;0,AT34,IF(OR(AR34=S.CAL!$BJ$3,AR34=S.CAL!$BJ$4),AR34,"")))),"")</f>
        <v>0</v>
      </c>
      <c r="AN34" s="1115"/>
      <c r="AO34" s="1116"/>
      <c r="AP34" s="684">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516">
        <f t="shared" si="60"/>
        <v>0</v>
      </c>
      <c r="AR34" s="1120"/>
      <c r="AT34" s="1123"/>
      <c r="AU34" s="995"/>
      <c r="AV34" s="1392">
        <f t="shared" si="39"/>
        <v>45680</v>
      </c>
      <c r="AX34" s="529">
        <f t="shared" si="61"/>
        <v>45680</v>
      </c>
      <c r="AY34" s="541">
        <f t="shared" si="74"/>
        <v>0</v>
      </c>
      <c r="AZ34" s="538" t="s">
        <v>146</v>
      </c>
      <c r="BA34" s="534">
        <f t="shared" si="75"/>
        <v>0</v>
      </c>
      <c r="BB34" s="567" t="str">
        <f t="shared" si="42"/>
        <v/>
      </c>
      <c r="BC34" s="541">
        <f t="shared" si="62"/>
        <v>0</v>
      </c>
      <c r="BD34" s="541">
        <f t="shared" si="63"/>
        <v>0</v>
      </c>
      <c r="BE34" s="1126"/>
      <c r="BF34" s="532" t="str">
        <f t="shared" si="43"/>
        <v/>
      </c>
      <c r="BG34" s="532" t="str">
        <f t="shared" si="64"/>
        <v>oui</v>
      </c>
      <c r="BH34" s="395" t="str">
        <f t="shared" si="44"/>
        <v/>
      </c>
      <c r="BI34" s="24" t="str">
        <f t="shared" si="45"/>
        <v/>
      </c>
      <c r="BJ34" s="1403"/>
      <c r="BK34" s="1403"/>
      <c r="BL34" s="1403"/>
      <c r="BM34" s="1403"/>
      <c r="BN34" s="1403"/>
      <c r="BO34" s="1403"/>
      <c r="BP34" s="1403"/>
      <c r="BQ34" s="1403"/>
      <c r="BS34" s="1392">
        <f t="shared" si="10"/>
        <v>45680</v>
      </c>
      <c r="BT34" s="27" t="str">
        <f t="shared" si="73"/>
        <v/>
      </c>
      <c r="BU34" s="1402"/>
      <c r="BV34" s="1402"/>
      <c r="BW34" s="1402"/>
      <c r="BX34" s="1402"/>
      <c r="BY34" s="1402"/>
      <c r="BZ34" s="1402"/>
      <c r="CA34" s="1402"/>
      <c r="CB34" s="1402"/>
      <c r="CD34" s="1408">
        <f t="shared" si="65"/>
        <v>0</v>
      </c>
      <c r="DC34" s="16" t="str">
        <f>Janvier!FC42</f>
        <v>non</v>
      </c>
      <c r="DG34" s="333">
        <f t="shared" si="66"/>
        <v>1</v>
      </c>
      <c r="DH34" s="129">
        <f t="shared" si="46"/>
        <v>10</v>
      </c>
      <c r="DI34" s="129">
        <f t="shared" si="67"/>
        <v>1</v>
      </c>
      <c r="DK34" s="16">
        <f>+IF(AND(Janvier!$DP$8&lt;&gt;52,AR34=S.CAL!$BJ$4),10,1)</f>
        <v>1</v>
      </c>
      <c r="DN34" s="16">
        <f t="shared" si="47"/>
        <v>1</v>
      </c>
      <c r="DU34" s="1296" t="str">
        <f t="shared" si="68"/>
        <v>Fiche infoA445680</v>
      </c>
      <c r="DV34" s="1384">
        <f t="shared" si="48"/>
        <v>0</v>
      </c>
      <c r="DW34" s="1385">
        <f t="shared" si="49"/>
        <v>0</v>
      </c>
      <c r="DX34" s="1385">
        <f t="shared" si="50"/>
        <v>0</v>
      </c>
      <c r="DY34" s="1385">
        <f t="shared" si="51"/>
        <v>0</v>
      </c>
      <c r="DZ34" s="1385">
        <f t="shared" si="52"/>
        <v>0</v>
      </c>
      <c r="EA34" s="1385">
        <f t="shared" si="53"/>
        <v>0</v>
      </c>
      <c r="EB34" s="1385">
        <f t="shared" si="54"/>
        <v>0</v>
      </c>
      <c r="EC34" s="1385">
        <f t="shared" si="55"/>
        <v>0</v>
      </c>
      <c r="ED34" s="1385">
        <f t="shared" si="69"/>
        <v>0</v>
      </c>
      <c r="EE34" s="1386">
        <f t="shared" si="70"/>
        <v>0</v>
      </c>
      <c r="EG34" s="16" t="str">
        <f t="shared" si="71"/>
        <v>42025</v>
      </c>
      <c r="EH34" s="16" t="str">
        <f t="shared" si="56"/>
        <v>Fiche infoA4</v>
      </c>
      <c r="EI34" s="16" t="str">
        <f t="shared" si="57"/>
        <v/>
      </c>
    </row>
    <row r="35" spans="1:145" x14ac:dyDescent="0.2">
      <c r="A35" s="1395" t="str">
        <f>Janvier!BJ43</f>
        <v>Fiche infoA5</v>
      </c>
      <c r="B35" s="829">
        <f>Janvier!AB43</f>
        <v>45681</v>
      </c>
      <c r="C35" s="1394" t="str">
        <f t="shared" si="72"/>
        <v/>
      </c>
      <c r="D35" s="1001">
        <f t="shared" si="11"/>
        <v>0</v>
      </c>
      <c r="E35" s="452">
        <f t="shared" si="12"/>
        <v>0</v>
      </c>
      <c r="F35" s="452">
        <f t="shared" si="13"/>
        <v>0</v>
      </c>
      <c r="G35" s="452">
        <f t="shared" si="14"/>
        <v>0</v>
      </c>
      <c r="H35" s="452">
        <f t="shared" si="15"/>
        <v>0</v>
      </c>
      <c r="I35" s="452">
        <f t="shared" si="16"/>
        <v>0</v>
      </c>
      <c r="J35" s="452">
        <f t="shared" si="17"/>
        <v>0</v>
      </c>
      <c r="K35" s="452">
        <f t="shared" si="18"/>
        <v>0</v>
      </c>
      <c r="L35" s="452">
        <f t="shared" si="58"/>
        <v>0</v>
      </c>
      <c r="M35" s="1002">
        <f t="shared" si="59"/>
        <v>0</v>
      </c>
      <c r="N35" s="1396"/>
      <c r="O35" s="1001">
        <f t="shared" si="76"/>
        <v>0</v>
      </c>
      <c r="P35" s="452">
        <f t="shared" si="77"/>
        <v>0</v>
      </c>
      <c r="Q35" s="452">
        <f t="shared" si="78"/>
        <v>0</v>
      </c>
      <c r="R35" s="452">
        <f t="shared" si="79"/>
        <v>0</v>
      </c>
      <c r="S35" s="452">
        <f t="shared" si="80"/>
        <v>0</v>
      </c>
      <c r="T35" s="452">
        <f t="shared" si="81"/>
        <v>0</v>
      </c>
      <c r="U35" s="452">
        <f t="shared" si="82"/>
        <v>0</v>
      </c>
      <c r="V35" s="452">
        <f t="shared" si="83"/>
        <v>0</v>
      </c>
      <c r="W35" s="452">
        <f t="shared" si="27"/>
        <v>0</v>
      </c>
      <c r="X35" s="1002">
        <f t="shared" si="28"/>
        <v>0</v>
      </c>
      <c r="Y35" s="1397"/>
      <c r="Z35" s="1398">
        <f t="shared" si="29"/>
        <v>0</v>
      </c>
      <c r="AA35" s="1398">
        <f t="shared" si="30"/>
        <v>0</v>
      </c>
      <c r="AB35" s="1398">
        <f t="shared" si="31"/>
        <v>0</v>
      </c>
      <c r="AC35" s="1398">
        <f t="shared" si="32"/>
        <v>0</v>
      </c>
      <c r="AD35" s="1398">
        <f t="shared" si="33"/>
        <v>0</v>
      </c>
      <c r="AE35" s="1398">
        <f t="shared" si="34"/>
        <v>0</v>
      </c>
      <c r="AF35" s="1398">
        <f t="shared" si="35"/>
        <v>0</v>
      </c>
      <c r="AG35" s="1398">
        <f t="shared" si="36"/>
        <v>0</v>
      </c>
      <c r="AH35" s="1396"/>
      <c r="AI35" s="462">
        <f t="shared" si="84"/>
        <v>0</v>
      </c>
      <c r="AJ35" s="1112"/>
      <c r="AK35" s="1399"/>
      <c r="AL35" s="829">
        <f t="shared" si="38"/>
        <v>45681</v>
      </c>
      <c r="AM35" s="684">
        <f>IFERROR(IF(AND(AT35="",AR35&lt;&gt;S.CAL!$BJ$3,AR35&lt;&gt;S.CAL!$BJ$4,$AR$5="NON"),M35-BD35,IF(AND(AT35="",AR35&lt;&gt;S.CAL!$BJ$3,AR35&lt;&gt;S.CAL!$BJ$4,$AR$5="OUI"),X35-AI35,IF(AT35&lt;&gt;0,AT35,IF(OR(AR35=S.CAL!$BJ$3,AR35=S.CAL!$BJ$4),AR35,"")))),"")</f>
        <v>0</v>
      </c>
      <c r="AN35" s="1115"/>
      <c r="AO35" s="1116"/>
      <c r="AP35" s="684">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400">
        <f t="shared" si="60"/>
        <v>0</v>
      </c>
      <c r="AR35" s="1120"/>
      <c r="AS35" s="1396"/>
      <c r="AT35" s="1123"/>
      <c r="AU35" s="995"/>
      <c r="AV35" s="1392">
        <f t="shared" si="39"/>
        <v>45681</v>
      </c>
      <c r="AW35" s="1396"/>
      <c r="AX35" s="529">
        <f t="shared" si="61"/>
        <v>45681</v>
      </c>
      <c r="AY35" s="541">
        <f t="shared" si="74"/>
        <v>0</v>
      </c>
      <c r="AZ35" s="538" t="s">
        <v>146</v>
      </c>
      <c r="BA35" s="534">
        <f t="shared" si="75"/>
        <v>0</v>
      </c>
      <c r="BB35" s="567" t="str">
        <f t="shared" si="42"/>
        <v/>
      </c>
      <c r="BC35" s="541">
        <f t="shared" si="62"/>
        <v>0</v>
      </c>
      <c r="BD35" s="541">
        <f t="shared" si="63"/>
        <v>0</v>
      </c>
      <c r="BE35" s="1126"/>
      <c r="BF35" s="532" t="str">
        <f t="shared" si="43"/>
        <v/>
      </c>
      <c r="BG35" s="532" t="str">
        <f t="shared" si="64"/>
        <v>oui</v>
      </c>
      <c r="BH35" s="395" t="str">
        <f t="shared" si="44"/>
        <v/>
      </c>
      <c r="BI35" s="24" t="str">
        <f t="shared" si="45"/>
        <v/>
      </c>
      <c r="BJ35" s="1404"/>
      <c r="BK35" s="1404"/>
      <c r="BL35" s="1404"/>
      <c r="BM35" s="1404"/>
      <c r="BN35" s="1404"/>
      <c r="BO35" s="1404"/>
      <c r="BP35" s="1404"/>
      <c r="BQ35" s="1404"/>
      <c r="BR35" s="1405"/>
      <c r="BS35" s="1392">
        <f t="shared" si="10"/>
        <v>45681</v>
      </c>
      <c r="BT35" s="1406" t="str">
        <f t="shared" si="73"/>
        <v/>
      </c>
      <c r="BU35" s="1404"/>
      <c r="BV35" s="1404"/>
      <c r="BW35" s="1404"/>
      <c r="BX35" s="1404"/>
      <c r="BY35" s="1404"/>
      <c r="BZ35" s="1404"/>
      <c r="CA35" s="1404"/>
      <c r="CB35" s="1404"/>
      <c r="CD35" s="1408">
        <f t="shared" si="65"/>
        <v>0</v>
      </c>
      <c r="DC35" s="16" t="str">
        <f>Janvier!FC43</f>
        <v>non</v>
      </c>
      <c r="DG35" s="333">
        <f t="shared" si="66"/>
        <v>1</v>
      </c>
      <c r="DH35" s="129">
        <f t="shared" si="46"/>
        <v>10</v>
      </c>
      <c r="DI35" s="129">
        <f t="shared" si="67"/>
        <v>1</v>
      </c>
      <c r="DK35" s="16">
        <f>+IF(AND(Janvier!$DP$8&lt;&gt;52,AR35=S.CAL!$BJ$4),10,1)</f>
        <v>1</v>
      </c>
      <c r="DN35" s="16">
        <f t="shared" si="47"/>
        <v>1</v>
      </c>
      <c r="DU35" s="1296" t="str">
        <f t="shared" si="68"/>
        <v>Fiche infoA545681</v>
      </c>
      <c r="DV35" s="1384">
        <f t="shared" si="48"/>
        <v>0</v>
      </c>
      <c r="DW35" s="1385">
        <f t="shared" si="49"/>
        <v>0</v>
      </c>
      <c r="DX35" s="1385">
        <f t="shared" si="50"/>
        <v>0</v>
      </c>
      <c r="DY35" s="1385">
        <f t="shared" si="51"/>
        <v>0</v>
      </c>
      <c r="DZ35" s="1385">
        <f t="shared" si="52"/>
        <v>0</v>
      </c>
      <c r="EA35" s="1385">
        <f t="shared" si="53"/>
        <v>0</v>
      </c>
      <c r="EB35" s="1385">
        <f t="shared" si="54"/>
        <v>0</v>
      </c>
      <c r="EC35" s="1385">
        <f t="shared" si="55"/>
        <v>0</v>
      </c>
      <c r="ED35" s="1385">
        <f t="shared" si="69"/>
        <v>0</v>
      </c>
      <c r="EE35" s="1386">
        <f t="shared" si="70"/>
        <v>0</v>
      </c>
      <c r="EG35" s="16" t="str">
        <f t="shared" si="71"/>
        <v>42025</v>
      </c>
      <c r="EH35" s="16" t="str">
        <f t="shared" si="56"/>
        <v>Fiche infoA5</v>
      </c>
      <c r="EI35" s="16" t="str">
        <f t="shared" si="57"/>
        <v/>
      </c>
    </row>
    <row r="36" spans="1:145" x14ac:dyDescent="0.2">
      <c r="A36" s="24" t="str">
        <f>Janvier!BJ44</f>
        <v>Fiche infoA6</v>
      </c>
      <c r="B36" s="829">
        <f>Janvier!AB44</f>
        <v>45682</v>
      </c>
      <c r="C36" s="1393" t="str">
        <f t="shared" si="72"/>
        <v/>
      </c>
      <c r="D36" s="1001">
        <f t="shared" si="11"/>
        <v>0</v>
      </c>
      <c r="E36" s="452">
        <f t="shared" si="12"/>
        <v>0</v>
      </c>
      <c r="F36" s="452">
        <f t="shared" si="13"/>
        <v>0</v>
      </c>
      <c r="G36" s="452">
        <f t="shared" si="14"/>
        <v>0</v>
      </c>
      <c r="H36" s="452">
        <f t="shared" si="15"/>
        <v>0</v>
      </c>
      <c r="I36" s="452">
        <f t="shared" si="16"/>
        <v>0</v>
      </c>
      <c r="J36" s="452">
        <f t="shared" si="17"/>
        <v>0</v>
      </c>
      <c r="K36" s="452">
        <f t="shared" si="18"/>
        <v>0</v>
      </c>
      <c r="L36" s="452">
        <f t="shared" si="58"/>
        <v>0</v>
      </c>
      <c r="M36" s="1002">
        <f t="shared" si="59"/>
        <v>0</v>
      </c>
      <c r="O36" s="1001">
        <f t="shared" si="76"/>
        <v>0</v>
      </c>
      <c r="P36" s="452">
        <f t="shared" si="77"/>
        <v>0</v>
      </c>
      <c r="Q36" s="452">
        <f t="shared" si="78"/>
        <v>0</v>
      </c>
      <c r="R36" s="452">
        <f t="shared" si="79"/>
        <v>0</v>
      </c>
      <c r="S36" s="452">
        <f t="shared" si="80"/>
        <v>0</v>
      </c>
      <c r="T36" s="452">
        <f t="shared" si="81"/>
        <v>0</v>
      </c>
      <c r="U36" s="452">
        <f t="shared" si="82"/>
        <v>0</v>
      </c>
      <c r="V36" s="452">
        <f t="shared" si="83"/>
        <v>0</v>
      </c>
      <c r="W36" s="452">
        <f t="shared" si="27"/>
        <v>0</v>
      </c>
      <c r="X36" s="1002">
        <f t="shared" si="28"/>
        <v>0</v>
      </c>
      <c r="Y36" s="459"/>
      <c r="Z36" s="291">
        <f t="shared" si="29"/>
        <v>0</v>
      </c>
      <c r="AA36" s="291">
        <f t="shared" si="30"/>
        <v>0</v>
      </c>
      <c r="AB36" s="291">
        <f t="shared" si="31"/>
        <v>0</v>
      </c>
      <c r="AC36" s="291">
        <f t="shared" si="32"/>
        <v>0</v>
      </c>
      <c r="AD36" s="291">
        <f t="shared" si="33"/>
        <v>0</v>
      </c>
      <c r="AE36" s="291">
        <f t="shared" si="34"/>
        <v>0</v>
      </c>
      <c r="AF36" s="291">
        <f t="shared" si="35"/>
        <v>0</v>
      </c>
      <c r="AG36" s="291">
        <f t="shared" si="36"/>
        <v>0</v>
      </c>
      <c r="AI36" s="462">
        <f t="shared" si="84"/>
        <v>0</v>
      </c>
      <c r="AJ36" s="1112"/>
      <c r="AK36" s="507"/>
      <c r="AL36" s="829">
        <f t="shared" si="38"/>
        <v>45682</v>
      </c>
      <c r="AM36" s="684">
        <f>IFERROR(IF(AND(AT36="",AR36&lt;&gt;S.CAL!$BJ$3,AR36&lt;&gt;S.CAL!$BJ$4,$AR$5="NON"),M36-BD36,IF(AND(AT36="",AR36&lt;&gt;S.CAL!$BJ$3,AR36&lt;&gt;S.CAL!$BJ$4,$AR$5="OUI"),X36-AI36,IF(AT36&lt;&gt;0,AT36,IF(OR(AR36=S.CAL!$BJ$3,AR36=S.CAL!$BJ$4),AR36,"")))),"")</f>
        <v>0</v>
      </c>
      <c r="AN36" s="1115"/>
      <c r="AO36" s="1116"/>
      <c r="AP36" s="684">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516">
        <f t="shared" si="60"/>
        <v>0</v>
      </c>
      <c r="AR36" s="1120"/>
      <c r="AT36" s="1123"/>
      <c r="AU36" s="995"/>
      <c r="AV36" s="1392">
        <f t="shared" si="39"/>
        <v>45682</v>
      </c>
      <c r="AX36" s="529">
        <f t="shared" si="61"/>
        <v>45682</v>
      </c>
      <c r="AY36" s="541">
        <f t="shared" si="74"/>
        <v>0</v>
      </c>
      <c r="AZ36" s="538" t="s">
        <v>146</v>
      </c>
      <c r="BA36" s="534">
        <f t="shared" si="75"/>
        <v>0</v>
      </c>
      <c r="BB36" s="567" t="str">
        <f t="shared" si="42"/>
        <v/>
      </c>
      <c r="BC36" s="541">
        <f t="shared" si="62"/>
        <v>0</v>
      </c>
      <c r="BD36" s="541">
        <f t="shared" si="63"/>
        <v>0</v>
      </c>
      <c r="BE36" s="1126"/>
      <c r="BF36" s="532" t="str">
        <f t="shared" si="43"/>
        <v/>
      </c>
      <c r="BG36" s="532" t="str">
        <f t="shared" si="64"/>
        <v>oui</v>
      </c>
      <c r="BH36" s="395" t="str">
        <f t="shared" si="44"/>
        <v/>
      </c>
      <c r="BI36" s="24" t="str">
        <f t="shared" si="45"/>
        <v/>
      </c>
      <c r="BJ36" s="1403"/>
      <c r="BK36" s="1403"/>
      <c r="BL36" s="1403"/>
      <c r="BM36" s="1403"/>
      <c r="BN36" s="1403"/>
      <c r="BO36" s="1403"/>
      <c r="BP36" s="1403"/>
      <c r="BQ36" s="1403"/>
      <c r="BS36" s="1392">
        <f t="shared" si="10"/>
        <v>45682</v>
      </c>
      <c r="BT36" s="27" t="str">
        <f t="shared" si="73"/>
        <v/>
      </c>
      <c r="BU36" s="1402"/>
      <c r="BV36" s="1402"/>
      <c r="BW36" s="1402"/>
      <c r="BX36" s="1402"/>
      <c r="BY36" s="1402"/>
      <c r="BZ36" s="1402"/>
      <c r="CA36" s="1402"/>
      <c r="CB36" s="1402"/>
      <c r="CD36" s="1408">
        <f t="shared" si="65"/>
        <v>0</v>
      </c>
      <c r="DC36" s="16" t="str">
        <f>Janvier!FC44</f>
        <v>non</v>
      </c>
      <c r="DG36" s="333">
        <f t="shared" si="66"/>
        <v>1</v>
      </c>
      <c r="DH36" s="129">
        <f t="shared" si="46"/>
        <v>10</v>
      </c>
      <c r="DI36" s="129">
        <f t="shared" si="67"/>
        <v>1</v>
      </c>
      <c r="DK36" s="16">
        <f>+IF(AND(Janvier!$DP$8&lt;&gt;52,AR36=S.CAL!$BJ$4),10,1)</f>
        <v>1</v>
      </c>
      <c r="DN36" s="16">
        <f t="shared" si="47"/>
        <v>1</v>
      </c>
      <c r="DU36" s="1296" t="str">
        <f t="shared" si="68"/>
        <v>Fiche infoA645682</v>
      </c>
      <c r="DV36" s="1384">
        <f t="shared" si="48"/>
        <v>0</v>
      </c>
      <c r="DW36" s="1385">
        <f t="shared" si="49"/>
        <v>0</v>
      </c>
      <c r="DX36" s="1385">
        <f t="shared" si="50"/>
        <v>0</v>
      </c>
      <c r="DY36" s="1385">
        <f t="shared" si="51"/>
        <v>0</v>
      </c>
      <c r="DZ36" s="1385">
        <f t="shared" si="52"/>
        <v>0</v>
      </c>
      <c r="EA36" s="1385">
        <f t="shared" si="53"/>
        <v>0</v>
      </c>
      <c r="EB36" s="1385">
        <f t="shared" si="54"/>
        <v>0</v>
      </c>
      <c r="EC36" s="1385">
        <f t="shared" si="55"/>
        <v>0</v>
      </c>
      <c r="ED36" s="1385">
        <f t="shared" si="69"/>
        <v>0</v>
      </c>
      <c r="EE36" s="1386">
        <f t="shared" si="70"/>
        <v>0</v>
      </c>
      <c r="EG36" s="16" t="str">
        <f t="shared" si="71"/>
        <v>42025</v>
      </c>
      <c r="EH36" s="16" t="str">
        <f t="shared" si="56"/>
        <v>Fiche infoA6</v>
      </c>
      <c r="EI36" s="16" t="str">
        <f t="shared" si="57"/>
        <v/>
      </c>
    </row>
    <row r="37" spans="1:145" x14ac:dyDescent="0.2">
      <c r="A37" s="1395" t="str">
        <f>Janvier!BJ45</f>
        <v>Fiche infoA7</v>
      </c>
      <c r="B37" s="829">
        <f>Janvier!AB45</f>
        <v>45683</v>
      </c>
      <c r="C37" s="1394" t="str">
        <f t="shared" si="72"/>
        <v/>
      </c>
      <c r="D37" s="1001">
        <f t="shared" si="11"/>
        <v>0</v>
      </c>
      <c r="E37" s="452">
        <f t="shared" si="12"/>
        <v>0</v>
      </c>
      <c r="F37" s="452">
        <f t="shared" si="13"/>
        <v>0</v>
      </c>
      <c r="G37" s="452">
        <f t="shared" si="14"/>
        <v>0</v>
      </c>
      <c r="H37" s="452">
        <f t="shared" si="15"/>
        <v>0</v>
      </c>
      <c r="I37" s="452">
        <f t="shared" si="16"/>
        <v>0</v>
      </c>
      <c r="J37" s="452">
        <f t="shared" si="17"/>
        <v>0</v>
      </c>
      <c r="K37" s="452">
        <f t="shared" si="18"/>
        <v>0</v>
      </c>
      <c r="L37" s="452">
        <f t="shared" si="58"/>
        <v>0</v>
      </c>
      <c r="M37" s="1002">
        <f t="shared" si="59"/>
        <v>0</v>
      </c>
      <c r="N37" s="1396"/>
      <c r="O37" s="1001">
        <f t="shared" si="76"/>
        <v>0</v>
      </c>
      <c r="P37" s="452">
        <f t="shared" si="77"/>
        <v>0</v>
      </c>
      <c r="Q37" s="452">
        <f t="shared" si="78"/>
        <v>0</v>
      </c>
      <c r="R37" s="452">
        <f t="shared" si="79"/>
        <v>0</v>
      </c>
      <c r="S37" s="452">
        <f t="shared" si="80"/>
        <v>0</v>
      </c>
      <c r="T37" s="452">
        <f t="shared" si="81"/>
        <v>0</v>
      </c>
      <c r="U37" s="452">
        <f t="shared" si="82"/>
        <v>0</v>
      </c>
      <c r="V37" s="452">
        <f t="shared" si="83"/>
        <v>0</v>
      </c>
      <c r="W37" s="452">
        <f t="shared" si="27"/>
        <v>0</v>
      </c>
      <c r="X37" s="1002">
        <f t="shared" si="28"/>
        <v>0</v>
      </c>
      <c r="Y37" s="1397"/>
      <c r="Z37" s="1398">
        <f t="shared" si="29"/>
        <v>0</v>
      </c>
      <c r="AA37" s="1398">
        <f t="shared" si="30"/>
        <v>0</v>
      </c>
      <c r="AB37" s="1398">
        <f t="shared" si="31"/>
        <v>0</v>
      </c>
      <c r="AC37" s="1398">
        <f t="shared" si="32"/>
        <v>0</v>
      </c>
      <c r="AD37" s="1398">
        <f t="shared" si="33"/>
        <v>0</v>
      </c>
      <c r="AE37" s="1398">
        <f t="shared" si="34"/>
        <v>0</v>
      </c>
      <c r="AF37" s="1398">
        <f t="shared" si="35"/>
        <v>0</v>
      </c>
      <c r="AG37" s="1398">
        <f t="shared" si="36"/>
        <v>0</v>
      </c>
      <c r="AH37" s="1396"/>
      <c r="AI37" s="462">
        <f t="shared" si="84"/>
        <v>0</v>
      </c>
      <c r="AJ37" s="1112"/>
      <c r="AK37" s="1399"/>
      <c r="AL37" s="829">
        <f t="shared" si="38"/>
        <v>45683</v>
      </c>
      <c r="AM37" s="684">
        <f>IFERROR(IF(AND(AT37="",AR37&lt;&gt;S.CAL!$BJ$3,AR37&lt;&gt;S.CAL!$BJ$4,$AR$5="NON"),M37-BD37,IF(AND(AT37="",AR37&lt;&gt;S.CAL!$BJ$3,AR37&lt;&gt;S.CAL!$BJ$4,$AR$5="OUI"),X37-AI37,IF(AT37&lt;&gt;0,AT37,IF(OR(AR37=S.CAL!$BJ$3,AR37=S.CAL!$BJ$4),AR37,"")))),"")</f>
        <v>0</v>
      </c>
      <c r="AN37" s="1115"/>
      <c r="AO37" s="1116"/>
      <c r="AP37" s="684">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400">
        <f t="shared" si="60"/>
        <v>0</v>
      </c>
      <c r="AR37" s="1120"/>
      <c r="AS37" s="1396"/>
      <c r="AT37" s="1123"/>
      <c r="AU37" s="995"/>
      <c r="AV37" s="1392">
        <f t="shared" si="39"/>
        <v>45683</v>
      </c>
      <c r="AW37" s="1396"/>
      <c r="AX37" s="529">
        <f t="shared" si="61"/>
        <v>45683</v>
      </c>
      <c r="AY37" s="541">
        <f t="shared" si="74"/>
        <v>0</v>
      </c>
      <c r="AZ37" s="538" t="s">
        <v>146</v>
      </c>
      <c r="BA37" s="534">
        <f t="shared" si="75"/>
        <v>0</v>
      </c>
      <c r="BB37" s="567" t="str">
        <f t="shared" si="42"/>
        <v/>
      </c>
      <c r="BC37" s="541">
        <f t="shared" si="62"/>
        <v>0</v>
      </c>
      <c r="BD37" s="541">
        <f t="shared" si="63"/>
        <v>0</v>
      </c>
      <c r="BE37" s="1126"/>
      <c r="BF37" s="532" t="str">
        <f t="shared" si="43"/>
        <v/>
      </c>
      <c r="BG37" s="532" t="str">
        <f t="shared" si="64"/>
        <v>oui</v>
      </c>
      <c r="BH37" s="395" t="str">
        <f t="shared" si="44"/>
        <v/>
      </c>
      <c r="BI37" s="24" t="str">
        <f t="shared" si="45"/>
        <v/>
      </c>
      <c r="BJ37" s="1404"/>
      <c r="BK37" s="1404"/>
      <c r="BL37" s="1404"/>
      <c r="BM37" s="1404"/>
      <c r="BN37" s="1404"/>
      <c r="BO37" s="1404"/>
      <c r="BP37" s="1404"/>
      <c r="BQ37" s="1404"/>
      <c r="BR37" s="1405"/>
      <c r="BS37" s="1392">
        <f t="shared" si="10"/>
        <v>45683</v>
      </c>
      <c r="BT37" s="1406" t="str">
        <f t="shared" si="73"/>
        <v/>
      </c>
      <c r="BU37" s="1404"/>
      <c r="BV37" s="1404"/>
      <c r="BW37" s="1404"/>
      <c r="BX37" s="1404"/>
      <c r="BY37" s="1404"/>
      <c r="BZ37" s="1404"/>
      <c r="CA37" s="1404"/>
      <c r="CB37" s="1404"/>
      <c r="CD37" s="1408">
        <f t="shared" si="65"/>
        <v>0</v>
      </c>
      <c r="DC37" s="16" t="str">
        <f>Janvier!FC45</f>
        <v>non</v>
      </c>
      <c r="DG37" s="333">
        <f t="shared" si="66"/>
        <v>1</v>
      </c>
      <c r="DH37" s="129">
        <f t="shared" si="46"/>
        <v>10</v>
      </c>
      <c r="DI37" s="129">
        <f t="shared" si="67"/>
        <v>1</v>
      </c>
      <c r="DK37" s="16">
        <f>+IF(AND(Janvier!$DP$8&lt;&gt;52,AR37=S.CAL!$BJ$4),10,1)</f>
        <v>1</v>
      </c>
      <c r="DN37" s="16">
        <f t="shared" si="47"/>
        <v>1</v>
      </c>
      <c r="DU37" s="1296" t="str">
        <f t="shared" si="68"/>
        <v>Fiche infoA745683</v>
      </c>
      <c r="DV37" s="1384">
        <f t="shared" si="48"/>
        <v>0</v>
      </c>
      <c r="DW37" s="1385">
        <f t="shared" si="49"/>
        <v>0</v>
      </c>
      <c r="DX37" s="1385">
        <f t="shared" si="50"/>
        <v>0</v>
      </c>
      <c r="DY37" s="1385">
        <f t="shared" si="51"/>
        <v>0</v>
      </c>
      <c r="DZ37" s="1385">
        <f t="shared" si="52"/>
        <v>0</v>
      </c>
      <c r="EA37" s="1385">
        <f t="shared" si="53"/>
        <v>0</v>
      </c>
      <c r="EB37" s="1385">
        <f t="shared" si="54"/>
        <v>0</v>
      </c>
      <c r="EC37" s="1385">
        <f t="shared" si="55"/>
        <v>0</v>
      </c>
      <c r="ED37" s="1385">
        <f t="shared" si="69"/>
        <v>0</v>
      </c>
      <c r="EE37" s="1386">
        <f t="shared" si="70"/>
        <v>0</v>
      </c>
      <c r="EG37" s="16" t="str">
        <f t="shared" si="71"/>
        <v>42025</v>
      </c>
      <c r="EH37" s="16" t="str">
        <f t="shared" si="56"/>
        <v>Fiche infoA7</v>
      </c>
      <c r="EI37" s="16" t="str">
        <f t="shared" si="57"/>
        <v/>
      </c>
    </row>
    <row r="38" spans="1:145" x14ac:dyDescent="0.2">
      <c r="A38" s="24" t="str">
        <f>Janvier!BJ46</f>
        <v>Fiche infoA1</v>
      </c>
      <c r="B38" s="829">
        <f>Janvier!AB46</f>
        <v>45684</v>
      </c>
      <c r="C38" s="1393">
        <f t="shared" si="72"/>
        <v>5</v>
      </c>
      <c r="D38" s="1001">
        <f t="shared" si="11"/>
        <v>0</v>
      </c>
      <c r="E38" s="452">
        <f t="shared" si="12"/>
        <v>0</v>
      </c>
      <c r="F38" s="452">
        <f t="shared" si="13"/>
        <v>0</v>
      </c>
      <c r="G38" s="452">
        <f t="shared" si="14"/>
        <v>0</v>
      </c>
      <c r="H38" s="452">
        <f t="shared" si="15"/>
        <v>0</v>
      </c>
      <c r="I38" s="452">
        <f t="shared" si="16"/>
        <v>0</v>
      </c>
      <c r="J38" s="452">
        <f t="shared" si="17"/>
        <v>0</v>
      </c>
      <c r="K38" s="452">
        <f t="shared" si="18"/>
        <v>0</v>
      </c>
      <c r="L38" s="452">
        <f t="shared" si="58"/>
        <v>0</v>
      </c>
      <c r="M38" s="1002">
        <f t="shared" si="59"/>
        <v>0</v>
      </c>
      <c r="O38" s="1001">
        <f t="shared" si="76"/>
        <v>0</v>
      </c>
      <c r="P38" s="452">
        <f t="shared" si="77"/>
        <v>0</v>
      </c>
      <c r="Q38" s="452">
        <f t="shared" si="78"/>
        <v>0</v>
      </c>
      <c r="R38" s="452">
        <f t="shared" si="79"/>
        <v>0</v>
      </c>
      <c r="S38" s="452">
        <f t="shared" si="80"/>
        <v>0</v>
      </c>
      <c r="T38" s="452">
        <f t="shared" si="81"/>
        <v>0</v>
      </c>
      <c r="U38" s="452">
        <f t="shared" si="82"/>
        <v>0</v>
      </c>
      <c r="V38" s="452">
        <f t="shared" si="83"/>
        <v>0</v>
      </c>
      <c r="W38" s="452">
        <f t="shared" si="27"/>
        <v>0</v>
      </c>
      <c r="X38" s="1002">
        <f t="shared" si="28"/>
        <v>0</v>
      </c>
      <c r="Y38" s="459"/>
      <c r="Z38" s="291">
        <f t="shared" si="29"/>
        <v>0</v>
      </c>
      <c r="AA38" s="291">
        <f t="shared" si="30"/>
        <v>0</v>
      </c>
      <c r="AB38" s="291">
        <f t="shared" si="31"/>
        <v>0</v>
      </c>
      <c r="AC38" s="291">
        <f t="shared" si="32"/>
        <v>0</v>
      </c>
      <c r="AD38" s="291">
        <f t="shared" si="33"/>
        <v>0</v>
      </c>
      <c r="AE38" s="291">
        <f t="shared" si="34"/>
        <v>0</v>
      </c>
      <c r="AF38" s="291">
        <f t="shared" si="35"/>
        <v>0</v>
      </c>
      <c r="AG38" s="291">
        <f t="shared" si="36"/>
        <v>0</v>
      </c>
      <c r="AI38" s="462">
        <f t="shared" si="84"/>
        <v>0</v>
      </c>
      <c r="AJ38" s="1112"/>
      <c r="AK38" s="507"/>
      <c r="AL38" s="829">
        <f t="shared" si="38"/>
        <v>45684</v>
      </c>
      <c r="AM38" s="684">
        <f>IFERROR(IF(AND(AT38="",AR38&lt;&gt;S.CAL!$BJ$3,AR38&lt;&gt;S.CAL!$BJ$4,$AR$5="NON"),M38-BD38,IF(AND(AT38="",AR38&lt;&gt;S.CAL!$BJ$3,AR38&lt;&gt;S.CAL!$BJ$4,$AR$5="OUI"),X38-AI38,IF(AT38&lt;&gt;0,AT38,IF(OR(AR38=S.CAL!$BJ$3,AR38=S.CAL!$BJ$4),AR38,"")))),"")</f>
        <v>0</v>
      </c>
      <c r="AN38" s="1115"/>
      <c r="AO38" s="1116"/>
      <c r="AP38" s="684">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516">
        <f t="shared" si="60"/>
        <v>0</v>
      </c>
      <c r="AR38" s="1120"/>
      <c r="AT38" s="1123"/>
      <c r="AU38" s="995"/>
      <c r="AV38" s="1392">
        <f t="shared" si="39"/>
        <v>45684</v>
      </c>
      <c r="AX38" s="529">
        <f t="shared" si="61"/>
        <v>45684</v>
      </c>
      <c r="AY38" s="541">
        <f t="shared" si="74"/>
        <v>0</v>
      </c>
      <c r="AZ38" s="538" t="s">
        <v>146</v>
      </c>
      <c r="BA38" s="534">
        <f t="shared" si="75"/>
        <v>0</v>
      </c>
      <c r="BB38" s="567" t="str">
        <f t="shared" si="42"/>
        <v/>
      </c>
      <c r="BC38" s="541">
        <f t="shared" si="62"/>
        <v>0</v>
      </c>
      <c r="BD38" s="541">
        <f t="shared" si="63"/>
        <v>0</v>
      </c>
      <c r="BE38" s="1126"/>
      <c r="BF38" s="532" t="str">
        <f t="shared" si="43"/>
        <v/>
      </c>
      <c r="BG38" s="532" t="str">
        <f t="shared" si="64"/>
        <v>oui</v>
      </c>
      <c r="BH38" s="395" t="str">
        <f t="shared" si="44"/>
        <v/>
      </c>
      <c r="BI38" s="24" t="str">
        <f t="shared" si="45"/>
        <v/>
      </c>
      <c r="BJ38" s="1403"/>
      <c r="BK38" s="1403"/>
      <c r="BL38" s="1403"/>
      <c r="BM38" s="1403"/>
      <c r="BN38" s="1403"/>
      <c r="BO38" s="1403"/>
      <c r="BP38" s="1403"/>
      <c r="BQ38" s="1403"/>
      <c r="BS38" s="1392">
        <f t="shared" si="10"/>
        <v>45684</v>
      </c>
      <c r="BT38" s="27">
        <f t="shared" si="73"/>
        <v>5</v>
      </c>
      <c r="BU38" s="1402"/>
      <c r="BV38" s="1402"/>
      <c r="BW38" s="1402"/>
      <c r="BX38" s="1402"/>
      <c r="BY38" s="1402"/>
      <c r="BZ38" s="1402"/>
      <c r="CA38" s="1402"/>
      <c r="CB38" s="1402"/>
      <c r="CD38" s="1408">
        <f t="shared" si="65"/>
        <v>0</v>
      </c>
      <c r="DC38" s="16" t="str">
        <f>Janvier!FC46</f>
        <v>non</v>
      </c>
      <c r="DG38" s="333">
        <f t="shared" si="66"/>
        <v>1</v>
      </c>
      <c r="DH38" s="129">
        <f t="shared" si="46"/>
        <v>10</v>
      </c>
      <c r="DI38" s="129">
        <f t="shared" si="67"/>
        <v>1</v>
      </c>
      <c r="DK38" s="16">
        <f>+IF(AND(Janvier!$DP$8&lt;&gt;52,AR38=S.CAL!$BJ$4),10,1)</f>
        <v>1</v>
      </c>
      <c r="DN38" s="16">
        <f t="shared" si="47"/>
        <v>1</v>
      </c>
      <c r="DU38" s="1296" t="str">
        <f t="shared" si="68"/>
        <v>Fiche infoA145684</v>
      </c>
      <c r="DV38" s="1384">
        <f t="shared" si="48"/>
        <v>0</v>
      </c>
      <c r="DW38" s="1385">
        <f t="shared" si="49"/>
        <v>0</v>
      </c>
      <c r="DX38" s="1385">
        <f t="shared" si="50"/>
        <v>0</v>
      </c>
      <c r="DY38" s="1385">
        <f t="shared" si="51"/>
        <v>0</v>
      </c>
      <c r="DZ38" s="1385">
        <f t="shared" si="52"/>
        <v>0</v>
      </c>
      <c r="EA38" s="1385">
        <f t="shared" si="53"/>
        <v>0</v>
      </c>
      <c r="EB38" s="1385">
        <f t="shared" si="54"/>
        <v>0</v>
      </c>
      <c r="EC38" s="1385">
        <f t="shared" si="55"/>
        <v>0</v>
      </c>
      <c r="ED38" s="1385">
        <f t="shared" si="69"/>
        <v>0</v>
      </c>
      <c r="EE38" s="1386">
        <f t="shared" si="70"/>
        <v>0</v>
      </c>
      <c r="EG38" s="16" t="str">
        <f t="shared" si="71"/>
        <v>52025</v>
      </c>
      <c r="EH38" s="16" t="str">
        <f t="shared" si="56"/>
        <v>Fiche infoA1</v>
      </c>
      <c r="EI38" s="16" t="str">
        <f t="shared" si="57"/>
        <v/>
      </c>
    </row>
    <row r="39" spans="1:145" x14ac:dyDescent="0.2">
      <c r="A39" s="1395" t="str">
        <f>Janvier!BJ47</f>
        <v>Fiche infoA2</v>
      </c>
      <c r="B39" s="829">
        <f>Janvier!AB47</f>
        <v>45685</v>
      </c>
      <c r="C39" s="1394" t="str">
        <f t="shared" si="72"/>
        <v/>
      </c>
      <c r="D39" s="1001">
        <f t="shared" si="11"/>
        <v>0</v>
      </c>
      <c r="E39" s="452">
        <f t="shared" si="12"/>
        <v>0</v>
      </c>
      <c r="F39" s="452">
        <f t="shared" si="13"/>
        <v>0</v>
      </c>
      <c r="G39" s="452">
        <f t="shared" si="14"/>
        <v>0</v>
      </c>
      <c r="H39" s="452">
        <f t="shared" si="15"/>
        <v>0</v>
      </c>
      <c r="I39" s="452">
        <f t="shared" si="16"/>
        <v>0</v>
      </c>
      <c r="J39" s="452">
        <f t="shared" si="17"/>
        <v>0</v>
      </c>
      <c r="K39" s="452">
        <f t="shared" si="18"/>
        <v>0</v>
      </c>
      <c r="L39" s="452">
        <f t="shared" si="58"/>
        <v>0</v>
      </c>
      <c r="M39" s="1002">
        <f t="shared" si="59"/>
        <v>0</v>
      </c>
      <c r="N39" s="1396"/>
      <c r="O39" s="1001">
        <f t="shared" si="76"/>
        <v>0</v>
      </c>
      <c r="P39" s="452">
        <f t="shared" si="77"/>
        <v>0</v>
      </c>
      <c r="Q39" s="452">
        <f t="shared" si="78"/>
        <v>0</v>
      </c>
      <c r="R39" s="452">
        <f t="shared" si="79"/>
        <v>0</v>
      </c>
      <c r="S39" s="452">
        <f t="shared" si="80"/>
        <v>0</v>
      </c>
      <c r="T39" s="452">
        <f t="shared" si="81"/>
        <v>0</v>
      </c>
      <c r="U39" s="452">
        <f t="shared" si="82"/>
        <v>0</v>
      </c>
      <c r="V39" s="452">
        <f t="shared" si="83"/>
        <v>0</v>
      </c>
      <c r="W39" s="452">
        <f t="shared" si="27"/>
        <v>0</v>
      </c>
      <c r="X39" s="1002">
        <f t="shared" si="28"/>
        <v>0</v>
      </c>
      <c r="Y39" s="1397"/>
      <c r="Z39" s="1398">
        <f t="shared" si="29"/>
        <v>0</v>
      </c>
      <c r="AA39" s="1398">
        <f t="shared" si="30"/>
        <v>0</v>
      </c>
      <c r="AB39" s="1398">
        <f t="shared" si="31"/>
        <v>0</v>
      </c>
      <c r="AC39" s="1398">
        <f t="shared" si="32"/>
        <v>0</v>
      </c>
      <c r="AD39" s="1398">
        <f t="shared" si="33"/>
        <v>0</v>
      </c>
      <c r="AE39" s="1398">
        <f t="shared" si="34"/>
        <v>0</v>
      </c>
      <c r="AF39" s="1398">
        <f t="shared" si="35"/>
        <v>0</v>
      </c>
      <c r="AG39" s="1398">
        <f t="shared" si="36"/>
        <v>0</v>
      </c>
      <c r="AH39" s="1396"/>
      <c r="AI39" s="462">
        <f t="shared" si="84"/>
        <v>0</v>
      </c>
      <c r="AJ39" s="1112"/>
      <c r="AK39" s="1399"/>
      <c r="AL39" s="829">
        <f t="shared" si="38"/>
        <v>45685</v>
      </c>
      <c r="AM39" s="684">
        <f>IFERROR(IF(AND(AT39="",AR39&lt;&gt;S.CAL!$BJ$3,AR39&lt;&gt;S.CAL!$BJ$4,$AR$5="NON"),M39-BD39,IF(AND(AT39="",AR39&lt;&gt;S.CAL!$BJ$3,AR39&lt;&gt;S.CAL!$BJ$4,$AR$5="OUI"),X39-AI39,IF(AT39&lt;&gt;0,AT39,IF(OR(AR39=S.CAL!$BJ$3,AR39=S.CAL!$BJ$4),AR39,"")))),"")</f>
        <v>0</v>
      </c>
      <c r="AN39" s="1115"/>
      <c r="AO39" s="1116"/>
      <c r="AP39" s="684">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400">
        <f t="shared" si="60"/>
        <v>0</v>
      </c>
      <c r="AR39" s="1120"/>
      <c r="AS39" s="1396"/>
      <c r="AT39" s="1123"/>
      <c r="AU39" s="995"/>
      <c r="AV39" s="1392">
        <f t="shared" si="39"/>
        <v>45685</v>
      </c>
      <c r="AW39" s="1396"/>
      <c r="AX39" s="529">
        <f t="shared" si="61"/>
        <v>45685</v>
      </c>
      <c r="AY39" s="541">
        <f t="shared" si="74"/>
        <v>0</v>
      </c>
      <c r="AZ39" s="538" t="s">
        <v>146</v>
      </c>
      <c r="BA39" s="534">
        <f t="shared" si="75"/>
        <v>0</v>
      </c>
      <c r="BB39" s="567" t="str">
        <f t="shared" si="42"/>
        <v/>
      </c>
      <c r="BC39" s="541">
        <f t="shared" si="62"/>
        <v>0</v>
      </c>
      <c r="BD39" s="541">
        <f t="shared" si="63"/>
        <v>0</v>
      </c>
      <c r="BE39" s="1126"/>
      <c r="BF39" s="532" t="str">
        <f t="shared" si="43"/>
        <v/>
      </c>
      <c r="BG39" s="532" t="str">
        <f t="shared" si="64"/>
        <v>oui</v>
      </c>
      <c r="BH39" s="395" t="str">
        <f t="shared" si="44"/>
        <v/>
      </c>
      <c r="BI39" s="24" t="str">
        <f t="shared" si="45"/>
        <v/>
      </c>
      <c r="BJ39" s="1404"/>
      <c r="BK39" s="1404"/>
      <c r="BL39" s="1404"/>
      <c r="BM39" s="1404"/>
      <c r="BN39" s="1404"/>
      <c r="BO39" s="1404"/>
      <c r="BP39" s="1404"/>
      <c r="BQ39" s="1404"/>
      <c r="BR39" s="1405"/>
      <c r="BS39" s="1392">
        <f t="shared" si="10"/>
        <v>45685</v>
      </c>
      <c r="BT39" s="1406" t="str">
        <f t="shared" si="73"/>
        <v/>
      </c>
      <c r="BU39" s="1404"/>
      <c r="BV39" s="1404"/>
      <c r="BW39" s="1404"/>
      <c r="BX39" s="1404"/>
      <c r="BY39" s="1404"/>
      <c r="BZ39" s="1404"/>
      <c r="CA39" s="1404"/>
      <c r="CB39" s="1404"/>
      <c r="CD39" s="1408">
        <f t="shared" si="65"/>
        <v>0</v>
      </c>
      <c r="DC39" s="16" t="str">
        <f>Janvier!FC47</f>
        <v>non</v>
      </c>
      <c r="DG39" s="333">
        <f t="shared" si="66"/>
        <v>1</v>
      </c>
      <c r="DH39" s="129">
        <f t="shared" si="46"/>
        <v>10</v>
      </c>
      <c r="DI39" s="129">
        <f t="shared" si="67"/>
        <v>1</v>
      </c>
      <c r="DK39" s="16">
        <f>+IF(AND(Janvier!$DP$8&lt;&gt;52,AR39=S.CAL!$BJ$4),10,1)</f>
        <v>1</v>
      </c>
      <c r="DN39" s="16">
        <f t="shared" si="47"/>
        <v>1</v>
      </c>
      <c r="DU39" s="1296" t="str">
        <f t="shared" si="68"/>
        <v>Fiche infoA245685</v>
      </c>
      <c r="DV39" s="1384">
        <f t="shared" si="48"/>
        <v>0</v>
      </c>
      <c r="DW39" s="1385">
        <f t="shared" si="49"/>
        <v>0</v>
      </c>
      <c r="DX39" s="1385">
        <f t="shared" si="50"/>
        <v>0</v>
      </c>
      <c r="DY39" s="1385">
        <f t="shared" si="51"/>
        <v>0</v>
      </c>
      <c r="DZ39" s="1385">
        <f t="shared" si="52"/>
        <v>0</v>
      </c>
      <c r="EA39" s="1385">
        <f t="shared" si="53"/>
        <v>0</v>
      </c>
      <c r="EB39" s="1385">
        <f t="shared" si="54"/>
        <v>0</v>
      </c>
      <c r="EC39" s="1385">
        <f t="shared" si="55"/>
        <v>0</v>
      </c>
      <c r="ED39" s="1385">
        <f t="shared" si="69"/>
        <v>0</v>
      </c>
      <c r="EE39" s="1386">
        <f t="shared" si="70"/>
        <v>0</v>
      </c>
      <c r="EG39" s="16" t="str">
        <f t="shared" si="71"/>
        <v>52025</v>
      </c>
      <c r="EH39" s="16" t="str">
        <f t="shared" si="56"/>
        <v>Fiche infoA2</v>
      </c>
      <c r="EI39" s="16" t="str">
        <f t="shared" si="57"/>
        <v/>
      </c>
    </row>
    <row r="40" spans="1:145" x14ac:dyDescent="0.2">
      <c r="A40" s="24" t="str">
        <f>Janvier!BJ48</f>
        <v>Fiche infoA3</v>
      </c>
      <c r="B40" s="829">
        <f>Janvier!AB48</f>
        <v>45686</v>
      </c>
      <c r="C40" s="1393" t="str">
        <f t="shared" si="72"/>
        <v/>
      </c>
      <c r="D40" s="1001">
        <f t="shared" si="11"/>
        <v>0</v>
      </c>
      <c r="E40" s="452">
        <f t="shared" si="12"/>
        <v>0</v>
      </c>
      <c r="F40" s="452">
        <f t="shared" si="13"/>
        <v>0</v>
      </c>
      <c r="G40" s="452">
        <f t="shared" si="14"/>
        <v>0</v>
      </c>
      <c r="H40" s="452">
        <f t="shared" si="15"/>
        <v>0</v>
      </c>
      <c r="I40" s="452">
        <f t="shared" si="16"/>
        <v>0</v>
      </c>
      <c r="J40" s="452">
        <f t="shared" si="17"/>
        <v>0</v>
      </c>
      <c r="K40" s="452">
        <f t="shared" si="18"/>
        <v>0</v>
      </c>
      <c r="L40" s="452">
        <f t="shared" si="58"/>
        <v>0</v>
      </c>
      <c r="M40" s="1002">
        <f t="shared" si="59"/>
        <v>0</v>
      </c>
      <c r="O40" s="1001">
        <f t="shared" si="76"/>
        <v>0</v>
      </c>
      <c r="P40" s="452">
        <f t="shared" si="77"/>
        <v>0</v>
      </c>
      <c r="Q40" s="452">
        <f t="shared" si="78"/>
        <v>0</v>
      </c>
      <c r="R40" s="452">
        <f t="shared" si="79"/>
        <v>0</v>
      </c>
      <c r="S40" s="452">
        <f t="shared" si="80"/>
        <v>0</v>
      </c>
      <c r="T40" s="452">
        <f t="shared" si="81"/>
        <v>0</v>
      </c>
      <c r="U40" s="452">
        <f t="shared" si="82"/>
        <v>0</v>
      </c>
      <c r="V40" s="452">
        <f t="shared" si="83"/>
        <v>0</v>
      </c>
      <c r="W40" s="452">
        <f t="shared" si="27"/>
        <v>0</v>
      </c>
      <c r="X40" s="1002">
        <f t="shared" si="28"/>
        <v>0</v>
      </c>
      <c r="Y40" s="459"/>
      <c r="Z40" s="291">
        <f t="shared" si="29"/>
        <v>0</v>
      </c>
      <c r="AA40" s="291">
        <f t="shared" si="30"/>
        <v>0</v>
      </c>
      <c r="AB40" s="291">
        <f t="shared" si="31"/>
        <v>0</v>
      </c>
      <c r="AC40" s="291">
        <f t="shared" si="32"/>
        <v>0</v>
      </c>
      <c r="AD40" s="291">
        <f t="shared" si="33"/>
        <v>0</v>
      </c>
      <c r="AE40" s="291">
        <f t="shared" si="34"/>
        <v>0</v>
      </c>
      <c r="AF40" s="291">
        <f t="shared" si="35"/>
        <v>0</v>
      </c>
      <c r="AG40" s="291">
        <f t="shared" si="36"/>
        <v>0</v>
      </c>
      <c r="AI40" s="462">
        <f t="shared" si="84"/>
        <v>0</v>
      </c>
      <c r="AJ40" s="1112"/>
      <c r="AK40" s="507"/>
      <c r="AL40" s="829">
        <f t="shared" si="38"/>
        <v>45686</v>
      </c>
      <c r="AM40" s="684">
        <f>IFERROR(IF(AND(AT40="",AR40&lt;&gt;S.CAL!$BJ$3,AR40&lt;&gt;S.CAL!$BJ$4,$AR$5="NON"),M40-BD40,IF(AND(AT40="",AR40&lt;&gt;S.CAL!$BJ$3,AR40&lt;&gt;S.CAL!$BJ$4,$AR$5="OUI"),X40-AI40,IF(AT40&lt;&gt;0,AT40,IF(OR(AR40=S.CAL!$BJ$3,AR40=S.CAL!$BJ$4),AR40,"")))),"")</f>
        <v>0</v>
      </c>
      <c r="AN40" s="1115"/>
      <c r="AO40" s="1116"/>
      <c r="AP40" s="684">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516">
        <f t="shared" si="60"/>
        <v>0</v>
      </c>
      <c r="AR40" s="1120"/>
      <c r="AT40" s="1123"/>
      <c r="AU40" s="995"/>
      <c r="AV40" s="1392">
        <f t="shared" si="39"/>
        <v>45686</v>
      </c>
      <c r="AX40" s="529">
        <f t="shared" si="61"/>
        <v>45686</v>
      </c>
      <c r="AY40" s="541">
        <f t="shared" si="74"/>
        <v>0</v>
      </c>
      <c r="AZ40" s="538" t="s">
        <v>146</v>
      </c>
      <c r="BA40" s="534">
        <f t="shared" si="75"/>
        <v>0</v>
      </c>
      <c r="BB40" s="567" t="str">
        <f t="shared" si="42"/>
        <v/>
      </c>
      <c r="BC40" s="541">
        <f t="shared" si="62"/>
        <v>0</v>
      </c>
      <c r="BD40" s="541">
        <f t="shared" si="63"/>
        <v>0</v>
      </c>
      <c r="BE40" s="1126"/>
      <c r="BF40" s="532" t="str">
        <f t="shared" si="43"/>
        <v/>
      </c>
      <c r="BG40" s="532" t="str">
        <f t="shared" si="64"/>
        <v>oui</v>
      </c>
      <c r="BH40" s="395" t="str">
        <f t="shared" si="44"/>
        <v/>
      </c>
      <c r="BI40" s="24" t="str">
        <f t="shared" si="45"/>
        <v/>
      </c>
      <c r="BJ40" s="1403"/>
      <c r="BK40" s="1403"/>
      <c r="BL40" s="1403"/>
      <c r="BM40" s="1403"/>
      <c r="BN40" s="1403"/>
      <c r="BO40" s="1403"/>
      <c r="BP40" s="1403"/>
      <c r="BQ40" s="1403"/>
      <c r="BS40" s="1392">
        <f t="shared" si="10"/>
        <v>45686</v>
      </c>
      <c r="BT40" s="27" t="str">
        <f t="shared" si="73"/>
        <v/>
      </c>
      <c r="BU40" s="1402"/>
      <c r="BV40" s="1402"/>
      <c r="BW40" s="1402"/>
      <c r="BX40" s="1402"/>
      <c r="BY40" s="1402"/>
      <c r="BZ40" s="1402"/>
      <c r="CA40" s="1402"/>
      <c r="CB40" s="1402"/>
      <c r="CD40" s="1408">
        <f t="shared" si="65"/>
        <v>0</v>
      </c>
      <c r="DC40" s="16" t="str">
        <f>Janvier!FC48</f>
        <v>non</v>
      </c>
      <c r="DG40" s="333">
        <f t="shared" si="66"/>
        <v>1</v>
      </c>
      <c r="DH40" s="129">
        <f t="shared" si="46"/>
        <v>10</v>
      </c>
      <c r="DI40" s="129">
        <f t="shared" si="67"/>
        <v>1</v>
      </c>
      <c r="DK40" s="16">
        <f>+IF(AND(Janvier!$DP$8&lt;&gt;52,AR40=S.CAL!$BJ$4),10,1)</f>
        <v>1</v>
      </c>
      <c r="DN40" s="16">
        <f t="shared" si="47"/>
        <v>1</v>
      </c>
      <c r="DU40" s="1296" t="str">
        <f t="shared" si="68"/>
        <v>Fiche infoA345686</v>
      </c>
      <c r="DV40" s="1384">
        <f t="shared" si="48"/>
        <v>0</v>
      </c>
      <c r="DW40" s="1385">
        <f t="shared" si="49"/>
        <v>0</v>
      </c>
      <c r="DX40" s="1385">
        <f t="shared" si="50"/>
        <v>0</v>
      </c>
      <c r="DY40" s="1385">
        <f t="shared" si="51"/>
        <v>0</v>
      </c>
      <c r="DZ40" s="1385">
        <f t="shared" si="52"/>
        <v>0</v>
      </c>
      <c r="EA40" s="1385">
        <f t="shared" si="53"/>
        <v>0</v>
      </c>
      <c r="EB40" s="1385">
        <f t="shared" si="54"/>
        <v>0</v>
      </c>
      <c r="EC40" s="1385">
        <f t="shared" si="55"/>
        <v>0</v>
      </c>
      <c r="ED40" s="1385">
        <f t="shared" si="69"/>
        <v>0</v>
      </c>
      <c r="EE40" s="1386">
        <f t="shared" si="70"/>
        <v>0</v>
      </c>
      <c r="EG40" s="16" t="str">
        <f t="shared" si="71"/>
        <v>52025</v>
      </c>
      <c r="EH40" s="16" t="str">
        <f t="shared" si="56"/>
        <v>Fiche infoA3</v>
      </c>
      <c r="EI40" s="16" t="str">
        <f t="shared" si="57"/>
        <v/>
      </c>
    </row>
    <row r="41" spans="1:145" x14ac:dyDescent="0.2">
      <c r="A41" s="1395" t="str">
        <f>Janvier!BJ49</f>
        <v>Fiche infoA4</v>
      </c>
      <c r="B41" s="829">
        <f>Janvier!AB49</f>
        <v>45687</v>
      </c>
      <c r="C41" s="1394" t="str">
        <f t="shared" si="72"/>
        <v/>
      </c>
      <c r="D41" s="1001">
        <f t="shared" si="11"/>
        <v>0</v>
      </c>
      <c r="E41" s="452">
        <f t="shared" si="12"/>
        <v>0</v>
      </c>
      <c r="F41" s="452">
        <f t="shared" si="13"/>
        <v>0</v>
      </c>
      <c r="G41" s="452">
        <f t="shared" si="14"/>
        <v>0</v>
      </c>
      <c r="H41" s="452">
        <f t="shared" si="15"/>
        <v>0</v>
      </c>
      <c r="I41" s="452">
        <f t="shared" si="16"/>
        <v>0</v>
      </c>
      <c r="J41" s="452">
        <f t="shared" si="17"/>
        <v>0</v>
      </c>
      <c r="K41" s="452">
        <f t="shared" si="18"/>
        <v>0</v>
      </c>
      <c r="L41" s="452">
        <f t="shared" si="58"/>
        <v>0</v>
      </c>
      <c r="M41" s="1002">
        <f t="shared" si="59"/>
        <v>0</v>
      </c>
      <c r="N41" s="1396"/>
      <c r="O41" s="1001">
        <f t="shared" si="76"/>
        <v>0</v>
      </c>
      <c r="P41" s="452">
        <f t="shared" si="77"/>
        <v>0</v>
      </c>
      <c r="Q41" s="452">
        <f t="shared" si="78"/>
        <v>0</v>
      </c>
      <c r="R41" s="452">
        <f t="shared" si="79"/>
        <v>0</v>
      </c>
      <c r="S41" s="452">
        <f t="shared" si="80"/>
        <v>0</v>
      </c>
      <c r="T41" s="452">
        <f t="shared" si="81"/>
        <v>0</v>
      </c>
      <c r="U41" s="452">
        <f t="shared" si="82"/>
        <v>0</v>
      </c>
      <c r="V41" s="452">
        <f t="shared" si="83"/>
        <v>0</v>
      </c>
      <c r="W41" s="452">
        <f t="shared" si="27"/>
        <v>0</v>
      </c>
      <c r="X41" s="1002">
        <f t="shared" si="28"/>
        <v>0</v>
      </c>
      <c r="Y41" s="1397"/>
      <c r="Z41" s="1398">
        <f t="shared" si="29"/>
        <v>0</v>
      </c>
      <c r="AA41" s="1398">
        <f t="shared" si="30"/>
        <v>0</v>
      </c>
      <c r="AB41" s="1398">
        <f t="shared" si="31"/>
        <v>0</v>
      </c>
      <c r="AC41" s="1398">
        <f t="shared" si="32"/>
        <v>0</v>
      </c>
      <c r="AD41" s="1398">
        <f t="shared" si="33"/>
        <v>0</v>
      </c>
      <c r="AE41" s="1398">
        <f t="shared" si="34"/>
        <v>0</v>
      </c>
      <c r="AF41" s="1398">
        <f t="shared" si="35"/>
        <v>0</v>
      </c>
      <c r="AG41" s="1398">
        <f t="shared" si="36"/>
        <v>0</v>
      </c>
      <c r="AH41" s="1396"/>
      <c r="AI41" s="462">
        <f t="shared" si="84"/>
        <v>0</v>
      </c>
      <c r="AJ41" s="1112"/>
      <c r="AK41" s="1399"/>
      <c r="AL41" s="829">
        <f t="shared" si="38"/>
        <v>45687</v>
      </c>
      <c r="AM41" s="684">
        <f>IFERROR(IF(AND(AT41="",AR41&lt;&gt;S.CAL!$BJ$3,AR41&lt;&gt;S.CAL!$BJ$4,$AR$5="NON"),M41-BD41,IF(AND(AT41="",AR41&lt;&gt;S.CAL!$BJ$3,AR41&lt;&gt;S.CAL!$BJ$4,$AR$5="OUI"),X41-AI41,IF(AT41&lt;&gt;0,AT41,IF(OR(AR41=S.CAL!$BJ$3,AR41=S.CAL!$BJ$4),AR41,"")))),"")</f>
        <v>0</v>
      </c>
      <c r="AN41" s="1115"/>
      <c r="AO41" s="1116"/>
      <c r="AP41" s="684">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400">
        <f t="shared" si="60"/>
        <v>0</v>
      </c>
      <c r="AR41" s="1120"/>
      <c r="AS41" s="1396"/>
      <c r="AT41" s="1123"/>
      <c r="AU41" s="995"/>
      <c r="AV41" s="1392">
        <f t="shared" si="39"/>
        <v>45687</v>
      </c>
      <c r="AW41" s="1396"/>
      <c r="AX41" s="529">
        <f t="shared" si="61"/>
        <v>45687</v>
      </c>
      <c r="AY41" s="541">
        <f t="shared" si="74"/>
        <v>0</v>
      </c>
      <c r="AZ41" s="538" t="s">
        <v>146</v>
      </c>
      <c r="BA41" s="534">
        <f t="shared" si="75"/>
        <v>0</v>
      </c>
      <c r="BB41" s="567" t="str">
        <f t="shared" si="42"/>
        <v/>
      </c>
      <c r="BC41" s="541">
        <f t="shared" si="62"/>
        <v>0</v>
      </c>
      <c r="BD41" s="541">
        <f t="shared" si="63"/>
        <v>0</v>
      </c>
      <c r="BE41" s="1126"/>
      <c r="BF41" s="532" t="str">
        <f t="shared" si="43"/>
        <v/>
      </c>
      <c r="BG41" s="532" t="str">
        <f t="shared" si="64"/>
        <v>oui</v>
      </c>
      <c r="BH41" s="395" t="str">
        <f t="shared" si="44"/>
        <v/>
      </c>
      <c r="BI41" s="24" t="str">
        <f t="shared" si="45"/>
        <v/>
      </c>
      <c r="BJ41" s="1404"/>
      <c r="BK41" s="1404"/>
      <c r="BL41" s="1404"/>
      <c r="BM41" s="1404"/>
      <c r="BN41" s="1404"/>
      <c r="BO41" s="1404"/>
      <c r="BP41" s="1404"/>
      <c r="BQ41" s="1404"/>
      <c r="BR41" s="1405"/>
      <c r="BS41" s="1392">
        <f t="shared" si="10"/>
        <v>45687</v>
      </c>
      <c r="BT41" s="1406" t="str">
        <f t="shared" si="73"/>
        <v/>
      </c>
      <c r="BU41" s="1404"/>
      <c r="BV41" s="1404"/>
      <c r="BW41" s="1404"/>
      <c r="BX41" s="1404"/>
      <c r="BY41" s="1404"/>
      <c r="BZ41" s="1404"/>
      <c r="CA41" s="1404"/>
      <c r="CB41" s="1404"/>
      <c r="CD41" s="1408">
        <f t="shared" si="65"/>
        <v>0</v>
      </c>
      <c r="DC41" s="16" t="str">
        <f>Janvier!FC49</f>
        <v>non</v>
      </c>
      <c r="DG41" s="333">
        <f t="shared" si="66"/>
        <v>1</v>
      </c>
      <c r="DH41" s="129">
        <f t="shared" si="46"/>
        <v>10</v>
      </c>
      <c r="DI41" s="129">
        <f t="shared" si="67"/>
        <v>1</v>
      </c>
      <c r="DK41" s="16">
        <f>+IF(AND(Janvier!$DP$8&lt;&gt;52,AR41=S.CAL!$BJ$4),10,1)</f>
        <v>1</v>
      </c>
      <c r="DN41" s="16">
        <f t="shared" si="47"/>
        <v>1</v>
      </c>
      <c r="DU41" s="1296" t="str">
        <f t="shared" si="68"/>
        <v>Fiche infoA445687</v>
      </c>
      <c r="DV41" s="1384">
        <f t="shared" si="48"/>
        <v>0</v>
      </c>
      <c r="DW41" s="1385">
        <f t="shared" si="49"/>
        <v>0</v>
      </c>
      <c r="DX41" s="1385">
        <f t="shared" si="50"/>
        <v>0</v>
      </c>
      <c r="DY41" s="1385">
        <f t="shared" si="51"/>
        <v>0</v>
      </c>
      <c r="DZ41" s="1385">
        <f t="shared" si="52"/>
        <v>0</v>
      </c>
      <c r="EA41" s="1385">
        <f t="shared" si="53"/>
        <v>0</v>
      </c>
      <c r="EB41" s="1385">
        <f t="shared" si="54"/>
        <v>0</v>
      </c>
      <c r="EC41" s="1385">
        <f t="shared" si="55"/>
        <v>0</v>
      </c>
      <c r="ED41" s="1385">
        <f t="shared" si="69"/>
        <v>0</v>
      </c>
      <c r="EE41" s="1386">
        <f t="shared" si="70"/>
        <v>0</v>
      </c>
      <c r="EG41" s="16" t="str">
        <f t="shared" si="71"/>
        <v>52025</v>
      </c>
      <c r="EH41" s="16" t="str">
        <f t="shared" si="56"/>
        <v>Fiche infoA4</v>
      </c>
      <c r="EI41" s="16" t="str">
        <f t="shared" si="57"/>
        <v/>
      </c>
    </row>
    <row r="42" spans="1:145" x14ac:dyDescent="0.2">
      <c r="A42" s="24" t="str">
        <f>Janvier!BJ50</f>
        <v>Fiche infoA5</v>
      </c>
      <c r="B42" s="830">
        <f>Janvier!AB50</f>
        <v>45688</v>
      </c>
      <c r="C42" s="1393" t="str">
        <f t="shared" si="72"/>
        <v/>
      </c>
      <c r="D42" s="1003">
        <f t="shared" si="11"/>
        <v>0</v>
      </c>
      <c r="E42" s="1004">
        <f t="shared" si="12"/>
        <v>0</v>
      </c>
      <c r="F42" s="1004">
        <f t="shared" si="13"/>
        <v>0</v>
      </c>
      <c r="G42" s="1004">
        <f t="shared" si="14"/>
        <v>0</v>
      </c>
      <c r="H42" s="1004">
        <f t="shared" si="15"/>
        <v>0</v>
      </c>
      <c r="I42" s="1004">
        <f t="shared" si="16"/>
        <v>0</v>
      </c>
      <c r="J42" s="1004">
        <f t="shared" si="17"/>
        <v>0</v>
      </c>
      <c r="K42" s="1004">
        <f t="shared" si="18"/>
        <v>0</v>
      </c>
      <c r="L42" s="1004">
        <f t="shared" si="58"/>
        <v>0</v>
      </c>
      <c r="M42" s="1005">
        <f t="shared" si="59"/>
        <v>0</v>
      </c>
      <c r="O42" s="1003">
        <f t="shared" si="76"/>
        <v>0</v>
      </c>
      <c r="P42" s="1004">
        <f t="shared" si="77"/>
        <v>0</v>
      </c>
      <c r="Q42" s="1004">
        <f t="shared" si="78"/>
        <v>0</v>
      </c>
      <c r="R42" s="1004">
        <f t="shared" si="79"/>
        <v>0</v>
      </c>
      <c r="S42" s="1004">
        <f t="shared" si="80"/>
        <v>0</v>
      </c>
      <c r="T42" s="1004">
        <f t="shared" si="81"/>
        <v>0</v>
      </c>
      <c r="U42" s="1004">
        <f t="shared" si="82"/>
        <v>0</v>
      </c>
      <c r="V42" s="1004">
        <f t="shared" si="83"/>
        <v>0</v>
      </c>
      <c r="W42" s="1004">
        <f t="shared" si="27"/>
        <v>0</v>
      </c>
      <c r="X42" s="1005">
        <f t="shared" si="28"/>
        <v>0</v>
      </c>
      <c r="Y42" s="459"/>
      <c r="Z42" s="291">
        <f t="shared" si="29"/>
        <v>0</v>
      </c>
      <c r="AA42" s="291">
        <f t="shared" si="30"/>
        <v>0</v>
      </c>
      <c r="AB42" s="291">
        <f t="shared" si="31"/>
        <v>0</v>
      </c>
      <c r="AC42" s="291">
        <f t="shared" si="32"/>
        <v>0</v>
      </c>
      <c r="AD42" s="291">
        <f t="shared" si="33"/>
        <v>0</v>
      </c>
      <c r="AE42" s="291">
        <f t="shared" si="34"/>
        <v>0</v>
      </c>
      <c r="AF42" s="291">
        <f t="shared" si="35"/>
        <v>0</v>
      </c>
      <c r="AG42" s="291">
        <f t="shared" si="36"/>
        <v>0</v>
      </c>
      <c r="AI42" s="462">
        <f t="shared" si="84"/>
        <v>0</v>
      </c>
      <c r="AJ42" s="1112"/>
      <c r="AK42" s="507"/>
      <c r="AL42" s="830">
        <f t="shared" si="38"/>
        <v>45688</v>
      </c>
      <c r="AM42" s="517">
        <f>IFERROR(IF(AND(AT42="",AR42&lt;&gt;S.CAL!$BJ$3,AR42&lt;&gt;S.CAL!$BJ$4,$AR$5="NON"),M42-BD42,IF(AND(AT42="",AR42&lt;&gt;S.CAL!$BJ$3,AR42&lt;&gt;S.CAL!$BJ$4,$AR$5="OUI"),X42-AI42,IF(AT42&lt;&gt;0,AT42,IF(OR(AR42=S.CAL!$BJ$3,AR42=S.CAL!$BJ$4),AR42,"")))),"")</f>
        <v>0</v>
      </c>
      <c r="AN42" s="1117"/>
      <c r="AO42" s="1118"/>
      <c r="AP42" s="517">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516">
        <f t="shared" si="60"/>
        <v>0</v>
      </c>
      <c r="AR42" s="1121"/>
      <c r="AT42" s="1124"/>
      <c r="AU42" s="996"/>
      <c r="AV42" s="830">
        <f t="shared" si="39"/>
        <v>45688</v>
      </c>
      <c r="AX42" s="529">
        <f t="shared" si="61"/>
        <v>45688</v>
      </c>
      <c r="AY42" s="542">
        <f t="shared" si="74"/>
        <v>0</v>
      </c>
      <c r="AZ42" s="539" t="s">
        <v>146</v>
      </c>
      <c r="BA42" s="552">
        <f t="shared" si="75"/>
        <v>0</v>
      </c>
      <c r="BB42" s="540" t="str">
        <f t="shared" si="42"/>
        <v/>
      </c>
      <c r="BC42" s="542">
        <f t="shared" si="62"/>
        <v>0</v>
      </c>
      <c r="BD42" s="542">
        <f t="shared" si="63"/>
        <v>0</v>
      </c>
      <c r="BE42" s="1127"/>
      <c r="BF42" s="532" t="str">
        <f t="shared" si="43"/>
        <v/>
      </c>
      <c r="BG42" s="532" t="str">
        <f t="shared" si="64"/>
        <v>oui</v>
      </c>
      <c r="BH42" s="395" t="str">
        <f t="shared" si="44"/>
        <v/>
      </c>
      <c r="BI42" s="24" t="str">
        <f t="shared" si="45"/>
        <v/>
      </c>
      <c r="BJ42" s="1403"/>
      <c r="BK42" s="1403"/>
      <c r="BL42" s="1403"/>
      <c r="BM42" s="1403"/>
      <c r="BN42" s="1403"/>
      <c r="BO42" s="1403"/>
      <c r="BP42" s="1403"/>
      <c r="BQ42" s="1403"/>
      <c r="BS42" s="830">
        <f t="shared" si="10"/>
        <v>45688</v>
      </c>
      <c r="BT42" s="27" t="str">
        <f t="shared" si="73"/>
        <v/>
      </c>
      <c r="BU42" s="1402"/>
      <c r="BV42" s="1402"/>
      <c r="BW42" s="1402"/>
      <c r="BX42" s="1402"/>
      <c r="BY42" s="1402"/>
      <c r="BZ42" s="1402"/>
      <c r="CA42" s="1402"/>
      <c r="CB42" s="1402"/>
      <c r="CD42" s="1409">
        <f t="shared" si="65"/>
        <v>0</v>
      </c>
      <c r="DC42" s="16" t="str">
        <f>Janvier!FC50</f>
        <v>non</v>
      </c>
      <c r="DG42" s="333">
        <f t="shared" si="66"/>
        <v>1</v>
      </c>
      <c r="DH42" s="129">
        <f t="shared" si="46"/>
        <v>10</v>
      </c>
      <c r="DI42" s="129">
        <f t="shared" si="67"/>
        <v>1</v>
      </c>
      <c r="DK42" s="16">
        <f>+IF(AND(Janvier!$DP$8&lt;&gt;52,AR42=S.CAL!$BJ$4),10,1)</f>
        <v>1</v>
      </c>
      <c r="DN42" s="16">
        <f t="shared" si="47"/>
        <v>1</v>
      </c>
      <c r="DU42" s="1296" t="str">
        <f t="shared" si="68"/>
        <v>Fiche infoA545688</v>
      </c>
      <c r="DV42" s="1387">
        <f t="shared" si="48"/>
        <v>0</v>
      </c>
      <c r="DW42" s="1388">
        <f t="shared" si="49"/>
        <v>0</v>
      </c>
      <c r="DX42" s="1388">
        <f t="shared" si="50"/>
        <v>0</v>
      </c>
      <c r="DY42" s="1388">
        <f t="shared" si="51"/>
        <v>0</v>
      </c>
      <c r="DZ42" s="1388">
        <f t="shared" si="52"/>
        <v>0</v>
      </c>
      <c r="EA42" s="1388">
        <f t="shared" si="53"/>
        <v>0</v>
      </c>
      <c r="EB42" s="1388">
        <f t="shared" si="54"/>
        <v>0</v>
      </c>
      <c r="EC42" s="1388">
        <f t="shared" si="55"/>
        <v>0</v>
      </c>
      <c r="ED42" s="1388">
        <f t="shared" si="69"/>
        <v>0</v>
      </c>
      <c r="EE42" s="1389">
        <f t="shared" si="70"/>
        <v>0</v>
      </c>
      <c r="EG42" s="16" t="str">
        <f t="shared" si="71"/>
        <v>52025</v>
      </c>
      <c r="EH42" s="16" t="str">
        <f t="shared" si="56"/>
        <v>Fiche infoA5</v>
      </c>
      <c r="EI42" s="16" t="str">
        <f t="shared" si="57"/>
        <v/>
      </c>
    </row>
    <row r="43" spans="1:145" x14ac:dyDescent="0.2">
      <c r="AM43" s="554">
        <f>SUM(AM12:AM42)</f>
        <v>0</v>
      </c>
      <c r="AN43" s="833">
        <f>SUM(AN12:AN42)</f>
        <v>0</v>
      </c>
      <c r="AO43" s="833">
        <f>SUM(AO12:AO42)</f>
        <v>0</v>
      </c>
      <c r="AP43" s="579">
        <f>SUM(AP12:AP42)</f>
        <v>0</v>
      </c>
      <c r="BD43" s="565">
        <f>SUM(BD12:BD42)</f>
        <v>0</v>
      </c>
      <c r="EE43" s="1390"/>
    </row>
    <row r="44" spans="1:145" x14ac:dyDescent="0.2">
      <c r="X44" s="29" t="s">
        <v>450</v>
      </c>
      <c r="Y44" s="29"/>
      <c r="Z44" s="29"/>
      <c r="AA44" s="29"/>
      <c r="AB44" s="29"/>
      <c r="AC44" s="29"/>
      <c r="AD44" s="29"/>
      <c r="AE44" s="29"/>
      <c r="AF44" s="29"/>
      <c r="AG44" s="29"/>
      <c r="AI44" s="463">
        <f>SUM(AI12:AI42)</f>
        <v>0</v>
      </c>
      <c r="AJ44" s="19"/>
      <c r="AK44" s="19"/>
      <c r="AL44" s="19"/>
      <c r="AM44" s="19"/>
      <c r="AN44" s="19"/>
      <c r="AO44" s="19"/>
      <c r="AP44" s="19"/>
      <c r="AQ44" s="512"/>
    </row>
    <row r="46" spans="1:145" ht="23.25" x14ac:dyDescent="0.35">
      <c r="B46" s="453" t="s">
        <v>806</v>
      </c>
      <c r="C46" s="453"/>
      <c r="D46" s="453"/>
      <c r="BS46" s="19" t="s">
        <v>1552</v>
      </c>
      <c r="EK46" s="16" t="str">
        <f>+EG56</f>
        <v>numero sem</v>
      </c>
      <c r="EL46" s="27" t="s">
        <v>1546</v>
      </c>
      <c r="EM46" s="27" t="s">
        <v>1547</v>
      </c>
      <c r="EN46" s="16" t="s">
        <v>1548</v>
      </c>
    </row>
    <row r="47" spans="1:145" ht="13.5" thickBot="1" x14ac:dyDescent="0.25">
      <c r="AR47" s="1713" t="s">
        <v>1003</v>
      </c>
      <c r="AS47" s="1714"/>
      <c r="AT47" s="1715"/>
      <c r="BT47" s="29" t="s">
        <v>1555</v>
      </c>
      <c r="BU47" s="27" t="str">
        <f>+IFERROR(EJ47,"")</f>
        <v>5</v>
      </c>
      <c r="BV47" s="53" t="str">
        <f>IF(BU47="","",+EN47)</f>
        <v>non</v>
      </c>
      <c r="BW47" s="1711" t="str">
        <f>+IF(BV47="oui", "Ecart "&amp;EO47&amp;" hrs","")</f>
        <v/>
      </c>
      <c r="BX47" s="1711"/>
      <c r="EJ47" s="16" t="str">
        <f>LEFT(EK47,LEN(EK47)-4)</f>
        <v>5</v>
      </c>
      <c r="EK47" s="16" t="str" cm="1">
        <f t="array" ref="EK47">IFERROR(INDEX(EG57:EG87,MATCH(0,INDEX(COUNTIF(EK46:EK46,EG57:EG87),0,0),0)),"")</f>
        <v>52025</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805</v>
      </c>
      <c r="D48" s="1710">
        <f>+Identification!$B$7</f>
        <v>0</v>
      </c>
      <c r="E48" s="1710"/>
      <c r="F48" s="1710"/>
      <c r="G48" s="1710"/>
      <c r="O48" s="454" t="s">
        <v>84</v>
      </c>
      <c r="P48" s="32"/>
      <c r="Q48" s="33"/>
      <c r="R48" s="454" t="s">
        <v>149</v>
      </c>
      <c r="S48" s="32"/>
      <c r="T48" s="32"/>
      <c r="U48" s="32"/>
      <c r="V48" s="32"/>
      <c r="W48" s="32"/>
      <c r="X48" s="33"/>
      <c r="AR48" s="1716"/>
      <c r="AS48" s="1717"/>
      <c r="AT48" s="1718"/>
      <c r="BU48" s="27" t="str">
        <f t="shared" ref="BU48:BU52" si="86">+IFERROR(EJ48,"")</f>
        <v>6</v>
      </c>
      <c r="BV48" s="53" t="str">
        <f t="shared" ref="BV48:BV52" si="87">IF(BU48="","",+EN48)</f>
        <v>non</v>
      </c>
      <c r="BW48" s="1711" t="str">
        <f t="shared" ref="BW48:BW52" si="88">+IF(BV48="oui", "Ecart "&amp;EO48&amp;" hrs","")</f>
        <v/>
      </c>
      <c r="BX48" s="1711"/>
      <c r="EJ48" s="16" t="str">
        <f t="shared" ref="EJ48:EJ53" si="89">LEFT(EK48,LEN(EK48)-4)</f>
        <v>6</v>
      </c>
      <c r="EK48" s="16" t="str" cm="1">
        <f t="array" ref="EK48">IFERROR(INDEX(EG57:EG87,MATCH(0,INDEX(COUNTIF(EK46:EK47,EG57:EG87),0,0),0)),"")</f>
        <v>62025</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21"/>
      <c r="S49" s="1722"/>
      <c r="T49" s="1722"/>
      <c r="U49" s="1722"/>
      <c r="V49" s="1722"/>
      <c r="W49" s="1722"/>
      <c r="X49" s="1723"/>
      <c r="Y49" s="460"/>
      <c r="Z49" s="460"/>
      <c r="AA49" s="460"/>
      <c r="AB49" s="460"/>
      <c r="AC49" s="460"/>
      <c r="AD49" s="460"/>
      <c r="AE49" s="460"/>
      <c r="AF49" s="460"/>
      <c r="AG49" s="460"/>
      <c r="AR49" s="1716"/>
      <c r="AS49" s="1717"/>
      <c r="AT49" s="1718"/>
      <c r="BU49" s="27" t="str">
        <f t="shared" si="86"/>
        <v>7</v>
      </c>
      <c r="BV49" s="53" t="str">
        <f t="shared" si="87"/>
        <v>non</v>
      </c>
      <c r="BW49" s="1711" t="str">
        <f t="shared" si="88"/>
        <v/>
      </c>
      <c r="BX49" s="1711"/>
      <c r="EJ49" s="16" t="str">
        <f t="shared" si="89"/>
        <v>7</v>
      </c>
      <c r="EK49" s="16" t="str">
        <f t="array" ref="EK49">IFERROR(INDEX(EG57:EG87,MATCH(0,INDEX(COUNTIF(EK46:EK48,EG57:EG87),0,0),0)),"")</f>
        <v>72025</v>
      </c>
      <c r="EL49" s="27">
        <f t="shared" si="90"/>
        <v>0</v>
      </c>
      <c r="EM49" s="27">
        <f t="shared" si="91"/>
        <v>0</v>
      </c>
      <c r="EN49" s="16" t="str">
        <f t="shared" si="85"/>
        <v>non</v>
      </c>
      <c r="EO49" s="16">
        <f t="shared" si="92"/>
        <v>0</v>
      </c>
    </row>
    <row r="50" spans="1:145" x14ac:dyDescent="0.2">
      <c r="C50" s="39" t="s">
        <v>29</v>
      </c>
      <c r="D50" s="1710">
        <f>+Identification!$B$25</f>
        <v>0</v>
      </c>
      <c r="E50" s="1710"/>
      <c r="O50" s="35"/>
      <c r="Q50" s="36"/>
      <c r="R50" s="1721"/>
      <c r="S50" s="1722"/>
      <c r="T50" s="1722"/>
      <c r="U50" s="1722"/>
      <c r="V50" s="1722"/>
      <c r="W50" s="1722"/>
      <c r="X50" s="1723"/>
      <c r="Y50" s="460"/>
      <c r="Z50" s="460"/>
      <c r="AA50" s="460"/>
      <c r="AB50" s="460"/>
      <c r="AC50" s="460"/>
      <c r="AD50" s="460"/>
      <c r="AE50" s="460"/>
      <c r="AF50" s="460"/>
      <c r="AG50" s="460"/>
      <c r="AL50" s="16" t="str">
        <f t="shared" ref="AL50" si="93">C53</f>
        <v>Mois :</v>
      </c>
      <c r="AM50" s="1712">
        <f t="shared" ref="AM50" si="94">D53</f>
        <v>45689</v>
      </c>
      <c r="AN50" s="1712">
        <f t="shared" ref="AN50" si="95">E53</f>
        <v>0</v>
      </c>
      <c r="AR50" s="557" t="str">
        <f>IF(AT50="",AR5,AT50)</f>
        <v>NON</v>
      </c>
      <c r="AS50" s="556" t="s">
        <v>503</v>
      </c>
      <c r="AT50" s="1105"/>
      <c r="BJ50" s="16" t="str">
        <f t="shared" ref="BJ50:BK50" si="96">AL50</f>
        <v>Mois :</v>
      </c>
      <c r="BK50" s="1712">
        <f t="shared" si="96"/>
        <v>45689</v>
      </c>
      <c r="BL50" s="1712"/>
      <c r="BU50" s="27" t="str">
        <f t="shared" si="86"/>
        <v>8</v>
      </c>
      <c r="BV50" s="53" t="str">
        <f t="shared" si="87"/>
        <v>non</v>
      </c>
      <c r="BW50" s="1711" t="str">
        <f t="shared" si="88"/>
        <v/>
      </c>
      <c r="BX50" s="1711"/>
      <c r="EJ50" s="16" t="str">
        <f t="shared" si="89"/>
        <v>8</v>
      </c>
      <c r="EK50" s="16" t="str">
        <f t="array" ref="EK50">IFERROR(INDEX(EG57:EG87,MATCH(0,INDEX(COUNTIF(EK46:EK49,EG57:EG87),0,0),0)),"")</f>
        <v>82025</v>
      </c>
      <c r="EL50" s="27">
        <f t="shared" si="90"/>
        <v>0</v>
      </c>
      <c r="EM50" s="27">
        <f t="shared" si="91"/>
        <v>0</v>
      </c>
      <c r="EN50" s="16" t="str">
        <f t="shared" si="85"/>
        <v>non</v>
      </c>
      <c r="EO50" s="16">
        <f t="shared" si="92"/>
        <v>0</v>
      </c>
    </row>
    <row r="51" spans="1:145" ht="13.5" thickBot="1" x14ac:dyDescent="0.25">
      <c r="O51" s="42"/>
      <c r="P51" s="43"/>
      <c r="Q51" s="44"/>
      <c r="R51" s="1724"/>
      <c r="S51" s="1725"/>
      <c r="T51" s="1725"/>
      <c r="U51" s="1725"/>
      <c r="V51" s="1725"/>
      <c r="W51" s="1725"/>
      <c r="X51" s="1726"/>
      <c r="Y51" s="460"/>
      <c r="Z51" s="460"/>
      <c r="AA51" s="460"/>
      <c r="AB51" s="460"/>
      <c r="AC51" s="460"/>
      <c r="AD51" s="460"/>
      <c r="AE51" s="460"/>
      <c r="AF51" s="460"/>
      <c r="AG51" s="460"/>
      <c r="BU51" s="27" t="str">
        <f t="shared" si="86"/>
        <v>9</v>
      </c>
      <c r="BV51" s="53" t="str">
        <f t="shared" si="87"/>
        <v>non</v>
      </c>
      <c r="BW51" s="1711" t="str">
        <f t="shared" si="88"/>
        <v/>
      </c>
      <c r="BX51" s="1711"/>
      <c r="EJ51" s="16" t="str">
        <f t="shared" si="89"/>
        <v>9</v>
      </c>
      <c r="EK51" s="16" t="str">
        <f t="array" ref="EK51">IFERROR(INDEX(EG57:EG87,MATCH(0,INDEX(COUNTIF(EK46:EK50,EG57:EG87),0,0),0)),"")</f>
        <v>92025</v>
      </c>
      <c r="EL51" s="27">
        <f t="shared" si="90"/>
        <v>0</v>
      </c>
      <c r="EM51" s="27">
        <f t="shared" si="91"/>
        <v>0</v>
      </c>
      <c r="EN51" s="16" t="str">
        <f t="shared" si="85"/>
        <v>non</v>
      </c>
      <c r="EO51" s="16">
        <f t="shared" si="92"/>
        <v>0</v>
      </c>
    </row>
    <row r="52" spans="1:145" ht="13.5" thickTop="1" x14ac:dyDescent="0.2">
      <c r="AI52" s="553" t="s">
        <v>1000</v>
      </c>
      <c r="BU52" s="27" t="str">
        <f t="shared" si="86"/>
        <v/>
      </c>
      <c r="BV52" s="53" t="str">
        <f t="shared" si="87"/>
        <v/>
      </c>
      <c r="BW52" s="1711" t="str">
        <f t="shared" si="88"/>
        <v/>
      </c>
      <c r="BX52" s="1711"/>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32</v>
      </c>
      <c r="D53" s="1712">
        <f>+Février!X3</f>
        <v>45689</v>
      </c>
      <c r="E53" s="1712"/>
      <c r="F53" s="39" t="s">
        <v>12</v>
      </c>
      <c r="G53" s="63">
        <f>+Février!X4</f>
        <v>2025</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20" t="s">
        <v>974</v>
      </c>
      <c r="AM54" s="1720"/>
      <c r="AN54" s="1720"/>
      <c r="AO54" s="1720"/>
      <c r="AP54" s="1720"/>
      <c r="AQ54" s="510"/>
      <c r="AT54" s="1719" t="s">
        <v>761</v>
      </c>
      <c r="AU54" s="1719"/>
      <c r="AV54" s="1719"/>
      <c r="AW54" s="63"/>
      <c r="AX54" s="63"/>
      <c r="AY54" s="535" t="s">
        <v>989</v>
      </c>
      <c r="AZ54" s="536"/>
      <c r="BA54" s="536"/>
      <c r="BB54" s="536"/>
      <c r="BC54" s="537"/>
      <c r="BD54" s="537"/>
      <c r="BE54" s="537"/>
      <c r="BF54" s="530"/>
      <c r="BG54" s="530"/>
      <c r="BJ54" s="455"/>
      <c r="BK54" s="455"/>
      <c r="BL54" s="455"/>
      <c r="BM54" s="455"/>
      <c r="BN54" s="455"/>
      <c r="BO54" s="455"/>
      <c r="BP54" s="455"/>
      <c r="BQ54" s="455"/>
      <c r="BU54" s="456"/>
      <c r="BV54" s="456"/>
      <c r="BW54" s="456"/>
      <c r="BX54" s="456"/>
      <c r="BY54" s="456"/>
      <c r="BZ54" s="456"/>
      <c r="CA54" s="456"/>
      <c r="CB54" s="456"/>
    </row>
    <row r="55" spans="1:145" ht="15" customHeight="1" x14ac:dyDescent="0.2">
      <c r="D55" s="457" t="s">
        <v>803</v>
      </c>
      <c r="E55" s="456"/>
      <c r="F55" s="456"/>
      <c r="G55" s="456"/>
      <c r="H55" s="456"/>
      <c r="I55" s="456"/>
      <c r="J55" s="456"/>
      <c r="K55" s="456"/>
      <c r="L55" s="456"/>
      <c r="M55" s="456"/>
      <c r="O55" s="458" t="s">
        <v>802</v>
      </c>
      <c r="P55" s="455"/>
      <c r="Q55" s="455"/>
      <c r="R55" s="455"/>
      <c r="S55" s="455"/>
      <c r="T55" s="455"/>
      <c r="U55" s="455"/>
      <c r="V55" s="455"/>
      <c r="W55" s="455"/>
      <c r="X55" s="455"/>
      <c r="BJ55" s="1109" t="s">
        <v>804</v>
      </c>
      <c r="BK55" s="1110"/>
      <c r="BL55" s="1110"/>
      <c r="BM55" s="1110"/>
      <c r="BN55" s="1110"/>
      <c r="BO55" s="1110"/>
      <c r="BP55" s="1110"/>
      <c r="BQ55" s="1110"/>
      <c r="BU55" s="1109" t="s">
        <v>1394</v>
      </c>
      <c r="BV55" s="1110"/>
      <c r="BW55" s="1110"/>
      <c r="BX55" s="1110"/>
      <c r="BY55" s="1110"/>
      <c r="BZ55" s="1110"/>
      <c r="CA55" s="1110"/>
      <c r="CB55" s="1110"/>
      <c r="DG55" s="333" t="s">
        <v>1349</v>
      </c>
      <c r="DH55" s="129"/>
      <c r="DI55" s="129"/>
      <c r="DK55" s="129" t="s">
        <v>1354</v>
      </c>
      <c r="DN55" s="16" t="s">
        <v>1357</v>
      </c>
      <c r="DV55" s="843" t="s">
        <v>1549</v>
      </c>
      <c r="DW55" s="843"/>
      <c r="DX55" s="843"/>
      <c r="DY55" s="843"/>
      <c r="DZ55" s="843"/>
      <c r="EA55" s="843"/>
      <c r="EB55" s="843"/>
      <c r="EC55" s="843"/>
      <c r="ED55" s="843"/>
      <c r="EE55" s="843"/>
    </row>
    <row r="56" spans="1:145" ht="56.25" customHeight="1" x14ac:dyDescent="0.2">
      <c r="A56" s="24" t="s">
        <v>801</v>
      </c>
      <c r="B56" s="450" t="s">
        <v>16</v>
      </c>
      <c r="C56" s="451"/>
      <c r="D56" s="450" t="s">
        <v>228</v>
      </c>
      <c r="E56" s="450" t="s">
        <v>229</v>
      </c>
      <c r="F56" s="450" t="s">
        <v>230</v>
      </c>
      <c r="G56" s="450" t="s">
        <v>231</v>
      </c>
      <c r="H56" s="450" t="s">
        <v>533</v>
      </c>
      <c r="I56" s="450" t="s">
        <v>534</v>
      </c>
      <c r="J56" s="450" t="s">
        <v>535</v>
      </c>
      <c r="K56" s="450" t="s">
        <v>536</v>
      </c>
      <c r="L56" s="450" t="s">
        <v>191</v>
      </c>
      <c r="M56" s="450" t="s">
        <v>192</v>
      </c>
      <c r="N56" s="451"/>
      <c r="O56" s="450" t="s">
        <v>228</v>
      </c>
      <c r="P56" s="450" t="s">
        <v>229</v>
      </c>
      <c r="Q56" s="450" t="s">
        <v>230</v>
      </c>
      <c r="R56" s="450" t="s">
        <v>231</v>
      </c>
      <c r="S56" s="450" t="s">
        <v>533</v>
      </c>
      <c r="T56" s="450" t="s">
        <v>534</v>
      </c>
      <c r="U56" s="450" t="s">
        <v>535</v>
      </c>
      <c r="V56" s="450" t="s">
        <v>536</v>
      </c>
      <c r="W56" s="450" t="s">
        <v>191</v>
      </c>
      <c r="X56" s="450" t="s">
        <v>192</v>
      </c>
      <c r="Y56" s="451"/>
      <c r="Z56" s="450" t="s">
        <v>808</v>
      </c>
      <c r="AA56" s="450" t="s">
        <v>809</v>
      </c>
      <c r="AB56" s="450" t="s">
        <v>810</v>
      </c>
      <c r="AC56" s="450" t="s">
        <v>811</v>
      </c>
      <c r="AD56" s="450" t="s">
        <v>812</v>
      </c>
      <c r="AE56" s="450" t="s">
        <v>813</v>
      </c>
      <c r="AF56" s="450" t="s">
        <v>814</v>
      </c>
      <c r="AG56" s="450" t="s">
        <v>815</v>
      </c>
      <c r="AI56" s="450" t="s">
        <v>816</v>
      </c>
      <c r="AJ56" s="450" t="s">
        <v>807</v>
      </c>
      <c r="AK56" s="451"/>
      <c r="AL56" s="513" t="s">
        <v>16</v>
      </c>
      <c r="AM56" s="548" t="s">
        <v>1017</v>
      </c>
      <c r="AN56" s="1106" t="s">
        <v>972</v>
      </c>
      <c r="AO56" s="1107" t="s">
        <v>973</v>
      </c>
      <c r="AP56" s="514" t="s">
        <v>1018</v>
      </c>
      <c r="AQ56" s="511"/>
      <c r="AR56" s="1108" t="s">
        <v>696</v>
      </c>
      <c r="AT56" s="1108" t="s">
        <v>1356</v>
      </c>
      <c r="AU56" s="1107" t="s">
        <v>1019</v>
      </c>
      <c r="AV56" s="450" t="s">
        <v>16</v>
      </c>
      <c r="AW56" s="451"/>
      <c r="AX56" s="451"/>
      <c r="AY56" s="547" t="s">
        <v>986</v>
      </c>
      <c r="AZ56" s="548" t="s">
        <v>992</v>
      </c>
      <c r="BA56" s="531" t="s">
        <v>990</v>
      </c>
      <c r="BB56" s="568" t="s">
        <v>991</v>
      </c>
      <c r="BC56" s="569" t="s">
        <v>1021</v>
      </c>
      <c r="BD56" s="568" t="s">
        <v>993</v>
      </c>
      <c r="BE56" s="570" t="s">
        <v>1020</v>
      </c>
      <c r="BF56" s="531" t="s">
        <v>994</v>
      </c>
      <c r="BG56" s="531" t="s">
        <v>999</v>
      </c>
      <c r="BI56" s="24" t="s">
        <v>1027</v>
      </c>
      <c r="BJ56" s="450" t="s">
        <v>228</v>
      </c>
      <c r="BK56" s="450" t="s">
        <v>229</v>
      </c>
      <c r="BL56" s="450" t="s">
        <v>230</v>
      </c>
      <c r="BM56" s="450" t="s">
        <v>231</v>
      </c>
      <c r="BN56" s="450" t="s">
        <v>533</v>
      </c>
      <c r="BO56" s="450" t="s">
        <v>534</v>
      </c>
      <c r="BP56" s="450" t="s">
        <v>535</v>
      </c>
      <c r="BQ56" s="450" t="s">
        <v>536</v>
      </c>
      <c r="BS56" s="1383" t="str">
        <f t="shared" ref="BS56:BS87" si="97">AV56</f>
        <v>Jours</v>
      </c>
      <c r="BU56" s="450" t="s">
        <v>228</v>
      </c>
      <c r="BV56" s="450" t="s">
        <v>229</v>
      </c>
      <c r="BW56" s="450" t="s">
        <v>230</v>
      </c>
      <c r="BX56" s="450" t="s">
        <v>231</v>
      </c>
      <c r="BY56" s="450" t="s">
        <v>533</v>
      </c>
      <c r="BZ56" s="450" t="s">
        <v>534</v>
      </c>
      <c r="CA56" s="450" t="s">
        <v>535</v>
      </c>
      <c r="CB56" s="450" t="s">
        <v>536</v>
      </c>
      <c r="CD56" s="1383" t="s">
        <v>1554</v>
      </c>
      <c r="CS56" s="506"/>
      <c r="CT56" s="506"/>
      <c r="CU56" s="506"/>
      <c r="CV56" s="506"/>
      <c r="DG56" s="333" t="s">
        <v>1350</v>
      </c>
      <c r="DH56" s="129" t="s">
        <v>1351</v>
      </c>
      <c r="DI56" s="129" t="s">
        <v>1353</v>
      </c>
      <c r="DK56" s="129" t="s">
        <v>1355</v>
      </c>
      <c r="DU56" s="1383" t="s">
        <v>247</v>
      </c>
      <c r="DV56" s="1383" t="s">
        <v>228</v>
      </c>
      <c r="DW56" s="1383" t="s">
        <v>229</v>
      </c>
      <c r="DX56" s="1383" t="s">
        <v>230</v>
      </c>
      <c r="DY56" s="1383" t="s">
        <v>231</v>
      </c>
      <c r="DZ56" s="1383" t="s">
        <v>533</v>
      </c>
      <c r="EA56" s="1383" t="s">
        <v>534</v>
      </c>
      <c r="EB56" s="1383" t="s">
        <v>535</v>
      </c>
      <c r="EC56" s="1383" t="s">
        <v>536</v>
      </c>
      <c r="ED56" s="1383" t="s">
        <v>191</v>
      </c>
      <c r="EE56" s="1383" t="s">
        <v>192</v>
      </c>
      <c r="EG56" s="1383" t="s">
        <v>1244</v>
      </c>
      <c r="EH56" s="1383" t="s">
        <v>1550</v>
      </c>
      <c r="EI56" s="1383" t="s">
        <v>1551</v>
      </c>
    </row>
    <row r="57" spans="1:145" x14ac:dyDescent="0.2">
      <c r="A57" s="24" t="str">
        <f>Février!BJ20</f>
        <v>Fiche infoA6</v>
      </c>
      <c r="B57" s="828">
        <f>Février!AB20</f>
        <v>45689</v>
      </c>
      <c r="C57" s="1393"/>
      <c r="D57" s="998">
        <f t="shared" ref="D57:D87" si="98">IF(AR57&lt;&gt;"",0,IF(DN57=10,0,IFERROR(+IF(BU57="",VLOOKUP(A57,base_horaire,2,FALSE),BU57),0)))</f>
        <v>0</v>
      </c>
      <c r="E57" s="999">
        <f t="shared" ref="E57:E87" si="99">IF(AR57&lt;&gt;"",0,IF(DN57=10,0,IFERROR(+IF(BV57="",VLOOKUP(A57,base_horaire,3,FALSE),BV57),0)))</f>
        <v>0</v>
      </c>
      <c r="F57" s="999">
        <f t="shared" ref="F57:F87" si="100">IF(AR57&lt;&gt;"",0,IF(DN57=10,0,IFERROR(+IF(BW57="",VLOOKUP(A57,base_horaire,4,FALSE),BW57),0)))</f>
        <v>0</v>
      </c>
      <c r="G57" s="999">
        <f t="shared" ref="G57:G87" si="101">IF(AR57&lt;&gt;"",0,IF(DN57=10,0,IFERROR(+IF(BX57="",VLOOKUP(A57,base_horaire,5,FALSE),BX57),0)))</f>
        <v>0</v>
      </c>
      <c r="H57" s="999">
        <f t="shared" ref="H57:H87" si="102">IF(AR57&lt;&gt;"",0,IF(DN57=10,0,IFERROR(+IF(BY57="",VLOOKUP(A57,base_horaire,6,FALSE),BY57),0)))</f>
        <v>0</v>
      </c>
      <c r="I57" s="999">
        <f t="shared" ref="I57:I87" si="103">IF(AR57&lt;&gt;"",0,IF(DN57=10,0,IFERROR(+IF(BZ57="",VLOOKUP(A57,base_horaire,7,FALSE),BZ57),0)))</f>
        <v>0</v>
      </c>
      <c r="J57" s="999">
        <f t="shared" ref="J57:J87" si="104">IF(AR57&lt;&gt;"",0,IF(DN57=10,0,IFERROR(+IF(CA57="",VLOOKUP(A57,base_horaire,8,FALSE),CA57),0)))</f>
        <v>0</v>
      </c>
      <c r="K57" s="999">
        <f t="shared" ref="K57:K87" si="105">IF(AR57&lt;&gt;"",0,IF(DN57=10,0,IFERROR(+IF(CB57="",VLOOKUP(A57,base_horaire,9,FALSE),CB57),0)))</f>
        <v>0</v>
      </c>
      <c r="L57" s="999">
        <f>+E57-D57+G57-F57+I57-H57+K57-J57</f>
        <v>0</v>
      </c>
      <c r="M57" s="1000">
        <f>ROUND(+L57*24,2)</f>
        <v>0</v>
      </c>
      <c r="O57" s="998">
        <f t="shared" ref="O57:O64" si="106">IF(AR57&lt;&gt;"",0,IF(DC57="oui",0,IF(AND(ISTEXT(AT57)=TRUE,BJ57=""),0,IF(BJ57="",D57,BJ57))))</f>
        <v>0</v>
      </c>
      <c r="P57" s="999">
        <f t="shared" ref="P57:P64" si="107">IF(AR57&lt;&gt;"",0,IF(DC57="oui",0,IF(AND(ISTEXT(AT57)=TRUE,BK57=""),0,IF(BK57="",E57,BK57))))</f>
        <v>0</v>
      </c>
      <c r="Q57" s="999">
        <f t="shared" ref="Q57:Q64" si="108">IF(AR57&lt;&gt;"",0,IF(DC57="oui",0,IF(AND(ISTEXT(AT57)=TRUE,BL57=""),0,IF(BL57="",F57,BL57))))</f>
        <v>0</v>
      </c>
      <c r="R57" s="999">
        <f t="shared" ref="R57:R64" si="109">IF(AR57&lt;&gt;"",0,IF(DC57="oui",0,IF(AND(ISTEXT(AT57)=TRUE,BM57=""),0,IF(BM57="",G57,BM57))))</f>
        <v>0</v>
      </c>
      <c r="S57" s="999">
        <f t="shared" ref="S57:S64" si="110">IF(AR57&lt;&gt;"",0,IF(DC57="oui",0,IF(AND(ISTEXT(AT57)=TRUE,BN57=""),0,IF(BN57="",H57,BN57))))</f>
        <v>0</v>
      </c>
      <c r="T57" s="999">
        <f t="shared" ref="T57:T64" si="111">IF(AR57&lt;&gt;"",0,IF(DC57="oui",0,IF(AND(ISTEXT(AT57)=TRUE,BO57=""),0,IF(BO57="",I57,BO57))))</f>
        <v>0</v>
      </c>
      <c r="U57" s="999">
        <f t="shared" ref="U57:U64" si="112">IF(AR57&lt;&gt;"",0,IF(DC57="oui",0,IF(AND(ISTEXT(AT57)=TRUE,BP57=""),0,IF(BP57="",J57,BP57))))</f>
        <v>0</v>
      </c>
      <c r="V57" s="999">
        <f t="shared" ref="V57:V64" si="113">IF(AR57&lt;&gt;"",0,IF(DC57="oui",0,IF(AND(ISTEXT(AT57)=TRUE,BQ57=""),0,IF(BQ57="",K57,BQ57))))</f>
        <v>0</v>
      </c>
      <c r="W57" s="999">
        <f t="shared" ref="W57:W87" si="114">+P57-O57+R57-Q57+T57-S57+V57-U57</f>
        <v>0</v>
      </c>
      <c r="X57" s="1000">
        <f t="shared" ref="X57:X87" si="115">ROUND(+W57*24,2)</f>
        <v>0</v>
      </c>
      <c r="Y57" s="459"/>
      <c r="Z57" s="291">
        <f t="shared" ref="Z57:Z87" si="116">+IF(AND(O57&gt;D57,D57&gt;0),D57,O57)</f>
        <v>0</v>
      </c>
      <c r="AA57" s="291">
        <f t="shared" ref="AA57:AA87" si="117">+IF(P57&gt;E57,P57,E57)</f>
        <v>0</v>
      </c>
      <c r="AB57" s="291">
        <f t="shared" ref="AB57:AB87" si="118">+IF(AND(Q57&gt;F57,F57&gt;0),F57,Q57)</f>
        <v>0</v>
      </c>
      <c r="AC57" s="291">
        <f t="shared" ref="AC57:AC87" si="119">+IF(R57&gt;G57,R57,G57)</f>
        <v>0</v>
      </c>
      <c r="AD57" s="291">
        <f t="shared" ref="AD57:AD87" si="120">+IF(AND(S57&gt;H57,H57&gt;0),H57,S57)</f>
        <v>0</v>
      </c>
      <c r="AE57" s="291">
        <f t="shared" ref="AE57:AE87" si="121">+IF(T57&gt;I57,T57,I57)</f>
        <v>0</v>
      </c>
      <c r="AF57" s="291">
        <f t="shared" ref="AF57:AF87" si="122">+IF(AND(U57&gt;J57,J57&gt;0),J57,U57)</f>
        <v>0</v>
      </c>
      <c r="AG57" s="291">
        <f t="shared" ref="AG57:AG87" si="123">+IF(V57&gt;K57,V57,K57)</f>
        <v>0</v>
      </c>
      <c r="AI57" s="461">
        <f t="shared" ref="AI57:AI64" si="124">IF(DC57="oui",0,IF(AND(ISTEXT(AT57)=TRUE,OR(X57=0,X57="")),0,ROUND(((((AA57-Z57)-(E57-D57))+((AC57-AB57)-(G57-F57))+((AE57-AD57)-(I57-H57))+(AG57-AF57)-(K57-J57))*24),2)))</f>
        <v>0</v>
      </c>
      <c r="AJ57" s="1111"/>
      <c r="AK57" s="507"/>
      <c r="AL57" s="828">
        <f t="shared" ref="AL57:AL87" si="125">B57</f>
        <v>45689</v>
      </c>
      <c r="AM57" s="515">
        <f>IFERROR(IF(AND(AT57="",AR57&lt;&gt;S.CAL!$BJ$3,AR57&lt;&gt;S.CAL!$BJ$4,$AR$50="NON"),M57-BD57,IF(AND(AT57="",AR57&lt;&gt;S.CAL!$BJ$3,AR57&lt;&gt;S.CAL!$BJ$4,$AR$50="OUI"),X57-AI57,IF(AT57&lt;&gt;0,AT57,IF(OR(AR57=S.CAL!$BJ$3,AR57=S.CAL!$BJ$4),AR57,"")))),"")</f>
        <v>0</v>
      </c>
      <c r="AN57" s="1113"/>
      <c r="AO57" s="1114"/>
      <c r="AP57" s="515">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516">
        <f>AI57-SUM(AN57:AO57)</f>
        <v>0</v>
      </c>
      <c r="AR57" s="1119"/>
      <c r="AT57" s="1122"/>
      <c r="AU57" s="831"/>
      <c r="AV57" s="1391">
        <f t="shared" ref="AV57:AV87" si="126">B57</f>
        <v>45689</v>
      </c>
      <c r="AX57" s="529">
        <f>+AV57</f>
        <v>45689</v>
      </c>
      <c r="AY57" s="546">
        <f>+IF(M57-X57&lt;0,0,M57-X57)</f>
        <v>0</v>
      </c>
      <c r="AZ57" s="549" t="s">
        <v>146</v>
      </c>
      <c r="BA57" s="550">
        <f>+IF(AZ57="OUI",AY57,0)</f>
        <v>0</v>
      </c>
      <c r="BB57" s="551" t="str">
        <f t="shared" ref="BB57:BB87" si="127">IF(AND(BE57="",+IFERROR(VLOOKUP(AT57,Liste_motif_formule,5,FALSE),0)="OUI"),"OUI",IF(AND(BE57="",IFERROR(VLOOKUP(AT57,Liste_motif_formule,5,FALSE),0)="NON"),"NON",IF(AND(BE57="",IFERROR(M57-AT57&gt;=0,0),AT57&lt;&gt;""),"OUI",IF(AND(BE57="",DC57="oui"),"OUI",IF(BE57&lt;&gt;"",BE57,"")))))</f>
        <v/>
      </c>
      <c r="BC57" s="546">
        <f>+IF(BB57="OUI",IFERROR(M57-AT57,M57),0)</f>
        <v>0</v>
      </c>
      <c r="BD57" s="546">
        <f>+BC57+BA57</f>
        <v>0</v>
      </c>
      <c r="BE57" s="1125"/>
      <c r="BF57" s="532" t="str">
        <f t="shared" ref="BF57:BF87" si="128">+IF(AND(AZ57="OUI",BB57="OUI"),"ERREUR","")</f>
        <v/>
      </c>
      <c r="BG57" s="532" t="str">
        <f>+IF(AND(M57=0,AT57=""),"oui","non")</f>
        <v>oui</v>
      </c>
      <c r="BH57" s="395" t="str">
        <f t="shared" ref="BH57:BH87" si="129">IFERROR(+VLOOKUP(AT57,Liste_motif_formule,4,FALSE),"")</f>
        <v/>
      </c>
      <c r="BI57" s="24" t="str">
        <f t="shared" ref="BI57:BI87" si="130">IFERROR(+VLOOKUP(AT57,Liste_motif_formule,5,FALSE),"")</f>
        <v/>
      </c>
      <c r="BJ57" s="1403"/>
      <c r="BK57" s="1403"/>
      <c r="BL57" s="1403"/>
      <c r="BM57" s="1403"/>
      <c r="BN57" s="1403"/>
      <c r="BO57" s="1403"/>
      <c r="BP57" s="1403"/>
      <c r="BQ57" s="1403"/>
      <c r="BS57" s="1391">
        <f t="shared" si="97"/>
        <v>45689</v>
      </c>
      <c r="BT57" s="27">
        <f>IFERROR(WEEKNUM(BS57,21),"")</f>
        <v>5</v>
      </c>
      <c r="BU57" s="1401"/>
      <c r="BV57" s="1401"/>
      <c r="BW57" s="1401"/>
      <c r="BX57" s="1401"/>
      <c r="BY57" s="1401"/>
      <c r="BZ57" s="1401"/>
      <c r="CA57" s="1401"/>
      <c r="CB57" s="1401"/>
      <c r="CD57" s="1407">
        <f>+M57</f>
        <v>0</v>
      </c>
      <c r="DC57" s="16" t="str">
        <f>Février!FC20</f>
        <v>non</v>
      </c>
      <c r="DG57" s="333">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96" t="str">
        <f>+A57&amp;B57</f>
        <v>Fiche infoA645689</v>
      </c>
      <c r="DV57" s="1384">
        <f t="shared" ref="DV57:DV87" si="133">+IFERROR(+IF(BU57="",VLOOKUP(A57,base_horaire,2,FALSE),BU57),0)</f>
        <v>0</v>
      </c>
      <c r="DW57" s="1385">
        <f t="shared" ref="DW57:DW87" si="134">+IFERROR(+IF(BV57="",VLOOKUP(A57,base_horaire,3,FALSE),BV57),0)</f>
        <v>0</v>
      </c>
      <c r="DX57" s="1385">
        <f t="shared" ref="DX57:DX87" si="135">+IFERROR(+IF(BW57="",VLOOKUP(A57,base_horaire,4,FALSE),BW57),0)</f>
        <v>0</v>
      </c>
      <c r="DY57" s="1385">
        <f t="shared" ref="DY57:DY87" si="136">+IFERROR(+IF(BX57="",VLOOKUP(A57,base_horaire,5,FALSE),BX57),0)</f>
        <v>0</v>
      </c>
      <c r="DZ57" s="1385">
        <f t="shared" ref="DZ57:DZ87" si="137">+IFERROR(+IF(BY57="",VLOOKUP(A57,base_horaire,6,FALSE),BY57),0)</f>
        <v>0</v>
      </c>
      <c r="EA57" s="1385">
        <f t="shared" ref="EA57:EA87" si="138">IFERROR(+IF(BZ57="",VLOOKUP(A57,base_horaire,7,FALSE),BZ57),0)</f>
        <v>0</v>
      </c>
      <c r="EB57" s="1385">
        <f t="shared" ref="EB57:EB87" si="139">IFERROR(+IF(CA57="",VLOOKUP(A57,base_horaire,8,FALSE),CA57),0)</f>
        <v>0</v>
      </c>
      <c r="EC57" s="1385">
        <f t="shared" ref="EC57:EC87" si="140">IFERROR(+IF(CB57="",VLOOKUP(A57,base_horaire,9,FALSE),CB57),0)</f>
        <v>0</v>
      </c>
      <c r="ED57" s="1385">
        <f>+DW57-DV57+DY57-DX57+EA57-DZ57+EC57-EB57</f>
        <v>0</v>
      </c>
      <c r="EE57" s="1386">
        <f>ROUND(+ED57*24,2)</f>
        <v>0</v>
      </c>
      <c r="EG57" s="16" t="str">
        <f>+WEEKNUM(B57,21)&amp;YEAR(B57)</f>
        <v>52025</v>
      </c>
      <c r="EH57" s="16" t="str">
        <f t="shared" ref="EH57:EH87" si="141">+A57</f>
        <v>Fiche infoA6</v>
      </c>
      <c r="EI57" s="16" t="str">
        <f t="shared" ref="EI57:EI87" si="142">+VLOOKUP(EH57,Base_heures,6,FALSE)</f>
        <v/>
      </c>
    </row>
    <row r="58" spans="1:145" x14ac:dyDescent="0.2">
      <c r="A58" s="1395" t="str">
        <f>Février!BJ21</f>
        <v>Fiche infoA7</v>
      </c>
      <c r="B58" s="829">
        <f>Février!AB21</f>
        <v>45690</v>
      </c>
      <c r="C58" s="1394"/>
      <c r="D58" s="1001">
        <f t="shared" si="98"/>
        <v>0</v>
      </c>
      <c r="E58" s="452">
        <f t="shared" si="99"/>
        <v>0</v>
      </c>
      <c r="F58" s="452">
        <f t="shared" si="100"/>
        <v>0</v>
      </c>
      <c r="G58" s="452">
        <f t="shared" si="101"/>
        <v>0</v>
      </c>
      <c r="H58" s="452">
        <f t="shared" si="102"/>
        <v>0</v>
      </c>
      <c r="I58" s="452">
        <f t="shared" si="103"/>
        <v>0</v>
      </c>
      <c r="J58" s="452">
        <f t="shared" si="104"/>
        <v>0</v>
      </c>
      <c r="K58" s="452">
        <f t="shared" si="105"/>
        <v>0</v>
      </c>
      <c r="L58" s="452">
        <f t="shared" ref="L58:L87" si="143">+E58-D58+G58-F58+I58-H58+K58-J58</f>
        <v>0</v>
      </c>
      <c r="M58" s="1002">
        <f t="shared" ref="M58:M87" si="144">ROUND(+L58*24,2)</f>
        <v>0</v>
      </c>
      <c r="N58" s="1396"/>
      <c r="O58" s="1001">
        <f t="shared" si="106"/>
        <v>0</v>
      </c>
      <c r="P58" s="452">
        <f t="shared" si="107"/>
        <v>0</v>
      </c>
      <c r="Q58" s="452">
        <f t="shared" si="108"/>
        <v>0</v>
      </c>
      <c r="R58" s="452">
        <f t="shared" si="109"/>
        <v>0</v>
      </c>
      <c r="S58" s="452">
        <f t="shared" si="110"/>
        <v>0</v>
      </c>
      <c r="T58" s="452">
        <f t="shared" si="111"/>
        <v>0</v>
      </c>
      <c r="U58" s="452">
        <f t="shared" si="112"/>
        <v>0</v>
      </c>
      <c r="V58" s="452">
        <f t="shared" si="113"/>
        <v>0</v>
      </c>
      <c r="W58" s="452">
        <f t="shared" si="114"/>
        <v>0</v>
      </c>
      <c r="X58" s="1002">
        <f t="shared" si="115"/>
        <v>0</v>
      </c>
      <c r="Y58" s="1397"/>
      <c r="Z58" s="1398">
        <f t="shared" si="116"/>
        <v>0</v>
      </c>
      <c r="AA58" s="1398">
        <f t="shared" si="117"/>
        <v>0</v>
      </c>
      <c r="AB58" s="1398">
        <f t="shared" si="118"/>
        <v>0</v>
      </c>
      <c r="AC58" s="1398">
        <f t="shared" si="119"/>
        <v>0</v>
      </c>
      <c r="AD58" s="1398">
        <f t="shared" si="120"/>
        <v>0</v>
      </c>
      <c r="AE58" s="1398">
        <f t="shared" si="121"/>
        <v>0</v>
      </c>
      <c r="AF58" s="1398">
        <f t="shared" si="122"/>
        <v>0</v>
      </c>
      <c r="AG58" s="1398">
        <f t="shared" si="123"/>
        <v>0</v>
      </c>
      <c r="AH58" s="1396"/>
      <c r="AI58" s="462">
        <f t="shared" si="124"/>
        <v>0</v>
      </c>
      <c r="AJ58" s="1112"/>
      <c r="AK58" s="1399"/>
      <c r="AL58" s="829">
        <f t="shared" si="125"/>
        <v>45690</v>
      </c>
      <c r="AM58" s="684">
        <f>IFERROR(IF(AND(AT58="",AR58&lt;&gt;S.CAL!$BJ$3,AR58&lt;&gt;S.CAL!$BJ$4,$AR$50="NON"),M58-BD58,IF(AND(AT58="",AR58&lt;&gt;S.CAL!$BJ$3,AR58&lt;&gt;S.CAL!$BJ$4,$AR$50="OUI"),X58-AI58,IF(AT58&lt;&gt;0,AT58,IF(OR(AR58=S.CAL!$BJ$3,AR58=S.CAL!$BJ$4),AR58,"")))),"")</f>
        <v>0</v>
      </c>
      <c r="AN58" s="1115"/>
      <c r="AO58" s="1116"/>
      <c r="AP58" s="684">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400">
        <f t="shared" ref="AQ58:AQ87" si="145">AI58-SUM(AN58:AO58)</f>
        <v>0</v>
      </c>
      <c r="AR58" s="1120"/>
      <c r="AS58" s="1396"/>
      <c r="AT58" s="1123"/>
      <c r="AU58" s="831"/>
      <c r="AV58" s="1392">
        <f t="shared" si="126"/>
        <v>45690</v>
      </c>
      <c r="AW58" s="1396"/>
      <c r="AX58" s="529">
        <f t="shared" ref="AX58:AX87" si="146">+AV58</f>
        <v>45690</v>
      </c>
      <c r="AY58" s="541">
        <f t="shared" ref="AY58:AY87" si="147">+IF(M58-X58&lt;0,0,M58-X58)</f>
        <v>0</v>
      </c>
      <c r="AZ58" s="538" t="s">
        <v>146</v>
      </c>
      <c r="BA58" s="534">
        <f t="shared" ref="BA58:BA87" si="148">+IF(AZ58="OUI",AY58,0)</f>
        <v>0</v>
      </c>
      <c r="BB58" s="567" t="str">
        <f t="shared" si="127"/>
        <v/>
      </c>
      <c r="BC58" s="541">
        <f t="shared" ref="BC58:BC87" si="149">+IF(BB58="OUI",IFERROR(M58-AT58,M58),0)</f>
        <v>0</v>
      </c>
      <c r="BD58" s="541">
        <f t="shared" ref="BD58:BD87" si="150">+BC58+BA58</f>
        <v>0</v>
      </c>
      <c r="BE58" s="1126"/>
      <c r="BF58" s="532" t="str">
        <f t="shared" si="128"/>
        <v/>
      </c>
      <c r="BG58" s="532" t="str">
        <f t="shared" ref="BG58:BG87" si="151">+IF(AND(M58=0,AT58=""),"oui","non")</f>
        <v>oui</v>
      </c>
      <c r="BH58" s="395" t="str">
        <f t="shared" si="129"/>
        <v/>
      </c>
      <c r="BI58" s="24" t="str">
        <f t="shared" si="130"/>
        <v/>
      </c>
      <c r="BJ58" s="1404"/>
      <c r="BK58" s="1404"/>
      <c r="BL58" s="1404"/>
      <c r="BM58" s="1404"/>
      <c r="BN58" s="1404"/>
      <c r="BO58" s="1404"/>
      <c r="BP58" s="1404"/>
      <c r="BQ58" s="1404"/>
      <c r="BR58" s="1405"/>
      <c r="BS58" s="1392">
        <f t="shared" si="97"/>
        <v>45690</v>
      </c>
      <c r="BT58" s="1406" t="str">
        <f>IFERROR(IF(WEEKDAY(BS58,11)=1,WEEKNUM(BS58,21),""),"")</f>
        <v/>
      </c>
      <c r="BU58" s="1404"/>
      <c r="BV58" s="1404"/>
      <c r="BW58" s="1404"/>
      <c r="BX58" s="1404"/>
      <c r="BY58" s="1404"/>
      <c r="BZ58" s="1404"/>
      <c r="CA58" s="1404"/>
      <c r="CB58" s="1404"/>
      <c r="CD58" s="1408">
        <f t="shared" ref="CD58:CD87" si="152">+M58</f>
        <v>0</v>
      </c>
      <c r="DC58" s="16" t="str">
        <f>Février!FC21</f>
        <v>non</v>
      </c>
      <c r="DG58" s="333">
        <f t="shared" ref="DG58:DG87" si="153">IF(OR(AT58=0,AT58=""),1,10)</f>
        <v>1</v>
      </c>
      <c r="DH58" s="129">
        <f t="shared" si="131"/>
        <v>10</v>
      </c>
      <c r="DI58" s="129">
        <f t="shared" ref="DI58:DI87" si="154">+IF(OR(DG58=1,DH58=1),1,10)</f>
        <v>1</v>
      </c>
      <c r="DK58" s="16">
        <f>+IF(AND(Février!$DP$8&lt;&gt;52,AR58=S.CAL!$BJ$4),10,1)</f>
        <v>1</v>
      </c>
      <c r="DN58" s="16">
        <f t="shared" si="132"/>
        <v>1</v>
      </c>
      <c r="DU58" s="1296" t="str">
        <f t="shared" ref="DU58:DU87" si="155">+A58&amp;B58</f>
        <v>Fiche infoA745690</v>
      </c>
      <c r="DV58" s="1384">
        <f t="shared" si="133"/>
        <v>0</v>
      </c>
      <c r="DW58" s="1385">
        <f t="shared" si="134"/>
        <v>0</v>
      </c>
      <c r="DX58" s="1385">
        <f t="shared" si="135"/>
        <v>0</v>
      </c>
      <c r="DY58" s="1385">
        <f t="shared" si="136"/>
        <v>0</v>
      </c>
      <c r="DZ58" s="1385">
        <f t="shared" si="137"/>
        <v>0</v>
      </c>
      <c r="EA58" s="1385">
        <f t="shared" si="138"/>
        <v>0</v>
      </c>
      <c r="EB58" s="1385">
        <f t="shared" si="139"/>
        <v>0</v>
      </c>
      <c r="EC58" s="1385">
        <f t="shared" si="140"/>
        <v>0</v>
      </c>
      <c r="ED58" s="1385">
        <f t="shared" ref="ED58:ED87" si="156">+DW58-DV58+DY58-DX58+EA58-DZ58+EC58-EB58</f>
        <v>0</v>
      </c>
      <c r="EE58" s="1386">
        <f t="shared" ref="EE58:EE87" si="157">ROUND(+ED58*24,2)</f>
        <v>0</v>
      </c>
      <c r="EG58" s="16" t="str">
        <f t="shared" ref="EG58:EG87" si="158">+WEEKNUM(B58,21)&amp;YEAR(B58)</f>
        <v>52025</v>
      </c>
      <c r="EH58" s="16" t="str">
        <f t="shared" si="141"/>
        <v>Fiche infoA7</v>
      </c>
      <c r="EI58" s="16" t="str">
        <f t="shared" si="142"/>
        <v/>
      </c>
    </row>
    <row r="59" spans="1:145" x14ac:dyDescent="0.2">
      <c r="A59" s="24" t="str">
        <f>Février!BJ22</f>
        <v>Fiche infoA1</v>
      </c>
      <c r="B59" s="829">
        <f>Février!AB22</f>
        <v>45691</v>
      </c>
      <c r="C59" s="1393"/>
      <c r="D59" s="1001">
        <f t="shared" si="98"/>
        <v>0</v>
      </c>
      <c r="E59" s="452">
        <f t="shared" si="99"/>
        <v>0</v>
      </c>
      <c r="F59" s="452">
        <f t="shared" si="100"/>
        <v>0</v>
      </c>
      <c r="G59" s="452">
        <f t="shared" si="101"/>
        <v>0</v>
      </c>
      <c r="H59" s="452">
        <f t="shared" si="102"/>
        <v>0</v>
      </c>
      <c r="I59" s="452">
        <f t="shared" si="103"/>
        <v>0</v>
      </c>
      <c r="J59" s="452">
        <f t="shared" si="104"/>
        <v>0</v>
      </c>
      <c r="K59" s="452">
        <f t="shared" si="105"/>
        <v>0</v>
      </c>
      <c r="L59" s="452">
        <f t="shared" si="143"/>
        <v>0</v>
      </c>
      <c r="M59" s="1002">
        <f t="shared" si="144"/>
        <v>0</v>
      </c>
      <c r="O59" s="1001">
        <f t="shared" si="106"/>
        <v>0</v>
      </c>
      <c r="P59" s="452">
        <f t="shared" si="107"/>
        <v>0</v>
      </c>
      <c r="Q59" s="452">
        <f t="shared" si="108"/>
        <v>0</v>
      </c>
      <c r="R59" s="452">
        <f t="shared" si="109"/>
        <v>0</v>
      </c>
      <c r="S59" s="452">
        <f t="shared" si="110"/>
        <v>0</v>
      </c>
      <c r="T59" s="452">
        <f t="shared" si="111"/>
        <v>0</v>
      </c>
      <c r="U59" s="452">
        <f t="shared" si="112"/>
        <v>0</v>
      </c>
      <c r="V59" s="452">
        <f t="shared" si="113"/>
        <v>0</v>
      </c>
      <c r="W59" s="452">
        <f t="shared" si="114"/>
        <v>0</v>
      </c>
      <c r="X59" s="1002">
        <f t="shared" si="115"/>
        <v>0</v>
      </c>
      <c r="Y59" s="459"/>
      <c r="Z59" s="291">
        <f t="shared" si="116"/>
        <v>0</v>
      </c>
      <c r="AA59" s="291">
        <f t="shared" si="117"/>
        <v>0</v>
      </c>
      <c r="AB59" s="291">
        <f t="shared" si="118"/>
        <v>0</v>
      </c>
      <c r="AC59" s="291">
        <f t="shared" si="119"/>
        <v>0</v>
      </c>
      <c r="AD59" s="291">
        <f t="shared" si="120"/>
        <v>0</v>
      </c>
      <c r="AE59" s="291">
        <f t="shared" si="121"/>
        <v>0</v>
      </c>
      <c r="AF59" s="291">
        <f t="shared" si="122"/>
        <v>0</v>
      </c>
      <c r="AG59" s="291">
        <f t="shared" si="123"/>
        <v>0</v>
      </c>
      <c r="AI59" s="462">
        <f t="shared" si="124"/>
        <v>0</v>
      </c>
      <c r="AJ59" s="1112"/>
      <c r="AK59" s="507"/>
      <c r="AL59" s="829">
        <f t="shared" si="125"/>
        <v>45691</v>
      </c>
      <c r="AM59" s="684">
        <f>IFERROR(IF(AND(AT59="",AR59&lt;&gt;S.CAL!$BJ$3,AR59&lt;&gt;S.CAL!$BJ$4,$AR$50="NON"),M59-BD59,IF(AND(AT59="",AR59&lt;&gt;S.CAL!$BJ$3,AR59&lt;&gt;S.CAL!$BJ$4,$AR$50="OUI"),X59-AI59,IF(AT59&lt;&gt;0,AT59,IF(OR(AR59=S.CAL!$BJ$3,AR59=S.CAL!$BJ$4),AR59,"")))),"")</f>
        <v>0</v>
      </c>
      <c r="AN59" s="1115"/>
      <c r="AO59" s="1116"/>
      <c r="AP59" s="684">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516">
        <f t="shared" si="145"/>
        <v>0</v>
      </c>
      <c r="AR59" s="1120"/>
      <c r="AT59" s="1123"/>
      <c r="AU59" s="831"/>
      <c r="AV59" s="1392">
        <f t="shared" si="126"/>
        <v>45691</v>
      </c>
      <c r="AX59" s="529">
        <f t="shared" si="146"/>
        <v>45691</v>
      </c>
      <c r="AY59" s="541">
        <f t="shared" si="147"/>
        <v>0</v>
      </c>
      <c r="AZ59" s="538" t="s">
        <v>146</v>
      </c>
      <c r="BA59" s="534">
        <f t="shared" si="148"/>
        <v>0</v>
      </c>
      <c r="BB59" s="567" t="str">
        <f t="shared" si="127"/>
        <v/>
      </c>
      <c r="BC59" s="541">
        <f t="shared" si="149"/>
        <v>0</v>
      </c>
      <c r="BD59" s="541">
        <f t="shared" si="150"/>
        <v>0</v>
      </c>
      <c r="BE59" s="1126"/>
      <c r="BF59" s="532" t="str">
        <f t="shared" si="128"/>
        <v/>
      </c>
      <c r="BG59" s="532" t="str">
        <f t="shared" si="151"/>
        <v>oui</v>
      </c>
      <c r="BH59" s="395" t="str">
        <f t="shared" si="129"/>
        <v/>
      </c>
      <c r="BI59" s="24" t="str">
        <f t="shared" si="130"/>
        <v/>
      </c>
      <c r="BJ59" s="1403"/>
      <c r="BK59" s="1403"/>
      <c r="BL59" s="1403"/>
      <c r="BM59" s="1403"/>
      <c r="BN59" s="1403"/>
      <c r="BO59" s="1403"/>
      <c r="BP59" s="1403"/>
      <c r="BQ59" s="1403"/>
      <c r="BS59" s="1392">
        <f t="shared" si="97"/>
        <v>45691</v>
      </c>
      <c r="BT59" s="27">
        <f t="shared" ref="BT59:BT87" si="159">IFERROR(IF(WEEKDAY(BS59,11)=1,WEEKNUM(BS59,21),""),"")</f>
        <v>6</v>
      </c>
      <c r="BU59" s="1402"/>
      <c r="BV59" s="1402"/>
      <c r="BW59" s="1402"/>
      <c r="BX59" s="1402"/>
      <c r="BY59" s="1402"/>
      <c r="BZ59" s="1402"/>
      <c r="CA59" s="1402"/>
      <c r="CB59" s="1402"/>
      <c r="CD59" s="1408">
        <f t="shared" si="152"/>
        <v>0</v>
      </c>
      <c r="DC59" s="16" t="str">
        <f>Février!FC22</f>
        <v>non</v>
      </c>
      <c r="DG59" s="333">
        <f t="shared" si="153"/>
        <v>1</v>
      </c>
      <c r="DH59" s="129">
        <f t="shared" si="131"/>
        <v>10</v>
      </c>
      <c r="DI59" s="129">
        <f t="shared" si="154"/>
        <v>1</v>
      </c>
      <c r="DK59" s="16">
        <f>+IF(AND(Février!$DP$8&lt;&gt;52,AR59=S.CAL!$BJ$4),10,1)</f>
        <v>1</v>
      </c>
      <c r="DN59" s="16">
        <f t="shared" si="132"/>
        <v>1</v>
      </c>
      <c r="DU59" s="1296" t="str">
        <f t="shared" si="155"/>
        <v>Fiche infoA145691</v>
      </c>
      <c r="DV59" s="1384">
        <f t="shared" si="133"/>
        <v>0</v>
      </c>
      <c r="DW59" s="1385">
        <f t="shared" si="134"/>
        <v>0</v>
      </c>
      <c r="DX59" s="1385">
        <f t="shared" si="135"/>
        <v>0</v>
      </c>
      <c r="DY59" s="1385">
        <f t="shared" si="136"/>
        <v>0</v>
      </c>
      <c r="DZ59" s="1385">
        <f t="shared" si="137"/>
        <v>0</v>
      </c>
      <c r="EA59" s="1385">
        <f t="shared" si="138"/>
        <v>0</v>
      </c>
      <c r="EB59" s="1385">
        <f t="shared" si="139"/>
        <v>0</v>
      </c>
      <c r="EC59" s="1385">
        <f t="shared" si="140"/>
        <v>0</v>
      </c>
      <c r="ED59" s="1385">
        <f t="shared" si="156"/>
        <v>0</v>
      </c>
      <c r="EE59" s="1386">
        <f t="shared" si="157"/>
        <v>0</v>
      </c>
      <c r="EG59" s="16" t="str">
        <f t="shared" si="158"/>
        <v>62025</v>
      </c>
      <c r="EH59" s="16" t="str">
        <f t="shared" si="141"/>
        <v>Fiche infoA1</v>
      </c>
      <c r="EI59" s="16" t="str">
        <f t="shared" si="142"/>
        <v/>
      </c>
    </row>
    <row r="60" spans="1:145" x14ac:dyDescent="0.2">
      <c r="A60" s="1395" t="str">
        <f>Février!BJ23</f>
        <v>Fiche infoA2</v>
      </c>
      <c r="B60" s="829">
        <f>Février!AB23</f>
        <v>45692</v>
      </c>
      <c r="C60" s="1394"/>
      <c r="D60" s="1001">
        <f t="shared" si="98"/>
        <v>0</v>
      </c>
      <c r="E60" s="452">
        <f t="shared" si="99"/>
        <v>0</v>
      </c>
      <c r="F60" s="452">
        <f t="shared" si="100"/>
        <v>0</v>
      </c>
      <c r="G60" s="452">
        <f t="shared" si="101"/>
        <v>0</v>
      </c>
      <c r="H60" s="452">
        <f t="shared" si="102"/>
        <v>0</v>
      </c>
      <c r="I60" s="452">
        <f t="shared" si="103"/>
        <v>0</v>
      </c>
      <c r="J60" s="452">
        <f t="shared" si="104"/>
        <v>0</v>
      </c>
      <c r="K60" s="452">
        <f t="shared" si="105"/>
        <v>0</v>
      </c>
      <c r="L60" s="452">
        <f t="shared" si="143"/>
        <v>0</v>
      </c>
      <c r="M60" s="1002">
        <f t="shared" si="144"/>
        <v>0</v>
      </c>
      <c r="N60" s="1396"/>
      <c r="O60" s="1001">
        <f t="shared" si="106"/>
        <v>0</v>
      </c>
      <c r="P60" s="452">
        <f t="shared" si="107"/>
        <v>0</v>
      </c>
      <c r="Q60" s="452">
        <f t="shared" si="108"/>
        <v>0</v>
      </c>
      <c r="R60" s="452">
        <f t="shared" si="109"/>
        <v>0</v>
      </c>
      <c r="S60" s="452">
        <f t="shared" si="110"/>
        <v>0</v>
      </c>
      <c r="T60" s="452">
        <f t="shared" si="111"/>
        <v>0</v>
      </c>
      <c r="U60" s="452">
        <f t="shared" si="112"/>
        <v>0</v>
      </c>
      <c r="V60" s="452">
        <f t="shared" si="113"/>
        <v>0</v>
      </c>
      <c r="W60" s="452">
        <f t="shared" si="114"/>
        <v>0</v>
      </c>
      <c r="X60" s="1002">
        <f t="shared" si="115"/>
        <v>0</v>
      </c>
      <c r="Y60" s="1397"/>
      <c r="Z60" s="1398">
        <f t="shared" si="116"/>
        <v>0</v>
      </c>
      <c r="AA60" s="1398">
        <f t="shared" si="117"/>
        <v>0</v>
      </c>
      <c r="AB60" s="1398">
        <f t="shared" si="118"/>
        <v>0</v>
      </c>
      <c r="AC60" s="1398">
        <f t="shared" si="119"/>
        <v>0</v>
      </c>
      <c r="AD60" s="1398">
        <f t="shared" si="120"/>
        <v>0</v>
      </c>
      <c r="AE60" s="1398">
        <f t="shared" si="121"/>
        <v>0</v>
      </c>
      <c r="AF60" s="1398">
        <f t="shared" si="122"/>
        <v>0</v>
      </c>
      <c r="AG60" s="1398">
        <f t="shared" si="123"/>
        <v>0</v>
      </c>
      <c r="AH60" s="1396"/>
      <c r="AI60" s="462">
        <f t="shared" si="124"/>
        <v>0</v>
      </c>
      <c r="AJ60" s="1112"/>
      <c r="AK60" s="1399"/>
      <c r="AL60" s="829">
        <f t="shared" si="125"/>
        <v>45692</v>
      </c>
      <c r="AM60" s="684">
        <f>IFERROR(IF(AND(AT60="",AR60&lt;&gt;S.CAL!$BJ$3,AR60&lt;&gt;S.CAL!$BJ$4,$AR$50="NON"),M60-BD60,IF(AND(AT60="",AR60&lt;&gt;S.CAL!$BJ$3,AR60&lt;&gt;S.CAL!$BJ$4,$AR$50="OUI"),X60-AI60,IF(AT60&lt;&gt;0,AT60,IF(OR(AR60=S.CAL!$BJ$3,AR60=S.CAL!$BJ$4),AR60,"")))),"")</f>
        <v>0</v>
      </c>
      <c r="AN60" s="1115"/>
      <c r="AO60" s="1116"/>
      <c r="AP60" s="684">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400">
        <f t="shared" si="145"/>
        <v>0</v>
      </c>
      <c r="AR60" s="1120"/>
      <c r="AS60" s="1396"/>
      <c r="AT60" s="1123"/>
      <c r="AU60" s="831"/>
      <c r="AV60" s="1392">
        <f t="shared" si="126"/>
        <v>45692</v>
      </c>
      <c r="AW60" s="1396"/>
      <c r="AX60" s="529">
        <f t="shared" si="146"/>
        <v>45692</v>
      </c>
      <c r="AY60" s="541">
        <f t="shared" si="147"/>
        <v>0</v>
      </c>
      <c r="AZ60" s="538" t="s">
        <v>146</v>
      </c>
      <c r="BA60" s="534">
        <f t="shared" si="148"/>
        <v>0</v>
      </c>
      <c r="BB60" s="567" t="str">
        <f t="shared" si="127"/>
        <v/>
      </c>
      <c r="BC60" s="541">
        <f t="shared" si="149"/>
        <v>0</v>
      </c>
      <c r="BD60" s="541">
        <f t="shared" si="150"/>
        <v>0</v>
      </c>
      <c r="BE60" s="1126"/>
      <c r="BF60" s="532" t="str">
        <f t="shared" si="128"/>
        <v/>
      </c>
      <c r="BG60" s="532" t="str">
        <f t="shared" si="151"/>
        <v>oui</v>
      </c>
      <c r="BH60" s="395" t="str">
        <f t="shared" si="129"/>
        <v/>
      </c>
      <c r="BI60" s="24" t="str">
        <f t="shared" si="130"/>
        <v/>
      </c>
      <c r="BJ60" s="1404"/>
      <c r="BK60" s="1404"/>
      <c r="BL60" s="1404"/>
      <c r="BM60" s="1404"/>
      <c r="BN60" s="1404"/>
      <c r="BO60" s="1404"/>
      <c r="BP60" s="1404"/>
      <c r="BQ60" s="1404"/>
      <c r="BR60" s="1405"/>
      <c r="BS60" s="1392">
        <f t="shared" si="97"/>
        <v>45692</v>
      </c>
      <c r="BT60" s="1406" t="str">
        <f t="shared" si="159"/>
        <v/>
      </c>
      <c r="BU60" s="1404"/>
      <c r="BV60" s="1404"/>
      <c r="BW60" s="1404"/>
      <c r="BX60" s="1404"/>
      <c r="BY60" s="1404"/>
      <c r="BZ60" s="1404"/>
      <c r="CA60" s="1404"/>
      <c r="CB60" s="1404"/>
      <c r="CD60" s="1408">
        <f t="shared" si="152"/>
        <v>0</v>
      </c>
      <c r="DC60" s="16" t="str">
        <f>Février!FC23</f>
        <v>non</v>
      </c>
      <c r="DG60" s="333">
        <f t="shared" si="153"/>
        <v>1</v>
      </c>
      <c r="DH60" s="129">
        <f t="shared" si="131"/>
        <v>10</v>
      </c>
      <c r="DI60" s="129">
        <f t="shared" si="154"/>
        <v>1</v>
      </c>
      <c r="DK60" s="16">
        <f>+IF(AND(Février!$DP$8&lt;&gt;52,AR60=S.CAL!$BJ$4),10,1)</f>
        <v>1</v>
      </c>
      <c r="DN60" s="16">
        <f t="shared" si="132"/>
        <v>1</v>
      </c>
      <c r="DU60" s="1296" t="str">
        <f t="shared" si="155"/>
        <v>Fiche infoA245692</v>
      </c>
      <c r="DV60" s="1384">
        <f t="shared" si="133"/>
        <v>0</v>
      </c>
      <c r="DW60" s="1385">
        <f t="shared" si="134"/>
        <v>0</v>
      </c>
      <c r="DX60" s="1385">
        <f t="shared" si="135"/>
        <v>0</v>
      </c>
      <c r="DY60" s="1385">
        <f t="shared" si="136"/>
        <v>0</v>
      </c>
      <c r="DZ60" s="1385">
        <f t="shared" si="137"/>
        <v>0</v>
      </c>
      <c r="EA60" s="1385">
        <f t="shared" si="138"/>
        <v>0</v>
      </c>
      <c r="EB60" s="1385">
        <f t="shared" si="139"/>
        <v>0</v>
      </c>
      <c r="EC60" s="1385">
        <f t="shared" si="140"/>
        <v>0</v>
      </c>
      <c r="ED60" s="1385">
        <f t="shared" si="156"/>
        <v>0</v>
      </c>
      <c r="EE60" s="1386">
        <f t="shared" si="157"/>
        <v>0</v>
      </c>
      <c r="EG60" s="16" t="str">
        <f t="shared" si="158"/>
        <v>62025</v>
      </c>
      <c r="EH60" s="16" t="str">
        <f t="shared" si="141"/>
        <v>Fiche infoA2</v>
      </c>
      <c r="EI60" s="16" t="str">
        <f t="shared" si="142"/>
        <v/>
      </c>
    </row>
    <row r="61" spans="1:145" x14ac:dyDescent="0.2">
      <c r="A61" s="24" t="str">
        <f>Février!BJ24</f>
        <v>Fiche infoA3</v>
      </c>
      <c r="B61" s="829">
        <f>Février!AB24</f>
        <v>45693</v>
      </c>
      <c r="C61" s="1393"/>
      <c r="D61" s="1001">
        <f t="shared" si="98"/>
        <v>0</v>
      </c>
      <c r="E61" s="452">
        <f t="shared" si="99"/>
        <v>0</v>
      </c>
      <c r="F61" s="452">
        <f t="shared" si="100"/>
        <v>0</v>
      </c>
      <c r="G61" s="452">
        <f t="shared" si="101"/>
        <v>0</v>
      </c>
      <c r="H61" s="452">
        <f t="shared" si="102"/>
        <v>0</v>
      </c>
      <c r="I61" s="452">
        <f t="shared" si="103"/>
        <v>0</v>
      </c>
      <c r="J61" s="452">
        <f t="shared" si="104"/>
        <v>0</v>
      </c>
      <c r="K61" s="452">
        <f t="shared" si="105"/>
        <v>0</v>
      </c>
      <c r="L61" s="452">
        <f t="shared" si="143"/>
        <v>0</v>
      </c>
      <c r="M61" s="1002">
        <f t="shared" si="144"/>
        <v>0</v>
      </c>
      <c r="O61" s="1001">
        <f t="shared" si="106"/>
        <v>0</v>
      </c>
      <c r="P61" s="452">
        <f t="shared" si="107"/>
        <v>0</v>
      </c>
      <c r="Q61" s="452">
        <f t="shared" si="108"/>
        <v>0</v>
      </c>
      <c r="R61" s="452">
        <f t="shared" si="109"/>
        <v>0</v>
      </c>
      <c r="S61" s="452">
        <f t="shared" si="110"/>
        <v>0</v>
      </c>
      <c r="T61" s="452">
        <f t="shared" si="111"/>
        <v>0</v>
      </c>
      <c r="U61" s="452">
        <f t="shared" si="112"/>
        <v>0</v>
      </c>
      <c r="V61" s="452">
        <f t="shared" si="113"/>
        <v>0</v>
      </c>
      <c r="W61" s="452">
        <f t="shared" si="114"/>
        <v>0</v>
      </c>
      <c r="X61" s="1002">
        <f t="shared" si="115"/>
        <v>0</v>
      </c>
      <c r="Y61" s="459"/>
      <c r="Z61" s="291">
        <f t="shared" si="116"/>
        <v>0</v>
      </c>
      <c r="AA61" s="291">
        <f t="shared" si="117"/>
        <v>0</v>
      </c>
      <c r="AB61" s="291">
        <f t="shared" si="118"/>
        <v>0</v>
      </c>
      <c r="AC61" s="291">
        <f t="shared" si="119"/>
        <v>0</v>
      </c>
      <c r="AD61" s="291">
        <f t="shared" si="120"/>
        <v>0</v>
      </c>
      <c r="AE61" s="291">
        <f t="shared" si="121"/>
        <v>0</v>
      </c>
      <c r="AF61" s="291">
        <f t="shared" si="122"/>
        <v>0</v>
      </c>
      <c r="AG61" s="291">
        <f t="shared" si="123"/>
        <v>0</v>
      </c>
      <c r="AI61" s="462">
        <f t="shared" si="124"/>
        <v>0</v>
      </c>
      <c r="AJ61" s="1112"/>
      <c r="AK61" s="507"/>
      <c r="AL61" s="829">
        <f t="shared" si="125"/>
        <v>45693</v>
      </c>
      <c r="AM61" s="684">
        <f>IFERROR(IF(AND(AT61="",AR61&lt;&gt;S.CAL!$BJ$3,AR61&lt;&gt;S.CAL!$BJ$4,$AR$50="NON"),M61-BD61,IF(AND(AT61="",AR61&lt;&gt;S.CAL!$BJ$3,AR61&lt;&gt;S.CAL!$BJ$4,$AR$50="OUI"),X61-AI61,IF(AT61&lt;&gt;0,AT61,IF(OR(AR61=S.CAL!$BJ$3,AR61=S.CAL!$BJ$4),AR61,"")))),"")</f>
        <v>0</v>
      </c>
      <c r="AN61" s="1115"/>
      <c r="AO61" s="1116"/>
      <c r="AP61" s="684">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516">
        <f t="shared" si="145"/>
        <v>0</v>
      </c>
      <c r="AR61" s="1120"/>
      <c r="AT61" s="1123"/>
      <c r="AU61" s="831"/>
      <c r="AV61" s="1392">
        <f t="shared" si="126"/>
        <v>45693</v>
      </c>
      <c r="AX61" s="529">
        <f t="shared" si="146"/>
        <v>45693</v>
      </c>
      <c r="AY61" s="541">
        <f t="shared" si="147"/>
        <v>0</v>
      </c>
      <c r="AZ61" s="538" t="s">
        <v>146</v>
      </c>
      <c r="BA61" s="534">
        <f t="shared" si="148"/>
        <v>0</v>
      </c>
      <c r="BB61" s="567" t="str">
        <f t="shared" si="127"/>
        <v/>
      </c>
      <c r="BC61" s="541">
        <f t="shared" si="149"/>
        <v>0</v>
      </c>
      <c r="BD61" s="541">
        <f t="shared" si="150"/>
        <v>0</v>
      </c>
      <c r="BE61" s="1126"/>
      <c r="BF61" s="532" t="str">
        <f t="shared" si="128"/>
        <v/>
      </c>
      <c r="BG61" s="532" t="str">
        <f t="shared" si="151"/>
        <v>oui</v>
      </c>
      <c r="BH61" s="395" t="str">
        <f t="shared" si="129"/>
        <v/>
      </c>
      <c r="BI61" s="24" t="str">
        <f t="shared" si="130"/>
        <v/>
      </c>
      <c r="BJ61" s="1403"/>
      <c r="BK61" s="1403"/>
      <c r="BL61" s="1403"/>
      <c r="BM61" s="1403"/>
      <c r="BN61" s="1403"/>
      <c r="BO61" s="1403"/>
      <c r="BP61" s="1403"/>
      <c r="BQ61" s="1403"/>
      <c r="BS61" s="1392">
        <f t="shared" si="97"/>
        <v>45693</v>
      </c>
      <c r="BT61" s="27" t="str">
        <f t="shared" si="159"/>
        <v/>
      </c>
      <c r="BU61" s="1402"/>
      <c r="BV61" s="1402"/>
      <c r="BW61" s="1402"/>
      <c r="BX61" s="1402"/>
      <c r="BY61" s="1402"/>
      <c r="BZ61" s="1402"/>
      <c r="CA61" s="1402"/>
      <c r="CB61" s="1402"/>
      <c r="CD61" s="1408">
        <f t="shared" si="152"/>
        <v>0</v>
      </c>
      <c r="DC61" s="16" t="str">
        <f>Février!FC24</f>
        <v>non</v>
      </c>
      <c r="DG61" s="333">
        <f t="shared" si="153"/>
        <v>1</v>
      </c>
      <c r="DH61" s="129">
        <f t="shared" si="131"/>
        <v>10</v>
      </c>
      <c r="DI61" s="129">
        <f t="shared" si="154"/>
        <v>1</v>
      </c>
      <c r="DK61" s="16">
        <f>+IF(AND(Février!$DP$8&lt;&gt;52,AR61=S.CAL!$BJ$4),10,1)</f>
        <v>1</v>
      </c>
      <c r="DN61" s="16">
        <f t="shared" si="132"/>
        <v>1</v>
      </c>
      <c r="DU61" s="1296" t="str">
        <f t="shared" si="155"/>
        <v>Fiche infoA345693</v>
      </c>
      <c r="DV61" s="1384">
        <f t="shared" si="133"/>
        <v>0</v>
      </c>
      <c r="DW61" s="1385">
        <f t="shared" si="134"/>
        <v>0</v>
      </c>
      <c r="DX61" s="1385">
        <f t="shared" si="135"/>
        <v>0</v>
      </c>
      <c r="DY61" s="1385">
        <f t="shared" si="136"/>
        <v>0</v>
      </c>
      <c r="DZ61" s="1385">
        <f t="shared" si="137"/>
        <v>0</v>
      </c>
      <c r="EA61" s="1385">
        <f t="shared" si="138"/>
        <v>0</v>
      </c>
      <c r="EB61" s="1385">
        <f t="shared" si="139"/>
        <v>0</v>
      </c>
      <c r="EC61" s="1385">
        <f t="shared" si="140"/>
        <v>0</v>
      </c>
      <c r="ED61" s="1385">
        <f t="shared" si="156"/>
        <v>0</v>
      </c>
      <c r="EE61" s="1386">
        <f t="shared" si="157"/>
        <v>0</v>
      </c>
      <c r="EG61" s="16" t="str">
        <f t="shared" si="158"/>
        <v>62025</v>
      </c>
      <c r="EH61" s="16" t="str">
        <f t="shared" si="141"/>
        <v>Fiche infoA3</v>
      </c>
      <c r="EI61" s="16" t="str">
        <f t="shared" si="142"/>
        <v/>
      </c>
    </row>
    <row r="62" spans="1:145" x14ac:dyDescent="0.2">
      <c r="A62" s="1395" t="str">
        <f>Février!BJ25</f>
        <v>Fiche infoA4</v>
      </c>
      <c r="B62" s="829">
        <f>Février!AB25</f>
        <v>45694</v>
      </c>
      <c r="C62" s="1394"/>
      <c r="D62" s="1001">
        <f t="shared" si="98"/>
        <v>0</v>
      </c>
      <c r="E62" s="452">
        <f t="shared" si="99"/>
        <v>0</v>
      </c>
      <c r="F62" s="452">
        <f t="shared" si="100"/>
        <v>0</v>
      </c>
      <c r="G62" s="452">
        <f t="shared" si="101"/>
        <v>0</v>
      </c>
      <c r="H62" s="452">
        <f t="shared" si="102"/>
        <v>0</v>
      </c>
      <c r="I62" s="452">
        <f t="shared" si="103"/>
        <v>0</v>
      </c>
      <c r="J62" s="452">
        <f t="shared" si="104"/>
        <v>0</v>
      </c>
      <c r="K62" s="452">
        <f t="shared" si="105"/>
        <v>0</v>
      </c>
      <c r="L62" s="452">
        <f t="shared" si="143"/>
        <v>0</v>
      </c>
      <c r="M62" s="1002">
        <f t="shared" si="144"/>
        <v>0</v>
      </c>
      <c r="N62" s="1396"/>
      <c r="O62" s="1001">
        <f t="shared" si="106"/>
        <v>0</v>
      </c>
      <c r="P62" s="452">
        <f t="shared" si="107"/>
        <v>0</v>
      </c>
      <c r="Q62" s="452">
        <f t="shared" si="108"/>
        <v>0</v>
      </c>
      <c r="R62" s="452">
        <f t="shared" si="109"/>
        <v>0</v>
      </c>
      <c r="S62" s="452">
        <f t="shared" si="110"/>
        <v>0</v>
      </c>
      <c r="T62" s="452">
        <f t="shared" si="111"/>
        <v>0</v>
      </c>
      <c r="U62" s="452">
        <f t="shared" si="112"/>
        <v>0</v>
      </c>
      <c r="V62" s="452">
        <f t="shared" si="113"/>
        <v>0</v>
      </c>
      <c r="W62" s="452">
        <f t="shared" si="114"/>
        <v>0</v>
      </c>
      <c r="X62" s="1002">
        <f t="shared" si="115"/>
        <v>0</v>
      </c>
      <c r="Y62" s="1397"/>
      <c r="Z62" s="1398">
        <f t="shared" si="116"/>
        <v>0</v>
      </c>
      <c r="AA62" s="1398">
        <f t="shared" si="117"/>
        <v>0</v>
      </c>
      <c r="AB62" s="1398">
        <f t="shared" si="118"/>
        <v>0</v>
      </c>
      <c r="AC62" s="1398">
        <f t="shared" si="119"/>
        <v>0</v>
      </c>
      <c r="AD62" s="1398">
        <f t="shared" si="120"/>
        <v>0</v>
      </c>
      <c r="AE62" s="1398">
        <f t="shared" si="121"/>
        <v>0</v>
      </c>
      <c r="AF62" s="1398">
        <f t="shared" si="122"/>
        <v>0</v>
      </c>
      <c r="AG62" s="1398">
        <f t="shared" si="123"/>
        <v>0</v>
      </c>
      <c r="AH62" s="1396"/>
      <c r="AI62" s="462">
        <f t="shared" si="124"/>
        <v>0</v>
      </c>
      <c r="AJ62" s="1112"/>
      <c r="AK62" s="1399"/>
      <c r="AL62" s="829">
        <f t="shared" si="125"/>
        <v>45694</v>
      </c>
      <c r="AM62" s="684">
        <f>IFERROR(IF(AND(AT62="",AR62&lt;&gt;S.CAL!$BJ$3,AR62&lt;&gt;S.CAL!$BJ$4,$AR$50="NON"),M62-BD62,IF(AND(AT62="",AR62&lt;&gt;S.CAL!$BJ$3,AR62&lt;&gt;S.CAL!$BJ$4,$AR$50="OUI"),X62-AI62,IF(AT62&lt;&gt;0,AT62,IF(OR(AR62=S.CAL!$BJ$3,AR62=S.CAL!$BJ$4),AR62,"")))),"")</f>
        <v>0</v>
      </c>
      <c r="AN62" s="1115"/>
      <c r="AO62" s="1116"/>
      <c r="AP62" s="684">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400">
        <f t="shared" si="145"/>
        <v>0</v>
      </c>
      <c r="AR62" s="1120"/>
      <c r="AS62" s="1396"/>
      <c r="AT62" s="1123"/>
      <c r="AU62" s="831"/>
      <c r="AV62" s="1392">
        <f t="shared" si="126"/>
        <v>45694</v>
      </c>
      <c r="AW62" s="1396"/>
      <c r="AX62" s="529">
        <f t="shared" si="146"/>
        <v>45694</v>
      </c>
      <c r="AY62" s="541">
        <f t="shared" si="147"/>
        <v>0</v>
      </c>
      <c r="AZ62" s="538" t="s">
        <v>146</v>
      </c>
      <c r="BA62" s="534">
        <f t="shared" si="148"/>
        <v>0</v>
      </c>
      <c r="BB62" s="567" t="str">
        <f t="shared" si="127"/>
        <v/>
      </c>
      <c r="BC62" s="541">
        <f t="shared" si="149"/>
        <v>0</v>
      </c>
      <c r="BD62" s="541">
        <f t="shared" si="150"/>
        <v>0</v>
      </c>
      <c r="BE62" s="1126"/>
      <c r="BF62" s="532" t="str">
        <f t="shared" si="128"/>
        <v/>
      </c>
      <c r="BG62" s="532" t="str">
        <f t="shared" si="151"/>
        <v>oui</v>
      </c>
      <c r="BH62" s="395" t="str">
        <f t="shared" si="129"/>
        <v/>
      </c>
      <c r="BI62" s="24" t="str">
        <f t="shared" si="130"/>
        <v/>
      </c>
      <c r="BJ62" s="1404"/>
      <c r="BK62" s="1404"/>
      <c r="BL62" s="1404"/>
      <c r="BM62" s="1404"/>
      <c r="BN62" s="1404"/>
      <c r="BO62" s="1404"/>
      <c r="BP62" s="1404"/>
      <c r="BQ62" s="1404"/>
      <c r="BR62" s="1405"/>
      <c r="BS62" s="1392">
        <f t="shared" si="97"/>
        <v>45694</v>
      </c>
      <c r="BT62" s="1406" t="str">
        <f t="shared" si="159"/>
        <v/>
      </c>
      <c r="BU62" s="1404"/>
      <c r="BV62" s="1404"/>
      <c r="BW62" s="1404"/>
      <c r="BX62" s="1404"/>
      <c r="BY62" s="1404"/>
      <c r="BZ62" s="1404"/>
      <c r="CA62" s="1404"/>
      <c r="CB62" s="1404"/>
      <c r="CD62" s="1408">
        <f t="shared" si="152"/>
        <v>0</v>
      </c>
      <c r="DC62" s="16" t="str">
        <f>Février!FC25</f>
        <v>non</v>
      </c>
      <c r="DG62" s="333">
        <f t="shared" si="153"/>
        <v>1</v>
      </c>
      <c r="DH62" s="129">
        <f t="shared" si="131"/>
        <v>10</v>
      </c>
      <c r="DI62" s="129">
        <f t="shared" si="154"/>
        <v>1</v>
      </c>
      <c r="DK62" s="16">
        <f>+IF(AND(Février!$DP$8&lt;&gt;52,AR62=S.CAL!$BJ$4),10,1)</f>
        <v>1</v>
      </c>
      <c r="DN62" s="16">
        <f t="shared" si="132"/>
        <v>1</v>
      </c>
      <c r="DU62" s="1296" t="str">
        <f t="shared" si="155"/>
        <v>Fiche infoA445694</v>
      </c>
      <c r="DV62" s="1384">
        <f t="shared" si="133"/>
        <v>0</v>
      </c>
      <c r="DW62" s="1385">
        <f t="shared" si="134"/>
        <v>0</v>
      </c>
      <c r="DX62" s="1385">
        <f t="shared" si="135"/>
        <v>0</v>
      </c>
      <c r="DY62" s="1385">
        <f t="shared" si="136"/>
        <v>0</v>
      </c>
      <c r="DZ62" s="1385">
        <f t="shared" si="137"/>
        <v>0</v>
      </c>
      <c r="EA62" s="1385">
        <f t="shared" si="138"/>
        <v>0</v>
      </c>
      <c r="EB62" s="1385">
        <f t="shared" si="139"/>
        <v>0</v>
      </c>
      <c r="EC62" s="1385">
        <f t="shared" si="140"/>
        <v>0</v>
      </c>
      <c r="ED62" s="1385">
        <f t="shared" si="156"/>
        <v>0</v>
      </c>
      <c r="EE62" s="1386">
        <f t="shared" si="157"/>
        <v>0</v>
      </c>
      <c r="EG62" s="16" t="str">
        <f t="shared" si="158"/>
        <v>62025</v>
      </c>
      <c r="EH62" s="16" t="str">
        <f t="shared" si="141"/>
        <v>Fiche infoA4</v>
      </c>
      <c r="EI62" s="16" t="str">
        <f t="shared" si="142"/>
        <v/>
      </c>
    </row>
    <row r="63" spans="1:145" x14ac:dyDescent="0.2">
      <c r="A63" s="24" t="str">
        <f>Février!BJ26</f>
        <v>Fiche infoA5</v>
      </c>
      <c r="B63" s="829">
        <f>Février!AB26</f>
        <v>45695</v>
      </c>
      <c r="C63" s="1393"/>
      <c r="D63" s="1001">
        <f t="shared" si="98"/>
        <v>0</v>
      </c>
      <c r="E63" s="452">
        <f t="shared" si="99"/>
        <v>0</v>
      </c>
      <c r="F63" s="452">
        <f t="shared" si="100"/>
        <v>0</v>
      </c>
      <c r="G63" s="452">
        <f t="shared" si="101"/>
        <v>0</v>
      </c>
      <c r="H63" s="452">
        <f t="shared" si="102"/>
        <v>0</v>
      </c>
      <c r="I63" s="452">
        <f t="shared" si="103"/>
        <v>0</v>
      </c>
      <c r="J63" s="452">
        <f t="shared" si="104"/>
        <v>0</v>
      </c>
      <c r="K63" s="452">
        <f t="shared" si="105"/>
        <v>0</v>
      </c>
      <c r="L63" s="452">
        <f t="shared" si="143"/>
        <v>0</v>
      </c>
      <c r="M63" s="1002">
        <f t="shared" si="144"/>
        <v>0</v>
      </c>
      <c r="O63" s="1001">
        <f t="shared" si="106"/>
        <v>0</v>
      </c>
      <c r="P63" s="452">
        <f t="shared" si="107"/>
        <v>0</v>
      </c>
      <c r="Q63" s="452">
        <f t="shared" si="108"/>
        <v>0</v>
      </c>
      <c r="R63" s="452">
        <f t="shared" si="109"/>
        <v>0</v>
      </c>
      <c r="S63" s="452">
        <f t="shared" si="110"/>
        <v>0</v>
      </c>
      <c r="T63" s="452">
        <f t="shared" si="111"/>
        <v>0</v>
      </c>
      <c r="U63" s="452">
        <f t="shared" si="112"/>
        <v>0</v>
      </c>
      <c r="V63" s="452">
        <f t="shared" si="113"/>
        <v>0</v>
      </c>
      <c r="W63" s="452">
        <f t="shared" si="114"/>
        <v>0</v>
      </c>
      <c r="X63" s="1002">
        <f t="shared" si="115"/>
        <v>0</v>
      </c>
      <c r="Y63" s="459"/>
      <c r="Z63" s="291">
        <f t="shared" si="116"/>
        <v>0</v>
      </c>
      <c r="AA63" s="291">
        <f t="shared" si="117"/>
        <v>0</v>
      </c>
      <c r="AB63" s="291">
        <f t="shared" si="118"/>
        <v>0</v>
      </c>
      <c r="AC63" s="291">
        <f t="shared" si="119"/>
        <v>0</v>
      </c>
      <c r="AD63" s="291">
        <f t="shared" si="120"/>
        <v>0</v>
      </c>
      <c r="AE63" s="291">
        <f t="shared" si="121"/>
        <v>0</v>
      </c>
      <c r="AF63" s="291">
        <f t="shared" si="122"/>
        <v>0</v>
      </c>
      <c r="AG63" s="291">
        <f t="shared" si="123"/>
        <v>0</v>
      </c>
      <c r="AI63" s="462">
        <f t="shared" si="124"/>
        <v>0</v>
      </c>
      <c r="AJ63" s="1112"/>
      <c r="AK63" s="507"/>
      <c r="AL63" s="829">
        <f t="shared" si="125"/>
        <v>45695</v>
      </c>
      <c r="AM63" s="684">
        <f>IFERROR(IF(AND(AT63="",AR63&lt;&gt;S.CAL!$BJ$3,AR63&lt;&gt;S.CAL!$BJ$4,$AR$50="NON"),M63-BD63,IF(AND(AT63="",AR63&lt;&gt;S.CAL!$BJ$3,AR63&lt;&gt;S.CAL!$BJ$4,$AR$50="OUI"),X63-AI63,IF(AT63&lt;&gt;0,AT63,IF(OR(AR63=S.CAL!$BJ$3,AR63=S.CAL!$BJ$4),AR63,"")))),"")</f>
        <v>0</v>
      </c>
      <c r="AN63" s="1115"/>
      <c r="AO63" s="1116"/>
      <c r="AP63" s="684">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516">
        <f t="shared" si="145"/>
        <v>0</v>
      </c>
      <c r="AR63" s="1120"/>
      <c r="AT63" s="1123"/>
      <c r="AU63" s="831"/>
      <c r="AV63" s="1392">
        <f t="shared" si="126"/>
        <v>45695</v>
      </c>
      <c r="AX63" s="529">
        <f t="shared" si="146"/>
        <v>45695</v>
      </c>
      <c r="AY63" s="541">
        <f t="shared" si="147"/>
        <v>0</v>
      </c>
      <c r="AZ63" s="538" t="s">
        <v>146</v>
      </c>
      <c r="BA63" s="534">
        <f t="shared" si="148"/>
        <v>0</v>
      </c>
      <c r="BB63" s="567" t="str">
        <f t="shared" si="127"/>
        <v/>
      </c>
      <c r="BC63" s="541">
        <f t="shared" si="149"/>
        <v>0</v>
      </c>
      <c r="BD63" s="541">
        <f t="shared" si="150"/>
        <v>0</v>
      </c>
      <c r="BE63" s="1126"/>
      <c r="BF63" s="532" t="str">
        <f t="shared" si="128"/>
        <v/>
      </c>
      <c r="BG63" s="532" t="str">
        <f t="shared" si="151"/>
        <v>oui</v>
      </c>
      <c r="BH63" s="395" t="str">
        <f t="shared" si="129"/>
        <v/>
      </c>
      <c r="BI63" s="24" t="str">
        <f t="shared" si="130"/>
        <v/>
      </c>
      <c r="BJ63" s="1403"/>
      <c r="BK63" s="1403"/>
      <c r="BL63" s="1403"/>
      <c r="BM63" s="1403"/>
      <c r="BN63" s="1403"/>
      <c r="BO63" s="1403"/>
      <c r="BP63" s="1403"/>
      <c r="BQ63" s="1403"/>
      <c r="BS63" s="1392">
        <f t="shared" si="97"/>
        <v>45695</v>
      </c>
      <c r="BT63" s="27" t="str">
        <f t="shared" si="159"/>
        <v/>
      </c>
      <c r="BU63" s="1402"/>
      <c r="BV63" s="1402"/>
      <c r="BW63" s="1402"/>
      <c r="BX63" s="1402"/>
      <c r="BY63" s="1402"/>
      <c r="BZ63" s="1402"/>
      <c r="CA63" s="1402"/>
      <c r="CB63" s="1402"/>
      <c r="CD63" s="1408">
        <f t="shared" si="152"/>
        <v>0</v>
      </c>
      <c r="DC63" s="16" t="str">
        <f>Février!FC26</f>
        <v>non</v>
      </c>
      <c r="DG63" s="333">
        <f t="shared" si="153"/>
        <v>1</v>
      </c>
      <c r="DH63" s="129">
        <f t="shared" si="131"/>
        <v>10</v>
      </c>
      <c r="DI63" s="129">
        <f t="shared" si="154"/>
        <v>1</v>
      </c>
      <c r="DK63" s="16">
        <f>+IF(AND(Février!$DP$8&lt;&gt;52,AR63=S.CAL!$BJ$4),10,1)</f>
        <v>1</v>
      </c>
      <c r="DN63" s="16">
        <f t="shared" si="132"/>
        <v>1</v>
      </c>
      <c r="DU63" s="1296" t="str">
        <f t="shared" si="155"/>
        <v>Fiche infoA545695</v>
      </c>
      <c r="DV63" s="1384">
        <f t="shared" si="133"/>
        <v>0</v>
      </c>
      <c r="DW63" s="1385">
        <f t="shared" si="134"/>
        <v>0</v>
      </c>
      <c r="DX63" s="1385">
        <f t="shared" si="135"/>
        <v>0</v>
      </c>
      <c r="DY63" s="1385">
        <f t="shared" si="136"/>
        <v>0</v>
      </c>
      <c r="DZ63" s="1385">
        <f t="shared" si="137"/>
        <v>0</v>
      </c>
      <c r="EA63" s="1385">
        <f t="shared" si="138"/>
        <v>0</v>
      </c>
      <c r="EB63" s="1385">
        <f t="shared" si="139"/>
        <v>0</v>
      </c>
      <c r="EC63" s="1385">
        <f t="shared" si="140"/>
        <v>0</v>
      </c>
      <c r="ED63" s="1385">
        <f t="shared" si="156"/>
        <v>0</v>
      </c>
      <c r="EE63" s="1386">
        <f t="shared" si="157"/>
        <v>0</v>
      </c>
      <c r="EG63" s="16" t="str">
        <f t="shared" si="158"/>
        <v>62025</v>
      </c>
      <c r="EH63" s="16" t="str">
        <f t="shared" si="141"/>
        <v>Fiche infoA5</v>
      </c>
      <c r="EI63" s="16" t="str">
        <f t="shared" si="142"/>
        <v/>
      </c>
    </row>
    <row r="64" spans="1:145" x14ac:dyDescent="0.2">
      <c r="A64" s="1395" t="str">
        <f>Février!BJ27</f>
        <v>Fiche infoA6</v>
      </c>
      <c r="B64" s="829">
        <f>Février!AB27</f>
        <v>45696</v>
      </c>
      <c r="C64" s="1394"/>
      <c r="D64" s="1001">
        <f t="shared" si="98"/>
        <v>0</v>
      </c>
      <c r="E64" s="452">
        <f t="shared" si="99"/>
        <v>0</v>
      </c>
      <c r="F64" s="452">
        <f t="shared" si="100"/>
        <v>0</v>
      </c>
      <c r="G64" s="452">
        <f t="shared" si="101"/>
        <v>0</v>
      </c>
      <c r="H64" s="452">
        <f t="shared" si="102"/>
        <v>0</v>
      </c>
      <c r="I64" s="452">
        <f t="shared" si="103"/>
        <v>0</v>
      </c>
      <c r="J64" s="452">
        <f t="shared" si="104"/>
        <v>0</v>
      </c>
      <c r="K64" s="452">
        <f t="shared" si="105"/>
        <v>0</v>
      </c>
      <c r="L64" s="452">
        <f t="shared" si="143"/>
        <v>0</v>
      </c>
      <c r="M64" s="1002">
        <f t="shared" si="144"/>
        <v>0</v>
      </c>
      <c r="N64" s="1396"/>
      <c r="O64" s="1001">
        <f t="shared" si="106"/>
        <v>0</v>
      </c>
      <c r="P64" s="452">
        <f t="shared" si="107"/>
        <v>0</v>
      </c>
      <c r="Q64" s="452">
        <f t="shared" si="108"/>
        <v>0</v>
      </c>
      <c r="R64" s="452">
        <f t="shared" si="109"/>
        <v>0</v>
      </c>
      <c r="S64" s="452">
        <f t="shared" si="110"/>
        <v>0</v>
      </c>
      <c r="T64" s="452">
        <f t="shared" si="111"/>
        <v>0</v>
      </c>
      <c r="U64" s="452">
        <f t="shared" si="112"/>
        <v>0</v>
      </c>
      <c r="V64" s="452">
        <f t="shared" si="113"/>
        <v>0</v>
      </c>
      <c r="W64" s="452">
        <f t="shared" si="114"/>
        <v>0</v>
      </c>
      <c r="X64" s="1002">
        <f t="shared" si="115"/>
        <v>0</v>
      </c>
      <c r="Y64" s="1397"/>
      <c r="Z64" s="1398">
        <f t="shared" si="116"/>
        <v>0</v>
      </c>
      <c r="AA64" s="1398">
        <f t="shared" si="117"/>
        <v>0</v>
      </c>
      <c r="AB64" s="1398">
        <f t="shared" si="118"/>
        <v>0</v>
      </c>
      <c r="AC64" s="1398">
        <f t="shared" si="119"/>
        <v>0</v>
      </c>
      <c r="AD64" s="1398">
        <f t="shared" si="120"/>
        <v>0</v>
      </c>
      <c r="AE64" s="1398">
        <f t="shared" si="121"/>
        <v>0</v>
      </c>
      <c r="AF64" s="1398">
        <f t="shared" si="122"/>
        <v>0</v>
      </c>
      <c r="AG64" s="1398">
        <f t="shared" si="123"/>
        <v>0</v>
      </c>
      <c r="AH64" s="1396"/>
      <c r="AI64" s="462">
        <f t="shared" si="124"/>
        <v>0</v>
      </c>
      <c r="AJ64" s="1112"/>
      <c r="AK64" s="1399"/>
      <c r="AL64" s="829">
        <f t="shared" si="125"/>
        <v>45696</v>
      </c>
      <c r="AM64" s="684">
        <f>IFERROR(IF(AND(AT64="",AR64&lt;&gt;S.CAL!$BJ$3,AR64&lt;&gt;S.CAL!$BJ$4,$AR$50="NON"),M64-BD64,IF(AND(AT64="",AR64&lt;&gt;S.CAL!$BJ$3,AR64&lt;&gt;S.CAL!$BJ$4,$AR$50="OUI"),X64-AI64,IF(AT64&lt;&gt;0,AT64,IF(OR(AR64=S.CAL!$BJ$3,AR64=S.CAL!$BJ$4),AR64,"")))),"")</f>
        <v>0</v>
      </c>
      <c r="AN64" s="1115"/>
      <c r="AO64" s="1116"/>
      <c r="AP64" s="684">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400">
        <f t="shared" si="145"/>
        <v>0</v>
      </c>
      <c r="AR64" s="1120"/>
      <c r="AS64" s="1396"/>
      <c r="AT64" s="1123"/>
      <c r="AU64" s="831"/>
      <c r="AV64" s="1392">
        <f t="shared" si="126"/>
        <v>45696</v>
      </c>
      <c r="AW64" s="1396"/>
      <c r="AX64" s="529">
        <f t="shared" si="146"/>
        <v>45696</v>
      </c>
      <c r="AY64" s="541">
        <f t="shared" si="147"/>
        <v>0</v>
      </c>
      <c r="AZ64" s="538" t="s">
        <v>146</v>
      </c>
      <c r="BA64" s="534">
        <f t="shared" si="148"/>
        <v>0</v>
      </c>
      <c r="BB64" s="567" t="str">
        <f t="shared" si="127"/>
        <v/>
      </c>
      <c r="BC64" s="541">
        <f t="shared" si="149"/>
        <v>0</v>
      </c>
      <c r="BD64" s="541">
        <f t="shared" si="150"/>
        <v>0</v>
      </c>
      <c r="BE64" s="1126"/>
      <c r="BF64" s="532" t="str">
        <f t="shared" si="128"/>
        <v/>
      </c>
      <c r="BG64" s="532" t="str">
        <f t="shared" si="151"/>
        <v>oui</v>
      </c>
      <c r="BH64" s="395" t="str">
        <f t="shared" si="129"/>
        <v/>
      </c>
      <c r="BI64" s="24" t="str">
        <f t="shared" si="130"/>
        <v/>
      </c>
      <c r="BJ64" s="1404"/>
      <c r="BK64" s="1404"/>
      <c r="BL64" s="1404"/>
      <c r="BM64" s="1404"/>
      <c r="BN64" s="1404"/>
      <c r="BO64" s="1404"/>
      <c r="BP64" s="1404"/>
      <c r="BQ64" s="1404"/>
      <c r="BR64" s="1405"/>
      <c r="BS64" s="1392">
        <f t="shared" si="97"/>
        <v>45696</v>
      </c>
      <c r="BT64" s="1406" t="str">
        <f t="shared" si="159"/>
        <v/>
      </c>
      <c r="BU64" s="1404"/>
      <c r="BV64" s="1404"/>
      <c r="BW64" s="1404"/>
      <c r="BX64" s="1404"/>
      <c r="BY64" s="1404"/>
      <c r="BZ64" s="1404"/>
      <c r="CA64" s="1404"/>
      <c r="CB64" s="1404"/>
      <c r="CD64" s="1408">
        <f t="shared" si="152"/>
        <v>0</v>
      </c>
      <c r="DC64" s="16" t="str">
        <f>Février!FC27</f>
        <v>non</v>
      </c>
      <c r="DG64" s="333">
        <f t="shared" si="153"/>
        <v>1</v>
      </c>
      <c r="DH64" s="129">
        <f t="shared" si="131"/>
        <v>10</v>
      </c>
      <c r="DI64" s="129">
        <f t="shared" si="154"/>
        <v>1</v>
      </c>
      <c r="DK64" s="16">
        <f>+IF(AND(Février!$DP$8&lt;&gt;52,AR64=S.CAL!$BJ$4),10,1)</f>
        <v>1</v>
      </c>
      <c r="DN64" s="16">
        <f t="shared" si="132"/>
        <v>1</v>
      </c>
      <c r="DU64" s="1296" t="str">
        <f t="shared" si="155"/>
        <v>Fiche infoA645696</v>
      </c>
      <c r="DV64" s="1384">
        <f t="shared" si="133"/>
        <v>0</v>
      </c>
      <c r="DW64" s="1385">
        <f t="shared" si="134"/>
        <v>0</v>
      </c>
      <c r="DX64" s="1385">
        <f t="shared" si="135"/>
        <v>0</v>
      </c>
      <c r="DY64" s="1385">
        <f t="shared" si="136"/>
        <v>0</v>
      </c>
      <c r="DZ64" s="1385">
        <f t="shared" si="137"/>
        <v>0</v>
      </c>
      <c r="EA64" s="1385">
        <f t="shared" si="138"/>
        <v>0</v>
      </c>
      <c r="EB64" s="1385">
        <f t="shared" si="139"/>
        <v>0</v>
      </c>
      <c r="EC64" s="1385">
        <f t="shared" si="140"/>
        <v>0</v>
      </c>
      <c r="ED64" s="1385">
        <f t="shared" si="156"/>
        <v>0</v>
      </c>
      <c r="EE64" s="1386">
        <f t="shared" si="157"/>
        <v>0</v>
      </c>
      <c r="EG64" s="16" t="str">
        <f t="shared" si="158"/>
        <v>62025</v>
      </c>
      <c r="EH64" s="16" t="str">
        <f t="shared" si="141"/>
        <v>Fiche infoA6</v>
      </c>
      <c r="EI64" s="16" t="str">
        <f t="shared" si="142"/>
        <v/>
      </c>
    </row>
    <row r="65" spans="1:139" x14ac:dyDescent="0.2">
      <c r="A65" s="24" t="str">
        <f>Février!BJ28</f>
        <v>Fiche infoA7</v>
      </c>
      <c r="B65" s="829">
        <f>Février!AB28</f>
        <v>45697</v>
      </c>
      <c r="C65" s="1393"/>
      <c r="D65" s="1001">
        <f t="shared" si="98"/>
        <v>0</v>
      </c>
      <c r="E65" s="452">
        <f t="shared" si="99"/>
        <v>0</v>
      </c>
      <c r="F65" s="452">
        <f t="shared" si="100"/>
        <v>0</v>
      </c>
      <c r="G65" s="452">
        <f t="shared" si="101"/>
        <v>0</v>
      </c>
      <c r="H65" s="452">
        <f t="shared" si="102"/>
        <v>0</v>
      </c>
      <c r="I65" s="452">
        <f t="shared" si="103"/>
        <v>0</v>
      </c>
      <c r="J65" s="452">
        <f t="shared" si="104"/>
        <v>0</v>
      </c>
      <c r="K65" s="452">
        <f t="shared" si="105"/>
        <v>0</v>
      </c>
      <c r="L65" s="452">
        <f t="shared" si="143"/>
        <v>0</v>
      </c>
      <c r="M65" s="1002">
        <f t="shared" si="144"/>
        <v>0</v>
      </c>
      <c r="O65" s="1001">
        <f>IF(AR65&lt;&gt;"",0,IF(DC65="oui",0,IF(AND(ISTEXT(AT65)=TRUE,BJ65=""),0,IF(BJ65="",D65,BJ65))))</f>
        <v>0</v>
      </c>
      <c r="P65" s="452">
        <f>IF(AR65&lt;&gt;"",0,IF(DC65="oui",0,IF(AND(ISTEXT(AT65)=TRUE,BK65=""),0,IF(BK65="",E65,BK65))))</f>
        <v>0</v>
      </c>
      <c r="Q65" s="452">
        <f>IF(AR65&lt;&gt;"",0,IF(DC65="oui",0,IF(AND(ISTEXT(AT65)=TRUE,BL65=""),0,IF(BL65="",F65,BL65))))</f>
        <v>0</v>
      </c>
      <c r="R65" s="452">
        <f>IF(AR65&lt;&gt;"",0,IF(DC65="oui",0,IF(AND(ISTEXT(AT65)=TRUE,BM65=""),0,IF(BM65="",G65,BM65))))</f>
        <v>0</v>
      </c>
      <c r="S65" s="452">
        <f>IF(AR65&lt;&gt;"",0,IF(DC65="oui",0,IF(AND(ISTEXT(AT65)=TRUE,BN65=""),0,IF(BN65="",H65,BN65))))</f>
        <v>0</v>
      </c>
      <c r="T65" s="452">
        <f>IF(AR65&lt;&gt;"",0,IF(DC65="oui",0,IF(AND(ISTEXT(AT65)=TRUE,BO65=""),0,IF(BO65="",I65,BO65))))</f>
        <v>0</v>
      </c>
      <c r="U65" s="452">
        <f>IF(AR65&lt;&gt;"",0,IF(DC65="oui",0,IF(AND(ISTEXT(AT65)=TRUE,BP65=""),0,IF(BP65="",J65,BP65))))</f>
        <v>0</v>
      </c>
      <c r="V65" s="452">
        <f>IF(AR65&lt;&gt;"",0,IF(DC65="oui",0,IF(AND(ISTEXT(AT65)=TRUE,BQ65=""),0,IF(BQ65="",K65,BQ65))))</f>
        <v>0</v>
      </c>
      <c r="W65" s="452">
        <f t="shared" si="114"/>
        <v>0</v>
      </c>
      <c r="X65" s="1002">
        <f t="shared" si="115"/>
        <v>0</v>
      </c>
      <c r="Y65" s="459"/>
      <c r="Z65" s="291">
        <f t="shared" si="116"/>
        <v>0</v>
      </c>
      <c r="AA65" s="291">
        <f t="shared" si="117"/>
        <v>0</v>
      </c>
      <c r="AB65" s="291">
        <f t="shared" si="118"/>
        <v>0</v>
      </c>
      <c r="AC65" s="291">
        <f t="shared" si="119"/>
        <v>0</v>
      </c>
      <c r="AD65" s="291">
        <f t="shared" si="120"/>
        <v>0</v>
      </c>
      <c r="AE65" s="291">
        <f t="shared" si="121"/>
        <v>0</v>
      </c>
      <c r="AF65" s="291">
        <f t="shared" si="122"/>
        <v>0</v>
      </c>
      <c r="AG65" s="291">
        <f t="shared" si="123"/>
        <v>0</v>
      </c>
      <c r="AI65" s="462">
        <f>IF(DC65="oui",0,IF(AND(ISTEXT(AT65)=TRUE,OR(X65=0,X65="")),0,ROUND(((((AA65-Z65)-(E65-D65))+((AC65-AB65)-(G65-F65))+((AE65-AD65)-(I65-H65))+(AG65-AF65)-(K65-J65))*24),2)))</f>
        <v>0</v>
      </c>
      <c r="AJ65" s="1112"/>
      <c r="AK65" s="507"/>
      <c r="AL65" s="829">
        <f t="shared" si="125"/>
        <v>45697</v>
      </c>
      <c r="AM65" s="684">
        <f>IFERROR(IF(AND(AT65="",AR65&lt;&gt;S.CAL!$BJ$3,AR65&lt;&gt;S.CAL!$BJ$4,$AR$50="NON"),M65-BD65,IF(AND(AT65="",AR65&lt;&gt;S.CAL!$BJ$3,AR65&lt;&gt;S.CAL!$BJ$4,$AR$50="OUI"),X65-AI65,IF(AT65&lt;&gt;0,AT65,IF(OR(AR65=S.CAL!$BJ$3,AR65=S.CAL!$BJ$4),AR65,"")))),"")</f>
        <v>0</v>
      </c>
      <c r="AN65" s="1115"/>
      <c r="AO65" s="1116"/>
      <c r="AP65" s="684">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516">
        <f t="shared" si="145"/>
        <v>0</v>
      </c>
      <c r="AR65" s="1120"/>
      <c r="AT65" s="1123"/>
      <c r="AU65" s="831"/>
      <c r="AV65" s="1392">
        <f t="shared" si="126"/>
        <v>45697</v>
      </c>
      <c r="AX65" s="529">
        <f t="shared" si="146"/>
        <v>45697</v>
      </c>
      <c r="AY65" s="541">
        <f t="shared" si="147"/>
        <v>0</v>
      </c>
      <c r="AZ65" s="538" t="s">
        <v>146</v>
      </c>
      <c r="BA65" s="534">
        <f t="shared" si="148"/>
        <v>0</v>
      </c>
      <c r="BB65" s="567" t="str">
        <f t="shared" si="127"/>
        <v/>
      </c>
      <c r="BC65" s="541">
        <f t="shared" si="149"/>
        <v>0</v>
      </c>
      <c r="BD65" s="541">
        <f t="shared" si="150"/>
        <v>0</v>
      </c>
      <c r="BE65" s="1126"/>
      <c r="BF65" s="532" t="str">
        <f t="shared" si="128"/>
        <v/>
      </c>
      <c r="BG65" s="532" t="str">
        <f t="shared" si="151"/>
        <v>oui</v>
      </c>
      <c r="BH65" s="395" t="str">
        <f t="shared" si="129"/>
        <v/>
      </c>
      <c r="BI65" s="24" t="str">
        <f t="shared" si="130"/>
        <v/>
      </c>
      <c r="BJ65" s="1403"/>
      <c r="BK65" s="1403"/>
      <c r="BL65" s="1403"/>
      <c r="BM65" s="1403"/>
      <c r="BN65" s="1403"/>
      <c r="BO65" s="1403"/>
      <c r="BP65" s="1403"/>
      <c r="BQ65" s="1403"/>
      <c r="BS65" s="1392">
        <f t="shared" si="97"/>
        <v>45697</v>
      </c>
      <c r="BT65" s="27" t="str">
        <f t="shared" si="159"/>
        <v/>
      </c>
      <c r="BU65" s="1402"/>
      <c r="BV65" s="1402"/>
      <c r="BW65" s="1402"/>
      <c r="BX65" s="1402"/>
      <c r="BY65" s="1402"/>
      <c r="BZ65" s="1402"/>
      <c r="CA65" s="1402"/>
      <c r="CB65" s="1402"/>
      <c r="CD65" s="1408">
        <f t="shared" si="152"/>
        <v>0</v>
      </c>
      <c r="DC65" s="16" t="str">
        <f>Février!FC28</f>
        <v>non</v>
      </c>
      <c r="DG65" s="333">
        <f t="shared" si="153"/>
        <v>1</v>
      </c>
      <c r="DH65" s="129">
        <f t="shared" si="131"/>
        <v>10</v>
      </c>
      <c r="DI65" s="129">
        <f t="shared" si="154"/>
        <v>1</v>
      </c>
      <c r="DK65" s="16">
        <f>+IF(AND(Février!$DP$8&lt;&gt;52,AR65=S.CAL!$BJ$4),10,1)</f>
        <v>1</v>
      </c>
      <c r="DN65" s="16">
        <f t="shared" si="132"/>
        <v>1</v>
      </c>
      <c r="DU65" s="1296" t="str">
        <f t="shared" si="155"/>
        <v>Fiche infoA745697</v>
      </c>
      <c r="DV65" s="1384">
        <f t="shared" si="133"/>
        <v>0</v>
      </c>
      <c r="DW65" s="1385">
        <f t="shared" si="134"/>
        <v>0</v>
      </c>
      <c r="DX65" s="1385">
        <f t="shared" si="135"/>
        <v>0</v>
      </c>
      <c r="DY65" s="1385">
        <f t="shared" si="136"/>
        <v>0</v>
      </c>
      <c r="DZ65" s="1385">
        <f t="shared" si="137"/>
        <v>0</v>
      </c>
      <c r="EA65" s="1385">
        <f t="shared" si="138"/>
        <v>0</v>
      </c>
      <c r="EB65" s="1385">
        <f t="shared" si="139"/>
        <v>0</v>
      </c>
      <c r="EC65" s="1385">
        <f t="shared" si="140"/>
        <v>0</v>
      </c>
      <c r="ED65" s="1385">
        <f t="shared" si="156"/>
        <v>0</v>
      </c>
      <c r="EE65" s="1386">
        <f t="shared" si="157"/>
        <v>0</v>
      </c>
      <c r="EG65" s="16" t="str">
        <f t="shared" si="158"/>
        <v>62025</v>
      </c>
      <c r="EH65" s="16" t="str">
        <f t="shared" si="141"/>
        <v>Fiche infoA7</v>
      </c>
      <c r="EI65" s="16" t="str">
        <f t="shared" si="142"/>
        <v/>
      </c>
    </row>
    <row r="66" spans="1:139" x14ac:dyDescent="0.2">
      <c r="A66" s="1395" t="str">
        <f>Février!BJ29</f>
        <v>Fiche infoA1</v>
      </c>
      <c r="B66" s="829">
        <f>Février!AB29</f>
        <v>45698</v>
      </c>
      <c r="C66" s="1394"/>
      <c r="D66" s="1001">
        <f t="shared" si="98"/>
        <v>0</v>
      </c>
      <c r="E66" s="452">
        <f t="shared" si="99"/>
        <v>0</v>
      </c>
      <c r="F66" s="452">
        <f t="shared" si="100"/>
        <v>0</v>
      </c>
      <c r="G66" s="452">
        <f t="shared" si="101"/>
        <v>0</v>
      </c>
      <c r="H66" s="452">
        <f t="shared" si="102"/>
        <v>0</v>
      </c>
      <c r="I66" s="452">
        <f t="shared" si="103"/>
        <v>0</v>
      </c>
      <c r="J66" s="452">
        <f t="shared" si="104"/>
        <v>0</v>
      </c>
      <c r="K66" s="452">
        <f t="shared" si="105"/>
        <v>0</v>
      </c>
      <c r="L66" s="452">
        <f t="shared" si="143"/>
        <v>0</v>
      </c>
      <c r="M66" s="1002">
        <f t="shared" si="144"/>
        <v>0</v>
      </c>
      <c r="N66" s="1396"/>
      <c r="O66" s="1001">
        <f t="shared" ref="O66:O87" si="160">IF(AR66&lt;&gt;"",0,IF(DC66="oui",0,IF(AND(ISTEXT(AT66)=TRUE,BJ66=""),0,IF(BJ66="",D66,BJ66))))</f>
        <v>0</v>
      </c>
      <c r="P66" s="452">
        <f t="shared" ref="P66:P87" si="161">IF(AR66&lt;&gt;"",0,IF(DC66="oui",0,IF(AND(ISTEXT(AT66)=TRUE,BK66=""),0,IF(BK66="",E66,BK66))))</f>
        <v>0</v>
      </c>
      <c r="Q66" s="452">
        <f t="shared" ref="Q66:Q87" si="162">IF(AR66&lt;&gt;"",0,IF(DC66="oui",0,IF(AND(ISTEXT(AT66)=TRUE,BL66=""),0,IF(BL66="",F66,BL66))))</f>
        <v>0</v>
      </c>
      <c r="R66" s="452">
        <f t="shared" ref="R66:R87" si="163">IF(AR66&lt;&gt;"",0,IF(DC66="oui",0,IF(AND(ISTEXT(AT66)=TRUE,BM66=""),0,IF(BM66="",G66,BM66))))</f>
        <v>0</v>
      </c>
      <c r="S66" s="452">
        <f t="shared" ref="S66:S87" si="164">IF(AR66&lt;&gt;"",0,IF(DC66="oui",0,IF(AND(ISTEXT(AT66)=TRUE,BN66=""),0,IF(BN66="",H66,BN66))))</f>
        <v>0</v>
      </c>
      <c r="T66" s="452">
        <f t="shared" ref="T66:T87" si="165">IF(AR66&lt;&gt;"",0,IF(DC66="oui",0,IF(AND(ISTEXT(AT66)=TRUE,BO66=""),0,IF(BO66="",I66,BO66))))</f>
        <v>0</v>
      </c>
      <c r="U66" s="452">
        <f t="shared" ref="U66:U87" si="166">IF(AR66&lt;&gt;"",0,IF(DC66="oui",0,IF(AND(ISTEXT(AT66)=TRUE,BP66=""),0,IF(BP66="",J66,BP66))))</f>
        <v>0</v>
      </c>
      <c r="V66" s="452">
        <f t="shared" ref="V66:V87" si="167">IF(AR66&lt;&gt;"",0,IF(DC66="oui",0,IF(AND(ISTEXT(AT66)=TRUE,BQ66=""),0,IF(BQ66="",K66,BQ66))))</f>
        <v>0</v>
      </c>
      <c r="W66" s="452">
        <f t="shared" si="114"/>
        <v>0</v>
      </c>
      <c r="X66" s="1002">
        <f t="shared" si="115"/>
        <v>0</v>
      </c>
      <c r="Y66" s="1397"/>
      <c r="Z66" s="1398">
        <f t="shared" si="116"/>
        <v>0</v>
      </c>
      <c r="AA66" s="1398">
        <f t="shared" si="117"/>
        <v>0</v>
      </c>
      <c r="AB66" s="1398">
        <f t="shared" si="118"/>
        <v>0</v>
      </c>
      <c r="AC66" s="1398">
        <f t="shared" si="119"/>
        <v>0</v>
      </c>
      <c r="AD66" s="1398">
        <f t="shared" si="120"/>
        <v>0</v>
      </c>
      <c r="AE66" s="1398">
        <f t="shared" si="121"/>
        <v>0</v>
      </c>
      <c r="AF66" s="1398">
        <f t="shared" si="122"/>
        <v>0</v>
      </c>
      <c r="AG66" s="1398">
        <f t="shared" si="123"/>
        <v>0</v>
      </c>
      <c r="AH66" s="1396"/>
      <c r="AI66" s="462">
        <f t="shared" ref="AI66:AI87" si="168">IF(DC66="oui",0,IF(AND(ISTEXT(AT66)=TRUE,OR(X66=0,X66="")),0,ROUND(((((AA66-Z66)-(E66-D66))+((AC66-AB66)-(G66-F66))+((AE66-AD66)-(I66-H66))+(AG66-AF66)-(K66-J66))*24),2)))</f>
        <v>0</v>
      </c>
      <c r="AJ66" s="1112"/>
      <c r="AK66" s="1399"/>
      <c r="AL66" s="829">
        <f t="shared" si="125"/>
        <v>45698</v>
      </c>
      <c r="AM66" s="684">
        <f>IFERROR(IF(AND(AT66="",AR66&lt;&gt;S.CAL!$BJ$3,AR66&lt;&gt;S.CAL!$BJ$4,$AR$50="NON"),M66-BD66,IF(AND(AT66="",AR66&lt;&gt;S.CAL!$BJ$3,AR66&lt;&gt;S.CAL!$BJ$4,$AR$50="OUI"),X66-AI66,IF(AT66&lt;&gt;0,AT66,IF(OR(AR66=S.CAL!$BJ$3,AR66=S.CAL!$BJ$4),AR66,"")))),"")</f>
        <v>0</v>
      </c>
      <c r="AN66" s="1115"/>
      <c r="AO66" s="1116"/>
      <c r="AP66" s="684">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400">
        <f t="shared" si="145"/>
        <v>0</v>
      </c>
      <c r="AR66" s="1120"/>
      <c r="AS66" s="1396"/>
      <c r="AT66" s="1123"/>
      <c r="AU66" s="831"/>
      <c r="AV66" s="1392">
        <f t="shared" si="126"/>
        <v>45698</v>
      </c>
      <c r="AW66" s="1396"/>
      <c r="AX66" s="529">
        <f t="shared" si="146"/>
        <v>45698</v>
      </c>
      <c r="AY66" s="541">
        <f t="shared" si="147"/>
        <v>0</v>
      </c>
      <c r="AZ66" s="538" t="s">
        <v>146</v>
      </c>
      <c r="BA66" s="534">
        <f t="shared" si="148"/>
        <v>0</v>
      </c>
      <c r="BB66" s="567" t="str">
        <f t="shared" si="127"/>
        <v/>
      </c>
      <c r="BC66" s="541">
        <f t="shared" si="149"/>
        <v>0</v>
      </c>
      <c r="BD66" s="541">
        <f t="shared" si="150"/>
        <v>0</v>
      </c>
      <c r="BE66" s="1126"/>
      <c r="BF66" s="532" t="str">
        <f t="shared" si="128"/>
        <v/>
      </c>
      <c r="BG66" s="532" t="str">
        <f t="shared" si="151"/>
        <v>oui</v>
      </c>
      <c r="BH66" s="395" t="str">
        <f t="shared" si="129"/>
        <v/>
      </c>
      <c r="BI66" s="24" t="str">
        <f t="shared" si="130"/>
        <v/>
      </c>
      <c r="BJ66" s="1404"/>
      <c r="BK66" s="1404"/>
      <c r="BL66" s="1404"/>
      <c r="BM66" s="1404"/>
      <c r="BN66" s="1404"/>
      <c r="BO66" s="1404"/>
      <c r="BP66" s="1404"/>
      <c r="BQ66" s="1404"/>
      <c r="BR66" s="1405"/>
      <c r="BS66" s="1392">
        <f t="shared" si="97"/>
        <v>45698</v>
      </c>
      <c r="BT66" s="1406">
        <f t="shared" si="159"/>
        <v>7</v>
      </c>
      <c r="BU66" s="1404"/>
      <c r="BV66" s="1404"/>
      <c r="BW66" s="1404"/>
      <c r="BX66" s="1404"/>
      <c r="BY66" s="1404"/>
      <c r="BZ66" s="1404"/>
      <c r="CA66" s="1404"/>
      <c r="CB66" s="1404"/>
      <c r="CD66" s="1408">
        <f t="shared" si="152"/>
        <v>0</v>
      </c>
      <c r="DC66" s="16" t="str">
        <f>Février!FC29</f>
        <v>non</v>
      </c>
      <c r="DG66" s="333">
        <f t="shared" si="153"/>
        <v>1</v>
      </c>
      <c r="DH66" s="129">
        <f t="shared" si="131"/>
        <v>10</v>
      </c>
      <c r="DI66" s="129">
        <f t="shared" si="154"/>
        <v>1</v>
      </c>
      <c r="DK66" s="16">
        <f>+IF(AND(Février!$DP$8&lt;&gt;52,AR66=S.CAL!$BJ$4),10,1)</f>
        <v>1</v>
      </c>
      <c r="DN66" s="16">
        <f t="shared" si="132"/>
        <v>1</v>
      </c>
      <c r="DU66" s="1296" t="str">
        <f t="shared" si="155"/>
        <v>Fiche infoA145698</v>
      </c>
      <c r="DV66" s="1384">
        <f t="shared" si="133"/>
        <v>0</v>
      </c>
      <c r="DW66" s="1385">
        <f t="shared" si="134"/>
        <v>0</v>
      </c>
      <c r="DX66" s="1385">
        <f t="shared" si="135"/>
        <v>0</v>
      </c>
      <c r="DY66" s="1385">
        <f t="shared" si="136"/>
        <v>0</v>
      </c>
      <c r="DZ66" s="1385">
        <f t="shared" si="137"/>
        <v>0</v>
      </c>
      <c r="EA66" s="1385">
        <f t="shared" si="138"/>
        <v>0</v>
      </c>
      <c r="EB66" s="1385">
        <f t="shared" si="139"/>
        <v>0</v>
      </c>
      <c r="EC66" s="1385">
        <f t="shared" si="140"/>
        <v>0</v>
      </c>
      <c r="ED66" s="1385">
        <f t="shared" si="156"/>
        <v>0</v>
      </c>
      <c r="EE66" s="1386">
        <f t="shared" si="157"/>
        <v>0</v>
      </c>
      <c r="EG66" s="16" t="str">
        <f t="shared" si="158"/>
        <v>72025</v>
      </c>
      <c r="EH66" s="16" t="str">
        <f t="shared" si="141"/>
        <v>Fiche infoA1</v>
      </c>
      <c r="EI66" s="16" t="str">
        <f t="shared" si="142"/>
        <v/>
      </c>
    </row>
    <row r="67" spans="1:139" x14ac:dyDescent="0.2">
      <c r="A67" s="24" t="str">
        <f>Février!BJ30</f>
        <v>Fiche infoA2</v>
      </c>
      <c r="B67" s="829">
        <f>Février!AB30</f>
        <v>45699</v>
      </c>
      <c r="C67" s="1393"/>
      <c r="D67" s="1001">
        <f t="shared" si="98"/>
        <v>0</v>
      </c>
      <c r="E67" s="452">
        <f t="shared" si="99"/>
        <v>0</v>
      </c>
      <c r="F67" s="452">
        <f t="shared" si="100"/>
        <v>0</v>
      </c>
      <c r="G67" s="452">
        <f t="shared" si="101"/>
        <v>0</v>
      </c>
      <c r="H67" s="452">
        <f t="shared" si="102"/>
        <v>0</v>
      </c>
      <c r="I67" s="452">
        <f t="shared" si="103"/>
        <v>0</v>
      </c>
      <c r="J67" s="452">
        <f t="shared" si="104"/>
        <v>0</v>
      </c>
      <c r="K67" s="452">
        <f t="shared" si="105"/>
        <v>0</v>
      </c>
      <c r="L67" s="452">
        <f t="shared" si="143"/>
        <v>0</v>
      </c>
      <c r="M67" s="1002">
        <f t="shared" si="144"/>
        <v>0</v>
      </c>
      <c r="O67" s="1001">
        <f t="shared" si="160"/>
        <v>0</v>
      </c>
      <c r="P67" s="452">
        <f t="shared" si="161"/>
        <v>0</v>
      </c>
      <c r="Q67" s="452">
        <f t="shared" si="162"/>
        <v>0</v>
      </c>
      <c r="R67" s="452">
        <f t="shared" si="163"/>
        <v>0</v>
      </c>
      <c r="S67" s="452">
        <f t="shared" si="164"/>
        <v>0</v>
      </c>
      <c r="T67" s="452">
        <f t="shared" si="165"/>
        <v>0</v>
      </c>
      <c r="U67" s="452">
        <f t="shared" si="166"/>
        <v>0</v>
      </c>
      <c r="V67" s="452">
        <f t="shared" si="167"/>
        <v>0</v>
      </c>
      <c r="W67" s="452">
        <f t="shared" si="114"/>
        <v>0</v>
      </c>
      <c r="X67" s="1002">
        <f t="shared" si="115"/>
        <v>0</v>
      </c>
      <c r="Y67" s="459"/>
      <c r="Z67" s="291">
        <f t="shared" si="116"/>
        <v>0</v>
      </c>
      <c r="AA67" s="291">
        <f t="shared" si="117"/>
        <v>0</v>
      </c>
      <c r="AB67" s="291">
        <f t="shared" si="118"/>
        <v>0</v>
      </c>
      <c r="AC67" s="291">
        <f t="shared" si="119"/>
        <v>0</v>
      </c>
      <c r="AD67" s="291">
        <f t="shared" si="120"/>
        <v>0</v>
      </c>
      <c r="AE67" s="291">
        <f t="shared" si="121"/>
        <v>0</v>
      </c>
      <c r="AF67" s="291">
        <f t="shared" si="122"/>
        <v>0</v>
      </c>
      <c r="AG67" s="291">
        <f t="shared" si="123"/>
        <v>0</v>
      </c>
      <c r="AI67" s="462">
        <f t="shared" si="168"/>
        <v>0</v>
      </c>
      <c r="AJ67" s="1112"/>
      <c r="AK67" s="507"/>
      <c r="AL67" s="829">
        <f t="shared" si="125"/>
        <v>45699</v>
      </c>
      <c r="AM67" s="684">
        <f>IFERROR(IF(AND(AT67="",AR67&lt;&gt;S.CAL!$BJ$3,AR67&lt;&gt;S.CAL!$BJ$4,$AR$50="NON"),M67-BD67,IF(AND(AT67="",AR67&lt;&gt;S.CAL!$BJ$3,AR67&lt;&gt;S.CAL!$BJ$4,$AR$50="OUI"),X67-AI67,IF(AT67&lt;&gt;0,AT67,IF(OR(AR67=S.CAL!$BJ$3,AR67=S.CAL!$BJ$4),AR67,"")))),"")</f>
        <v>0</v>
      </c>
      <c r="AN67" s="1115"/>
      <c r="AO67" s="1116"/>
      <c r="AP67" s="684">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516">
        <f t="shared" si="145"/>
        <v>0</v>
      </c>
      <c r="AR67" s="1120"/>
      <c r="AT67" s="1123"/>
      <c r="AU67" s="831"/>
      <c r="AV67" s="1392">
        <f t="shared" si="126"/>
        <v>45699</v>
      </c>
      <c r="AX67" s="529">
        <f t="shared" si="146"/>
        <v>45699</v>
      </c>
      <c r="AY67" s="541">
        <f t="shared" si="147"/>
        <v>0</v>
      </c>
      <c r="AZ67" s="538" t="s">
        <v>146</v>
      </c>
      <c r="BA67" s="534">
        <f t="shared" si="148"/>
        <v>0</v>
      </c>
      <c r="BB67" s="567" t="str">
        <f t="shared" si="127"/>
        <v/>
      </c>
      <c r="BC67" s="541">
        <f t="shared" si="149"/>
        <v>0</v>
      </c>
      <c r="BD67" s="541">
        <f t="shared" si="150"/>
        <v>0</v>
      </c>
      <c r="BE67" s="1126"/>
      <c r="BF67" s="532" t="str">
        <f t="shared" si="128"/>
        <v/>
      </c>
      <c r="BG67" s="532" t="str">
        <f t="shared" si="151"/>
        <v>oui</v>
      </c>
      <c r="BH67" s="395" t="str">
        <f t="shared" si="129"/>
        <v/>
      </c>
      <c r="BI67" s="24" t="str">
        <f t="shared" si="130"/>
        <v/>
      </c>
      <c r="BJ67" s="1403"/>
      <c r="BK67" s="1403"/>
      <c r="BL67" s="1403"/>
      <c r="BM67" s="1403"/>
      <c r="BN67" s="1403"/>
      <c r="BO67" s="1403"/>
      <c r="BP67" s="1403"/>
      <c r="BQ67" s="1403"/>
      <c r="BS67" s="1392">
        <f t="shared" si="97"/>
        <v>45699</v>
      </c>
      <c r="BT67" s="27" t="str">
        <f t="shared" si="159"/>
        <v/>
      </c>
      <c r="BU67" s="1402"/>
      <c r="BV67" s="1402"/>
      <c r="BW67" s="1402"/>
      <c r="BX67" s="1402"/>
      <c r="BY67" s="1402"/>
      <c r="BZ67" s="1402"/>
      <c r="CA67" s="1402"/>
      <c r="CB67" s="1402"/>
      <c r="CD67" s="1408">
        <f t="shared" si="152"/>
        <v>0</v>
      </c>
      <c r="DC67" s="16" t="str">
        <f>Février!FC30</f>
        <v>non</v>
      </c>
      <c r="DG67" s="333">
        <f t="shared" si="153"/>
        <v>1</v>
      </c>
      <c r="DH67" s="129">
        <f t="shared" si="131"/>
        <v>10</v>
      </c>
      <c r="DI67" s="129">
        <f t="shared" si="154"/>
        <v>1</v>
      </c>
      <c r="DK67" s="16">
        <f>+IF(AND(Février!$DP$8&lt;&gt;52,AR67=S.CAL!$BJ$4),10,1)</f>
        <v>1</v>
      </c>
      <c r="DN67" s="16">
        <f t="shared" si="132"/>
        <v>1</v>
      </c>
      <c r="DU67" s="1296" t="str">
        <f t="shared" si="155"/>
        <v>Fiche infoA245699</v>
      </c>
      <c r="DV67" s="1384">
        <f t="shared" si="133"/>
        <v>0</v>
      </c>
      <c r="DW67" s="1385">
        <f t="shared" si="134"/>
        <v>0</v>
      </c>
      <c r="DX67" s="1385">
        <f t="shared" si="135"/>
        <v>0</v>
      </c>
      <c r="DY67" s="1385">
        <f t="shared" si="136"/>
        <v>0</v>
      </c>
      <c r="DZ67" s="1385">
        <f t="shared" si="137"/>
        <v>0</v>
      </c>
      <c r="EA67" s="1385">
        <f t="shared" si="138"/>
        <v>0</v>
      </c>
      <c r="EB67" s="1385">
        <f t="shared" si="139"/>
        <v>0</v>
      </c>
      <c r="EC67" s="1385">
        <f t="shared" si="140"/>
        <v>0</v>
      </c>
      <c r="ED67" s="1385">
        <f t="shared" si="156"/>
        <v>0</v>
      </c>
      <c r="EE67" s="1386">
        <f t="shared" si="157"/>
        <v>0</v>
      </c>
      <c r="EG67" s="16" t="str">
        <f t="shared" si="158"/>
        <v>72025</v>
      </c>
      <c r="EH67" s="16" t="str">
        <f t="shared" si="141"/>
        <v>Fiche infoA2</v>
      </c>
      <c r="EI67" s="16" t="str">
        <f t="shared" si="142"/>
        <v/>
      </c>
    </row>
    <row r="68" spans="1:139" x14ac:dyDescent="0.2">
      <c r="A68" s="1395" t="str">
        <f>Février!BJ31</f>
        <v>Fiche infoA3</v>
      </c>
      <c r="B68" s="829">
        <f>Février!AB31</f>
        <v>45700</v>
      </c>
      <c r="C68" s="1394"/>
      <c r="D68" s="1001">
        <f t="shared" si="98"/>
        <v>0</v>
      </c>
      <c r="E68" s="452">
        <f t="shared" si="99"/>
        <v>0</v>
      </c>
      <c r="F68" s="452">
        <f t="shared" si="100"/>
        <v>0</v>
      </c>
      <c r="G68" s="452">
        <f t="shared" si="101"/>
        <v>0</v>
      </c>
      <c r="H68" s="452">
        <f t="shared" si="102"/>
        <v>0</v>
      </c>
      <c r="I68" s="452">
        <f t="shared" si="103"/>
        <v>0</v>
      </c>
      <c r="J68" s="452">
        <f t="shared" si="104"/>
        <v>0</v>
      </c>
      <c r="K68" s="452">
        <f t="shared" si="105"/>
        <v>0</v>
      </c>
      <c r="L68" s="452">
        <f t="shared" si="143"/>
        <v>0</v>
      </c>
      <c r="M68" s="1002">
        <f t="shared" si="144"/>
        <v>0</v>
      </c>
      <c r="N68" s="1396"/>
      <c r="O68" s="1001">
        <f t="shared" si="160"/>
        <v>0</v>
      </c>
      <c r="P68" s="452">
        <f t="shared" si="161"/>
        <v>0</v>
      </c>
      <c r="Q68" s="452">
        <f t="shared" si="162"/>
        <v>0</v>
      </c>
      <c r="R68" s="452">
        <f t="shared" si="163"/>
        <v>0</v>
      </c>
      <c r="S68" s="452">
        <f t="shared" si="164"/>
        <v>0</v>
      </c>
      <c r="T68" s="452">
        <f t="shared" si="165"/>
        <v>0</v>
      </c>
      <c r="U68" s="452">
        <f t="shared" si="166"/>
        <v>0</v>
      </c>
      <c r="V68" s="452">
        <f t="shared" si="167"/>
        <v>0</v>
      </c>
      <c r="W68" s="452">
        <f t="shared" si="114"/>
        <v>0</v>
      </c>
      <c r="X68" s="1002">
        <f t="shared" si="115"/>
        <v>0</v>
      </c>
      <c r="Y68" s="1397"/>
      <c r="Z68" s="1398">
        <f t="shared" si="116"/>
        <v>0</v>
      </c>
      <c r="AA68" s="1398">
        <f t="shared" si="117"/>
        <v>0</v>
      </c>
      <c r="AB68" s="1398">
        <f t="shared" si="118"/>
        <v>0</v>
      </c>
      <c r="AC68" s="1398">
        <f t="shared" si="119"/>
        <v>0</v>
      </c>
      <c r="AD68" s="1398">
        <f t="shared" si="120"/>
        <v>0</v>
      </c>
      <c r="AE68" s="1398">
        <f t="shared" si="121"/>
        <v>0</v>
      </c>
      <c r="AF68" s="1398">
        <f t="shared" si="122"/>
        <v>0</v>
      </c>
      <c r="AG68" s="1398">
        <f t="shared" si="123"/>
        <v>0</v>
      </c>
      <c r="AH68" s="1396"/>
      <c r="AI68" s="462">
        <f t="shared" si="168"/>
        <v>0</v>
      </c>
      <c r="AJ68" s="1112"/>
      <c r="AK68" s="1399"/>
      <c r="AL68" s="829">
        <f t="shared" si="125"/>
        <v>45700</v>
      </c>
      <c r="AM68" s="684">
        <f>IFERROR(IF(AND(AT68="",AR68&lt;&gt;S.CAL!$BJ$3,AR68&lt;&gt;S.CAL!$BJ$4,$AR$50="NON"),M68-BD68,IF(AND(AT68="",AR68&lt;&gt;S.CAL!$BJ$3,AR68&lt;&gt;S.CAL!$BJ$4,$AR$50="OUI"),X68-AI68,IF(AT68&lt;&gt;0,AT68,IF(OR(AR68=S.CAL!$BJ$3,AR68=S.CAL!$BJ$4),AR68,"")))),"")</f>
        <v>0</v>
      </c>
      <c r="AN68" s="1115"/>
      <c r="AO68" s="1116"/>
      <c r="AP68" s="684">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400">
        <f t="shared" si="145"/>
        <v>0</v>
      </c>
      <c r="AR68" s="1120"/>
      <c r="AS68" s="1396"/>
      <c r="AT68" s="1123"/>
      <c r="AU68" s="831"/>
      <c r="AV68" s="1392">
        <f t="shared" si="126"/>
        <v>45700</v>
      </c>
      <c r="AW68" s="1396"/>
      <c r="AX68" s="529">
        <f t="shared" si="146"/>
        <v>45700</v>
      </c>
      <c r="AY68" s="541">
        <f t="shared" si="147"/>
        <v>0</v>
      </c>
      <c r="AZ68" s="538" t="s">
        <v>146</v>
      </c>
      <c r="BA68" s="534">
        <f t="shared" si="148"/>
        <v>0</v>
      </c>
      <c r="BB68" s="567" t="str">
        <f t="shared" si="127"/>
        <v/>
      </c>
      <c r="BC68" s="541">
        <f t="shared" si="149"/>
        <v>0</v>
      </c>
      <c r="BD68" s="541">
        <f t="shared" si="150"/>
        <v>0</v>
      </c>
      <c r="BE68" s="1126"/>
      <c r="BF68" s="532" t="str">
        <f t="shared" si="128"/>
        <v/>
      </c>
      <c r="BG68" s="532" t="str">
        <f t="shared" si="151"/>
        <v>oui</v>
      </c>
      <c r="BH68" s="395" t="str">
        <f t="shared" si="129"/>
        <v/>
      </c>
      <c r="BI68" s="24" t="str">
        <f t="shared" si="130"/>
        <v/>
      </c>
      <c r="BJ68" s="1404"/>
      <c r="BK68" s="1404"/>
      <c r="BL68" s="1404"/>
      <c r="BM68" s="1404"/>
      <c r="BN68" s="1404"/>
      <c r="BO68" s="1404"/>
      <c r="BP68" s="1404"/>
      <c r="BQ68" s="1404"/>
      <c r="BR68" s="1405"/>
      <c r="BS68" s="1392">
        <f t="shared" si="97"/>
        <v>45700</v>
      </c>
      <c r="BT68" s="1406" t="str">
        <f t="shared" si="159"/>
        <v/>
      </c>
      <c r="BU68" s="1404"/>
      <c r="BV68" s="1404"/>
      <c r="BW68" s="1404"/>
      <c r="BX68" s="1404"/>
      <c r="BY68" s="1404"/>
      <c r="BZ68" s="1404"/>
      <c r="CA68" s="1404"/>
      <c r="CB68" s="1404"/>
      <c r="CD68" s="1408">
        <f t="shared" si="152"/>
        <v>0</v>
      </c>
      <c r="DC68" s="16" t="str">
        <f>Février!FC31</f>
        <v>non</v>
      </c>
      <c r="DG68" s="333">
        <f t="shared" si="153"/>
        <v>1</v>
      </c>
      <c r="DH68" s="129">
        <f t="shared" si="131"/>
        <v>10</v>
      </c>
      <c r="DI68" s="129">
        <f t="shared" si="154"/>
        <v>1</v>
      </c>
      <c r="DK68" s="16">
        <f>+IF(AND(Février!$DP$8&lt;&gt;52,AR68=S.CAL!$BJ$4),10,1)</f>
        <v>1</v>
      </c>
      <c r="DN68" s="16">
        <f t="shared" si="132"/>
        <v>1</v>
      </c>
      <c r="DU68" s="1296" t="str">
        <f t="shared" si="155"/>
        <v>Fiche infoA345700</v>
      </c>
      <c r="DV68" s="1384">
        <f t="shared" si="133"/>
        <v>0</v>
      </c>
      <c r="DW68" s="1385">
        <f t="shared" si="134"/>
        <v>0</v>
      </c>
      <c r="DX68" s="1385">
        <f t="shared" si="135"/>
        <v>0</v>
      </c>
      <c r="DY68" s="1385">
        <f t="shared" si="136"/>
        <v>0</v>
      </c>
      <c r="DZ68" s="1385">
        <f t="shared" si="137"/>
        <v>0</v>
      </c>
      <c r="EA68" s="1385">
        <f t="shared" si="138"/>
        <v>0</v>
      </c>
      <c r="EB68" s="1385">
        <f t="shared" si="139"/>
        <v>0</v>
      </c>
      <c r="EC68" s="1385">
        <f t="shared" si="140"/>
        <v>0</v>
      </c>
      <c r="ED68" s="1385">
        <f t="shared" si="156"/>
        <v>0</v>
      </c>
      <c r="EE68" s="1386">
        <f t="shared" si="157"/>
        <v>0</v>
      </c>
      <c r="EG68" s="16" t="str">
        <f t="shared" si="158"/>
        <v>72025</v>
      </c>
      <c r="EH68" s="16" t="str">
        <f t="shared" si="141"/>
        <v>Fiche infoA3</v>
      </c>
      <c r="EI68" s="16" t="str">
        <f t="shared" si="142"/>
        <v/>
      </c>
    </row>
    <row r="69" spans="1:139" x14ac:dyDescent="0.2">
      <c r="A69" s="24" t="str">
        <f>Février!BJ32</f>
        <v>Fiche infoA4</v>
      </c>
      <c r="B69" s="829">
        <f>Février!AB32</f>
        <v>45701</v>
      </c>
      <c r="C69" s="1393"/>
      <c r="D69" s="1001">
        <f t="shared" si="98"/>
        <v>0</v>
      </c>
      <c r="E69" s="452">
        <f t="shared" si="99"/>
        <v>0</v>
      </c>
      <c r="F69" s="452">
        <f t="shared" si="100"/>
        <v>0</v>
      </c>
      <c r="G69" s="452">
        <f t="shared" si="101"/>
        <v>0</v>
      </c>
      <c r="H69" s="452">
        <f t="shared" si="102"/>
        <v>0</v>
      </c>
      <c r="I69" s="452">
        <f t="shared" si="103"/>
        <v>0</v>
      </c>
      <c r="J69" s="452">
        <f t="shared" si="104"/>
        <v>0</v>
      </c>
      <c r="K69" s="452">
        <f t="shared" si="105"/>
        <v>0</v>
      </c>
      <c r="L69" s="452">
        <f t="shared" si="143"/>
        <v>0</v>
      </c>
      <c r="M69" s="1002">
        <f t="shared" si="144"/>
        <v>0</v>
      </c>
      <c r="O69" s="1001">
        <f t="shared" si="160"/>
        <v>0</v>
      </c>
      <c r="P69" s="452">
        <f t="shared" si="161"/>
        <v>0</v>
      </c>
      <c r="Q69" s="452">
        <f t="shared" si="162"/>
        <v>0</v>
      </c>
      <c r="R69" s="452">
        <f t="shared" si="163"/>
        <v>0</v>
      </c>
      <c r="S69" s="452">
        <f t="shared" si="164"/>
        <v>0</v>
      </c>
      <c r="T69" s="452">
        <f t="shared" si="165"/>
        <v>0</v>
      </c>
      <c r="U69" s="452">
        <f t="shared" si="166"/>
        <v>0</v>
      </c>
      <c r="V69" s="452">
        <f t="shared" si="167"/>
        <v>0</v>
      </c>
      <c r="W69" s="452">
        <f t="shared" si="114"/>
        <v>0</v>
      </c>
      <c r="X69" s="1002">
        <f t="shared" si="115"/>
        <v>0</v>
      </c>
      <c r="Y69" s="459"/>
      <c r="Z69" s="291">
        <f t="shared" si="116"/>
        <v>0</v>
      </c>
      <c r="AA69" s="291">
        <f t="shared" si="117"/>
        <v>0</v>
      </c>
      <c r="AB69" s="291">
        <f t="shared" si="118"/>
        <v>0</v>
      </c>
      <c r="AC69" s="291">
        <f t="shared" si="119"/>
        <v>0</v>
      </c>
      <c r="AD69" s="291">
        <f t="shared" si="120"/>
        <v>0</v>
      </c>
      <c r="AE69" s="291">
        <f t="shared" si="121"/>
        <v>0</v>
      </c>
      <c r="AF69" s="291">
        <f t="shared" si="122"/>
        <v>0</v>
      </c>
      <c r="AG69" s="291">
        <f t="shared" si="123"/>
        <v>0</v>
      </c>
      <c r="AI69" s="462">
        <f t="shared" si="168"/>
        <v>0</v>
      </c>
      <c r="AJ69" s="1112"/>
      <c r="AK69" s="507"/>
      <c r="AL69" s="829">
        <f t="shared" si="125"/>
        <v>45701</v>
      </c>
      <c r="AM69" s="684">
        <f>IFERROR(IF(AND(AT69="",AR69&lt;&gt;S.CAL!$BJ$3,AR69&lt;&gt;S.CAL!$BJ$4,$AR$50="NON"),M69-BD69,IF(AND(AT69="",AR69&lt;&gt;S.CAL!$BJ$3,AR69&lt;&gt;S.CAL!$BJ$4,$AR$50="OUI"),X69-AI69,IF(AT69&lt;&gt;0,AT69,IF(OR(AR69=S.CAL!$BJ$3,AR69=S.CAL!$BJ$4),AR69,"")))),"")</f>
        <v>0</v>
      </c>
      <c r="AN69" s="1115"/>
      <c r="AO69" s="1116"/>
      <c r="AP69" s="684">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516">
        <f t="shared" si="145"/>
        <v>0</v>
      </c>
      <c r="AR69" s="1120"/>
      <c r="AT69" s="1123"/>
      <c r="AU69" s="831"/>
      <c r="AV69" s="1392">
        <f t="shared" si="126"/>
        <v>45701</v>
      </c>
      <c r="AX69" s="529">
        <f t="shared" si="146"/>
        <v>45701</v>
      </c>
      <c r="AY69" s="541">
        <f t="shared" si="147"/>
        <v>0</v>
      </c>
      <c r="AZ69" s="538" t="s">
        <v>146</v>
      </c>
      <c r="BA69" s="534">
        <f t="shared" si="148"/>
        <v>0</v>
      </c>
      <c r="BB69" s="567" t="str">
        <f t="shared" si="127"/>
        <v/>
      </c>
      <c r="BC69" s="541">
        <f t="shared" si="149"/>
        <v>0</v>
      </c>
      <c r="BD69" s="541">
        <f t="shared" si="150"/>
        <v>0</v>
      </c>
      <c r="BE69" s="1126"/>
      <c r="BF69" s="532" t="str">
        <f t="shared" si="128"/>
        <v/>
      </c>
      <c r="BG69" s="532" t="str">
        <f t="shared" si="151"/>
        <v>oui</v>
      </c>
      <c r="BH69" s="395" t="str">
        <f t="shared" si="129"/>
        <v/>
      </c>
      <c r="BI69" s="24" t="str">
        <f t="shared" si="130"/>
        <v/>
      </c>
      <c r="BJ69" s="1403"/>
      <c r="BK69" s="1403"/>
      <c r="BL69" s="1403"/>
      <c r="BM69" s="1403"/>
      <c r="BN69" s="1403"/>
      <c r="BO69" s="1403"/>
      <c r="BP69" s="1403"/>
      <c r="BQ69" s="1403"/>
      <c r="BS69" s="1392">
        <f t="shared" si="97"/>
        <v>45701</v>
      </c>
      <c r="BT69" s="27" t="str">
        <f t="shared" si="159"/>
        <v/>
      </c>
      <c r="BU69" s="1402"/>
      <c r="BV69" s="1402"/>
      <c r="BW69" s="1402"/>
      <c r="BX69" s="1402"/>
      <c r="BY69" s="1402"/>
      <c r="BZ69" s="1402"/>
      <c r="CA69" s="1402"/>
      <c r="CB69" s="1402"/>
      <c r="CD69" s="1408">
        <f t="shared" si="152"/>
        <v>0</v>
      </c>
      <c r="DC69" s="16" t="str">
        <f>Février!FC32</f>
        <v>non</v>
      </c>
      <c r="DG69" s="333">
        <f t="shared" si="153"/>
        <v>1</v>
      </c>
      <c r="DH69" s="129">
        <f t="shared" si="131"/>
        <v>10</v>
      </c>
      <c r="DI69" s="129">
        <f t="shared" si="154"/>
        <v>1</v>
      </c>
      <c r="DK69" s="16">
        <f>+IF(AND(Février!$DP$8&lt;&gt;52,AR69=S.CAL!$BJ$4),10,1)</f>
        <v>1</v>
      </c>
      <c r="DN69" s="16">
        <f t="shared" si="132"/>
        <v>1</v>
      </c>
      <c r="DU69" s="1296" t="str">
        <f t="shared" si="155"/>
        <v>Fiche infoA445701</v>
      </c>
      <c r="DV69" s="1384">
        <f t="shared" si="133"/>
        <v>0</v>
      </c>
      <c r="DW69" s="1385">
        <f t="shared" si="134"/>
        <v>0</v>
      </c>
      <c r="DX69" s="1385">
        <f t="shared" si="135"/>
        <v>0</v>
      </c>
      <c r="DY69" s="1385">
        <f t="shared" si="136"/>
        <v>0</v>
      </c>
      <c r="DZ69" s="1385">
        <f t="shared" si="137"/>
        <v>0</v>
      </c>
      <c r="EA69" s="1385">
        <f t="shared" si="138"/>
        <v>0</v>
      </c>
      <c r="EB69" s="1385">
        <f t="shared" si="139"/>
        <v>0</v>
      </c>
      <c r="EC69" s="1385">
        <f t="shared" si="140"/>
        <v>0</v>
      </c>
      <c r="ED69" s="1385">
        <f t="shared" si="156"/>
        <v>0</v>
      </c>
      <c r="EE69" s="1386">
        <f t="shared" si="157"/>
        <v>0</v>
      </c>
      <c r="EG69" s="16" t="str">
        <f t="shared" si="158"/>
        <v>72025</v>
      </c>
      <c r="EH69" s="16" t="str">
        <f t="shared" si="141"/>
        <v>Fiche infoA4</v>
      </c>
      <c r="EI69" s="16" t="str">
        <f t="shared" si="142"/>
        <v/>
      </c>
    </row>
    <row r="70" spans="1:139" x14ac:dyDescent="0.2">
      <c r="A70" s="1395" t="str">
        <f>Février!BJ33</f>
        <v>Fiche infoA5</v>
      </c>
      <c r="B70" s="829">
        <f>Février!AB33</f>
        <v>45702</v>
      </c>
      <c r="C70" s="1394"/>
      <c r="D70" s="1001">
        <f t="shared" si="98"/>
        <v>0</v>
      </c>
      <c r="E70" s="452">
        <f t="shared" si="99"/>
        <v>0</v>
      </c>
      <c r="F70" s="452">
        <f t="shared" si="100"/>
        <v>0</v>
      </c>
      <c r="G70" s="452">
        <f t="shared" si="101"/>
        <v>0</v>
      </c>
      <c r="H70" s="452">
        <f t="shared" si="102"/>
        <v>0</v>
      </c>
      <c r="I70" s="452">
        <f t="shared" si="103"/>
        <v>0</v>
      </c>
      <c r="J70" s="452">
        <f t="shared" si="104"/>
        <v>0</v>
      </c>
      <c r="K70" s="452">
        <f t="shared" si="105"/>
        <v>0</v>
      </c>
      <c r="L70" s="452">
        <f t="shared" si="143"/>
        <v>0</v>
      </c>
      <c r="M70" s="1002">
        <f t="shared" si="144"/>
        <v>0</v>
      </c>
      <c r="N70" s="1396"/>
      <c r="O70" s="1001">
        <f t="shared" si="160"/>
        <v>0</v>
      </c>
      <c r="P70" s="452">
        <f t="shared" si="161"/>
        <v>0</v>
      </c>
      <c r="Q70" s="452">
        <f t="shared" si="162"/>
        <v>0</v>
      </c>
      <c r="R70" s="452">
        <f t="shared" si="163"/>
        <v>0</v>
      </c>
      <c r="S70" s="452">
        <f t="shared" si="164"/>
        <v>0</v>
      </c>
      <c r="T70" s="452">
        <f t="shared" si="165"/>
        <v>0</v>
      </c>
      <c r="U70" s="452">
        <f t="shared" si="166"/>
        <v>0</v>
      </c>
      <c r="V70" s="452">
        <f t="shared" si="167"/>
        <v>0</v>
      </c>
      <c r="W70" s="452">
        <f t="shared" si="114"/>
        <v>0</v>
      </c>
      <c r="X70" s="1002">
        <f t="shared" si="115"/>
        <v>0</v>
      </c>
      <c r="Y70" s="1397"/>
      <c r="Z70" s="1398">
        <f t="shared" si="116"/>
        <v>0</v>
      </c>
      <c r="AA70" s="1398">
        <f t="shared" si="117"/>
        <v>0</v>
      </c>
      <c r="AB70" s="1398">
        <f t="shared" si="118"/>
        <v>0</v>
      </c>
      <c r="AC70" s="1398">
        <f t="shared" si="119"/>
        <v>0</v>
      </c>
      <c r="AD70" s="1398">
        <f t="shared" si="120"/>
        <v>0</v>
      </c>
      <c r="AE70" s="1398">
        <f t="shared" si="121"/>
        <v>0</v>
      </c>
      <c r="AF70" s="1398">
        <f t="shared" si="122"/>
        <v>0</v>
      </c>
      <c r="AG70" s="1398">
        <f t="shared" si="123"/>
        <v>0</v>
      </c>
      <c r="AH70" s="1396"/>
      <c r="AI70" s="462">
        <f t="shared" si="168"/>
        <v>0</v>
      </c>
      <c r="AJ70" s="1112"/>
      <c r="AK70" s="1399"/>
      <c r="AL70" s="829">
        <f t="shared" si="125"/>
        <v>45702</v>
      </c>
      <c r="AM70" s="684">
        <f>IFERROR(IF(AND(AT70="",AR70&lt;&gt;S.CAL!$BJ$3,AR70&lt;&gt;S.CAL!$BJ$4,$AR$50="NON"),M70-BD70,IF(AND(AT70="",AR70&lt;&gt;S.CAL!$BJ$3,AR70&lt;&gt;S.CAL!$BJ$4,$AR$50="OUI"),X70-AI70,IF(AT70&lt;&gt;0,AT70,IF(OR(AR70=S.CAL!$BJ$3,AR70=S.CAL!$BJ$4),AR70,"")))),"")</f>
        <v>0</v>
      </c>
      <c r="AN70" s="1115"/>
      <c r="AO70" s="1116"/>
      <c r="AP70" s="684">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400">
        <f t="shared" si="145"/>
        <v>0</v>
      </c>
      <c r="AR70" s="1120"/>
      <c r="AS70" s="1396"/>
      <c r="AT70" s="1123"/>
      <c r="AU70" s="831"/>
      <c r="AV70" s="1392">
        <f t="shared" si="126"/>
        <v>45702</v>
      </c>
      <c r="AW70" s="1396"/>
      <c r="AX70" s="529">
        <f t="shared" si="146"/>
        <v>45702</v>
      </c>
      <c r="AY70" s="541">
        <f t="shared" si="147"/>
        <v>0</v>
      </c>
      <c r="AZ70" s="538" t="s">
        <v>146</v>
      </c>
      <c r="BA70" s="534">
        <f t="shared" si="148"/>
        <v>0</v>
      </c>
      <c r="BB70" s="567" t="str">
        <f t="shared" si="127"/>
        <v/>
      </c>
      <c r="BC70" s="541">
        <f t="shared" si="149"/>
        <v>0</v>
      </c>
      <c r="BD70" s="541">
        <f t="shared" si="150"/>
        <v>0</v>
      </c>
      <c r="BE70" s="1126"/>
      <c r="BF70" s="532" t="str">
        <f t="shared" si="128"/>
        <v/>
      </c>
      <c r="BG70" s="532" t="str">
        <f t="shared" si="151"/>
        <v>oui</v>
      </c>
      <c r="BH70" s="395" t="str">
        <f t="shared" si="129"/>
        <v/>
      </c>
      <c r="BI70" s="24" t="str">
        <f t="shared" si="130"/>
        <v/>
      </c>
      <c r="BJ70" s="1404"/>
      <c r="BK70" s="1404"/>
      <c r="BL70" s="1404"/>
      <c r="BM70" s="1404"/>
      <c r="BN70" s="1404"/>
      <c r="BO70" s="1404"/>
      <c r="BP70" s="1404"/>
      <c r="BQ70" s="1404"/>
      <c r="BR70" s="1405"/>
      <c r="BS70" s="1392">
        <f t="shared" si="97"/>
        <v>45702</v>
      </c>
      <c r="BT70" s="1406" t="str">
        <f t="shared" si="159"/>
        <v/>
      </c>
      <c r="BU70" s="1404"/>
      <c r="BV70" s="1404"/>
      <c r="BW70" s="1404"/>
      <c r="BX70" s="1404"/>
      <c r="BY70" s="1404"/>
      <c r="BZ70" s="1404"/>
      <c r="CA70" s="1404"/>
      <c r="CB70" s="1404"/>
      <c r="CD70" s="1408">
        <f t="shared" si="152"/>
        <v>0</v>
      </c>
      <c r="DC70" s="16" t="str">
        <f>Février!FC33</f>
        <v>non</v>
      </c>
      <c r="DG70" s="333">
        <f t="shared" si="153"/>
        <v>1</v>
      </c>
      <c r="DH70" s="129">
        <f t="shared" si="131"/>
        <v>10</v>
      </c>
      <c r="DI70" s="129">
        <f t="shared" si="154"/>
        <v>1</v>
      </c>
      <c r="DK70" s="16">
        <f>+IF(AND(Février!$DP$8&lt;&gt;52,AR70=S.CAL!$BJ$4),10,1)</f>
        <v>1</v>
      </c>
      <c r="DN70" s="16">
        <f t="shared" si="132"/>
        <v>1</v>
      </c>
      <c r="DU70" s="1296" t="str">
        <f t="shared" si="155"/>
        <v>Fiche infoA545702</v>
      </c>
      <c r="DV70" s="1384">
        <f t="shared" si="133"/>
        <v>0</v>
      </c>
      <c r="DW70" s="1385">
        <f t="shared" si="134"/>
        <v>0</v>
      </c>
      <c r="DX70" s="1385">
        <f t="shared" si="135"/>
        <v>0</v>
      </c>
      <c r="DY70" s="1385">
        <f t="shared" si="136"/>
        <v>0</v>
      </c>
      <c r="DZ70" s="1385">
        <f t="shared" si="137"/>
        <v>0</v>
      </c>
      <c r="EA70" s="1385">
        <f t="shared" si="138"/>
        <v>0</v>
      </c>
      <c r="EB70" s="1385">
        <f t="shared" si="139"/>
        <v>0</v>
      </c>
      <c r="EC70" s="1385">
        <f t="shared" si="140"/>
        <v>0</v>
      </c>
      <c r="ED70" s="1385">
        <f t="shared" si="156"/>
        <v>0</v>
      </c>
      <c r="EE70" s="1386">
        <f t="shared" si="157"/>
        <v>0</v>
      </c>
      <c r="EG70" s="16" t="str">
        <f t="shared" si="158"/>
        <v>72025</v>
      </c>
      <c r="EH70" s="16" t="str">
        <f t="shared" si="141"/>
        <v>Fiche infoA5</v>
      </c>
      <c r="EI70" s="16" t="str">
        <f t="shared" si="142"/>
        <v/>
      </c>
    </row>
    <row r="71" spans="1:139" x14ac:dyDescent="0.2">
      <c r="A71" s="24" t="str">
        <f>Février!BJ34</f>
        <v>Fiche infoA6</v>
      </c>
      <c r="B71" s="829">
        <f>Février!AB34</f>
        <v>45703</v>
      </c>
      <c r="C71" s="1393"/>
      <c r="D71" s="1001">
        <f t="shared" si="98"/>
        <v>0</v>
      </c>
      <c r="E71" s="452">
        <f t="shared" si="99"/>
        <v>0</v>
      </c>
      <c r="F71" s="452">
        <f t="shared" si="100"/>
        <v>0</v>
      </c>
      <c r="G71" s="452">
        <f t="shared" si="101"/>
        <v>0</v>
      </c>
      <c r="H71" s="452">
        <f t="shared" si="102"/>
        <v>0</v>
      </c>
      <c r="I71" s="452">
        <f t="shared" si="103"/>
        <v>0</v>
      </c>
      <c r="J71" s="452">
        <f t="shared" si="104"/>
        <v>0</v>
      </c>
      <c r="K71" s="452">
        <f t="shared" si="105"/>
        <v>0</v>
      </c>
      <c r="L71" s="452">
        <f t="shared" si="143"/>
        <v>0</v>
      </c>
      <c r="M71" s="1002">
        <f t="shared" si="144"/>
        <v>0</v>
      </c>
      <c r="O71" s="1001">
        <f t="shared" si="160"/>
        <v>0</v>
      </c>
      <c r="P71" s="452">
        <f t="shared" si="161"/>
        <v>0</v>
      </c>
      <c r="Q71" s="452">
        <f t="shared" si="162"/>
        <v>0</v>
      </c>
      <c r="R71" s="452">
        <f t="shared" si="163"/>
        <v>0</v>
      </c>
      <c r="S71" s="452">
        <f t="shared" si="164"/>
        <v>0</v>
      </c>
      <c r="T71" s="452">
        <f t="shared" si="165"/>
        <v>0</v>
      </c>
      <c r="U71" s="452">
        <f t="shared" si="166"/>
        <v>0</v>
      </c>
      <c r="V71" s="452">
        <f t="shared" si="167"/>
        <v>0</v>
      </c>
      <c r="W71" s="452">
        <f t="shared" si="114"/>
        <v>0</v>
      </c>
      <c r="X71" s="1002">
        <f t="shared" si="115"/>
        <v>0</v>
      </c>
      <c r="Y71" s="459"/>
      <c r="Z71" s="291">
        <f t="shared" si="116"/>
        <v>0</v>
      </c>
      <c r="AA71" s="291">
        <f t="shared" si="117"/>
        <v>0</v>
      </c>
      <c r="AB71" s="291">
        <f t="shared" si="118"/>
        <v>0</v>
      </c>
      <c r="AC71" s="291">
        <f t="shared" si="119"/>
        <v>0</v>
      </c>
      <c r="AD71" s="291">
        <f t="shared" si="120"/>
        <v>0</v>
      </c>
      <c r="AE71" s="291">
        <f t="shared" si="121"/>
        <v>0</v>
      </c>
      <c r="AF71" s="291">
        <f t="shared" si="122"/>
        <v>0</v>
      </c>
      <c r="AG71" s="291">
        <f t="shared" si="123"/>
        <v>0</v>
      </c>
      <c r="AI71" s="462">
        <f t="shared" si="168"/>
        <v>0</v>
      </c>
      <c r="AJ71" s="1112"/>
      <c r="AK71" s="507"/>
      <c r="AL71" s="829">
        <f t="shared" si="125"/>
        <v>45703</v>
      </c>
      <c r="AM71" s="684">
        <f>IFERROR(IF(AND(AT71="",AR71&lt;&gt;S.CAL!$BJ$3,AR71&lt;&gt;S.CAL!$BJ$4,$AR$50="NON"),M71-BD71,IF(AND(AT71="",AR71&lt;&gt;S.CAL!$BJ$3,AR71&lt;&gt;S.CAL!$BJ$4,$AR$50="OUI"),X71-AI71,IF(AT71&lt;&gt;0,AT71,IF(OR(AR71=S.CAL!$BJ$3,AR71=S.CAL!$BJ$4),AR71,"")))),"")</f>
        <v>0</v>
      </c>
      <c r="AN71" s="1115"/>
      <c r="AO71" s="1116"/>
      <c r="AP71" s="684">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516">
        <f t="shared" si="145"/>
        <v>0</v>
      </c>
      <c r="AR71" s="1120"/>
      <c r="AT71" s="1123"/>
      <c r="AU71" s="831"/>
      <c r="AV71" s="1392">
        <f t="shared" si="126"/>
        <v>45703</v>
      </c>
      <c r="AX71" s="529">
        <f t="shared" si="146"/>
        <v>45703</v>
      </c>
      <c r="AY71" s="541">
        <f t="shared" si="147"/>
        <v>0</v>
      </c>
      <c r="AZ71" s="538" t="s">
        <v>146</v>
      </c>
      <c r="BA71" s="534">
        <f t="shared" si="148"/>
        <v>0</v>
      </c>
      <c r="BB71" s="567" t="str">
        <f t="shared" si="127"/>
        <v/>
      </c>
      <c r="BC71" s="541">
        <f t="shared" si="149"/>
        <v>0</v>
      </c>
      <c r="BD71" s="541">
        <f t="shared" si="150"/>
        <v>0</v>
      </c>
      <c r="BE71" s="1126"/>
      <c r="BF71" s="532" t="str">
        <f t="shared" si="128"/>
        <v/>
      </c>
      <c r="BG71" s="532" t="str">
        <f t="shared" si="151"/>
        <v>oui</v>
      </c>
      <c r="BH71" s="395" t="str">
        <f t="shared" si="129"/>
        <v/>
      </c>
      <c r="BI71" s="24" t="str">
        <f t="shared" si="130"/>
        <v/>
      </c>
      <c r="BJ71" s="1403"/>
      <c r="BK71" s="1403"/>
      <c r="BL71" s="1403"/>
      <c r="BM71" s="1403"/>
      <c r="BN71" s="1403"/>
      <c r="BO71" s="1403"/>
      <c r="BP71" s="1403"/>
      <c r="BQ71" s="1403"/>
      <c r="BS71" s="1392">
        <f t="shared" si="97"/>
        <v>45703</v>
      </c>
      <c r="BT71" s="27" t="str">
        <f t="shared" si="159"/>
        <v/>
      </c>
      <c r="BU71" s="1402"/>
      <c r="BV71" s="1402"/>
      <c r="BW71" s="1402"/>
      <c r="BX71" s="1402"/>
      <c r="BY71" s="1402"/>
      <c r="BZ71" s="1402"/>
      <c r="CA71" s="1402"/>
      <c r="CB71" s="1402"/>
      <c r="CD71" s="1408">
        <f t="shared" si="152"/>
        <v>0</v>
      </c>
      <c r="DC71" s="16" t="str">
        <f>Février!FC34</f>
        <v>non</v>
      </c>
      <c r="DG71" s="333">
        <f t="shared" si="153"/>
        <v>1</v>
      </c>
      <c r="DH71" s="129">
        <f t="shared" si="131"/>
        <v>10</v>
      </c>
      <c r="DI71" s="129">
        <f t="shared" si="154"/>
        <v>1</v>
      </c>
      <c r="DK71" s="16">
        <f>+IF(AND(Février!$DP$8&lt;&gt;52,AR71=S.CAL!$BJ$4),10,1)</f>
        <v>1</v>
      </c>
      <c r="DN71" s="16">
        <f t="shared" si="132"/>
        <v>1</v>
      </c>
      <c r="DU71" s="1296" t="str">
        <f t="shared" si="155"/>
        <v>Fiche infoA645703</v>
      </c>
      <c r="DV71" s="1384">
        <f t="shared" si="133"/>
        <v>0</v>
      </c>
      <c r="DW71" s="1385">
        <f t="shared" si="134"/>
        <v>0</v>
      </c>
      <c r="DX71" s="1385">
        <f t="shared" si="135"/>
        <v>0</v>
      </c>
      <c r="DY71" s="1385">
        <f t="shared" si="136"/>
        <v>0</v>
      </c>
      <c r="DZ71" s="1385">
        <f t="shared" si="137"/>
        <v>0</v>
      </c>
      <c r="EA71" s="1385">
        <f t="shared" si="138"/>
        <v>0</v>
      </c>
      <c r="EB71" s="1385">
        <f t="shared" si="139"/>
        <v>0</v>
      </c>
      <c r="EC71" s="1385">
        <f t="shared" si="140"/>
        <v>0</v>
      </c>
      <c r="ED71" s="1385">
        <f t="shared" si="156"/>
        <v>0</v>
      </c>
      <c r="EE71" s="1386">
        <f t="shared" si="157"/>
        <v>0</v>
      </c>
      <c r="EG71" s="16" t="str">
        <f t="shared" si="158"/>
        <v>72025</v>
      </c>
      <c r="EH71" s="16" t="str">
        <f t="shared" si="141"/>
        <v>Fiche infoA6</v>
      </c>
      <c r="EI71" s="16" t="str">
        <f t="shared" si="142"/>
        <v/>
      </c>
    </row>
    <row r="72" spans="1:139" x14ac:dyDescent="0.2">
      <c r="A72" s="1395" t="str">
        <f>Février!BJ35</f>
        <v>Fiche infoA7</v>
      </c>
      <c r="B72" s="829">
        <f>Février!AB35</f>
        <v>45704</v>
      </c>
      <c r="C72" s="1394"/>
      <c r="D72" s="1001">
        <f t="shared" si="98"/>
        <v>0</v>
      </c>
      <c r="E72" s="452">
        <f t="shared" si="99"/>
        <v>0</v>
      </c>
      <c r="F72" s="452">
        <f t="shared" si="100"/>
        <v>0</v>
      </c>
      <c r="G72" s="452">
        <f t="shared" si="101"/>
        <v>0</v>
      </c>
      <c r="H72" s="452">
        <f t="shared" si="102"/>
        <v>0</v>
      </c>
      <c r="I72" s="452">
        <f t="shared" si="103"/>
        <v>0</v>
      </c>
      <c r="J72" s="452">
        <f t="shared" si="104"/>
        <v>0</v>
      </c>
      <c r="K72" s="452">
        <f t="shared" si="105"/>
        <v>0</v>
      </c>
      <c r="L72" s="452">
        <f t="shared" si="143"/>
        <v>0</v>
      </c>
      <c r="M72" s="1002">
        <f t="shared" si="144"/>
        <v>0</v>
      </c>
      <c r="N72" s="1396"/>
      <c r="O72" s="1001">
        <f t="shared" si="160"/>
        <v>0</v>
      </c>
      <c r="P72" s="452">
        <f t="shared" si="161"/>
        <v>0</v>
      </c>
      <c r="Q72" s="452">
        <f t="shared" si="162"/>
        <v>0</v>
      </c>
      <c r="R72" s="452">
        <f t="shared" si="163"/>
        <v>0</v>
      </c>
      <c r="S72" s="452">
        <f t="shared" si="164"/>
        <v>0</v>
      </c>
      <c r="T72" s="452">
        <f t="shared" si="165"/>
        <v>0</v>
      </c>
      <c r="U72" s="452">
        <f t="shared" si="166"/>
        <v>0</v>
      </c>
      <c r="V72" s="452">
        <f t="shared" si="167"/>
        <v>0</v>
      </c>
      <c r="W72" s="452">
        <f t="shared" si="114"/>
        <v>0</v>
      </c>
      <c r="X72" s="1002">
        <f t="shared" si="115"/>
        <v>0</v>
      </c>
      <c r="Y72" s="1397"/>
      <c r="Z72" s="1398">
        <f t="shared" si="116"/>
        <v>0</v>
      </c>
      <c r="AA72" s="1398">
        <f t="shared" si="117"/>
        <v>0</v>
      </c>
      <c r="AB72" s="1398">
        <f t="shared" si="118"/>
        <v>0</v>
      </c>
      <c r="AC72" s="1398">
        <f t="shared" si="119"/>
        <v>0</v>
      </c>
      <c r="AD72" s="1398">
        <f t="shared" si="120"/>
        <v>0</v>
      </c>
      <c r="AE72" s="1398">
        <f t="shared" si="121"/>
        <v>0</v>
      </c>
      <c r="AF72" s="1398">
        <f t="shared" si="122"/>
        <v>0</v>
      </c>
      <c r="AG72" s="1398">
        <f t="shared" si="123"/>
        <v>0</v>
      </c>
      <c r="AH72" s="1396"/>
      <c r="AI72" s="462">
        <f t="shared" si="168"/>
        <v>0</v>
      </c>
      <c r="AJ72" s="1112"/>
      <c r="AK72" s="1399"/>
      <c r="AL72" s="829">
        <f t="shared" si="125"/>
        <v>45704</v>
      </c>
      <c r="AM72" s="684">
        <f>IFERROR(IF(AND(AT72="",AR72&lt;&gt;S.CAL!$BJ$3,AR72&lt;&gt;S.CAL!$BJ$4,$AR$50="NON"),M72-BD72,IF(AND(AT72="",AR72&lt;&gt;S.CAL!$BJ$3,AR72&lt;&gt;S.CAL!$BJ$4,$AR$50="OUI"),X72-AI72,IF(AT72&lt;&gt;0,AT72,IF(OR(AR72=S.CAL!$BJ$3,AR72=S.CAL!$BJ$4),AR72,"")))),"")</f>
        <v>0</v>
      </c>
      <c r="AN72" s="1115"/>
      <c r="AO72" s="1116"/>
      <c r="AP72" s="684">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400">
        <f t="shared" si="145"/>
        <v>0</v>
      </c>
      <c r="AR72" s="1120"/>
      <c r="AS72" s="1396"/>
      <c r="AT72" s="1123"/>
      <c r="AU72" s="831"/>
      <c r="AV72" s="1392">
        <f t="shared" si="126"/>
        <v>45704</v>
      </c>
      <c r="AW72" s="1396"/>
      <c r="AX72" s="529">
        <f t="shared" si="146"/>
        <v>45704</v>
      </c>
      <c r="AY72" s="541">
        <f t="shared" si="147"/>
        <v>0</v>
      </c>
      <c r="AZ72" s="538" t="s">
        <v>146</v>
      </c>
      <c r="BA72" s="534">
        <f t="shared" si="148"/>
        <v>0</v>
      </c>
      <c r="BB72" s="567" t="str">
        <f t="shared" si="127"/>
        <v/>
      </c>
      <c r="BC72" s="541">
        <f t="shared" si="149"/>
        <v>0</v>
      </c>
      <c r="BD72" s="541">
        <f t="shared" si="150"/>
        <v>0</v>
      </c>
      <c r="BE72" s="1126"/>
      <c r="BF72" s="532" t="str">
        <f t="shared" si="128"/>
        <v/>
      </c>
      <c r="BG72" s="532" t="str">
        <f t="shared" si="151"/>
        <v>oui</v>
      </c>
      <c r="BH72" s="395" t="str">
        <f t="shared" si="129"/>
        <v/>
      </c>
      <c r="BI72" s="24" t="str">
        <f t="shared" si="130"/>
        <v/>
      </c>
      <c r="BJ72" s="1404"/>
      <c r="BK72" s="1404"/>
      <c r="BL72" s="1404"/>
      <c r="BM72" s="1404"/>
      <c r="BN72" s="1404"/>
      <c r="BO72" s="1404"/>
      <c r="BP72" s="1404"/>
      <c r="BQ72" s="1404"/>
      <c r="BR72" s="1405"/>
      <c r="BS72" s="1392">
        <f t="shared" si="97"/>
        <v>45704</v>
      </c>
      <c r="BT72" s="1406" t="str">
        <f t="shared" si="159"/>
        <v/>
      </c>
      <c r="BU72" s="1404"/>
      <c r="BV72" s="1404"/>
      <c r="BW72" s="1404"/>
      <c r="BX72" s="1404"/>
      <c r="BY72" s="1404"/>
      <c r="BZ72" s="1404"/>
      <c r="CA72" s="1404"/>
      <c r="CB72" s="1404"/>
      <c r="CD72" s="1408">
        <f t="shared" si="152"/>
        <v>0</v>
      </c>
      <c r="DC72" s="16" t="str">
        <f>Février!FC35</f>
        <v>non</v>
      </c>
      <c r="DG72" s="333">
        <f t="shared" si="153"/>
        <v>1</v>
      </c>
      <c r="DH72" s="129">
        <f t="shared" si="131"/>
        <v>10</v>
      </c>
      <c r="DI72" s="129">
        <f t="shared" si="154"/>
        <v>1</v>
      </c>
      <c r="DK72" s="16">
        <f>+IF(AND(Février!$DP$8&lt;&gt;52,AR72=S.CAL!$BJ$4),10,1)</f>
        <v>1</v>
      </c>
      <c r="DN72" s="16">
        <f t="shared" si="132"/>
        <v>1</v>
      </c>
      <c r="DU72" s="1296" t="str">
        <f t="shared" si="155"/>
        <v>Fiche infoA745704</v>
      </c>
      <c r="DV72" s="1384">
        <f t="shared" si="133"/>
        <v>0</v>
      </c>
      <c r="DW72" s="1385">
        <f t="shared" si="134"/>
        <v>0</v>
      </c>
      <c r="DX72" s="1385">
        <f t="shared" si="135"/>
        <v>0</v>
      </c>
      <c r="DY72" s="1385">
        <f t="shared" si="136"/>
        <v>0</v>
      </c>
      <c r="DZ72" s="1385">
        <f t="shared" si="137"/>
        <v>0</v>
      </c>
      <c r="EA72" s="1385">
        <f t="shared" si="138"/>
        <v>0</v>
      </c>
      <c r="EB72" s="1385">
        <f t="shared" si="139"/>
        <v>0</v>
      </c>
      <c r="EC72" s="1385">
        <f t="shared" si="140"/>
        <v>0</v>
      </c>
      <c r="ED72" s="1385">
        <f t="shared" si="156"/>
        <v>0</v>
      </c>
      <c r="EE72" s="1386">
        <f t="shared" si="157"/>
        <v>0</v>
      </c>
      <c r="EG72" s="16" t="str">
        <f t="shared" si="158"/>
        <v>72025</v>
      </c>
      <c r="EH72" s="16" t="str">
        <f t="shared" si="141"/>
        <v>Fiche infoA7</v>
      </c>
      <c r="EI72" s="16" t="str">
        <f t="shared" si="142"/>
        <v/>
      </c>
    </row>
    <row r="73" spans="1:139" x14ac:dyDescent="0.2">
      <c r="A73" s="24" t="str">
        <f>Février!BJ36</f>
        <v>Fiche infoA1</v>
      </c>
      <c r="B73" s="829">
        <f>Février!AB36</f>
        <v>45705</v>
      </c>
      <c r="C73" s="1393"/>
      <c r="D73" s="1001">
        <f t="shared" si="98"/>
        <v>0</v>
      </c>
      <c r="E73" s="452">
        <f t="shared" si="99"/>
        <v>0</v>
      </c>
      <c r="F73" s="452">
        <f t="shared" si="100"/>
        <v>0</v>
      </c>
      <c r="G73" s="452">
        <f t="shared" si="101"/>
        <v>0</v>
      </c>
      <c r="H73" s="452">
        <f t="shared" si="102"/>
        <v>0</v>
      </c>
      <c r="I73" s="452">
        <f t="shared" si="103"/>
        <v>0</v>
      </c>
      <c r="J73" s="452">
        <f t="shared" si="104"/>
        <v>0</v>
      </c>
      <c r="K73" s="452">
        <f t="shared" si="105"/>
        <v>0</v>
      </c>
      <c r="L73" s="452">
        <f t="shared" si="143"/>
        <v>0</v>
      </c>
      <c r="M73" s="1002">
        <f t="shared" si="144"/>
        <v>0</v>
      </c>
      <c r="O73" s="1001">
        <f t="shared" si="160"/>
        <v>0</v>
      </c>
      <c r="P73" s="452">
        <f t="shared" si="161"/>
        <v>0</v>
      </c>
      <c r="Q73" s="452">
        <f t="shared" si="162"/>
        <v>0</v>
      </c>
      <c r="R73" s="452">
        <f t="shared" si="163"/>
        <v>0</v>
      </c>
      <c r="S73" s="452">
        <f t="shared" si="164"/>
        <v>0</v>
      </c>
      <c r="T73" s="452">
        <f t="shared" si="165"/>
        <v>0</v>
      </c>
      <c r="U73" s="452">
        <f t="shared" si="166"/>
        <v>0</v>
      </c>
      <c r="V73" s="452">
        <f t="shared" si="167"/>
        <v>0</v>
      </c>
      <c r="W73" s="452">
        <f t="shared" si="114"/>
        <v>0</v>
      </c>
      <c r="X73" s="1002">
        <f t="shared" si="115"/>
        <v>0</v>
      </c>
      <c r="Y73" s="459"/>
      <c r="Z73" s="291">
        <f t="shared" si="116"/>
        <v>0</v>
      </c>
      <c r="AA73" s="291">
        <f t="shared" si="117"/>
        <v>0</v>
      </c>
      <c r="AB73" s="291">
        <f t="shared" si="118"/>
        <v>0</v>
      </c>
      <c r="AC73" s="291">
        <f t="shared" si="119"/>
        <v>0</v>
      </c>
      <c r="AD73" s="291">
        <f t="shared" si="120"/>
        <v>0</v>
      </c>
      <c r="AE73" s="291">
        <f t="shared" si="121"/>
        <v>0</v>
      </c>
      <c r="AF73" s="291">
        <f t="shared" si="122"/>
        <v>0</v>
      </c>
      <c r="AG73" s="291">
        <f t="shared" si="123"/>
        <v>0</v>
      </c>
      <c r="AI73" s="462">
        <f t="shared" si="168"/>
        <v>0</v>
      </c>
      <c r="AJ73" s="1112"/>
      <c r="AK73" s="507"/>
      <c r="AL73" s="829">
        <f t="shared" si="125"/>
        <v>45705</v>
      </c>
      <c r="AM73" s="684">
        <f>IFERROR(IF(AND(AT73="",AR73&lt;&gt;S.CAL!$BJ$3,AR73&lt;&gt;S.CAL!$BJ$4,$AR$50="NON"),M73-BD73,IF(AND(AT73="",AR73&lt;&gt;S.CAL!$BJ$3,AR73&lt;&gt;S.CAL!$BJ$4,$AR$50="OUI"),X73-AI73,IF(AT73&lt;&gt;0,AT73,IF(OR(AR73=S.CAL!$BJ$3,AR73=S.CAL!$BJ$4),AR73,"")))),"")</f>
        <v>0</v>
      </c>
      <c r="AN73" s="1115"/>
      <c r="AO73" s="1116"/>
      <c r="AP73" s="684">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516">
        <f t="shared" si="145"/>
        <v>0</v>
      </c>
      <c r="AR73" s="1120"/>
      <c r="AT73" s="1123"/>
      <c r="AU73" s="831"/>
      <c r="AV73" s="1392">
        <f t="shared" si="126"/>
        <v>45705</v>
      </c>
      <c r="AX73" s="529">
        <f t="shared" si="146"/>
        <v>45705</v>
      </c>
      <c r="AY73" s="541">
        <f t="shared" si="147"/>
        <v>0</v>
      </c>
      <c r="AZ73" s="538" t="s">
        <v>146</v>
      </c>
      <c r="BA73" s="534">
        <f t="shared" si="148"/>
        <v>0</v>
      </c>
      <c r="BB73" s="567" t="str">
        <f t="shared" si="127"/>
        <v/>
      </c>
      <c r="BC73" s="541">
        <f t="shared" si="149"/>
        <v>0</v>
      </c>
      <c r="BD73" s="541">
        <f t="shared" si="150"/>
        <v>0</v>
      </c>
      <c r="BE73" s="1126"/>
      <c r="BF73" s="532" t="str">
        <f t="shared" si="128"/>
        <v/>
      </c>
      <c r="BG73" s="532" t="str">
        <f t="shared" si="151"/>
        <v>oui</v>
      </c>
      <c r="BH73" s="395" t="str">
        <f t="shared" si="129"/>
        <v/>
      </c>
      <c r="BI73" s="24" t="str">
        <f t="shared" si="130"/>
        <v/>
      </c>
      <c r="BJ73" s="1403"/>
      <c r="BK73" s="1403"/>
      <c r="BL73" s="1403"/>
      <c r="BM73" s="1403"/>
      <c r="BN73" s="1403"/>
      <c r="BO73" s="1403"/>
      <c r="BP73" s="1403"/>
      <c r="BQ73" s="1403"/>
      <c r="BS73" s="1392">
        <f t="shared" si="97"/>
        <v>45705</v>
      </c>
      <c r="BT73" s="27">
        <f t="shared" si="159"/>
        <v>8</v>
      </c>
      <c r="BU73" s="1402"/>
      <c r="BV73" s="1402"/>
      <c r="BW73" s="1402"/>
      <c r="BX73" s="1402"/>
      <c r="BY73" s="1402"/>
      <c r="BZ73" s="1402"/>
      <c r="CA73" s="1402"/>
      <c r="CB73" s="1402"/>
      <c r="CD73" s="1408">
        <f t="shared" si="152"/>
        <v>0</v>
      </c>
      <c r="DC73" s="16" t="str">
        <f>Février!FC36</f>
        <v>non</v>
      </c>
      <c r="DG73" s="333">
        <f t="shared" si="153"/>
        <v>1</v>
      </c>
      <c r="DH73" s="129">
        <f t="shared" si="131"/>
        <v>10</v>
      </c>
      <c r="DI73" s="129">
        <f t="shared" si="154"/>
        <v>1</v>
      </c>
      <c r="DK73" s="16">
        <f>+IF(AND(Février!$DP$8&lt;&gt;52,AR73=S.CAL!$BJ$4),10,1)</f>
        <v>1</v>
      </c>
      <c r="DN73" s="16">
        <f t="shared" si="132"/>
        <v>1</v>
      </c>
      <c r="DU73" s="1296" t="str">
        <f t="shared" si="155"/>
        <v>Fiche infoA145705</v>
      </c>
      <c r="DV73" s="1384">
        <f t="shared" si="133"/>
        <v>0</v>
      </c>
      <c r="DW73" s="1385">
        <f t="shared" si="134"/>
        <v>0</v>
      </c>
      <c r="DX73" s="1385">
        <f t="shared" si="135"/>
        <v>0</v>
      </c>
      <c r="DY73" s="1385">
        <f t="shared" si="136"/>
        <v>0</v>
      </c>
      <c r="DZ73" s="1385">
        <f t="shared" si="137"/>
        <v>0</v>
      </c>
      <c r="EA73" s="1385">
        <f t="shared" si="138"/>
        <v>0</v>
      </c>
      <c r="EB73" s="1385">
        <f t="shared" si="139"/>
        <v>0</v>
      </c>
      <c r="EC73" s="1385">
        <f t="shared" si="140"/>
        <v>0</v>
      </c>
      <c r="ED73" s="1385">
        <f t="shared" si="156"/>
        <v>0</v>
      </c>
      <c r="EE73" s="1386">
        <f t="shared" si="157"/>
        <v>0</v>
      </c>
      <c r="EG73" s="16" t="str">
        <f t="shared" si="158"/>
        <v>82025</v>
      </c>
      <c r="EH73" s="16" t="str">
        <f t="shared" si="141"/>
        <v>Fiche infoA1</v>
      </c>
      <c r="EI73" s="16" t="str">
        <f t="shared" si="142"/>
        <v/>
      </c>
    </row>
    <row r="74" spans="1:139" x14ac:dyDescent="0.2">
      <c r="A74" s="1395" t="str">
        <f>Février!BJ37</f>
        <v>Fiche infoA2</v>
      </c>
      <c r="B74" s="829">
        <f>Février!AB37</f>
        <v>45706</v>
      </c>
      <c r="C74" s="1394"/>
      <c r="D74" s="1001">
        <f t="shared" si="98"/>
        <v>0</v>
      </c>
      <c r="E74" s="452">
        <f t="shared" si="99"/>
        <v>0</v>
      </c>
      <c r="F74" s="452">
        <f t="shared" si="100"/>
        <v>0</v>
      </c>
      <c r="G74" s="452">
        <f t="shared" si="101"/>
        <v>0</v>
      </c>
      <c r="H74" s="452">
        <f t="shared" si="102"/>
        <v>0</v>
      </c>
      <c r="I74" s="452">
        <f t="shared" si="103"/>
        <v>0</v>
      </c>
      <c r="J74" s="452">
        <f t="shared" si="104"/>
        <v>0</v>
      </c>
      <c r="K74" s="452">
        <f t="shared" si="105"/>
        <v>0</v>
      </c>
      <c r="L74" s="452">
        <f t="shared" si="143"/>
        <v>0</v>
      </c>
      <c r="M74" s="1002">
        <f t="shared" si="144"/>
        <v>0</v>
      </c>
      <c r="N74" s="1396"/>
      <c r="O74" s="1001">
        <f t="shared" si="160"/>
        <v>0</v>
      </c>
      <c r="P74" s="452">
        <f t="shared" si="161"/>
        <v>0</v>
      </c>
      <c r="Q74" s="452">
        <f t="shared" si="162"/>
        <v>0</v>
      </c>
      <c r="R74" s="452">
        <f t="shared" si="163"/>
        <v>0</v>
      </c>
      <c r="S74" s="452">
        <f t="shared" si="164"/>
        <v>0</v>
      </c>
      <c r="T74" s="452">
        <f t="shared" si="165"/>
        <v>0</v>
      </c>
      <c r="U74" s="452">
        <f t="shared" si="166"/>
        <v>0</v>
      </c>
      <c r="V74" s="452">
        <f t="shared" si="167"/>
        <v>0</v>
      </c>
      <c r="W74" s="452">
        <f t="shared" si="114"/>
        <v>0</v>
      </c>
      <c r="X74" s="1002">
        <f t="shared" si="115"/>
        <v>0</v>
      </c>
      <c r="Y74" s="1397"/>
      <c r="Z74" s="1398">
        <f t="shared" si="116"/>
        <v>0</v>
      </c>
      <c r="AA74" s="1398">
        <f t="shared" si="117"/>
        <v>0</v>
      </c>
      <c r="AB74" s="1398">
        <f t="shared" si="118"/>
        <v>0</v>
      </c>
      <c r="AC74" s="1398">
        <f t="shared" si="119"/>
        <v>0</v>
      </c>
      <c r="AD74" s="1398">
        <f t="shared" si="120"/>
        <v>0</v>
      </c>
      <c r="AE74" s="1398">
        <f t="shared" si="121"/>
        <v>0</v>
      </c>
      <c r="AF74" s="1398">
        <f t="shared" si="122"/>
        <v>0</v>
      </c>
      <c r="AG74" s="1398">
        <f t="shared" si="123"/>
        <v>0</v>
      </c>
      <c r="AH74" s="1396"/>
      <c r="AI74" s="462">
        <f t="shared" si="168"/>
        <v>0</v>
      </c>
      <c r="AJ74" s="1112"/>
      <c r="AK74" s="1399"/>
      <c r="AL74" s="829">
        <f t="shared" si="125"/>
        <v>45706</v>
      </c>
      <c r="AM74" s="684">
        <f>IFERROR(IF(AND(AT74="",AR74&lt;&gt;S.CAL!$BJ$3,AR74&lt;&gt;S.CAL!$BJ$4,$AR$50="NON"),M74-BD74,IF(AND(AT74="",AR74&lt;&gt;S.CAL!$BJ$3,AR74&lt;&gt;S.CAL!$BJ$4,$AR$50="OUI"),X74-AI74,IF(AT74&lt;&gt;0,AT74,IF(OR(AR74=S.CAL!$BJ$3,AR74=S.CAL!$BJ$4),AR74,"")))),"")</f>
        <v>0</v>
      </c>
      <c r="AN74" s="1115"/>
      <c r="AO74" s="1116"/>
      <c r="AP74" s="684">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400">
        <f t="shared" si="145"/>
        <v>0</v>
      </c>
      <c r="AR74" s="1120"/>
      <c r="AS74" s="1396"/>
      <c r="AT74" s="1123"/>
      <c r="AU74" s="831"/>
      <c r="AV74" s="1392">
        <f t="shared" si="126"/>
        <v>45706</v>
      </c>
      <c r="AW74" s="1396"/>
      <c r="AX74" s="529">
        <f t="shared" si="146"/>
        <v>45706</v>
      </c>
      <c r="AY74" s="541">
        <f t="shared" si="147"/>
        <v>0</v>
      </c>
      <c r="AZ74" s="538" t="s">
        <v>146</v>
      </c>
      <c r="BA74" s="534">
        <f t="shared" si="148"/>
        <v>0</v>
      </c>
      <c r="BB74" s="567" t="str">
        <f t="shared" si="127"/>
        <v/>
      </c>
      <c r="BC74" s="541">
        <f t="shared" si="149"/>
        <v>0</v>
      </c>
      <c r="BD74" s="541">
        <f t="shared" si="150"/>
        <v>0</v>
      </c>
      <c r="BE74" s="1126"/>
      <c r="BF74" s="532" t="str">
        <f t="shared" si="128"/>
        <v/>
      </c>
      <c r="BG74" s="532" t="str">
        <f t="shared" si="151"/>
        <v>oui</v>
      </c>
      <c r="BH74" s="395" t="str">
        <f t="shared" si="129"/>
        <v/>
      </c>
      <c r="BI74" s="24" t="str">
        <f t="shared" si="130"/>
        <v/>
      </c>
      <c r="BJ74" s="1404"/>
      <c r="BK74" s="1404"/>
      <c r="BL74" s="1404"/>
      <c r="BM74" s="1404"/>
      <c r="BN74" s="1404"/>
      <c r="BO74" s="1404"/>
      <c r="BP74" s="1404"/>
      <c r="BQ74" s="1404"/>
      <c r="BR74" s="1405"/>
      <c r="BS74" s="1392">
        <f t="shared" si="97"/>
        <v>45706</v>
      </c>
      <c r="BT74" s="1406" t="str">
        <f t="shared" si="159"/>
        <v/>
      </c>
      <c r="BU74" s="1404"/>
      <c r="BV74" s="1404"/>
      <c r="BW74" s="1404"/>
      <c r="BX74" s="1404"/>
      <c r="BY74" s="1404"/>
      <c r="BZ74" s="1404"/>
      <c r="CA74" s="1404"/>
      <c r="CB74" s="1404"/>
      <c r="CD74" s="1408">
        <f t="shared" si="152"/>
        <v>0</v>
      </c>
      <c r="DC74" s="16" t="str">
        <f>Février!FC37</f>
        <v>non</v>
      </c>
      <c r="DG74" s="333">
        <f t="shared" si="153"/>
        <v>1</v>
      </c>
      <c r="DH74" s="129">
        <f t="shared" si="131"/>
        <v>10</v>
      </c>
      <c r="DI74" s="129">
        <f t="shared" si="154"/>
        <v>1</v>
      </c>
      <c r="DK74" s="16">
        <f>+IF(AND(Février!$DP$8&lt;&gt;52,AR74=S.CAL!$BJ$4),10,1)</f>
        <v>1</v>
      </c>
      <c r="DN74" s="16">
        <f t="shared" si="132"/>
        <v>1</v>
      </c>
      <c r="DU74" s="1296" t="str">
        <f t="shared" si="155"/>
        <v>Fiche infoA245706</v>
      </c>
      <c r="DV74" s="1384">
        <f t="shared" si="133"/>
        <v>0</v>
      </c>
      <c r="DW74" s="1385">
        <f t="shared" si="134"/>
        <v>0</v>
      </c>
      <c r="DX74" s="1385">
        <f t="shared" si="135"/>
        <v>0</v>
      </c>
      <c r="DY74" s="1385">
        <f t="shared" si="136"/>
        <v>0</v>
      </c>
      <c r="DZ74" s="1385">
        <f t="shared" si="137"/>
        <v>0</v>
      </c>
      <c r="EA74" s="1385">
        <f t="shared" si="138"/>
        <v>0</v>
      </c>
      <c r="EB74" s="1385">
        <f t="shared" si="139"/>
        <v>0</v>
      </c>
      <c r="EC74" s="1385">
        <f t="shared" si="140"/>
        <v>0</v>
      </c>
      <c r="ED74" s="1385">
        <f t="shared" si="156"/>
        <v>0</v>
      </c>
      <c r="EE74" s="1386">
        <f t="shared" si="157"/>
        <v>0</v>
      </c>
      <c r="EG74" s="16" t="str">
        <f t="shared" si="158"/>
        <v>82025</v>
      </c>
      <c r="EH74" s="16" t="str">
        <f t="shared" si="141"/>
        <v>Fiche infoA2</v>
      </c>
      <c r="EI74" s="16" t="str">
        <f t="shared" si="142"/>
        <v/>
      </c>
    </row>
    <row r="75" spans="1:139" x14ac:dyDescent="0.2">
      <c r="A75" s="24" t="str">
        <f>Février!BJ38</f>
        <v>Fiche infoA3</v>
      </c>
      <c r="B75" s="829">
        <f>Février!AB38</f>
        <v>45707</v>
      </c>
      <c r="C75" s="1393"/>
      <c r="D75" s="1001">
        <f t="shared" si="98"/>
        <v>0</v>
      </c>
      <c r="E75" s="452">
        <f t="shared" si="99"/>
        <v>0</v>
      </c>
      <c r="F75" s="452">
        <f t="shared" si="100"/>
        <v>0</v>
      </c>
      <c r="G75" s="452">
        <f t="shared" si="101"/>
        <v>0</v>
      </c>
      <c r="H75" s="452">
        <f t="shared" si="102"/>
        <v>0</v>
      </c>
      <c r="I75" s="452">
        <f t="shared" si="103"/>
        <v>0</v>
      </c>
      <c r="J75" s="452">
        <f t="shared" si="104"/>
        <v>0</v>
      </c>
      <c r="K75" s="452">
        <f t="shared" si="105"/>
        <v>0</v>
      </c>
      <c r="L75" s="452">
        <f t="shared" si="143"/>
        <v>0</v>
      </c>
      <c r="M75" s="1002">
        <f t="shared" si="144"/>
        <v>0</v>
      </c>
      <c r="O75" s="1001">
        <f t="shared" si="160"/>
        <v>0</v>
      </c>
      <c r="P75" s="452">
        <f t="shared" si="161"/>
        <v>0</v>
      </c>
      <c r="Q75" s="452">
        <f t="shared" si="162"/>
        <v>0</v>
      </c>
      <c r="R75" s="452">
        <f t="shared" si="163"/>
        <v>0</v>
      </c>
      <c r="S75" s="452">
        <f t="shared" si="164"/>
        <v>0</v>
      </c>
      <c r="T75" s="452">
        <f t="shared" si="165"/>
        <v>0</v>
      </c>
      <c r="U75" s="452">
        <f t="shared" si="166"/>
        <v>0</v>
      </c>
      <c r="V75" s="452">
        <f t="shared" si="167"/>
        <v>0</v>
      </c>
      <c r="W75" s="452">
        <f t="shared" si="114"/>
        <v>0</v>
      </c>
      <c r="X75" s="1002">
        <f t="shared" si="115"/>
        <v>0</v>
      </c>
      <c r="Y75" s="459"/>
      <c r="Z75" s="291">
        <f t="shared" si="116"/>
        <v>0</v>
      </c>
      <c r="AA75" s="291">
        <f t="shared" si="117"/>
        <v>0</v>
      </c>
      <c r="AB75" s="291">
        <f t="shared" si="118"/>
        <v>0</v>
      </c>
      <c r="AC75" s="291">
        <f t="shared" si="119"/>
        <v>0</v>
      </c>
      <c r="AD75" s="291">
        <f t="shared" si="120"/>
        <v>0</v>
      </c>
      <c r="AE75" s="291">
        <f t="shared" si="121"/>
        <v>0</v>
      </c>
      <c r="AF75" s="291">
        <f t="shared" si="122"/>
        <v>0</v>
      </c>
      <c r="AG75" s="291">
        <f t="shared" si="123"/>
        <v>0</v>
      </c>
      <c r="AI75" s="462">
        <f t="shared" si="168"/>
        <v>0</v>
      </c>
      <c r="AJ75" s="1112"/>
      <c r="AK75" s="507"/>
      <c r="AL75" s="829">
        <f t="shared" si="125"/>
        <v>45707</v>
      </c>
      <c r="AM75" s="684">
        <f>IFERROR(IF(AND(AT75="",AR75&lt;&gt;S.CAL!$BJ$3,AR75&lt;&gt;S.CAL!$BJ$4,$AR$50="NON"),M75-BD75,IF(AND(AT75="",AR75&lt;&gt;S.CAL!$BJ$3,AR75&lt;&gt;S.CAL!$BJ$4,$AR$50="OUI"),X75-AI75,IF(AT75&lt;&gt;0,AT75,IF(OR(AR75=S.CAL!$BJ$3,AR75=S.CAL!$BJ$4),AR75,"")))),"")</f>
        <v>0</v>
      </c>
      <c r="AN75" s="1115"/>
      <c r="AO75" s="1116"/>
      <c r="AP75" s="684">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516">
        <f t="shared" si="145"/>
        <v>0</v>
      </c>
      <c r="AR75" s="1120"/>
      <c r="AT75" s="1123"/>
      <c r="AU75" s="831"/>
      <c r="AV75" s="1392">
        <f t="shared" si="126"/>
        <v>45707</v>
      </c>
      <c r="AX75" s="529">
        <f t="shared" si="146"/>
        <v>45707</v>
      </c>
      <c r="AY75" s="541">
        <f t="shared" si="147"/>
        <v>0</v>
      </c>
      <c r="AZ75" s="538" t="s">
        <v>146</v>
      </c>
      <c r="BA75" s="534">
        <f t="shared" si="148"/>
        <v>0</v>
      </c>
      <c r="BB75" s="567" t="str">
        <f t="shared" si="127"/>
        <v/>
      </c>
      <c r="BC75" s="541">
        <f t="shared" si="149"/>
        <v>0</v>
      </c>
      <c r="BD75" s="541">
        <f t="shared" si="150"/>
        <v>0</v>
      </c>
      <c r="BE75" s="1126"/>
      <c r="BF75" s="532" t="str">
        <f t="shared" si="128"/>
        <v/>
      </c>
      <c r="BG75" s="532" t="str">
        <f t="shared" si="151"/>
        <v>oui</v>
      </c>
      <c r="BH75" s="395" t="str">
        <f t="shared" si="129"/>
        <v/>
      </c>
      <c r="BI75" s="24" t="str">
        <f t="shared" si="130"/>
        <v/>
      </c>
      <c r="BJ75" s="1403"/>
      <c r="BK75" s="1403"/>
      <c r="BL75" s="1403"/>
      <c r="BM75" s="1403"/>
      <c r="BN75" s="1403"/>
      <c r="BO75" s="1403"/>
      <c r="BP75" s="1403"/>
      <c r="BQ75" s="1403"/>
      <c r="BS75" s="1392">
        <f t="shared" si="97"/>
        <v>45707</v>
      </c>
      <c r="BT75" s="27" t="str">
        <f t="shared" si="159"/>
        <v/>
      </c>
      <c r="BU75" s="1402"/>
      <c r="BV75" s="1402"/>
      <c r="BW75" s="1402"/>
      <c r="BX75" s="1402"/>
      <c r="BY75" s="1402"/>
      <c r="BZ75" s="1402"/>
      <c r="CA75" s="1402"/>
      <c r="CB75" s="1402"/>
      <c r="CD75" s="1408">
        <f t="shared" si="152"/>
        <v>0</v>
      </c>
      <c r="DC75" s="16" t="str">
        <f>Février!FC38</f>
        <v>non</v>
      </c>
      <c r="DG75" s="333">
        <f t="shared" si="153"/>
        <v>1</v>
      </c>
      <c r="DH75" s="129">
        <f t="shared" si="131"/>
        <v>10</v>
      </c>
      <c r="DI75" s="129">
        <f t="shared" si="154"/>
        <v>1</v>
      </c>
      <c r="DK75" s="16">
        <f>+IF(AND(Février!$DP$8&lt;&gt;52,AR75=S.CAL!$BJ$4),10,1)</f>
        <v>1</v>
      </c>
      <c r="DN75" s="16">
        <f t="shared" si="132"/>
        <v>1</v>
      </c>
      <c r="DU75" s="1296" t="str">
        <f t="shared" si="155"/>
        <v>Fiche infoA345707</v>
      </c>
      <c r="DV75" s="1384">
        <f t="shared" si="133"/>
        <v>0</v>
      </c>
      <c r="DW75" s="1385">
        <f t="shared" si="134"/>
        <v>0</v>
      </c>
      <c r="DX75" s="1385">
        <f t="shared" si="135"/>
        <v>0</v>
      </c>
      <c r="DY75" s="1385">
        <f t="shared" si="136"/>
        <v>0</v>
      </c>
      <c r="DZ75" s="1385">
        <f t="shared" si="137"/>
        <v>0</v>
      </c>
      <c r="EA75" s="1385">
        <f t="shared" si="138"/>
        <v>0</v>
      </c>
      <c r="EB75" s="1385">
        <f t="shared" si="139"/>
        <v>0</v>
      </c>
      <c r="EC75" s="1385">
        <f t="shared" si="140"/>
        <v>0</v>
      </c>
      <c r="ED75" s="1385">
        <f t="shared" si="156"/>
        <v>0</v>
      </c>
      <c r="EE75" s="1386">
        <f t="shared" si="157"/>
        <v>0</v>
      </c>
      <c r="EG75" s="16" t="str">
        <f t="shared" si="158"/>
        <v>82025</v>
      </c>
      <c r="EH75" s="16" t="str">
        <f t="shared" si="141"/>
        <v>Fiche infoA3</v>
      </c>
      <c r="EI75" s="16" t="str">
        <f t="shared" si="142"/>
        <v/>
      </c>
    </row>
    <row r="76" spans="1:139" x14ac:dyDescent="0.2">
      <c r="A76" s="1395" t="str">
        <f>Février!BJ39</f>
        <v>Fiche infoA4</v>
      </c>
      <c r="B76" s="829">
        <f>Février!AB39</f>
        <v>45708</v>
      </c>
      <c r="C76" s="1394"/>
      <c r="D76" s="1001">
        <f t="shared" si="98"/>
        <v>0</v>
      </c>
      <c r="E76" s="452">
        <f t="shared" si="99"/>
        <v>0</v>
      </c>
      <c r="F76" s="452">
        <f t="shared" si="100"/>
        <v>0</v>
      </c>
      <c r="G76" s="452">
        <f t="shared" si="101"/>
        <v>0</v>
      </c>
      <c r="H76" s="452">
        <f t="shared" si="102"/>
        <v>0</v>
      </c>
      <c r="I76" s="452">
        <f t="shared" si="103"/>
        <v>0</v>
      </c>
      <c r="J76" s="452">
        <f t="shared" si="104"/>
        <v>0</v>
      </c>
      <c r="K76" s="452">
        <f t="shared" si="105"/>
        <v>0</v>
      </c>
      <c r="L76" s="452">
        <f t="shared" si="143"/>
        <v>0</v>
      </c>
      <c r="M76" s="1002">
        <f t="shared" si="144"/>
        <v>0</v>
      </c>
      <c r="N76" s="1396"/>
      <c r="O76" s="1001">
        <f t="shared" si="160"/>
        <v>0</v>
      </c>
      <c r="P76" s="452">
        <f t="shared" si="161"/>
        <v>0</v>
      </c>
      <c r="Q76" s="452">
        <f t="shared" si="162"/>
        <v>0</v>
      </c>
      <c r="R76" s="452">
        <f t="shared" si="163"/>
        <v>0</v>
      </c>
      <c r="S76" s="452">
        <f t="shared" si="164"/>
        <v>0</v>
      </c>
      <c r="T76" s="452">
        <f t="shared" si="165"/>
        <v>0</v>
      </c>
      <c r="U76" s="452">
        <f t="shared" si="166"/>
        <v>0</v>
      </c>
      <c r="V76" s="452">
        <f t="shared" si="167"/>
        <v>0</v>
      </c>
      <c r="W76" s="452">
        <f t="shared" si="114"/>
        <v>0</v>
      </c>
      <c r="X76" s="1002">
        <f t="shared" si="115"/>
        <v>0</v>
      </c>
      <c r="Y76" s="1397"/>
      <c r="Z76" s="1398">
        <f t="shared" si="116"/>
        <v>0</v>
      </c>
      <c r="AA76" s="1398">
        <f t="shared" si="117"/>
        <v>0</v>
      </c>
      <c r="AB76" s="1398">
        <f t="shared" si="118"/>
        <v>0</v>
      </c>
      <c r="AC76" s="1398">
        <f t="shared" si="119"/>
        <v>0</v>
      </c>
      <c r="AD76" s="1398">
        <f t="shared" si="120"/>
        <v>0</v>
      </c>
      <c r="AE76" s="1398">
        <f t="shared" si="121"/>
        <v>0</v>
      </c>
      <c r="AF76" s="1398">
        <f t="shared" si="122"/>
        <v>0</v>
      </c>
      <c r="AG76" s="1398">
        <f t="shared" si="123"/>
        <v>0</v>
      </c>
      <c r="AH76" s="1396"/>
      <c r="AI76" s="462">
        <f t="shared" si="168"/>
        <v>0</v>
      </c>
      <c r="AJ76" s="1112"/>
      <c r="AK76" s="1399"/>
      <c r="AL76" s="829">
        <f t="shared" si="125"/>
        <v>45708</v>
      </c>
      <c r="AM76" s="684">
        <f>IFERROR(IF(AND(AT76="",AR76&lt;&gt;S.CAL!$BJ$3,AR76&lt;&gt;S.CAL!$BJ$4,$AR$50="NON"),M76-BD76,IF(AND(AT76="",AR76&lt;&gt;S.CAL!$BJ$3,AR76&lt;&gt;S.CAL!$BJ$4,$AR$50="OUI"),X76-AI76,IF(AT76&lt;&gt;0,AT76,IF(OR(AR76=S.CAL!$BJ$3,AR76=S.CAL!$BJ$4),AR76,"")))),"")</f>
        <v>0</v>
      </c>
      <c r="AN76" s="1115"/>
      <c r="AO76" s="1116"/>
      <c r="AP76" s="684">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400">
        <f t="shared" si="145"/>
        <v>0</v>
      </c>
      <c r="AR76" s="1120"/>
      <c r="AS76" s="1396"/>
      <c r="AT76" s="1123"/>
      <c r="AU76" s="831"/>
      <c r="AV76" s="1392">
        <f t="shared" si="126"/>
        <v>45708</v>
      </c>
      <c r="AW76" s="1396"/>
      <c r="AX76" s="529">
        <f t="shared" si="146"/>
        <v>45708</v>
      </c>
      <c r="AY76" s="541">
        <f t="shared" si="147"/>
        <v>0</v>
      </c>
      <c r="AZ76" s="538" t="s">
        <v>146</v>
      </c>
      <c r="BA76" s="534">
        <f t="shared" si="148"/>
        <v>0</v>
      </c>
      <c r="BB76" s="567" t="str">
        <f t="shared" si="127"/>
        <v/>
      </c>
      <c r="BC76" s="541">
        <f t="shared" si="149"/>
        <v>0</v>
      </c>
      <c r="BD76" s="541">
        <f t="shared" si="150"/>
        <v>0</v>
      </c>
      <c r="BE76" s="1126"/>
      <c r="BF76" s="532" t="str">
        <f t="shared" si="128"/>
        <v/>
      </c>
      <c r="BG76" s="532" t="str">
        <f t="shared" si="151"/>
        <v>oui</v>
      </c>
      <c r="BH76" s="395" t="str">
        <f t="shared" si="129"/>
        <v/>
      </c>
      <c r="BI76" s="24" t="str">
        <f t="shared" si="130"/>
        <v/>
      </c>
      <c r="BJ76" s="1404"/>
      <c r="BK76" s="1404"/>
      <c r="BL76" s="1404"/>
      <c r="BM76" s="1404"/>
      <c r="BN76" s="1404"/>
      <c r="BO76" s="1404"/>
      <c r="BP76" s="1404"/>
      <c r="BQ76" s="1404"/>
      <c r="BR76" s="1405"/>
      <c r="BS76" s="1392">
        <f t="shared" si="97"/>
        <v>45708</v>
      </c>
      <c r="BT76" s="1406" t="str">
        <f t="shared" si="159"/>
        <v/>
      </c>
      <c r="BU76" s="1404"/>
      <c r="BV76" s="1404"/>
      <c r="BW76" s="1404"/>
      <c r="BX76" s="1404"/>
      <c r="BY76" s="1404"/>
      <c r="BZ76" s="1404"/>
      <c r="CA76" s="1404"/>
      <c r="CB76" s="1404"/>
      <c r="CD76" s="1408">
        <f t="shared" si="152"/>
        <v>0</v>
      </c>
      <c r="DC76" s="16" t="str">
        <f>Février!FC39</f>
        <v>non</v>
      </c>
      <c r="DG76" s="333">
        <f t="shared" si="153"/>
        <v>1</v>
      </c>
      <c r="DH76" s="129">
        <f t="shared" si="131"/>
        <v>10</v>
      </c>
      <c r="DI76" s="129">
        <f t="shared" si="154"/>
        <v>1</v>
      </c>
      <c r="DK76" s="16">
        <f>+IF(AND(Février!$DP$8&lt;&gt;52,AR76=S.CAL!$BJ$4),10,1)</f>
        <v>1</v>
      </c>
      <c r="DN76" s="16">
        <f t="shared" si="132"/>
        <v>1</v>
      </c>
      <c r="DU76" s="1296" t="str">
        <f t="shared" si="155"/>
        <v>Fiche infoA445708</v>
      </c>
      <c r="DV76" s="1384">
        <f t="shared" si="133"/>
        <v>0</v>
      </c>
      <c r="DW76" s="1385">
        <f t="shared" si="134"/>
        <v>0</v>
      </c>
      <c r="DX76" s="1385">
        <f t="shared" si="135"/>
        <v>0</v>
      </c>
      <c r="DY76" s="1385">
        <f t="shared" si="136"/>
        <v>0</v>
      </c>
      <c r="DZ76" s="1385">
        <f t="shared" si="137"/>
        <v>0</v>
      </c>
      <c r="EA76" s="1385">
        <f t="shared" si="138"/>
        <v>0</v>
      </c>
      <c r="EB76" s="1385">
        <f t="shared" si="139"/>
        <v>0</v>
      </c>
      <c r="EC76" s="1385">
        <f t="shared" si="140"/>
        <v>0</v>
      </c>
      <c r="ED76" s="1385">
        <f t="shared" si="156"/>
        <v>0</v>
      </c>
      <c r="EE76" s="1386">
        <f t="shared" si="157"/>
        <v>0</v>
      </c>
      <c r="EG76" s="16" t="str">
        <f t="shared" si="158"/>
        <v>82025</v>
      </c>
      <c r="EH76" s="16" t="str">
        <f t="shared" si="141"/>
        <v>Fiche infoA4</v>
      </c>
      <c r="EI76" s="16" t="str">
        <f t="shared" si="142"/>
        <v/>
      </c>
    </row>
    <row r="77" spans="1:139" x14ac:dyDescent="0.2">
      <c r="A77" s="24" t="str">
        <f>Février!BJ40</f>
        <v>Fiche infoA5</v>
      </c>
      <c r="B77" s="829">
        <f>Février!AB40</f>
        <v>45709</v>
      </c>
      <c r="C77" s="1393"/>
      <c r="D77" s="1001">
        <f t="shared" si="98"/>
        <v>0</v>
      </c>
      <c r="E77" s="452">
        <f t="shared" si="99"/>
        <v>0</v>
      </c>
      <c r="F77" s="452">
        <f t="shared" si="100"/>
        <v>0</v>
      </c>
      <c r="G77" s="452">
        <f t="shared" si="101"/>
        <v>0</v>
      </c>
      <c r="H77" s="452">
        <f t="shared" si="102"/>
        <v>0</v>
      </c>
      <c r="I77" s="452">
        <f t="shared" si="103"/>
        <v>0</v>
      </c>
      <c r="J77" s="452">
        <f t="shared" si="104"/>
        <v>0</v>
      </c>
      <c r="K77" s="452">
        <f t="shared" si="105"/>
        <v>0</v>
      </c>
      <c r="L77" s="452">
        <f t="shared" si="143"/>
        <v>0</v>
      </c>
      <c r="M77" s="1002">
        <f t="shared" si="144"/>
        <v>0</v>
      </c>
      <c r="O77" s="1001">
        <f t="shared" si="160"/>
        <v>0</v>
      </c>
      <c r="P77" s="452">
        <f t="shared" si="161"/>
        <v>0</v>
      </c>
      <c r="Q77" s="452">
        <f t="shared" si="162"/>
        <v>0</v>
      </c>
      <c r="R77" s="452">
        <f t="shared" si="163"/>
        <v>0</v>
      </c>
      <c r="S77" s="452">
        <f t="shared" si="164"/>
        <v>0</v>
      </c>
      <c r="T77" s="452">
        <f t="shared" si="165"/>
        <v>0</v>
      </c>
      <c r="U77" s="452">
        <f t="shared" si="166"/>
        <v>0</v>
      </c>
      <c r="V77" s="452">
        <f t="shared" si="167"/>
        <v>0</v>
      </c>
      <c r="W77" s="452">
        <f t="shared" si="114"/>
        <v>0</v>
      </c>
      <c r="X77" s="1002">
        <f t="shared" si="115"/>
        <v>0</v>
      </c>
      <c r="Y77" s="459"/>
      <c r="Z77" s="291">
        <f t="shared" si="116"/>
        <v>0</v>
      </c>
      <c r="AA77" s="291">
        <f t="shared" si="117"/>
        <v>0</v>
      </c>
      <c r="AB77" s="291">
        <f t="shared" si="118"/>
        <v>0</v>
      </c>
      <c r="AC77" s="291">
        <f t="shared" si="119"/>
        <v>0</v>
      </c>
      <c r="AD77" s="291">
        <f t="shared" si="120"/>
        <v>0</v>
      </c>
      <c r="AE77" s="291">
        <f t="shared" si="121"/>
        <v>0</v>
      </c>
      <c r="AF77" s="291">
        <f t="shared" si="122"/>
        <v>0</v>
      </c>
      <c r="AG77" s="291">
        <f t="shared" si="123"/>
        <v>0</v>
      </c>
      <c r="AI77" s="462">
        <f t="shared" si="168"/>
        <v>0</v>
      </c>
      <c r="AJ77" s="1112"/>
      <c r="AK77" s="507"/>
      <c r="AL77" s="829">
        <f t="shared" si="125"/>
        <v>45709</v>
      </c>
      <c r="AM77" s="684">
        <f>IFERROR(IF(AND(AT77="",AR77&lt;&gt;S.CAL!$BJ$3,AR77&lt;&gt;S.CAL!$BJ$4,$AR$50="NON"),M77-BD77,IF(AND(AT77="",AR77&lt;&gt;S.CAL!$BJ$3,AR77&lt;&gt;S.CAL!$BJ$4,$AR$50="OUI"),X77-AI77,IF(AT77&lt;&gt;0,AT77,IF(OR(AR77=S.CAL!$BJ$3,AR77=S.CAL!$BJ$4),AR77,"")))),"")</f>
        <v>0</v>
      </c>
      <c r="AN77" s="1115"/>
      <c r="AO77" s="1116"/>
      <c r="AP77" s="684">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516">
        <f t="shared" si="145"/>
        <v>0</v>
      </c>
      <c r="AR77" s="1120"/>
      <c r="AT77" s="1123"/>
      <c r="AU77" s="831"/>
      <c r="AV77" s="1392">
        <f t="shared" si="126"/>
        <v>45709</v>
      </c>
      <c r="AX77" s="529">
        <f t="shared" si="146"/>
        <v>45709</v>
      </c>
      <c r="AY77" s="541">
        <f t="shared" si="147"/>
        <v>0</v>
      </c>
      <c r="AZ77" s="538" t="s">
        <v>146</v>
      </c>
      <c r="BA77" s="534">
        <f t="shared" si="148"/>
        <v>0</v>
      </c>
      <c r="BB77" s="567" t="str">
        <f t="shared" si="127"/>
        <v/>
      </c>
      <c r="BC77" s="541">
        <f t="shared" si="149"/>
        <v>0</v>
      </c>
      <c r="BD77" s="541">
        <f t="shared" si="150"/>
        <v>0</v>
      </c>
      <c r="BE77" s="1126"/>
      <c r="BF77" s="532" t="str">
        <f t="shared" si="128"/>
        <v/>
      </c>
      <c r="BG77" s="532" t="str">
        <f t="shared" si="151"/>
        <v>oui</v>
      </c>
      <c r="BH77" s="395" t="str">
        <f t="shared" si="129"/>
        <v/>
      </c>
      <c r="BI77" s="24" t="str">
        <f t="shared" si="130"/>
        <v/>
      </c>
      <c r="BJ77" s="1403"/>
      <c r="BK77" s="1403"/>
      <c r="BL77" s="1403"/>
      <c r="BM77" s="1403"/>
      <c r="BN77" s="1403"/>
      <c r="BO77" s="1403"/>
      <c r="BP77" s="1403"/>
      <c r="BQ77" s="1403"/>
      <c r="BS77" s="1392">
        <f t="shared" si="97"/>
        <v>45709</v>
      </c>
      <c r="BT77" s="27" t="str">
        <f t="shared" si="159"/>
        <v/>
      </c>
      <c r="BU77" s="1402"/>
      <c r="BV77" s="1402"/>
      <c r="BW77" s="1402"/>
      <c r="BX77" s="1402"/>
      <c r="BY77" s="1402"/>
      <c r="BZ77" s="1402"/>
      <c r="CA77" s="1402"/>
      <c r="CB77" s="1402"/>
      <c r="CD77" s="1408">
        <f t="shared" si="152"/>
        <v>0</v>
      </c>
      <c r="DC77" s="16" t="str">
        <f>Février!FC40</f>
        <v>non</v>
      </c>
      <c r="DG77" s="333">
        <f t="shared" si="153"/>
        <v>1</v>
      </c>
      <c r="DH77" s="129">
        <f t="shared" si="131"/>
        <v>10</v>
      </c>
      <c r="DI77" s="129">
        <f t="shared" si="154"/>
        <v>1</v>
      </c>
      <c r="DK77" s="16">
        <f>+IF(AND(Février!$DP$8&lt;&gt;52,AR77=S.CAL!$BJ$4),10,1)</f>
        <v>1</v>
      </c>
      <c r="DN77" s="16">
        <f t="shared" si="132"/>
        <v>1</v>
      </c>
      <c r="DU77" s="1296" t="str">
        <f t="shared" si="155"/>
        <v>Fiche infoA545709</v>
      </c>
      <c r="DV77" s="1384">
        <f t="shared" si="133"/>
        <v>0</v>
      </c>
      <c r="DW77" s="1385">
        <f t="shared" si="134"/>
        <v>0</v>
      </c>
      <c r="DX77" s="1385">
        <f t="shared" si="135"/>
        <v>0</v>
      </c>
      <c r="DY77" s="1385">
        <f t="shared" si="136"/>
        <v>0</v>
      </c>
      <c r="DZ77" s="1385">
        <f t="shared" si="137"/>
        <v>0</v>
      </c>
      <c r="EA77" s="1385">
        <f t="shared" si="138"/>
        <v>0</v>
      </c>
      <c r="EB77" s="1385">
        <f t="shared" si="139"/>
        <v>0</v>
      </c>
      <c r="EC77" s="1385">
        <f t="shared" si="140"/>
        <v>0</v>
      </c>
      <c r="ED77" s="1385">
        <f t="shared" si="156"/>
        <v>0</v>
      </c>
      <c r="EE77" s="1386">
        <f t="shared" si="157"/>
        <v>0</v>
      </c>
      <c r="EG77" s="16" t="str">
        <f t="shared" si="158"/>
        <v>82025</v>
      </c>
      <c r="EH77" s="16" t="str">
        <f t="shared" si="141"/>
        <v>Fiche infoA5</v>
      </c>
      <c r="EI77" s="16" t="str">
        <f t="shared" si="142"/>
        <v/>
      </c>
    </row>
    <row r="78" spans="1:139" x14ac:dyDescent="0.2">
      <c r="A78" s="1395" t="str">
        <f>Février!BJ41</f>
        <v>Fiche infoA6</v>
      </c>
      <c r="B78" s="829">
        <f>Février!AB41</f>
        <v>45710</v>
      </c>
      <c r="C78" s="1394"/>
      <c r="D78" s="1001">
        <f t="shared" si="98"/>
        <v>0</v>
      </c>
      <c r="E78" s="452">
        <f t="shared" si="99"/>
        <v>0</v>
      </c>
      <c r="F78" s="452">
        <f t="shared" si="100"/>
        <v>0</v>
      </c>
      <c r="G78" s="452">
        <f t="shared" si="101"/>
        <v>0</v>
      </c>
      <c r="H78" s="452">
        <f t="shared" si="102"/>
        <v>0</v>
      </c>
      <c r="I78" s="452">
        <f t="shared" si="103"/>
        <v>0</v>
      </c>
      <c r="J78" s="452">
        <f t="shared" si="104"/>
        <v>0</v>
      </c>
      <c r="K78" s="452">
        <f t="shared" si="105"/>
        <v>0</v>
      </c>
      <c r="L78" s="452">
        <f t="shared" si="143"/>
        <v>0</v>
      </c>
      <c r="M78" s="1002">
        <f t="shared" si="144"/>
        <v>0</v>
      </c>
      <c r="N78" s="1396"/>
      <c r="O78" s="1001">
        <f t="shared" si="160"/>
        <v>0</v>
      </c>
      <c r="P78" s="452">
        <f t="shared" si="161"/>
        <v>0</v>
      </c>
      <c r="Q78" s="452">
        <f t="shared" si="162"/>
        <v>0</v>
      </c>
      <c r="R78" s="452">
        <f t="shared" si="163"/>
        <v>0</v>
      </c>
      <c r="S78" s="452">
        <f t="shared" si="164"/>
        <v>0</v>
      </c>
      <c r="T78" s="452">
        <f t="shared" si="165"/>
        <v>0</v>
      </c>
      <c r="U78" s="452">
        <f t="shared" si="166"/>
        <v>0</v>
      </c>
      <c r="V78" s="452">
        <f t="shared" si="167"/>
        <v>0</v>
      </c>
      <c r="W78" s="452">
        <f t="shared" si="114"/>
        <v>0</v>
      </c>
      <c r="X78" s="1002">
        <f t="shared" si="115"/>
        <v>0</v>
      </c>
      <c r="Y78" s="1397"/>
      <c r="Z78" s="1398">
        <f t="shared" si="116"/>
        <v>0</v>
      </c>
      <c r="AA78" s="1398">
        <f t="shared" si="117"/>
        <v>0</v>
      </c>
      <c r="AB78" s="1398">
        <f t="shared" si="118"/>
        <v>0</v>
      </c>
      <c r="AC78" s="1398">
        <f t="shared" si="119"/>
        <v>0</v>
      </c>
      <c r="AD78" s="1398">
        <f t="shared" si="120"/>
        <v>0</v>
      </c>
      <c r="AE78" s="1398">
        <f t="shared" si="121"/>
        <v>0</v>
      </c>
      <c r="AF78" s="1398">
        <f t="shared" si="122"/>
        <v>0</v>
      </c>
      <c r="AG78" s="1398">
        <f t="shared" si="123"/>
        <v>0</v>
      </c>
      <c r="AH78" s="1396"/>
      <c r="AI78" s="462">
        <f t="shared" si="168"/>
        <v>0</v>
      </c>
      <c r="AJ78" s="1112"/>
      <c r="AK78" s="1399"/>
      <c r="AL78" s="829">
        <f t="shared" si="125"/>
        <v>45710</v>
      </c>
      <c r="AM78" s="684">
        <f>IFERROR(IF(AND(AT78="",AR78&lt;&gt;S.CAL!$BJ$3,AR78&lt;&gt;S.CAL!$BJ$4,$AR$50="NON"),M78-BD78,IF(AND(AT78="",AR78&lt;&gt;S.CAL!$BJ$3,AR78&lt;&gt;S.CAL!$BJ$4,$AR$50="OUI"),X78-AI78,IF(AT78&lt;&gt;0,AT78,IF(OR(AR78=S.CAL!$BJ$3,AR78=S.CAL!$BJ$4),AR78,"")))),"")</f>
        <v>0</v>
      </c>
      <c r="AN78" s="1115"/>
      <c r="AO78" s="1116"/>
      <c r="AP78" s="684">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400">
        <f t="shared" si="145"/>
        <v>0</v>
      </c>
      <c r="AR78" s="1120"/>
      <c r="AS78" s="1396"/>
      <c r="AT78" s="1123"/>
      <c r="AU78" s="831"/>
      <c r="AV78" s="1392">
        <f t="shared" si="126"/>
        <v>45710</v>
      </c>
      <c r="AW78" s="1396"/>
      <c r="AX78" s="529">
        <f t="shared" si="146"/>
        <v>45710</v>
      </c>
      <c r="AY78" s="541">
        <f t="shared" si="147"/>
        <v>0</v>
      </c>
      <c r="AZ78" s="538" t="s">
        <v>146</v>
      </c>
      <c r="BA78" s="534">
        <f t="shared" si="148"/>
        <v>0</v>
      </c>
      <c r="BB78" s="567" t="str">
        <f t="shared" si="127"/>
        <v/>
      </c>
      <c r="BC78" s="541">
        <f t="shared" si="149"/>
        <v>0</v>
      </c>
      <c r="BD78" s="541">
        <f t="shared" si="150"/>
        <v>0</v>
      </c>
      <c r="BE78" s="1126"/>
      <c r="BF78" s="532" t="str">
        <f t="shared" si="128"/>
        <v/>
      </c>
      <c r="BG78" s="532" t="str">
        <f t="shared" si="151"/>
        <v>oui</v>
      </c>
      <c r="BH78" s="395" t="str">
        <f t="shared" si="129"/>
        <v/>
      </c>
      <c r="BI78" s="24" t="str">
        <f t="shared" si="130"/>
        <v/>
      </c>
      <c r="BJ78" s="1404"/>
      <c r="BK78" s="1404"/>
      <c r="BL78" s="1404"/>
      <c r="BM78" s="1404"/>
      <c r="BN78" s="1404"/>
      <c r="BO78" s="1404"/>
      <c r="BP78" s="1404"/>
      <c r="BQ78" s="1404"/>
      <c r="BR78" s="1405"/>
      <c r="BS78" s="1392">
        <f t="shared" si="97"/>
        <v>45710</v>
      </c>
      <c r="BT78" s="1406" t="str">
        <f t="shared" si="159"/>
        <v/>
      </c>
      <c r="BU78" s="1404"/>
      <c r="BV78" s="1404"/>
      <c r="BW78" s="1404"/>
      <c r="BX78" s="1404"/>
      <c r="BY78" s="1404"/>
      <c r="BZ78" s="1404"/>
      <c r="CA78" s="1404"/>
      <c r="CB78" s="1404"/>
      <c r="CD78" s="1408">
        <f t="shared" si="152"/>
        <v>0</v>
      </c>
      <c r="DC78" s="16" t="str">
        <f>Février!FC41</f>
        <v>non</v>
      </c>
      <c r="DG78" s="333">
        <f t="shared" si="153"/>
        <v>1</v>
      </c>
      <c r="DH78" s="129">
        <f t="shared" si="131"/>
        <v>10</v>
      </c>
      <c r="DI78" s="129">
        <f t="shared" si="154"/>
        <v>1</v>
      </c>
      <c r="DK78" s="16">
        <f>+IF(AND(Février!$DP$8&lt;&gt;52,AR78=S.CAL!$BJ$4),10,1)</f>
        <v>1</v>
      </c>
      <c r="DN78" s="16">
        <f t="shared" si="132"/>
        <v>1</v>
      </c>
      <c r="DU78" s="1296" t="str">
        <f t="shared" si="155"/>
        <v>Fiche infoA645710</v>
      </c>
      <c r="DV78" s="1384">
        <f t="shared" si="133"/>
        <v>0</v>
      </c>
      <c r="DW78" s="1385">
        <f t="shared" si="134"/>
        <v>0</v>
      </c>
      <c r="DX78" s="1385">
        <f t="shared" si="135"/>
        <v>0</v>
      </c>
      <c r="DY78" s="1385">
        <f t="shared" si="136"/>
        <v>0</v>
      </c>
      <c r="DZ78" s="1385">
        <f t="shared" si="137"/>
        <v>0</v>
      </c>
      <c r="EA78" s="1385">
        <f t="shared" si="138"/>
        <v>0</v>
      </c>
      <c r="EB78" s="1385">
        <f t="shared" si="139"/>
        <v>0</v>
      </c>
      <c r="EC78" s="1385">
        <f t="shared" si="140"/>
        <v>0</v>
      </c>
      <c r="ED78" s="1385">
        <f t="shared" si="156"/>
        <v>0</v>
      </c>
      <c r="EE78" s="1386">
        <f t="shared" si="157"/>
        <v>0</v>
      </c>
      <c r="EG78" s="16" t="str">
        <f t="shared" si="158"/>
        <v>82025</v>
      </c>
      <c r="EH78" s="16" t="str">
        <f t="shared" si="141"/>
        <v>Fiche infoA6</v>
      </c>
      <c r="EI78" s="16" t="str">
        <f t="shared" si="142"/>
        <v/>
      </c>
    </row>
    <row r="79" spans="1:139" x14ac:dyDescent="0.2">
      <c r="A79" s="24" t="str">
        <f>Février!BJ42</f>
        <v>Fiche infoA7</v>
      </c>
      <c r="B79" s="829">
        <f>Février!AB42</f>
        <v>45711</v>
      </c>
      <c r="C79" s="1393"/>
      <c r="D79" s="1001">
        <f t="shared" si="98"/>
        <v>0</v>
      </c>
      <c r="E79" s="452">
        <f t="shared" si="99"/>
        <v>0</v>
      </c>
      <c r="F79" s="452">
        <f t="shared" si="100"/>
        <v>0</v>
      </c>
      <c r="G79" s="452">
        <f t="shared" si="101"/>
        <v>0</v>
      </c>
      <c r="H79" s="452">
        <f t="shared" si="102"/>
        <v>0</v>
      </c>
      <c r="I79" s="452">
        <f t="shared" si="103"/>
        <v>0</v>
      </c>
      <c r="J79" s="452">
        <f t="shared" si="104"/>
        <v>0</v>
      </c>
      <c r="K79" s="452">
        <f t="shared" si="105"/>
        <v>0</v>
      </c>
      <c r="L79" s="452">
        <f t="shared" si="143"/>
        <v>0</v>
      </c>
      <c r="M79" s="1002">
        <f t="shared" si="144"/>
        <v>0</v>
      </c>
      <c r="O79" s="1001">
        <f t="shared" si="160"/>
        <v>0</v>
      </c>
      <c r="P79" s="452">
        <f t="shared" si="161"/>
        <v>0</v>
      </c>
      <c r="Q79" s="452">
        <f t="shared" si="162"/>
        <v>0</v>
      </c>
      <c r="R79" s="452">
        <f t="shared" si="163"/>
        <v>0</v>
      </c>
      <c r="S79" s="452">
        <f t="shared" si="164"/>
        <v>0</v>
      </c>
      <c r="T79" s="452">
        <f t="shared" si="165"/>
        <v>0</v>
      </c>
      <c r="U79" s="452">
        <f t="shared" si="166"/>
        <v>0</v>
      </c>
      <c r="V79" s="452">
        <f t="shared" si="167"/>
        <v>0</v>
      </c>
      <c r="W79" s="452">
        <f t="shared" si="114"/>
        <v>0</v>
      </c>
      <c r="X79" s="1002">
        <f t="shared" si="115"/>
        <v>0</v>
      </c>
      <c r="Y79" s="459"/>
      <c r="Z79" s="291">
        <f t="shared" si="116"/>
        <v>0</v>
      </c>
      <c r="AA79" s="291">
        <f t="shared" si="117"/>
        <v>0</v>
      </c>
      <c r="AB79" s="291">
        <f t="shared" si="118"/>
        <v>0</v>
      </c>
      <c r="AC79" s="291">
        <f t="shared" si="119"/>
        <v>0</v>
      </c>
      <c r="AD79" s="291">
        <f t="shared" si="120"/>
        <v>0</v>
      </c>
      <c r="AE79" s="291">
        <f t="shared" si="121"/>
        <v>0</v>
      </c>
      <c r="AF79" s="291">
        <f t="shared" si="122"/>
        <v>0</v>
      </c>
      <c r="AG79" s="291">
        <f t="shared" si="123"/>
        <v>0</v>
      </c>
      <c r="AI79" s="462">
        <f t="shared" si="168"/>
        <v>0</v>
      </c>
      <c r="AJ79" s="1112"/>
      <c r="AK79" s="507"/>
      <c r="AL79" s="829">
        <f t="shared" si="125"/>
        <v>45711</v>
      </c>
      <c r="AM79" s="684">
        <f>IFERROR(IF(AND(AT79="",AR79&lt;&gt;S.CAL!$BJ$3,AR79&lt;&gt;S.CAL!$BJ$4,$AR$50="NON"),M79-BD79,IF(AND(AT79="",AR79&lt;&gt;S.CAL!$BJ$3,AR79&lt;&gt;S.CAL!$BJ$4,$AR$50="OUI"),X79-AI79,IF(AT79&lt;&gt;0,AT79,IF(OR(AR79=S.CAL!$BJ$3,AR79=S.CAL!$BJ$4),AR79,"")))),"")</f>
        <v>0</v>
      </c>
      <c r="AN79" s="1115"/>
      <c r="AO79" s="1116"/>
      <c r="AP79" s="684">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516">
        <f t="shared" si="145"/>
        <v>0</v>
      </c>
      <c r="AR79" s="1120"/>
      <c r="AT79" s="1123"/>
      <c r="AU79" s="831"/>
      <c r="AV79" s="1392">
        <f t="shared" si="126"/>
        <v>45711</v>
      </c>
      <c r="AX79" s="529">
        <f t="shared" si="146"/>
        <v>45711</v>
      </c>
      <c r="AY79" s="541">
        <f t="shared" si="147"/>
        <v>0</v>
      </c>
      <c r="AZ79" s="538" t="s">
        <v>146</v>
      </c>
      <c r="BA79" s="534">
        <f t="shared" si="148"/>
        <v>0</v>
      </c>
      <c r="BB79" s="567" t="str">
        <f t="shared" si="127"/>
        <v/>
      </c>
      <c r="BC79" s="541">
        <f t="shared" si="149"/>
        <v>0</v>
      </c>
      <c r="BD79" s="541">
        <f t="shared" si="150"/>
        <v>0</v>
      </c>
      <c r="BE79" s="1126"/>
      <c r="BF79" s="532" t="str">
        <f t="shared" si="128"/>
        <v/>
      </c>
      <c r="BG79" s="532" t="str">
        <f t="shared" si="151"/>
        <v>oui</v>
      </c>
      <c r="BH79" s="395" t="str">
        <f t="shared" si="129"/>
        <v/>
      </c>
      <c r="BI79" s="24" t="str">
        <f t="shared" si="130"/>
        <v/>
      </c>
      <c r="BJ79" s="1403"/>
      <c r="BK79" s="1403"/>
      <c r="BL79" s="1403"/>
      <c r="BM79" s="1403"/>
      <c r="BN79" s="1403"/>
      <c r="BO79" s="1403"/>
      <c r="BP79" s="1403"/>
      <c r="BQ79" s="1403"/>
      <c r="BS79" s="1392">
        <f t="shared" si="97"/>
        <v>45711</v>
      </c>
      <c r="BT79" s="27" t="str">
        <f t="shared" si="159"/>
        <v/>
      </c>
      <c r="BU79" s="1402"/>
      <c r="BV79" s="1402"/>
      <c r="BW79" s="1402"/>
      <c r="BX79" s="1402"/>
      <c r="BY79" s="1402"/>
      <c r="BZ79" s="1402"/>
      <c r="CA79" s="1402"/>
      <c r="CB79" s="1402"/>
      <c r="CD79" s="1408">
        <f t="shared" si="152"/>
        <v>0</v>
      </c>
      <c r="DC79" s="16" t="str">
        <f>Février!FC42</f>
        <v>non</v>
      </c>
      <c r="DG79" s="333">
        <f t="shared" si="153"/>
        <v>1</v>
      </c>
      <c r="DH79" s="129">
        <f t="shared" si="131"/>
        <v>10</v>
      </c>
      <c r="DI79" s="129">
        <f t="shared" si="154"/>
        <v>1</v>
      </c>
      <c r="DK79" s="16">
        <f>+IF(AND(Février!$DP$8&lt;&gt;52,AR79=S.CAL!$BJ$4),10,1)</f>
        <v>1</v>
      </c>
      <c r="DN79" s="16">
        <f t="shared" si="132"/>
        <v>1</v>
      </c>
      <c r="DU79" s="1296" t="str">
        <f t="shared" si="155"/>
        <v>Fiche infoA745711</v>
      </c>
      <c r="DV79" s="1384">
        <f t="shared" si="133"/>
        <v>0</v>
      </c>
      <c r="DW79" s="1385">
        <f t="shared" si="134"/>
        <v>0</v>
      </c>
      <c r="DX79" s="1385">
        <f t="shared" si="135"/>
        <v>0</v>
      </c>
      <c r="DY79" s="1385">
        <f t="shared" si="136"/>
        <v>0</v>
      </c>
      <c r="DZ79" s="1385">
        <f t="shared" si="137"/>
        <v>0</v>
      </c>
      <c r="EA79" s="1385">
        <f t="shared" si="138"/>
        <v>0</v>
      </c>
      <c r="EB79" s="1385">
        <f t="shared" si="139"/>
        <v>0</v>
      </c>
      <c r="EC79" s="1385">
        <f t="shared" si="140"/>
        <v>0</v>
      </c>
      <c r="ED79" s="1385">
        <f t="shared" si="156"/>
        <v>0</v>
      </c>
      <c r="EE79" s="1386">
        <f t="shared" si="157"/>
        <v>0</v>
      </c>
      <c r="EG79" s="16" t="str">
        <f t="shared" si="158"/>
        <v>82025</v>
      </c>
      <c r="EH79" s="16" t="str">
        <f t="shared" si="141"/>
        <v>Fiche infoA7</v>
      </c>
      <c r="EI79" s="16" t="str">
        <f t="shared" si="142"/>
        <v/>
      </c>
    </row>
    <row r="80" spans="1:139" x14ac:dyDescent="0.2">
      <c r="A80" s="1395" t="str">
        <f>Février!BJ43</f>
        <v>Fiche infoA1</v>
      </c>
      <c r="B80" s="829">
        <f>Février!AB43</f>
        <v>45712</v>
      </c>
      <c r="C80" s="1394"/>
      <c r="D80" s="1001">
        <f t="shared" si="98"/>
        <v>0</v>
      </c>
      <c r="E80" s="452">
        <f t="shared" si="99"/>
        <v>0</v>
      </c>
      <c r="F80" s="452">
        <f t="shared" si="100"/>
        <v>0</v>
      </c>
      <c r="G80" s="452">
        <f t="shared" si="101"/>
        <v>0</v>
      </c>
      <c r="H80" s="452">
        <f t="shared" si="102"/>
        <v>0</v>
      </c>
      <c r="I80" s="452">
        <f t="shared" si="103"/>
        <v>0</v>
      </c>
      <c r="J80" s="452">
        <f t="shared" si="104"/>
        <v>0</v>
      </c>
      <c r="K80" s="452">
        <f t="shared" si="105"/>
        <v>0</v>
      </c>
      <c r="L80" s="452">
        <f t="shared" si="143"/>
        <v>0</v>
      </c>
      <c r="M80" s="1002">
        <f t="shared" si="144"/>
        <v>0</v>
      </c>
      <c r="N80" s="1396"/>
      <c r="O80" s="1001">
        <f t="shared" si="160"/>
        <v>0</v>
      </c>
      <c r="P80" s="452">
        <f t="shared" si="161"/>
        <v>0</v>
      </c>
      <c r="Q80" s="452">
        <f t="shared" si="162"/>
        <v>0</v>
      </c>
      <c r="R80" s="452">
        <f t="shared" si="163"/>
        <v>0</v>
      </c>
      <c r="S80" s="452">
        <f t="shared" si="164"/>
        <v>0</v>
      </c>
      <c r="T80" s="452">
        <f t="shared" si="165"/>
        <v>0</v>
      </c>
      <c r="U80" s="452">
        <f t="shared" si="166"/>
        <v>0</v>
      </c>
      <c r="V80" s="452">
        <f t="shared" si="167"/>
        <v>0</v>
      </c>
      <c r="W80" s="452">
        <f t="shared" si="114"/>
        <v>0</v>
      </c>
      <c r="X80" s="1002">
        <f t="shared" si="115"/>
        <v>0</v>
      </c>
      <c r="Y80" s="1397"/>
      <c r="Z80" s="1398">
        <f t="shared" si="116"/>
        <v>0</v>
      </c>
      <c r="AA80" s="1398">
        <f t="shared" si="117"/>
        <v>0</v>
      </c>
      <c r="AB80" s="1398">
        <f t="shared" si="118"/>
        <v>0</v>
      </c>
      <c r="AC80" s="1398">
        <f t="shared" si="119"/>
        <v>0</v>
      </c>
      <c r="AD80" s="1398">
        <f t="shared" si="120"/>
        <v>0</v>
      </c>
      <c r="AE80" s="1398">
        <f t="shared" si="121"/>
        <v>0</v>
      </c>
      <c r="AF80" s="1398">
        <f t="shared" si="122"/>
        <v>0</v>
      </c>
      <c r="AG80" s="1398">
        <f t="shared" si="123"/>
        <v>0</v>
      </c>
      <c r="AH80" s="1396"/>
      <c r="AI80" s="462">
        <f t="shared" si="168"/>
        <v>0</v>
      </c>
      <c r="AJ80" s="1112"/>
      <c r="AK80" s="1399"/>
      <c r="AL80" s="829">
        <f t="shared" si="125"/>
        <v>45712</v>
      </c>
      <c r="AM80" s="684">
        <f>IFERROR(IF(AND(AT80="",AR80&lt;&gt;S.CAL!$BJ$3,AR80&lt;&gt;S.CAL!$BJ$4,$AR$50="NON"),M80-BD80,IF(AND(AT80="",AR80&lt;&gt;S.CAL!$BJ$3,AR80&lt;&gt;S.CAL!$BJ$4,$AR$50="OUI"),X80-AI80,IF(AT80&lt;&gt;0,AT80,IF(OR(AR80=S.CAL!$BJ$3,AR80=S.CAL!$BJ$4),AR80,"")))),"")</f>
        <v>0</v>
      </c>
      <c r="AN80" s="1115"/>
      <c r="AO80" s="1116"/>
      <c r="AP80" s="684">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400">
        <f t="shared" si="145"/>
        <v>0</v>
      </c>
      <c r="AR80" s="1120"/>
      <c r="AS80" s="1396"/>
      <c r="AT80" s="1123"/>
      <c r="AU80" s="831"/>
      <c r="AV80" s="1392">
        <f t="shared" si="126"/>
        <v>45712</v>
      </c>
      <c r="AW80" s="1396"/>
      <c r="AX80" s="529">
        <f t="shared" si="146"/>
        <v>45712</v>
      </c>
      <c r="AY80" s="541">
        <f t="shared" si="147"/>
        <v>0</v>
      </c>
      <c r="AZ80" s="538" t="s">
        <v>146</v>
      </c>
      <c r="BA80" s="534">
        <f t="shared" si="148"/>
        <v>0</v>
      </c>
      <c r="BB80" s="567" t="str">
        <f t="shared" si="127"/>
        <v/>
      </c>
      <c r="BC80" s="541">
        <f t="shared" si="149"/>
        <v>0</v>
      </c>
      <c r="BD80" s="541">
        <f t="shared" si="150"/>
        <v>0</v>
      </c>
      <c r="BE80" s="1126"/>
      <c r="BF80" s="532" t="str">
        <f t="shared" si="128"/>
        <v/>
      </c>
      <c r="BG80" s="532" t="str">
        <f t="shared" si="151"/>
        <v>oui</v>
      </c>
      <c r="BH80" s="395" t="str">
        <f t="shared" si="129"/>
        <v/>
      </c>
      <c r="BI80" s="24" t="str">
        <f t="shared" si="130"/>
        <v/>
      </c>
      <c r="BJ80" s="1404"/>
      <c r="BK80" s="1404"/>
      <c r="BL80" s="1404"/>
      <c r="BM80" s="1404"/>
      <c r="BN80" s="1404"/>
      <c r="BO80" s="1404"/>
      <c r="BP80" s="1404"/>
      <c r="BQ80" s="1404"/>
      <c r="BR80" s="1405"/>
      <c r="BS80" s="1392">
        <f t="shared" si="97"/>
        <v>45712</v>
      </c>
      <c r="BT80" s="1406">
        <f t="shared" si="159"/>
        <v>9</v>
      </c>
      <c r="BU80" s="1404"/>
      <c r="BV80" s="1404"/>
      <c r="BW80" s="1404"/>
      <c r="BX80" s="1404"/>
      <c r="BY80" s="1404"/>
      <c r="BZ80" s="1404"/>
      <c r="CA80" s="1404"/>
      <c r="CB80" s="1404"/>
      <c r="CD80" s="1408">
        <f t="shared" si="152"/>
        <v>0</v>
      </c>
      <c r="DC80" s="16" t="str">
        <f>Février!FC43</f>
        <v>non</v>
      </c>
      <c r="DG80" s="333">
        <f t="shared" si="153"/>
        <v>1</v>
      </c>
      <c r="DH80" s="129">
        <f t="shared" si="131"/>
        <v>10</v>
      </c>
      <c r="DI80" s="129">
        <f t="shared" si="154"/>
        <v>1</v>
      </c>
      <c r="DK80" s="16">
        <f>+IF(AND(Février!$DP$8&lt;&gt;52,AR80=S.CAL!$BJ$4),10,1)</f>
        <v>1</v>
      </c>
      <c r="DN80" s="16">
        <f t="shared" si="132"/>
        <v>1</v>
      </c>
      <c r="DU80" s="1296" t="str">
        <f t="shared" si="155"/>
        <v>Fiche infoA145712</v>
      </c>
      <c r="DV80" s="1384">
        <f t="shared" si="133"/>
        <v>0</v>
      </c>
      <c r="DW80" s="1385">
        <f t="shared" si="134"/>
        <v>0</v>
      </c>
      <c r="DX80" s="1385">
        <f t="shared" si="135"/>
        <v>0</v>
      </c>
      <c r="DY80" s="1385">
        <f t="shared" si="136"/>
        <v>0</v>
      </c>
      <c r="DZ80" s="1385">
        <f t="shared" si="137"/>
        <v>0</v>
      </c>
      <c r="EA80" s="1385">
        <f t="shared" si="138"/>
        <v>0</v>
      </c>
      <c r="EB80" s="1385">
        <f t="shared" si="139"/>
        <v>0</v>
      </c>
      <c r="EC80" s="1385">
        <f t="shared" si="140"/>
        <v>0</v>
      </c>
      <c r="ED80" s="1385">
        <f t="shared" si="156"/>
        <v>0</v>
      </c>
      <c r="EE80" s="1386">
        <f t="shared" si="157"/>
        <v>0</v>
      </c>
      <c r="EG80" s="16" t="str">
        <f t="shared" si="158"/>
        <v>92025</v>
      </c>
      <c r="EH80" s="16" t="str">
        <f t="shared" si="141"/>
        <v>Fiche infoA1</v>
      </c>
      <c r="EI80" s="16" t="str">
        <f t="shared" si="142"/>
        <v/>
      </c>
    </row>
    <row r="81" spans="1:145" x14ac:dyDescent="0.2">
      <c r="A81" s="24" t="str">
        <f>Février!BJ44</f>
        <v>Fiche infoA2</v>
      </c>
      <c r="B81" s="829">
        <f>Février!AB44</f>
        <v>45713</v>
      </c>
      <c r="C81" s="1393"/>
      <c r="D81" s="1001">
        <f t="shared" si="98"/>
        <v>0</v>
      </c>
      <c r="E81" s="452">
        <f t="shared" si="99"/>
        <v>0</v>
      </c>
      <c r="F81" s="452">
        <f t="shared" si="100"/>
        <v>0</v>
      </c>
      <c r="G81" s="452">
        <f t="shared" si="101"/>
        <v>0</v>
      </c>
      <c r="H81" s="452">
        <f t="shared" si="102"/>
        <v>0</v>
      </c>
      <c r="I81" s="452">
        <f t="shared" si="103"/>
        <v>0</v>
      </c>
      <c r="J81" s="452">
        <f t="shared" si="104"/>
        <v>0</v>
      </c>
      <c r="K81" s="452">
        <f t="shared" si="105"/>
        <v>0</v>
      </c>
      <c r="L81" s="452">
        <f t="shared" si="143"/>
        <v>0</v>
      </c>
      <c r="M81" s="1002">
        <f t="shared" si="144"/>
        <v>0</v>
      </c>
      <c r="O81" s="1001">
        <f t="shared" si="160"/>
        <v>0</v>
      </c>
      <c r="P81" s="452">
        <f t="shared" si="161"/>
        <v>0</v>
      </c>
      <c r="Q81" s="452">
        <f t="shared" si="162"/>
        <v>0</v>
      </c>
      <c r="R81" s="452">
        <f t="shared" si="163"/>
        <v>0</v>
      </c>
      <c r="S81" s="452">
        <f t="shared" si="164"/>
        <v>0</v>
      </c>
      <c r="T81" s="452">
        <f t="shared" si="165"/>
        <v>0</v>
      </c>
      <c r="U81" s="452">
        <f t="shared" si="166"/>
        <v>0</v>
      </c>
      <c r="V81" s="452">
        <f t="shared" si="167"/>
        <v>0</v>
      </c>
      <c r="W81" s="452">
        <f t="shared" si="114"/>
        <v>0</v>
      </c>
      <c r="X81" s="1002">
        <f t="shared" si="115"/>
        <v>0</v>
      </c>
      <c r="Y81" s="459"/>
      <c r="Z81" s="291">
        <f t="shared" si="116"/>
        <v>0</v>
      </c>
      <c r="AA81" s="291">
        <f t="shared" si="117"/>
        <v>0</v>
      </c>
      <c r="AB81" s="291">
        <f t="shared" si="118"/>
        <v>0</v>
      </c>
      <c r="AC81" s="291">
        <f t="shared" si="119"/>
        <v>0</v>
      </c>
      <c r="AD81" s="291">
        <f t="shared" si="120"/>
        <v>0</v>
      </c>
      <c r="AE81" s="291">
        <f t="shared" si="121"/>
        <v>0</v>
      </c>
      <c r="AF81" s="291">
        <f t="shared" si="122"/>
        <v>0</v>
      </c>
      <c r="AG81" s="291">
        <f t="shared" si="123"/>
        <v>0</v>
      </c>
      <c r="AI81" s="462">
        <f t="shared" si="168"/>
        <v>0</v>
      </c>
      <c r="AJ81" s="1112"/>
      <c r="AK81" s="507"/>
      <c r="AL81" s="829">
        <f t="shared" si="125"/>
        <v>45713</v>
      </c>
      <c r="AM81" s="684">
        <f>IFERROR(IF(AND(AT81="",AR81&lt;&gt;S.CAL!$BJ$3,AR81&lt;&gt;S.CAL!$BJ$4,$AR$50="NON"),M81-BD81,IF(AND(AT81="",AR81&lt;&gt;S.CAL!$BJ$3,AR81&lt;&gt;S.CAL!$BJ$4,$AR$50="OUI"),X81-AI81,IF(AT81&lt;&gt;0,AT81,IF(OR(AR81=S.CAL!$BJ$3,AR81=S.CAL!$BJ$4),AR81,"")))),"")</f>
        <v>0</v>
      </c>
      <c r="AN81" s="1115"/>
      <c r="AO81" s="1116"/>
      <c r="AP81" s="684">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516">
        <f t="shared" si="145"/>
        <v>0</v>
      </c>
      <c r="AR81" s="1120"/>
      <c r="AT81" s="1123"/>
      <c r="AU81" s="831"/>
      <c r="AV81" s="1392">
        <f t="shared" si="126"/>
        <v>45713</v>
      </c>
      <c r="AX81" s="529">
        <f t="shared" si="146"/>
        <v>45713</v>
      </c>
      <c r="AY81" s="541">
        <f t="shared" si="147"/>
        <v>0</v>
      </c>
      <c r="AZ81" s="538" t="s">
        <v>146</v>
      </c>
      <c r="BA81" s="534">
        <f t="shared" si="148"/>
        <v>0</v>
      </c>
      <c r="BB81" s="567" t="str">
        <f t="shared" si="127"/>
        <v/>
      </c>
      <c r="BC81" s="541">
        <f t="shared" si="149"/>
        <v>0</v>
      </c>
      <c r="BD81" s="541">
        <f t="shared" si="150"/>
        <v>0</v>
      </c>
      <c r="BE81" s="1126"/>
      <c r="BF81" s="532" t="str">
        <f t="shared" si="128"/>
        <v/>
      </c>
      <c r="BG81" s="532" t="str">
        <f t="shared" si="151"/>
        <v>oui</v>
      </c>
      <c r="BH81" s="395" t="str">
        <f t="shared" si="129"/>
        <v/>
      </c>
      <c r="BI81" s="24" t="str">
        <f t="shared" si="130"/>
        <v/>
      </c>
      <c r="BJ81" s="1403"/>
      <c r="BK81" s="1403"/>
      <c r="BL81" s="1403"/>
      <c r="BM81" s="1403"/>
      <c r="BN81" s="1403"/>
      <c r="BO81" s="1403"/>
      <c r="BP81" s="1403"/>
      <c r="BQ81" s="1403"/>
      <c r="BS81" s="1392">
        <f t="shared" si="97"/>
        <v>45713</v>
      </c>
      <c r="BT81" s="27" t="str">
        <f t="shared" si="159"/>
        <v/>
      </c>
      <c r="BU81" s="1402"/>
      <c r="BV81" s="1402"/>
      <c r="BW81" s="1402"/>
      <c r="BX81" s="1402"/>
      <c r="BY81" s="1402"/>
      <c r="BZ81" s="1402"/>
      <c r="CA81" s="1402"/>
      <c r="CB81" s="1402"/>
      <c r="CD81" s="1408">
        <f t="shared" si="152"/>
        <v>0</v>
      </c>
      <c r="DC81" s="16" t="str">
        <f>Février!FC44</f>
        <v>non</v>
      </c>
      <c r="DG81" s="333">
        <f t="shared" si="153"/>
        <v>1</v>
      </c>
      <c r="DH81" s="129">
        <f t="shared" si="131"/>
        <v>10</v>
      </c>
      <c r="DI81" s="129">
        <f t="shared" si="154"/>
        <v>1</v>
      </c>
      <c r="DK81" s="16">
        <f>+IF(AND(Février!$DP$8&lt;&gt;52,AR81=S.CAL!$BJ$4),10,1)</f>
        <v>1</v>
      </c>
      <c r="DN81" s="16">
        <f t="shared" si="132"/>
        <v>1</v>
      </c>
      <c r="DU81" s="1296" t="str">
        <f t="shared" si="155"/>
        <v>Fiche infoA245713</v>
      </c>
      <c r="DV81" s="1384">
        <f t="shared" si="133"/>
        <v>0</v>
      </c>
      <c r="DW81" s="1385">
        <f t="shared" si="134"/>
        <v>0</v>
      </c>
      <c r="DX81" s="1385">
        <f t="shared" si="135"/>
        <v>0</v>
      </c>
      <c r="DY81" s="1385">
        <f t="shared" si="136"/>
        <v>0</v>
      </c>
      <c r="DZ81" s="1385">
        <f t="shared" si="137"/>
        <v>0</v>
      </c>
      <c r="EA81" s="1385">
        <f t="shared" si="138"/>
        <v>0</v>
      </c>
      <c r="EB81" s="1385">
        <f t="shared" si="139"/>
        <v>0</v>
      </c>
      <c r="EC81" s="1385">
        <f t="shared" si="140"/>
        <v>0</v>
      </c>
      <c r="ED81" s="1385">
        <f t="shared" si="156"/>
        <v>0</v>
      </c>
      <c r="EE81" s="1386">
        <f t="shared" si="157"/>
        <v>0</v>
      </c>
      <c r="EG81" s="16" t="str">
        <f t="shared" si="158"/>
        <v>92025</v>
      </c>
      <c r="EH81" s="16" t="str">
        <f t="shared" si="141"/>
        <v>Fiche infoA2</v>
      </c>
      <c r="EI81" s="16" t="str">
        <f t="shared" si="142"/>
        <v/>
      </c>
    </row>
    <row r="82" spans="1:145" x14ac:dyDescent="0.2">
      <c r="A82" s="1395" t="str">
        <f>Février!BJ45</f>
        <v>Fiche infoA3</v>
      </c>
      <c r="B82" s="829">
        <f>Février!AB45</f>
        <v>45714</v>
      </c>
      <c r="C82" s="1394"/>
      <c r="D82" s="1001">
        <f t="shared" si="98"/>
        <v>0</v>
      </c>
      <c r="E82" s="452">
        <f t="shared" si="99"/>
        <v>0</v>
      </c>
      <c r="F82" s="452">
        <f t="shared" si="100"/>
        <v>0</v>
      </c>
      <c r="G82" s="452">
        <f t="shared" si="101"/>
        <v>0</v>
      </c>
      <c r="H82" s="452">
        <f t="shared" si="102"/>
        <v>0</v>
      </c>
      <c r="I82" s="452">
        <f t="shared" si="103"/>
        <v>0</v>
      </c>
      <c r="J82" s="452">
        <f t="shared" si="104"/>
        <v>0</v>
      </c>
      <c r="K82" s="452">
        <f t="shared" si="105"/>
        <v>0</v>
      </c>
      <c r="L82" s="452">
        <f t="shared" si="143"/>
        <v>0</v>
      </c>
      <c r="M82" s="1002">
        <f t="shared" si="144"/>
        <v>0</v>
      </c>
      <c r="N82" s="1396"/>
      <c r="O82" s="1001">
        <f t="shared" si="160"/>
        <v>0</v>
      </c>
      <c r="P82" s="452">
        <f t="shared" si="161"/>
        <v>0</v>
      </c>
      <c r="Q82" s="452">
        <f t="shared" si="162"/>
        <v>0</v>
      </c>
      <c r="R82" s="452">
        <f t="shared" si="163"/>
        <v>0</v>
      </c>
      <c r="S82" s="452">
        <f t="shared" si="164"/>
        <v>0</v>
      </c>
      <c r="T82" s="452">
        <f t="shared" si="165"/>
        <v>0</v>
      </c>
      <c r="U82" s="452">
        <f t="shared" si="166"/>
        <v>0</v>
      </c>
      <c r="V82" s="452">
        <f t="shared" si="167"/>
        <v>0</v>
      </c>
      <c r="W82" s="452">
        <f t="shared" si="114"/>
        <v>0</v>
      </c>
      <c r="X82" s="1002">
        <f t="shared" si="115"/>
        <v>0</v>
      </c>
      <c r="Y82" s="1397"/>
      <c r="Z82" s="1398">
        <f t="shared" si="116"/>
        <v>0</v>
      </c>
      <c r="AA82" s="1398">
        <f t="shared" si="117"/>
        <v>0</v>
      </c>
      <c r="AB82" s="1398">
        <f t="shared" si="118"/>
        <v>0</v>
      </c>
      <c r="AC82" s="1398">
        <f t="shared" si="119"/>
        <v>0</v>
      </c>
      <c r="AD82" s="1398">
        <f t="shared" si="120"/>
        <v>0</v>
      </c>
      <c r="AE82" s="1398">
        <f t="shared" si="121"/>
        <v>0</v>
      </c>
      <c r="AF82" s="1398">
        <f t="shared" si="122"/>
        <v>0</v>
      </c>
      <c r="AG82" s="1398">
        <f t="shared" si="123"/>
        <v>0</v>
      </c>
      <c r="AH82" s="1396"/>
      <c r="AI82" s="462">
        <f t="shared" si="168"/>
        <v>0</v>
      </c>
      <c r="AJ82" s="1112"/>
      <c r="AK82" s="1399"/>
      <c r="AL82" s="829">
        <f t="shared" si="125"/>
        <v>45714</v>
      </c>
      <c r="AM82" s="684">
        <f>IFERROR(IF(AND(AT82="",AR82&lt;&gt;S.CAL!$BJ$3,AR82&lt;&gt;S.CAL!$BJ$4,$AR$50="NON"),M82-BD82,IF(AND(AT82="",AR82&lt;&gt;S.CAL!$BJ$3,AR82&lt;&gt;S.CAL!$BJ$4,$AR$50="OUI"),X82-AI82,IF(AT82&lt;&gt;0,AT82,IF(OR(AR82=S.CAL!$BJ$3,AR82=S.CAL!$BJ$4),AR82,"")))),"")</f>
        <v>0</v>
      </c>
      <c r="AN82" s="1115"/>
      <c r="AO82" s="1116"/>
      <c r="AP82" s="684">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400">
        <f t="shared" si="145"/>
        <v>0</v>
      </c>
      <c r="AR82" s="1120"/>
      <c r="AS82" s="1396"/>
      <c r="AT82" s="1123"/>
      <c r="AU82" s="831"/>
      <c r="AV82" s="1392">
        <f t="shared" si="126"/>
        <v>45714</v>
      </c>
      <c r="AW82" s="1396"/>
      <c r="AX82" s="529">
        <f t="shared" si="146"/>
        <v>45714</v>
      </c>
      <c r="AY82" s="541">
        <f t="shared" si="147"/>
        <v>0</v>
      </c>
      <c r="AZ82" s="538" t="s">
        <v>146</v>
      </c>
      <c r="BA82" s="534">
        <f t="shared" si="148"/>
        <v>0</v>
      </c>
      <c r="BB82" s="567" t="str">
        <f t="shared" si="127"/>
        <v/>
      </c>
      <c r="BC82" s="541">
        <f t="shared" si="149"/>
        <v>0</v>
      </c>
      <c r="BD82" s="541">
        <f t="shared" si="150"/>
        <v>0</v>
      </c>
      <c r="BE82" s="1126"/>
      <c r="BF82" s="532" t="str">
        <f t="shared" si="128"/>
        <v/>
      </c>
      <c r="BG82" s="532" t="str">
        <f t="shared" si="151"/>
        <v>oui</v>
      </c>
      <c r="BH82" s="395" t="str">
        <f t="shared" si="129"/>
        <v/>
      </c>
      <c r="BI82" s="24" t="str">
        <f t="shared" si="130"/>
        <v/>
      </c>
      <c r="BJ82" s="1404"/>
      <c r="BK82" s="1404"/>
      <c r="BL82" s="1404"/>
      <c r="BM82" s="1404"/>
      <c r="BN82" s="1404"/>
      <c r="BO82" s="1404"/>
      <c r="BP82" s="1404"/>
      <c r="BQ82" s="1404"/>
      <c r="BR82" s="1405"/>
      <c r="BS82" s="1392">
        <f t="shared" si="97"/>
        <v>45714</v>
      </c>
      <c r="BT82" s="1406" t="str">
        <f t="shared" si="159"/>
        <v/>
      </c>
      <c r="BU82" s="1404"/>
      <c r="BV82" s="1404"/>
      <c r="BW82" s="1404"/>
      <c r="BX82" s="1404"/>
      <c r="BY82" s="1404"/>
      <c r="BZ82" s="1404"/>
      <c r="CA82" s="1404"/>
      <c r="CB82" s="1404"/>
      <c r="CD82" s="1408">
        <f t="shared" si="152"/>
        <v>0</v>
      </c>
      <c r="DC82" s="16" t="str">
        <f>Février!FC45</f>
        <v>non</v>
      </c>
      <c r="DG82" s="333">
        <f t="shared" si="153"/>
        <v>1</v>
      </c>
      <c r="DH82" s="129">
        <f t="shared" si="131"/>
        <v>10</v>
      </c>
      <c r="DI82" s="129">
        <f t="shared" si="154"/>
        <v>1</v>
      </c>
      <c r="DK82" s="16">
        <f>+IF(AND(Février!$DP$8&lt;&gt;52,AR82=S.CAL!$BJ$4),10,1)</f>
        <v>1</v>
      </c>
      <c r="DN82" s="16">
        <f t="shared" si="132"/>
        <v>1</v>
      </c>
      <c r="DU82" s="1296" t="str">
        <f t="shared" si="155"/>
        <v>Fiche infoA345714</v>
      </c>
      <c r="DV82" s="1384">
        <f t="shared" si="133"/>
        <v>0</v>
      </c>
      <c r="DW82" s="1385">
        <f t="shared" si="134"/>
        <v>0</v>
      </c>
      <c r="DX82" s="1385">
        <f t="shared" si="135"/>
        <v>0</v>
      </c>
      <c r="DY82" s="1385">
        <f t="shared" si="136"/>
        <v>0</v>
      </c>
      <c r="DZ82" s="1385">
        <f t="shared" si="137"/>
        <v>0</v>
      </c>
      <c r="EA82" s="1385">
        <f t="shared" si="138"/>
        <v>0</v>
      </c>
      <c r="EB82" s="1385">
        <f t="shared" si="139"/>
        <v>0</v>
      </c>
      <c r="EC82" s="1385">
        <f t="shared" si="140"/>
        <v>0</v>
      </c>
      <c r="ED82" s="1385">
        <f t="shared" si="156"/>
        <v>0</v>
      </c>
      <c r="EE82" s="1386">
        <f t="shared" si="157"/>
        <v>0</v>
      </c>
      <c r="EG82" s="16" t="str">
        <f t="shared" si="158"/>
        <v>92025</v>
      </c>
      <c r="EH82" s="16" t="str">
        <f t="shared" si="141"/>
        <v>Fiche infoA3</v>
      </c>
      <c r="EI82" s="16" t="str">
        <f t="shared" si="142"/>
        <v/>
      </c>
    </row>
    <row r="83" spans="1:145" x14ac:dyDescent="0.2">
      <c r="A83" s="24" t="str">
        <f>Février!BJ46</f>
        <v>Fiche infoA4</v>
      </c>
      <c r="B83" s="829">
        <f>Février!AB46</f>
        <v>45715</v>
      </c>
      <c r="C83" s="1393"/>
      <c r="D83" s="1001">
        <f t="shared" si="98"/>
        <v>0</v>
      </c>
      <c r="E83" s="452">
        <f t="shared" si="99"/>
        <v>0</v>
      </c>
      <c r="F83" s="452">
        <f t="shared" si="100"/>
        <v>0</v>
      </c>
      <c r="G83" s="452">
        <f t="shared" si="101"/>
        <v>0</v>
      </c>
      <c r="H83" s="452">
        <f t="shared" si="102"/>
        <v>0</v>
      </c>
      <c r="I83" s="452">
        <f t="shared" si="103"/>
        <v>0</v>
      </c>
      <c r="J83" s="452">
        <f t="shared" si="104"/>
        <v>0</v>
      </c>
      <c r="K83" s="452">
        <f t="shared" si="105"/>
        <v>0</v>
      </c>
      <c r="L83" s="452">
        <f t="shared" si="143"/>
        <v>0</v>
      </c>
      <c r="M83" s="1002">
        <f t="shared" si="144"/>
        <v>0</v>
      </c>
      <c r="O83" s="1001">
        <f t="shared" si="160"/>
        <v>0</v>
      </c>
      <c r="P83" s="452">
        <f t="shared" si="161"/>
        <v>0</v>
      </c>
      <c r="Q83" s="452">
        <f t="shared" si="162"/>
        <v>0</v>
      </c>
      <c r="R83" s="452">
        <f t="shared" si="163"/>
        <v>0</v>
      </c>
      <c r="S83" s="452">
        <f t="shared" si="164"/>
        <v>0</v>
      </c>
      <c r="T83" s="452">
        <f t="shared" si="165"/>
        <v>0</v>
      </c>
      <c r="U83" s="452">
        <f t="shared" si="166"/>
        <v>0</v>
      </c>
      <c r="V83" s="452">
        <f t="shared" si="167"/>
        <v>0</v>
      </c>
      <c r="W83" s="452">
        <f t="shared" si="114"/>
        <v>0</v>
      </c>
      <c r="X83" s="1002">
        <f t="shared" si="115"/>
        <v>0</v>
      </c>
      <c r="Y83" s="459"/>
      <c r="Z83" s="291">
        <f t="shared" si="116"/>
        <v>0</v>
      </c>
      <c r="AA83" s="291">
        <f t="shared" si="117"/>
        <v>0</v>
      </c>
      <c r="AB83" s="291">
        <f t="shared" si="118"/>
        <v>0</v>
      </c>
      <c r="AC83" s="291">
        <f t="shared" si="119"/>
        <v>0</v>
      </c>
      <c r="AD83" s="291">
        <f t="shared" si="120"/>
        <v>0</v>
      </c>
      <c r="AE83" s="291">
        <f t="shared" si="121"/>
        <v>0</v>
      </c>
      <c r="AF83" s="291">
        <f t="shared" si="122"/>
        <v>0</v>
      </c>
      <c r="AG83" s="291">
        <f t="shared" si="123"/>
        <v>0</v>
      </c>
      <c r="AI83" s="462">
        <f t="shared" si="168"/>
        <v>0</v>
      </c>
      <c r="AJ83" s="1112"/>
      <c r="AK83" s="507"/>
      <c r="AL83" s="829">
        <f t="shared" si="125"/>
        <v>45715</v>
      </c>
      <c r="AM83" s="684">
        <f>IFERROR(IF(AND(AT83="",AR83&lt;&gt;S.CAL!$BJ$3,AR83&lt;&gt;S.CAL!$BJ$4,$AR$50="NON"),M83-BD83,IF(AND(AT83="",AR83&lt;&gt;S.CAL!$BJ$3,AR83&lt;&gt;S.CAL!$BJ$4,$AR$50="OUI"),X83-AI83,IF(AT83&lt;&gt;0,AT83,IF(OR(AR83=S.CAL!$BJ$3,AR83=S.CAL!$BJ$4),AR83,"")))),"")</f>
        <v>0</v>
      </c>
      <c r="AN83" s="1115"/>
      <c r="AO83" s="1116"/>
      <c r="AP83" s="684">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516">
        <f t="shared" si="145"/>
        <v>0</v>
      </c>
      <c r="AR83" s="1120"/>
      <c r="AT83" s="1123"/>
      <c r="AU83" s="831"/>
      <c r="AV83" s="1392">
        <f t="shared" si="126"/>
        <v>45715</v>
      </c>
      <c r="AX83" s="529">
        <f t="shared" si="146"/>
        <v>45715</v>
      </c>
      <c r="AY83" s="541">
        <f t="shared" si="147"/>
        <v>0</v>
      </c>
      <c r="AZ83" s="538" t="s">
        <v>146</v>
      </c>
      <c r="BA83" s="534">
        <f t="shared" si="148"/>
        <v>0</v>
      </c>
      <c r="BB83" s="567" t="str">
        <f t="shared" si="127"/>
        <v/>
      </c>
      <c r="BC83" s="541">
        <f t="shared" si="149"/>
        <v>0</v>
      </c>
      <c r="BD83" s="541">
        <f t="shared" si="150"/>
        <v>0</v>
      </c>
      <c r="BE83" s="1126"/>
      <c r="BF83" s="532" t="str">
        <f t="shared" si="128"/>
        <v/>
      </c>
      <c r="BG83" s="532" t="str">
        <f t="shared" si="151"/>
        <v>oui</v>
      </c>
      <c r="BH83" s="395" t="str">
        <f t="shared" si="129"/>
        <v/>
      </c>
      <c r="BI83" s="24" t="str">
        <f t="shared" si="130"/>
        <v/>
      </c>
      <c r="BJ83" s="1403"/>
      <c r="BK83" s="1403"/>
      <c r="BL83" s="1403"/>
      <c r="BM83" s="1403"/>
      <c r="BN83" s="1403"/>
      <c r="BO83" s="1403"/>
      <c r="BP83" s="1403"/>
      <c r="BQ83" s="1403"/>
      <c r="BS83" s="1392">
        <f t="shared" si="97"/>
        <v>45715</v>
      </c>
      <c r="BT83" s="27" t="str">
        <f t="shared" si="159"/>
        <v/>
      </c>
      <c r="BU83" s="1402"/>
      <c r="BV83" s="1402"/>
      <c r="BW83" s="1402"/>
      <c r="BX83" s="1402"/>
      <c r="BY83" s="1402"/>
      <c r="BZ83" s="1402"/>
      <c r="CA83" s="1402"/>
      <c r="CB83" s="1402"/>
      <c r="CD83" s="1408">
        <f t="shared" si="152"/>
        <v>0</v>
      </c>
      <c r="DC83" s="16" t="str">
        <f>Février!FC46</f>
        <v>non</v>
      </c>
      <c r="DG83" s="333">
        <f t="shared" si="153"/>
        <v>1</v>
      </c>
      <c r="DH83" s="129">
        <f t="shared" si="131"/>
        <v>10</v>
      </c>
      <c r="DI83" s="129">
        <f t="shared" si="154"/>
        <v>1</v>
      </c>
      <c r="DK83" s="16">
        <f>+IF(AND(Février!$DP$8&lt;&gt;52,AR83=S.CAL!$BJ$4),10,1)</f>
        <v>1</v>
      </c>
      <c r="DN83" s="16">
        <f t="shared" si="132"/>
        <v>1</v>
      </c>
      <c r="DU83" s="1296" t="str">
        <f t="shared" si="155"/>
        <v>Fiche infoA445715</v>
      </c>
      <c r="DV83" s="1384">
        <f t="shared" si="133"/>
        <v>0</v>
      </c>
      <c r="DW83" s="1385">
        <f t="shared" si="134"/>
        <v>0</v>
      </c>
      <c r="DX83" s="1385">
        <f t="shared" si="135"/>
        <v>0</v>
      </c>
      <c r="DY83" s="1385">
        <f t="shared" si="136"/>
        <v>0</v>
      </c>
      <c r="DZ83" s="1385">
        <f t="shared" si="137"/>
        <v>0</v>
      </c>
      <c r="EA83" s="1385">
        <f t="shared" si="138"/>
        <v>0</v>
      </c>
      <c r="EB83" s="1385">
        <f t="shared" si="139"/>
        <v>0</v>
      </c>
      <c r="EC83" s="1385">
        <f t="shared" si="140"/>
        <v>0</v>
      </c>
      <c r="ED83" s="1385">
        <f t="shared" si="156"/>
        <v>0</v>
      </c>
      <c r="EE83" s="1386">
        <f t="shared" si="157"/>
        <v>0</v>
      </c>
      <c r="EG83" s="16" t="str">
        <f t="shared" si="158"/>
        <v>92025</v>
      </c>
      <c r="EH83" s="16" t="str">
        <f t="shared" si="141"/>
        <v>Fiche infoA4</v>
      </c>
      <c r="EI83" s="16" t="str">
        <f t="shared" si="142"/>
        <v/>
      </c>
    </row>
    <row r="84" spans="1:145" x14ac:dyDescent="0.2">
      <c r="A84" s="1395" t="str">
        <f>Février!BJ47</f>
        <v>Fiche infoA5</v>
      </c>
      <c r="B84" s="829">
        <f>Février!AB47</f>
        <v>45716</v>
      </c>
      <c r="C84" s="1394"/>
      <c r="D84" s="1001">
        <f t="shared" si="98"/>
        <v>0</v>
      </c>
      <c r="E84" s="452">
        <f t="shared" si="99"/>
        <v>0</v>
      </c>
      <c r="F84" s="452">
        <f t="shared" si="100"/>
        <v>0</v>
      </c>
      <c r="G84" s="452">
        <f t="shared" si="101"/>
        <v>0</v>
      </c>
      <c r="H84" s="452">
        <f t="shared" si="102"/>
        <v>0</v>
      </c>
      <c r="I84" s="452">
        <f t="shared" si="103"/>
        <v>0</v>
      </c>
      <c r="J84" s="452">
        <f t="shared" si="104"/>
        <v>0</v>
      </c>
      <c r="K84" s="452">
        <f t="shared" si="105"/>
        <v>0</v>
      </c>
      <c r="L84" s="452">
        <f t="shared" si="143"/>
        <v>0</v>
      </c>
      <c r="M84" s="1002">
        <f t="shared" si="144"/>
        <v>0</v>
      </c>
      <c r="N84" s="1396"/>
      <c r="O84" s="1001">
        <f t="shared" si="160"/>
        <v>0</v>
      </c>
      <c r="P84" s="452">
        <f t="shared" si="161"/>
        <v>0</v>
      </c>
      <c r="Q84" s="452">
        <f t="shared" si="162"/>
        <v>0</v>
      </c>
      <c r="R84" s="452">
        <f t="shared" si="163"/>
        <v>0</v>
      </c>
      <c r="S84" s="452">
        <f t="shared" si="164"/>
        <v>0</v>
      </c>
      <c r="T84" s="452">
        <f t="shared" si="165"/>
        <v>0</v>
      </c>
      <c r="U84" s="452">
        <f t="shared" si="166"/>
        <v>0</v>
      </c>
      <c r="V84" s="452">
        <f t="shared" si="167"/>
        <v>0</v>
      </c>
      <c r="W84" s="452">
        <f t="shared" si="114"/>
        <v>0</v>
      </c>
      <c r="X84" s="1002">
        <f t="shared" si="115"/>
        <v>0</v>
      </c>
      <c r="Y84" s="1397"/>
      <c r="Z84" s="1398">
        <f t="shared" si="116"/>
        <v>0</v>
      </c>
      <c r="AA84" s="1398">
        <f t="shared" si="117"/>
        <v>0</v>
      </c>
      <c r="AB84" s="1398">
        <f t="shared" si="118"/>
        <v>0</v>
      </c>
      <c r="AC84" s="1398">
        <f t="shared" si="119"/>
        <v>0</v>
      </c>
      <c r="AD84" s="1398">
        <f t="shared" si="120"/>
        <v>0</v>
      </c>
      <c r="AE84" s="1398">
        <f t="shared" si="121"/>
        <v>0</v>
      </c>
      <c r="AF84" s="1398">
        <f t="shared" si="122"/>
        <v>0</v>
      </c>
      <c r="AG84" s="1398">
        <f t="shared" si="123"/>
        <v>0</v>
      </c>
      <c r="AH84" s="1396"/>
      <c r="AI84" s="462">
        <f t="shared" si="168"/>
        <v>0</v>
      </c>
      <c r="AJ84" s="1112"/>
      <c r="AK84" s="1399"/>
      <c r="AL84" s="829">
        <f t="shared" si="125"/>
        <v>45716</v>
      </c>
      <c r="AM84" s="684">
        <f>IFERROR(IF(AND(AT84="",AR84&lt;&gt;S.CAL!$BJ$3,AR84&lt;&gt;S.CAL!$BJ$4,$AR$50="NON"),M84-BD84,IF(AND(AT84="",AR84&lt;&gt;S.CAL!$BJ$3,AR84&lt;&gt;S.CAL!$BJ$4,$AR$50="OUI"),X84-AI84,IF(AT84&lt;&gt;0,AT84,IF(OR(AR84=S.CAL!$BJ$3,AR84=S.CAL!$BJ$4),AR84,"")))),"")</f>
        <v>0</v>
      </c>
      <c r="AN84" s="1115"/>
      <c r="AO84" s="1116"/>
      <c r="AP84" s="684">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400">
        <f t="shared" si="145"/>
        <v>0</v>
      </c>
      <c r="AR84" s="1120"/>
      <c r="AS84" s="1396"/>
      <c r="AT84" s="1123"/>
      <c r="AU84" s="831"/>
      <c r="AV84" s="1392">
        <f t="shared" si="126"/>
        <v>45716</v>
      </c>
      <c r="AW84" s="1396"/>
      <c r="AX84" s="529">
        <f t="shared" si="146"/>
        <v>45716</v>
      </c>
      <c r="AY84" s="541">
        <f t="shared" si="147"/>
        <v>0</v>
      </c>
      <c r="AZ84" s="538" t="s">
        <v>146</v>
      </c>
      <c r="BA84" s="534">
        <f t="shared" si="148"/>
        <v>0</v>
      </c>
      <c r="BB84" s="567" t="str">
        <f t="shared" si="127"/>
        <v/>
      </c>
      <c r="BC84" s="541">
        <f t="shared" si="149"/>
        <v>0</v>
      </c>
      <c r="BD84" s="541">
        <f t="shared" si="150"/>
        <v>0</v>
      </c>
      <c r="BE84" s="1126"/>
      <c r="BF84" s="532" t="str">
        <f t="shared" si="128"/>
        <v/>
      </c>
      <c r="BG84" s="532" t="str">
        <f t="shared" si="151"/>
        <v>oui</v>
      </c>
      <c r="BH84" s="395" t="str">
        <f t="shared" si="129"/>
        <v/>
      </c>
      <c r="BI84" s="24" t="str">
        <f t="shared" si="130"/>
        <v/>
      </c>
      <c r="BJ84" s="1404"/>
      <c r="BK84" s="1404"/>
      <c r="BL84" s="1404"/>
      <c r="BM84" s="1404"/>
      <c r="BN84" s="1404"/>
      <c r="BO84" s="1404"/>
      <c r="BP84" s="1404"/>
      <c r="BQ84" s="1404"/>
      <c r="BR84" s="1405"/>
      <c r="BS84" s="1392">
        <f t="shared" si="97"/>
        <v>45716</v>
      </c>
      <c r="BT84" s="1406" t="str">
        <f t="shared" si="159"/>
        <v/>
      </c>
      <c r="BU84" s="1404"/>
      <c r="BV84" s="1404"/>
      <c r="BW84" s="1404"/>
      <c r="BX84" s="1404"/>
      <c r="BY84" s="1404"/>
      <c r="BZ84" s="1404"/>
      <c r="CA84" s="1404"/>
      <c r="CB84" s="1404"/>
      <c r="CD84" s="1408">
        <f t="shared" si="152"/>
        <v>0</v>
      </c>
      <c r="DC84" s="16" t="str">
        <f>Février!FC47</f>
        <v>non</v>
      </c>
      <c r="DG84" s="333">
        <f t="shared" si="153"/>
        <v>1</v>
      </c>
      <c r="DH84" s="129">
        <f t="shared" si="131"/>
        <v>10</v>
      </c>
      <c r="DI84" s="129">
        <f t="shared" si="154"/>
        <v>1</v>
      </c>
      <c r="DK84" s="16">
        <f>+IF(AND(Février!$DP$8&lt;&gt;52,AR84=S.CAL!$BJ$4),10,1)</f>
        <v>1</v>
      </c>
      <c r="DN84" s="16">
        <f t="shared" si="132"/>
        <v>1</v>
      </c>
      <c r="DU84" s="1296" t="str">
        <f t="shared" si="155"/>
        <v>Fiche infoA545716</v>
      </c>
      <c r="DV84" s="1384">
        <f t="shared" si="133"/>
        <v>0</v>
      </c>
      <c r="DW84" s="1385">
        <f t="shared" si="134"/>
        <v>0</v>
      </c>
      <c r="DX84" s="1385">
        <f t="shared" si="135"/>
        <v>0</v>
      </c>
      <c r="DY84" s="1385">
        <f t="shared" si="136"/>
        <v>0</v>
      </c>
      <c r="DZ84" s="1385">
        <f t="shared" si="137"/>
        <v>0</v>
      </c>
      <c r="EA84" s="1385">
        <f t="shared" si="138"/>
        <v>0</v>
      </c>
      <c r="EB84" s="1385">
        <f t="shared" si="139"/>
        <v>0</v>
      </c>
      <c r="EC84" s="1385">
        <f t="shared" si="140"/>
        <v>0</v>
      </c>
      <c r="ED84" s="1385">
        <f t="shared" si="156"/>
        <v>0</v>
      </c>
      <c r="EE84" s="1386">
        <f t="shared" si="157"/>
        <v>0</v>
      </c>
      <c r="EG84" s="16" t="str">
        <f t="shared" si="158"/>
        <v>92025</v>
      </c>
      <c r="EH84" s="16" t="str">
        <f t="shared" si="141"/>
        <v>Fiche infoA5</v>
      </c>
      <c r="EI84" s="16" t="str">
        <f t="shared" si="142"/>
        <v/>
      </c>
    </row>
    <row r="85" spans="1:145" x14ac:dyDescent="0.2">
      <c r="A85" s="24" t="str">
        <f>Février!BJ48</f>
        <v>Fiche infoA0</v>
      </c>
      <c r="B85" s="829" t="str">
        <f>Février!AB48</f>
        <v/>
      </c>
      <c r="C85" s="1393"/>
      <c r="D85" s="1001">
        <f t="shared" si="98"/>
        <v>0</v>
      </c>
      <c r="E85" s="452">
        <f t="shared" si="99"/>
        <v>0</v>
      </c>
      <c r="F85" s="452">
        <f t="shared" si="100"/>
        <v>0</v>
      </c>
      <c r="G85" s="452">
        <f t="shared" si="101"/>
        <v>0</v>
      </c>
      <c r="H85" s="452">
        <f t="shared" si="102"/>
        <v>0</v>
      </c>
      <c r="I85" s="452">
        <f t="shared" si="103"/>
        <v>0</v>
      </c>
      <c r="J85" s="452">
        <f t="shared" si="104"/>
        <v>0</v>
      </c>
      <c r="K85" s="452">
        <f t="shared" si="105"/>
        <v>0</v>
      </c>
      <c r="L85" s="452">
        <f t="shared" si="143"/>
        <v>0</v>
      </c>
      <c r="M85" s="1002">
        <f t="shared" si="144"/>
        <v>0</v>
      </c>
      <c r="O85" s="1001">
        <f t="shared" si="160"/>
        <v>0</v>
      </c>
      <c r="P85" s="452">
        <f t="shared" si="161"/>
        <v>0</v>
      </c>
      <c r="Q85" s="452">
        <f t="shared" si="162"/>
        <v>0</v>
      </c>
      <c r="R85" s="452">
        <f t="shared" si="163"/>
        <v>0</v>
      </c>
      <c r="S85" s="452">
        <f t="shared" si="164"/>
        <v>0</v>
      </c>
      <c r="T85" s="452">
        <f t="shared" si="165"/>
        <v>0</v>
      </c>
      <c r="U85" s="452">
        <f t="shared" si="166"/>
        <v>0</v>
      </c>
      <c r="V85" s="452">
        <f t="shared" si="167"/>
        <v>0</v>
      </c>
      <c r="W85" s="452">
        <f t="shared" si="114"/>
        <v>0</v>
      </c>
      <c r="X85" s="1002">
        <f t="shared" si="115"/>
        <v>0</v>
      </c>
      <c r="Y85" s="459"/>
      <c r="Z85" s="291">
        <f t="shared" si="116"/>
        <v>0</v>
      </c>
      <c r="AA85" s="291">
        <f t="shared" si="117"/>
        <v>0</v>
      </c>
      <c r="AB85" s="291">
        <f t="shared" si="118"/>
        <v>0</v>
      </c>
      <c r="AC85" s="291">
        <f t="shared" si="119"/>
        <v>0</v>
      </c>
      <c r="AD85" s="291">
        <f t="shared" si="120"/>
        <v>0</v>
      </c>
      <c r="AE85" s="291">
        <f t="shared" si="121"/>
        <v>0</v>
      </c>
      <c r="AF85" s="291">
        <f t="shared" si="122"/>
        <v>0</v>
      </c>
      <c r="AG85" s="291">
        <f t="shared" si="123"/>
        <v>0</v>
      </c>
      <c r="AI85" s="462">
        <f t="shared" si="168"/>
        <v>0</v>
      </c>
      <c r="AJ85" s="1112"/>
      <c r="AK85" s="507"/>
      <c r="AL85" s="829" t="str">
        <f t="shared" si="125"/>
        <v/>
      </c>
      <c r="AM85" s="684">
        <f>IFERROR(IF(AND(AT85="",AR85&lt;&gt;S.CAL!$BJ$3,AR85&lt;&gt;S.CAL!$BJ$4,$AR$50="NON"),M85-BD85,IF(AND(AT85="",AR85&lt;&gt;S.CAL!$BJ$3,AR85&lt;&gt;S.CAL!$BJ$4,$AR$50="OUI"),X85-AI85,IF(AT85&lt;&gt;0,AT85,IF(OR(AR85=S.CAL!$BJ$3,AR85=S.CAL!$BJ$4),AR85,"")))),"")</f>
        <v>0</v>
      </c>
      <c r="AN85" s="1115"/>
      <c r="AO85" s="1116"/>
      <c r="AP85" s="684">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516">
        <f t="shared" si="145"/>
        <v>0</v>
      </c>
      <c r="AR85" s="1128"/>
      <c r="AT85" s="1123"/>
      <c r="AU85" s="831"/>
      <c r="AV85" s="1392" t="str">
        <f t="shared" si="126"/>
        <v/>
      </c>
      <c r="AX85" s="529" t="str">
        <f t="shared" si="146"/>
        <v/>
      </c>
      <c r="AY85" s="541">
        <f t="shared" si="147"/>
        <v>0</v>
      </c>
      <c r="AZ85" s="538" t="s">
        <v>146</v>
      </c>
      <c r="BA85" s="534">
        <f t="shared" si="148"/>
        <v>0</v>
      </c>
      <c r="BB85" s="567" t="str">
        <f t="shared" si="127"/>
        <v/>
      </c>
      <c r="BC85" s="541">
        <f t="shared" si="149"/>
        <v>0</v>
      </c>
      <c r="BD85" s="541">
        <f t="shared" si="150"/>
        <v>0</v>
      </c>
      <c r="BE85" s="1126"/>
      <c r="BF85" s="532" t="str">
        <f t="shared" si="128"/>
        <v/>
      </c>
      <c r="BG85" s="532" t="str">
        <f t="shared" si="151"/>
        <v>oui</v>
      </c>
      <c r="BH85" s="395" t="str">
        <f t="shared" si="129"/>
        <v/>
      </c>
      <c r="BI85" s="24" t="str">
        <f t="shared" si="130"/>
        <v/>
      </c>
      <c r="BJ85" s="1403"/>
      <c r="BK85" s="1403"/>
      <c r="BL85" s="1403"/>
      <c r="BM85" s="1403"/>
      <c r="BN85" s="1403"/>
      <c r="BO85" s="1403"/>
      <c r="BP85" s="1403"/>
      <c r="BQ85" s="1403"/>
      <c r="BS85" s="1392" t="str">
        <f t="shared" si="97"/>
        <v/>
      </c>
      <c r="BT85" s="27" t="str">
        <f t="shared" si="159"/>
        <v/>
      </c>
      <c r="BU85" s="1402"/>
      <c r="BV85" s="1402"/>
      <c r="BW85" s="1402"/>
      <c r="BX85" s="1402"/>
      <c r="BY85" s="1402"/>
      <c r="BZ85" s="1402"/>
      <c r="CA85" s="1402"/>
      <c r="CB85" s="1402"/>
      <c r="CD85" s="1408">
        <f t="shared" si="152"/>
        <v>0</v>
      </c>
      <c r="DC85" s="16" t="str">
        <f>Février!FC48</f>
        <v/>
      </c>
      <c r="DG85" s="333">
        <f t="shared" si="153"/>
        <v>1</v>
      </c>
      <c r="DH85" s="129">
        <f t="shared" si="131"/>
        <v>10</v>
      </c>
      <c r="DI85" s="129">
        <f t="shared" si="154"/>
        <v>1</v>
      </c>
      <c r="DK85" s="16">
        <f>+IF(AND(Février!$DP$8&lt;&gt;52,AR85=S.CAL!$BJ$4),10,1)</f>
        <v>1</v>
      </c>
      <c r="DN85" s="16">
        <f t="shared" si="132"/>
        <v>1</v>
      </c>
      <c r="DU85" s="1296" t="str">
        <f t="shared" si="155"/>
        <v>Fiche infoA0</v>
      </c>
      <c r="DV85" s="1384">
        <f t="shared" si="133"/>
        <v>0</v>
      </c>
      <c r="DW85" s="1385">
        <f t="shared" si="134"/>
        <v>0</v>
      </c>
      <c r="DX85" s="1385">
        <f t="shared" si="135"/>
        <v>0</v>
      </c>
      <c r="DY85" s="1385">
        <f t="shared" si="136"/>
        <v>0</v>
      </c>
      <c r="DZ85" s="1385">
        <f t="shared" si="137"/>
        <v>0</v>
      </c>
      <c r="EA85" s="1385">
        <f t="shared" si="138"/>
        <v>0</v>
      </c>
      <c r="EB85" s="1385">
        <f t="shared" si="139"/>
        <v>0</v>
      </c>
      <c r="EC85" s="1385">
        <f t="shared" si="140"/>
        <v>0</v>
      </c>
      <c r="ED85" s="1385">
        <f t="shared" si="156"/>
        <v>0</v>
      </c>
      <c r="EE85" s="1386">
        <f t="shared" si="157"/>
        <v>0</v>
      </c>
      <c r="EG85" s="16" t="e">
        <f t="shared" si="158"/>
        <v>#VALUE!</v>
      </c>
      <c r="EH85" s="16" t="str">
        <f t="shared" si="141"/>
        <v>Fiche infoA0</v>
      </c>
      <c r="EI85" s="16" t="e">
        <f t="shared" si="142"/>
        <v>#N/A</v>
      </c>
    </row>
    <row r="86" spans="1:145" x14ac:dyDescent="0.2">
      <c r="A86" s="1395" t="str">
        <f>Février!BJ49</f>
        <v>Fiche infoA0</v>
      </c>
      <c r="B86" s="829" t="str">
        <f>Février!AB49</f>
        <v/>
      </c>
      <c r="C86" s="1394"/>
      <c r="D86" s="1001">
        <f t="shared" si="98"/>
        <v>0</v>
      </c>
      <c r="E86" s="452">
        <f t="shared" si="99"/>
        <v>0</v>
      </c>
      <c r="F86" s="452">
        <f t="shared" si="100"/>
        <v>0</v>
      </c>
      <c r="G86" s="452">
        <f t="shared" si="101"/>
        <v>0</v>
      </c>
      <c r="H86" s="452">
        <f t="shared" si="102"/>
        <v>0</v>
      </c>
      <c r="I86" s="452">
        <f t="shared" si="103"/>
        <v>0</v>
      </c>
      <c r="J86" s="452">
        <f t="shared" si="104"/>
        <v>0</v>
      </c>
      <c r="K86" s="452">
        <f t="shared" si="105"/>
        <v>0</v>
      </c>
      <c r="L86" s="452">
        <f t="shared" si="143"/>
        <v>0</v>
      </c>
      <c r="M86" s="1002">
        <f t="shared" si="144"/>
        <v>0</v>
      </c>
      <c r="N86" s="1396"/>
      <c r="O86" s="1001">
        <f t="shared" si="160"/>
        <v>0</v>
      </c>
      <c r="P86" s="452">
        <f t="shared" si="161"/>
        <v>0</v>
      </c>
      <c r="Q86" s="452">
        <f t="shared" si="162"/>
        <v>0</v>
      </c>
      <c r="R86" s="452">
        <f t="shared" si="163"/>
        <v>0</v>
      </c>
      <c r="S86" s="452">
        <f t="shared" si="164"/>
        <v>0</v>
      </c>
      <c r="T86" s="452">
        <f t="shared" si="165"/>
        <v>0</v>
      </c>
      <c r="U86" s="452">
        <f t="shared" si="166"/>
        <v>0</v>
      </c>
      <c r="V86" s="452">
        <f t="shared" si="167"/>
        <v>0</v>
      </c>
      <c r="W86" s="452">
        <f t="shared" si="114"/>
        <v>0</v>
      </c>
      <c r="X86" s="1002">
        <f t="shared" si="115"/>
        <v>0</v>
      </c>
      <c r="Y86" s="1397"/>
      <c r="Z86" s="1398">
        <f t="shared" si="116"/>
        <v>0</v>
      </c>
      <c r="AA86" s="1398">
        <f t="shared" si="117"/>
        <v>0</v>
      </c>
      <c r="AB86" s="1398">
        <f t="shared" si="118"/>
        <v>0</v>
      </c>
      <c r="AC86" s="1398">
        <f t="shared" si="119"/>
        <v>0</v>
      </c>
      <c r="AD86" s="1398">
        <f t="shared" si="120"/>
        <v>0</v>
      </c>
      <c r="AE86" s="1398">
        <f t="shared" si="121"/>
        <v>0</v>
      </c>
      <c r="AF86" s="1398">
        <f t="shared" si="122"/>
        <v>0</v>
      </c>
      <c r="AG86" s="1398">
        <f t="shared" si="123"/>
        <v>0</v>
      </c>
      <c r="AH86" s="1396"/>
      <c r="AI86" s="462">
        <f t="shared" si="168"/>
        <v>0</v>
      </c>
      <c r="AJ86" s="1112"/>
      <c r="AK86" s="1399"/>
      <c r="AL86" s="829" t="str">
        <f t="shared" si="125"/>
        <v/>
      </c>
      <c r="AM86" s="684">
        <f>IFERROR(IF(AND(AT86="",AR86&lt;&gt;S.CAL!$BJ$3,AR86&lt;&gt;S.CAL!$BJ$4,$AR$50="NON"),M86-BD86,IF(AND(AT86="",AR86&lt;&gt;S.CAL!$BJ$3,AR86&lt;&gt;S.CAL!$BJ$4,$AR$50="OUI"),X86-AI86,IF(AT86&lt;&gt;0,AT86,IF(OR(AR86=S.CAL!$BJ$3,AR86=S.CAL!$BJ$4),AR86,"")))),"")</f>
        <v>0</v>
      </c>
      <c r="AN86" s="1115"/>
      <c r="AO86" s="1116"/>
      <c r="AP86" s="684">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400">
        <f t="shared" si="145"/>
        <v>0</v>
      </c>
      <c r="AR86" s="1128"/>
      <c r="AS86" s="1396"/>
      <c r="AT86" s="1123"/>
      <c r="AU86" s="831"/>
      <c r="AV86" s="1392" t="str">
        <f t="shared" si="126"/>
        <v/>
      </c>
      <c r="AW86" s="1396"/>
      <c r="AX86" s="529" t="str">
        <f t="shared" si="146"/>
        <v/>
      </c>
      <c r="AY86" s="541">
        <f t="shared" si="147"/>
        <v>0</v>
      </c>
      <c r="AZ86" s="538" t="s">
        <v>146</v>
      </c>
      <c r="BA86" s="534">
        <f t="shared" si="148"/>
        <v>0</v>
      </c>
      <c r="BB86" s="567" t="str">
        <f t="shared" si="127"/>
        <v/>
      </c>
      <c r="BC86" s="541">
        <f t="shared" si="149"/>
        <v>0</v>
      </c>
      <c r="BD86" s="541">
        <f t="shared" si="150"/>
        <v>0</v>
      </c>
      <c r="BE86" s="1126"/>
      <c r="BF86" s="532" t="str">
        <f t="shared" si="128"/>
        <v/>
      </c>
      <c r="BG86" s="532" t="str">
        <f t="shared" si="151"/>
        <v>oui</v>
      </c>
      <c r="BH86" s="395" t="str">
        <f t="shared" si="129"/>
        <v/>
      </c>
      <c r="BI86" s="24" t="str">
        <f t="shared" si="130"/>
        <v/>
      </c>
      <c r="BJ86" s="1404"/>
      <c r="BK86" s="1404"/>
      <c r="BL86" s="1404"/>
      <c r="BM86" s="1404"/>
      <c r="BN86" s="1404"/>
      <c r="BO86" s="1404"/>
      <c r="BP86" s="1404"/>
      <c r="BQ86" s="1404"/>
      <c r="BR86" s="1405"/>
      <c r="BS86" s="1392" t="str">
        <f t="shared" si="97"/>
        <v/>
      </c>
      <c r="BT86" s="1406" t="str">
        <f t="shared" si="159"/>
        <v/>
      </c>
      <c r="BU86" s="1404"/>
      <c r="BV86" s="1404"/>
      <c r="BW86" s="1404"/>
      <c r="BX86" s="1404"/>
      <c r="BY86" s="1404"/>
      <c r="BZ86" s="1404"/>
      <c r="CA86" s="1404"/>
      <c r="CB86" s="1404"/>
      <c r="CD86" s="1408">
        <f t="shared" si="152"/>
        <v>0</v>
      </c>
      <c r="DC86" s="16" t="str">
        <f>Février!FC49</f>
        <v/>
      </c>
      <c r="DG86" s="333">
        <f t="shared" si="153"/>
        <v>1</v>
      </c>
      <c r="DH86" s="129">
        <f t="shared" si="131"/>
        <v>10</v>
      </c>
      <c r="DI86" s="129">
        <f t="shared" si="154"/>
        <v>1</v>
      </c>
      <c r="DK86" s="16">
        <f>+IF(AND(Février!$DP$8&lt;&gt;52,AR86=S.CAL!$BJ$4),10,1)</f>
        <v>1</v>
      </c>
      <c r="DN86" s="16">
        <f t="shared" si="132"/>
        <v>1</v>
      </c>
      <c r="DU86" s="1296" t="str">
        <f t="shared" si="155"/>
        <v>Fiche infoA0</v>
      </c>
      <c r="DV86" s="1384">
        <f t="shared" si="133"/>
        <v>0</v>
      </c>
      <c r="DW86" s="1385">
        <f t="shared" si="134"/>
        <v>0</v>
      </c>
      <c r="DX86" s="1385">
        <f t="shared" si="135"/>
        <v>0</v>
      </c>
      <c r="DY86" s="1385">
        <f t="shared" si="136"/>
        <v>0</v>
      </c>
      <c r="DZ86" s="1385">
        <f t="shared" si="137"/>
        <v>0</v>
      </c>
      <c r="EA86" s="1385">
        <f t="shared" si="138"/>
        <v>0</v>
      </c>
      <c r="EB86" s="1385">
        <f t="shared" si="139"/>
        <v>0</v>
      </c>
      <c r="EC86" s="1385">
        <f t="shared" si="140"/>
        <v>0</v>
      </c>
      <c r="ED86" s="1385">
        <f t="shared" si="156"/>
        <v>0</v>
      </c>
      <c r="EE86" s="1386">
        <f t="shared" si="157"/>
        <v>0</v>
      </c>
      <c r="EG86" s="16" t="e">
        <f t="shared" si="158"/>
        <v>#VALUE!</v>
      </c>
      <c r="EH86" s="16" t="str">
        <f t="shared" si="141"/>
        <v>Fiche infoA0</v>
      </c>
      <c r="EI86" s="16" t="e">
        <f t="shared" si="142"/>
        <v>#N/A</v>
      </c>
    </row>
    <row r="87" spans="1:145" x14ac:dyDescent="0.2">
      <c r="A87" s="24" t="str">
        <f>Février!BJ50</f>
        <v>Fiche infoA0</v>
      </c>
      <c r="B87" s="830" t="str">
        <f>Février!AB50</f>
        <v/>
      </c>
      <c r="C87" s="1393"/>
      <c r="D87" s="1003">
        <f t="shared" si="98"/>
        <v>0</v>
      </c>
      <c r="E87" s="1004">
        <f t="shared" si="99"/>
        <v>0</v>
      </c>
      <c r="F87" s="1004">
        <f t="shared" si="100"/>
        <v>0</v>
      </c>
      <c r="G87" s="1004">
        <f t="shared" si="101"/>
        <v>0</v>
      </c>
      <c r="H87" s="1004">
        <f t="shared" si="102"/>
        <v>0</v>
      </c>
      <c r="I87" s="1004">
        <f t="shared" si="103"/>
        <v>0</v>
      </c>
      <c r="J87" s="1004">
        <f t="shared" si="104"/>
        <v>0</v>
      </c>
      <c r="K87" s="1004">
        <f t="shared" si="105"/>
        <v>0</v>
      </c>
      <c r="L87" s="1004">
        <f t="shared" si="143"/>
        <v>0</v>
      </c>
      <c r="M87" s="1005">
        <f t="shared" si="144"/>
        <v>0</v>
      </c>
      <c r="O87" s="1003">
        <f t="shared" si="160"/>
        <v>0</v>
      </c>
      <c r="P87" s="1004">
        <f t="shared" si="161"/>
        <v>0</v>
      </c>
      <c r="Q87" s="1004">
        <f t="shared" si="162"/>
        <v>0</v>
      </c>
      <c r="R87" s="1004">
        <f t="shared" si="163"/>
        <v>0</v>
      </c>
      <c r="S87" s="1004">
        <f t="shared" si="164"/>
        <v>0</v>
      </c>
      <c r="T87" s="1004">
        <f t="shared" si="165"/>
        <v>0</v>
      </c>
      <c r="U87" s="1004">
        <f t="shared" si="166"/>
        <v>0</v>
      </c>
      <c r="V87" s="1004">
        <f t="shared" si="167"/>
        <v>0</v>
      </c>
      <c r="W87" s="1004">
        <f t="shared" si="114"/>
        <v>0</v>
      </c>
      <c r="X87" s="1005">
        <f t="shared" si="115"/>
        <v>0</v>
      </c>
      <c r="Y87" s="459"/>
      <c r="Z87" s="291">
        <f t="shared" si="116"/>
        <v>0</v>
      </c>
      <c r="AA87" s="291">
        <f t="shared" si="117"/>
        <v>0</v>
      </c>
      <c r="AB87" s="291">
        <f t="shared" si="118"/>
        <v>0</v>
      </c>
      <c r="AC87" s="291">
        <f t="shared" si="119"/>
        <v>0</v>
      </c>
      <c r="AD87" s="291">
        <f t="shared" si="120"/>
        <v>0</v>
      </c>
      <c r="AE87" s="291">
        <f t="shared" si="121"/>
        <v>0</v>
      </c>
      <c r="AF87" s="291">
        <f t="shared" si="122"/>
        <v>0</v>
      </c>
      <c r="AG87" s="291">
        <f t="shared" si="123"/>
        <v>0</v>
      </c>
      <c r="AI87" s="462">
        <f t="shared" si="168"/>
        <v>0</v>
      </c>
      <c r="AJ87" s="1112"/>
      <c r="AK87" s="507"/>
      <c r="AL87" s="830" t="str">
        <f t="shared" si="125"/>
        <v/>
      </c>
      <c r="AM87" s="517">
        <f>IFERROR(IF(AND(AT87="",AR87&lt;&gt;S.CAL!$BJ$3,AR87&lt;&gt;S.CAL!$BJ$4,$AR$50="NON"),M87-BD87,IF(AND(AT87="",AR87&lt;&gt;S.CAL!$BJ$3,AR87&lt;&gt;S.CAL!$BJ$4,$AR$50="OUI"),X87-AI87,IF(AT87&lt;&gt;0,AT87,IF(OR(AR87=S.CAL!$BJ$3,AR87=S.CAL!$BJ$4),AR87,"")))),"")</f>
        <v>0</v>
      </c>
      <c r="AN87" s="1117"/>
      <c r="AO87" s="1118"/>
      <c r="AP87" s="517">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516">
        <f t="shared" si="145"/>
        <v>0</v>
      </c>
      <c r="AR87" s="1129"/>
      <c r="AT87" s="1124"/>
      <c r="AU87" s="832"/>
      <c r="AV87" s="830" t="str">
        <f t="shared" si="126"/>
        <v/>
      </c>
      <c r="AX87" s="529" t="str">
        <f t="shared" si="146"/>
        <v/>
      </c>
      <c r="AY87" s="542">
        <f t="shared" si="147"/>
        <v>0</v>
      </c>
      <c r="AZ87" s="539" t="s">
        <v>146</v>
      </c>
      <c r="BA87" s="552">
        <f t="shared" si="148"/>
        <v>0</v>
      </c>
      <c r="BB87" s="540" t="str">
        <f t="shared" si="127"/>
        <v/>
      </c>
      <c r="BC87" s="542">
        <f t="shared" si="149"/>
        <v>0</v>
      </c>
      <c r="BD87" s="542">
        <f t="shared" si="150"/>
        <v>0</v>
      </c>
      <c r="BE87" s="1127"/>
      <c r="BF87" s="532" t="str">
        <f t="shared" si="128"/>
        <v/>
      </c>
      <c r="BG87" s="532" t="str">
        <f t="shared" si="151"/>
        <v>oui</v>
      </c>
      <c r="BH87" s="395" t="str">
        <f t="shared" si="129"/>
        <v/>
      </c>
      <c r="BI87" s="24" t="str">
        <f t="shared" si="130"/>
        <v/>
      </c>
      <c r="BJ87" s="1403"/>
      <c r="BK87" s="1403"/>
      <c r="BL87" s="1403"/>
      <c r="BM87" s="1403"/>
      <c r="BN87" s="1403"/>
      <c r="BO87" s="1403"/>
      <c r="BP87" s="1403"/>
      <c r="BQ87" s="1403"/>
      <c r="BS87" s="830" t="str">
        <f t="shared" si="97"/>
        <v/>
      </c>
      <c r="BT87" s="27" t="str">
        <f t="shared" si="159"/>
        <v/>
      </c>
      <c r="BU87" s="1402"/>
      <c r="BV87" s="1402"/>
      <c r="BW87" s="1402"/>
      <c r="BX87" s="1402"/>
      <c r="BY87" s="1402"/>
      <c r="BZ87" s="1402"/>
      <c r="CA87" s="1402"/>
      <c r="CB87" s="1402"/>
      <c r="CD87" s="1409">
        <f t="shared" si="152"/>
        <v>0</v>
      </c>
      <c r="DC87" s="16" t="str">
        <f>Février!FC50</f>
        <v/>
      </c>
      <c r="DG87" s="333">
        <f t="shared" si="153"/>
        <v>1</v>
      </c>
      <c r="DH87" s="129">
        <f t="shared" si="131"/>
        <v>10</v>
      </c>
      <c r="DI87" s="129">
        <f t="shared" si="154"/>
        <v>1</v>
      </c>
      <c r="DK87" s="16">
        <f>+IF(AND(Février!$DP$8&lt;&gt;52,AR87=S.CAL!$BJ$4),10,1)</f>
        <v>1</v>
      </c>
      <c r="DN87" s="16">
        <f t="shared" si="132"/>
        <v>1</v>
      </c>
      <c r="DU87" s="1296" t="str">
        <f t="shared" si="155"/>
        <v>Fiche infoA0</v>
      </c>
      <c r="DV87" s="1384">
        <f t="shared" si="133"/>
        <v>0</v>
      </c>
      <c r="DW87" s="1385">
        <f t="shared" si="134"/>
        <v>0</v>
      </c>
      <c r="DX87" s="1385">
        <f t="shared" si="135"/>
        <v>0</v>
      </c>
      <c r="DY87" s="1385">
        <f t="shared" si="136"/>
        <v>0</v>
      </c>
      <c r="DZ87" s="1385">
        <f t="shared" si="137"/>
        <v>0</v>
      </c>
      <c r="EA87" s="1385">
        <f t="shared" si="138"/>
        <v>0</v>
      </c>
      <c r="EB87" s="1385">
        <f t="shared" si="139"/>
        <v>0</v>
      </c>
      <c r="EC87" s="1385">
        <f t="shared" si="140"/>
        <v>0</v>
      </c>
      <c r="ED87" s="1385">
        <f t="shared" si="156"/>
        <v>0</v>
      </c>
      <c r="EE87" s="1386">
        <f t="shared" si="157"/>
        <v>0</v>
      </c>
      <c r="EG87" s="16" t="e">
        <f t="shared" si="158"/>
        <v>#VALUE!</v>
      </c>
      <c r="EH87" s="16" t="str">
        <f t="shared" si="141"/>
        <v>Fiche infoA0</v>
      </c>
      <c r="EI87" s="16" t="e">
        <f t="shared" si="142"/>
        <v>#N/A</v>
      </c>
    </row>
    <row r="88" spans="1:145" x14ac:dyDescent="0.2">
      <c r="AM88" s="554">
        <f>SUM(AM57:AM87)</f>
        <v>0</v>
      </c>
      <c r="AN88" s="518">
        <f>SUM(AN57:AN87)</f>
        <v>0</v>
      </c>
      <c r="AO88" s="518">
        <f>SUM(AO57:AO87)</f>
        <v>0</v>
      </c>
      <c r="AP88" s="519">
        <f>SUM(AP57:AP87)</f>
        <v>0</v>
      </c>
      <c r="BD88" s="555">
        <f>SUM(BD57:BD87)</f>
        <v>0</v>
      </c>
      <c r="EE88" s="1386"/>
    </row>
    <row r="89" spans="1:145" x14ac:dyDescent="0.2">
      <c r="X89" s="29" t="s">
        <v>450</v>
      </c>
      <c r="Y89" s="29"/>
      <c r="Z89" s="29"/>
      <c r="AA89" s="29"/>
      <c r="AB89" s="29"/>
      <c r="AC89" s="29"/>
      <c r="AD89" s="29"/>
      <c r="AE89" s="29"/>
      <c r="AF89" s="29"/>
      <c r="AG89" s="29"/>
      <c r="AI89" s="463">
        <f>SUM(AI57:AI87)</f>
        <v>0</v>
      </c>
      <c r="AJ89" s="19"/>
      <c r="AK89" s="19"/>
      <c r="AL89" s="19"/>
      <c r="AM89" s="19"/>
      <c r="AN89" s="19"/>
      <c r="AO89" s="19"/>
      <c r="AP89" s="19"/>
      <c r="AQ89" s="512"/>
    </row>
    <row r="91" spans="1:145" ht="23.25" x14ac:dyDescent="0.35">
      <c r="B91" s="453" t="s">
        <v>806</v>
      </c>
      <c r="C91" s="453"/>
      <c r="D91" s="453"/>
      <c r="BS91" s="19" t="s">
        <v>1552</v>
      </c>
      <c r="EK91" s="16" t="str">
        <f>+EG101</f>
        <v>numero sem</v>
      </c>
      <c r="EL91" s="27" t="s">
        <v>1546</v>
      </c>
      <c r="EM91" s="27" t="s">
        <v>1547</v>
      </c>
      <c r="EN91" s="16" t="s">
        <v>1548</v>
      </c>
    </row>
    <row r="92" spans="1:145" ht="13.5" thickBot="1" x14ac:dyDescent="0.25">
      <c r="AR92" s="1713" t="s">
        <v>1003</v>
      </c>
      <c r="AS92" s="1714"/>
      <c r="AT92" s="1715"/>
      <c r="BT92" s="29" t="s">
        <v>1555</v>
      </c>
      <c r="BU92" s="27" t="str">
        <f>+IFERROR(EJ92,"")</f>
        <v>9</v>
      </c>
      <c r="BV92" s="53" t="str">
        <f>IF(BU92="","",+EN92)</f>
        <v>non</v>
      </c>
      <c r="BW92" s="1711" t="str">
        <f>+IF(BV92="oui", "Ecart "&amp;EO92&amp;" hrs","")</f>
        <v/>
      </c>
      <c r="BX92" s="1711"/>
      <c r="EJ92" s="16" t="str">
        <f>LEFT(EK92,LEN(EK92)-4)</f>
        <v>9</v>
      </c>
      <c r="EK92" s="16" t="str" cm="1">
        <f t="array" ref="EK92">IFERROR(INDEX(EG102:EG132,MATCH(0,INDEX(COUNTIF(EK91:EK91,EG102:EG132),0,0),0)),"")</f>
        <v>92025</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805</v>
      </c>
      <c r="D93" s="1710">
        <f>+Identification!$B$7</f>
        <v>0</v>
      </c>
      <c r="E93" s="1710"/>
      <c r="F93" s="1710"/>
      <c r="G93" s="1710"/>
      <c r="O93" s="454" t="s">
        <v>84</v>
      </c>
      <c r="P93" s="32"/>
      <c r="Q93" s="33"/>
      <c r="R93" s="454" t="s">
        <v>149</v>
      </c>
      <c r="S93" s="32"/>
      <c r="T93" s="32"/>
      <c r="U93" s="32"/>
      <c r="V93" s="32"/>
      <c r="W93" s="32"/>
      <c r="X93" s="33"/>
      <c r="AR93" s="1716"/>
      <c r="AS93" s="1717"/>
      <c r="AT93" s="1718"/>
      <c r="BU93" s="27" t="str">
        <f t="shared" ref="BU93:BU97" si="170">+IFERROR(EJ93,"")</f>
        <v>10</v>
      </c>
      <c r="BV93" s="53" t="str">
        <f t="shared" ref="BV93:BV97" si="171">IF(BU93="","",+EN93)</f>
        <v>non</v>
      </c>
      <c r="BW93" s="1711" t="str">
        <f t="shared" ref="BW93:BW97" si="172">+IF(BV93="oui", "Ecart "&amp;EO93&amp;" hrs","")</f>
        <v/>
      </c>
      <c r="BX93" s="1711"/>
      <c r="EJ93" s="16" t="str">
        <f t="shared" ref="EJ93:EJ98" si="173">LEFT(EK93,LEN(EK93)-4)</f>
        <v>10</v>
      </c>
      <c r="EK93" s="16" t="str" cm="1">
        <f t="array" ref="EK93">IFERROR(INDEX(EG102:EG132,MATCH(0,INDEX(COUNTIF(EK91:EK92,EG102:EG132),0,0),0)),"")</f>
        <v>102025</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21"/>
      <c r="S94" s="1722"/>
      <c r="T94" s="1722"/>
      <c r="U94" s="1722"/>
      <c r="V94" s="1722"/>
      <c r="W94" s="1722"/>
      <c r="X94" s="1723"/>
      <c r="Y94" s="460"/>
      <c r="Z94" s="460"/>
      <c r="AA94" s="460"/>
      <c r="AB94" s="460"/>
      <c r="AC94" s="460"/>
      <c r="AD94" s="460"/>
      <c r="AE94" s="460"/>
      <c r="AF94" s="460"/>
      <c r="AG94" s="460"/>
      <c r="AR94" s="1716"/>
      <c r="AS94" s="1717"/>
      <c r="AT94" s="1718"/>
      <c r="BU94" s="27" t="str">
        <f t="shared" si="170"/>
        <v>11</v>
      </c>
      <c r="BV94" s="53" t="str">
        <f t="shared" si="171"/>
        <v>non</v>
      </c>
      <c r="BW94" s="1711" t="str">
        <f t="shared" si="172"/>
        <v/>
      </c>
      <c r="BX94" s="1711"/>
      <c r="EJ94" s="16" t="str">
        <f t="shared" si="173"/>
        <v>11</v>
      </c>
      <c r="EK94" s="16" t="str">
        <f t="array" ref="EK94">IFERROR(INDEX(EG102:EG132,MATCH(0,INDEX(COUNTIF(EK91:EK93,EG102:EG132),0,0),0)),"")</f>
        <v>112025</v>
      </c>
      <c r="EL94" s="27">
        <f t="shared" si="174"/>
        <v>0</v>
      </c>
      <c r="EM94" s="27">
        <f t="shared" si="175"/>
        <v>0</v>
      </c>
      <c r="EN94" s="16" t="str">
        <f t="shared" si="169"/>
        <v>non</v>
      </c>
      <c r="EO94" s="16">
        <f t="shared" si="176"/>
        <v>0</v>
      </c>
    </row>
    <row r="95" spans="1:145" x14ac:dyDescent="0.2">
      <c r="C95" s="39" t="s">
        <v>29</v>
      </c>
      <c r="D95" s="1710">
        <f>+Identification!$B$25</f>
        <v>0</v>
      </c>
      <c r="E95" s="1710"/>
      <c r="O95" s="35"/>
      <c r="Q95" s="36"/>
      <c r="R95" s="1721"/>
      <c r="S95" s="1722"/>
      <c r="T95" s="1722"/>
      <c r="U95" s="1722"/>
      <c r="V95" s="1722"/>
      <c r="W95" s="1722"/>
      <c r="X95" s="1723"/>
      <c r="Y95" s="460"/>
      <c r="Z95" s="460"/>
      <c r="AA95" s="460"/>
      <c r="AB95" s="460"/>
      <c r="AC95" s="460"/>
      <c r="AD95" s="460"/>
      <c r="AE95" s="460"/>
      <c r="AF95" s="460"/>
      <c r="AG95" s="460"/>
      <c r="AL95" s="16" t="str">
        <f t="shared" ref="AL95" si="177">C98</f>
        <v>Mois :</v>
      </c>
      <c r="AM95" s="1712">
        <f t="shared" ref="AM95" si="178">D98</f>
        <v>45717</v>
      </c>
      <c r="AN95" s="1712">
        <f t="shared" ref="AN95" si="179">E98</f>
        <v>0</v>
      </c>
      <c r="AR95" s="557" t="str">
        <f>IF(AT95="",AR50,AT95)</f>
        <v>NON</v>
      </c>
      <c r="AS95" s="556" t="s">
        <v>503</v>
      </c>
      <c r="AT95" s="1105"/>
      <c r="BJ95" s="16" t="str">
        <f t="shared" ref="BJ95" si="180">AL95</f>
        <v>Mois :</v>
      </c>
      <c r="BK95" s="1712">
        <f t="shared" ref="BK95" si="181">AM95</f>
        <v>45717</v>
      </c>
      <c r="BL95" s="1712"/>
      <c r="BU95" s="27" t="str">
        <f t="shared" si="170"/>
        <v>12</v>
      </c>
      <c r="BV95" s="53" t="str">
        <f t="shared" si="171"/>
        <v>non</v>
      </c>
      <c r="BW95" s="1711" t="str">
        <f t="shared" si="172"/>
        <v/>
      </c>
      <c r="BX95" s="1711"/>
      <c r="EJ95" s="16" t="str">
        <f t="shared" si="173"/>
        <v>12</v>
      </c>
      <c r="EK95" s="16" t="str">
        <f t="array" ref="EK95">IFERROR(INDEX(EG102:EG132,MATCH(0,INDEX(COUNTIF(EK91:EK94,EG102:EG132),0,0),0)),"")</f>
        <v>122025</v>
      </c>
      <c r="EL95" s="27">
        <f t="shared" si="174"/>
        <v>0</v>
      </c>
      <c r="EM95" s="27">
        <f t="shared" si="175"/>
        <v>0</v>
      </c>
      <c r="EN95" s="16" t="str">
        <f t="shared" si="169"/>
        <v>non</v>
      </c>
      <c r="EO95" s="16">
        <f t="shared" si="176"/>
        <v>0</v>
      </c>
    </row>
    <row r="96" spans="1:145" ht="13.5" thickBot="1" x14ac:dyDescent="0.25">
      <c r="O96" s="42"/>
      <c r="P96" s="43"/>
      <c r="Q96" s="44"/>
      <c r="R96" s="1724"/>
      <c r="S96" s="1725"/>
      <c r="T96" s="1725"/>
      <c r="U96" s="1725"/>
      <c r="V96" s="1725"/>
      <c r="W96" s="1725"/>
      <c r="X96" s="1726"/>
      <c r="Y96" s="460"/>
      <c r="Z96" s="460"/>
      <c r="AA96" s="460"/>
      <c r="AB96" s="460"/>
      <c r="AC96" s="460"/>
      <c r="AD96" s="460"/>
      <c r="AE96" s="460"/>
      <c r="AF96" s="460"/>
      <c r="AG96" s="460"/>
      <c r="BU96" s="27" t="str">
        <f t="shared" si="170"/>
        <v>13</v>
      </c>
      <c r="BV96" s="53" t="str">
        <f t="shared" si="171"/>
        <v>non</v>
      </c>
      <c r="BW96" s="1711" t="str">
        <f t="shared" si="172"/>
        <v/>
      </c>
      <c r="BX96" s="1711"/>
      <c r="EJ96" s="16" t="str">
        <f t="shared" si="173"/>
        <v>13</v>
      </c>
      <c r="EK96" s="16" t="str">
        <f t="array" ref="EK96">IFERROR(INDEX(EG102:EG132,MATCH(0,INDEX(COUNTIF(EK91:EK95,EG102:EG132),0,0),0)),"")</f>
        <v>132025</v>
      </c>
      <c r="EL96" s="27">
        <f t="shared" si="174"/>
        <v>0</v>
      </c>
      <c r="EM96" s="27">
        <f t="shared" si="175"/>
        <v>0</v>
      </c>
      <c r="EN96" s="16" t="str">
        <f t="shared" si="169"/>
        <v>non</v>
      </c>
      <c r="EO96" s="16">
        <f t="shared" si="176"/>
        <v>0</v>
      </c>
    </row>
    <row r="97" spans="1:145" ht="13.5" thickTop="1" x14ac:dyDescent="0.2">
      <c r="AI97" s="553" t="s">
        <v>1000</v>
      </c>
      <c r="BU97" s="27" t="str">
        <f t="shared" si="170"/>
        <v>14</v>
      </c>
      <c r="BV97" s="53" t="str">
        <f t="shared" si="171"/>
        <v>non</v>
      </c>
      <c r="BW97" s="1711" t="str">
        <f t="shared" si="172"/>
        <v/>
      </c>
      <c r="BX97" s="1711"/>
      <c r="EJ97" s="16" t="str">
        <f t="shared" si="173"/>
        <v>14</v>
      </c>
      <c r="EK97" s="16" t="str">
        <f t="array" ref="EK97">IFERROR(INDEX(EG102:EG132,MATCH(0,INDEX(COUNTIF(EK91:EK96,EG102:EG132),0,0),0)),"")</f>
        <v>142025</v>
      </c>
      <c r="EL97" s="27">
        <f t="shared" si="174"/>
        <v>0</v>
      </c>
      <c r="EM97" s="27">
        <f t="shared" si="175"/>
        <v>0</v>
      </c>
      <c r="EN97" s="16" t="str">
        <f t="shared" si="169"/>
        <v>non</v>
      </c>
      <c r="EO97" s="16">
        <f t="shared" si="176"/>
        <v>0</v>
      </c>
    </row>
    <row r="98" spans="1:145" x14ac:dyDescent="0.2">
      <c r="C98" s="39" t="s">
        <v>32</v>
      </c>
      <c r="D98" s="1712">
        <f>+Mars!X3</f>
        <v>45717</v>
      </c>
      <c r="E98" s="1712"/>
      <c r="F98" s="39" t="s">
        <v>12</v>
      </c>
      <c r="G98" s="63">
        <f>+Mars!X4</f>
        <v>2025</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20" t="s">
        <v>974</v>
      </c>
      <c r="AM99" s="1720"/>
      <c r="AN99" s="1720"/>
      <c r="AO99" s="1720"/>
      <c r="AP99" s="1720"/>
      <c r="AQ99" s="510"/>
      <c r="AT99" s="1719" t="s">
        <v>761</v>
      </c>
      <c r="AU99" s="1719"/>
      <c r="AV99" s="1719"/>
      <c r="AW99" s="63"/>
      <c r="AX99" s="63"/>
      <c r="AY99" s="535" t="s">
        <v>989</v>
      </c>
      <c r="AZ99" s="536"/>
      <c r="BA99" s="536"/>
      <c r="BB99" s="536"/>
      <c r="BC99" s="537"/>
      <c r="BD99" s="537"/>
      <c r="BE99" s="537"/>
      <c r="BF99" s="530"/>
      <c r="BG99" s="530"/>
      <c r="BJ99" s="455"/>
      <c r="BK99" s="455"/>
      <c r="BL99" s="455"/>
      <c r="BM99" s="455"/>
      <c r="BN99" s="455"/>
      <c r="BO99" s="455"/>
      <c r="BP99" s="455"/>
      <c r="BQ99" s="455"/>
      <c r="BU99" s="456"/>
      <c r="BV99" s="456"/>
      <c r="BW99" s="456"/>
      <c r="BX99" s="456"/>
      <c r="BY99" s="456"/>
      <c r="BZ99" s="456"/>
      <c r="CA99" s="456"/>
      <c r="CB99" s="456"/>
    </row>
    <row r="100" spans="1:145" ht="15" customHeight="1" x14ac:dyDescent="0.2">
      <c r="D100" s="457" t="s">
        <v>803</v>
      </c>
      <c r="E100" s="456"/>
      <c r="F100" s="456"/>
      <c r="G100" s="456"/>
      <c r="H100" s="456"/>
      <c r="I100" s="456"/>
      <c r="J100" s="456"/>
      <c r="K100" s="456"/>
      <c r="L100" s="456"/>
      <c r="M100" s="456"/>
      <c r="O100" s="458" t="s">
        <v>802</v>
      </c>
      <c r="P100" s="455"/>
      <c r="Q100" s="455"/>
      <c r="R100" s="455"/>
      <c r="S100" s="455"/>
      <c r="T100" s="455"/>
      <c r="U100" s="455"/>
      <c r="V100" s="455"/>
      <c r="W100" s="455"/>
      <c r="X100" s="455"/>
      <c r="BJ100" s="1109" t="s">
        <v>804</v>
      </c>
      <c r="BK100" s="1110"/>
      <c r="BL100" s="1110"/>
      <c r="BM100" s="1110"/>
      <c r="BN100" s="1110"/>
      <c r="BO100" s="1110"/>
      <c r="BP100" s="1110"/>
      <c r="BQ100" s="1110"/>
      <c r="BU100" s="1109" t="s">
        <v>1394</v>
      </c>
      <c r="BV100" s="1110"/>
      <c r="BW100" s="1110"/>
      <c r="BX100" s="1110"/>
      <c r="BY100" s="1110"/>
      <c r="BZ100" s="1110"/>
      <c r="CA100" s="1110"/>
      <c r="CB100" s="1110"/>
      <c r="DG100" s="333" t="s">
        <v>1349</v>
      </c>
      <c r="DH100" s="129"/>
      <c r="DI100" s="129"/>
      <c r="DK100" s="129" t="s">
        <v>1354</v>
      </c>
      <c r="DN100" s="16" t="s">
        <v>1357</v>
      </c>
      <c r="DV100" s="843" t="s">
        <v>1549</v>
      </c>
      <c r="DW100" s="843"/>
      <c r="DX100" s="843"/>
      <c r="DY100" s="843"/>
      <c r="DZ100" s="843"/>
      <c r="EA100" s="843"/>
      <c r="EB100" s="843"/>
      <c r="EC100" s="843"/>
      <c r="ED100" s="843"/>
      <c r="EE100" s="843"/>
    </row>
    <row r="101" spans="1:145" ht="56.25" customHeight="1" x14ac:dyDescent="0.2">
      <c r="A101" s="24" t="s">
        <v>801</v>
      </c>
      <c r="B101" s="450" t="s">
        <v>16</v>
      </c>
      <c r="C101" s="451"/>
      <c r="D101" s="450" t="s">
        <v>228</v>
      </c>
      <c r="E101" s="450" t="s">
        <v>229</v>
      </c>
      <c r="F101" s="450" t="s">
        <v>230</v>
      </c>
      <c r="G101" s="450" t="s">
        <v>231</v>
      </c>
      <c r="H101" s="450" t="s">
        <v>533</v>
      </c>
      <c r="I101" s="450" t="s">
        <v>534</v>
      </c>
      <c r="J101" s="450" t="s">
        <v>535</v>
      </c>
      <c r="K101" s="450" t="s">
        <v>536</v>
      </c>
      <c r="L101" s="450" t="s">
        <v>191</v>
      </c>
      <c r="M101" s="450" t="s">
        <v>192</v>
      </c>
      <c r="N101" s="451"/>
      <c r="O101" s="450" t="s">
        <v>228</v>
      </c>
      <c r="P101" s="450" t="s">
        <v>229</v>
      </c>
      <c r="Q101" s="450" t="s">
        <v>230</v>
      </c>
      <c r="R101" s="450" t="s">
        <v>231</v>
      </c>
      <c r="S101" s="450" t="s">
        <v>533</v>
      </c>
      <c r="T101" s="450" t="s">
        <v>534</v>
      </c>
      <c r="U101" s="450" t="s">
        <v>535</v>
      </c>
      <c r="V101" s="450" t="s">
        <v>536</v>
      </c>
      <c r="W101" s="450" t="s">
        <v>191</v>
      </c>
      <c r="X101" s="450" t="s">
        <v>192</v>
      </c>
      <c r="Y101" s="451"/>
      <c r="Z101" s="450" t="s">
        <v>808</v>
      </c>
      <c r="AA101" s="450" t="s">
        <v>809</v>
      </c>
      <c r="AB101" s="450" t="s">
        <v>810</v>
      </c>
      <c r="AC101" s="450" t="s">
        <v>811</v>
      </c>
      <c r="AD101" s="450" t="s">
        <v>812</v>
      </c>
      <c r="AE101" s="450" t="s">
        <v>813</v>
      </c>
      <c r="AF101" s="450" t="s">
        <v>814</v>
      </c>
      <c r="AG101" s="450" t="s">
        <v>815</v>
      </c>
      <c r="AI101" s="450" t="s">
        <v>816</v>
      </c>
      <c r="AJ101" s="450" t="s">
        <v>807</v>
      </c>
      <c r="AK101" s="451"/>
      <c r="AL101" s="513" t="s">
        <v>16</v>
      </c>
      <c r="AM101" s="548" t="s">
        <v>1017</v>
      </c>
      <c r="AN101" s="1106" t="s">
        <v>972</v>
      </c>
      <c r="AO101" s="1107" t="s">
        <v>973</v>
      </c>
      <c r="AP101" s="514" t="s">
        <v>1018</v>
      </c>
      <c r="AQ101" s="511"/>
      <c r="AR101" s="1108" t="s">
        <v>696</v>
      </c>
      <c r="AT101" s="1108" t="s">
        <v>1356</v>
      </c>
      <c r="AU101" s="1107" t="s">
        <v>1019</v>
      </c>
      <c r="AV101" s="450" t="s">
        <v>16</v>
      </c>
      <c r="AW101" s="451"/>
      <c r="AX101" s="451"/>
      <c r="AY101" s="547" t="s">
        <v>986</v>
      </c>
      <c r="AZ101" s="548" t="s">
        <v>992</v>
      </c>
      <c r="BA101" s="531" t="s">
        <v>990</v>
      </c>
      <c r="BB101" s="568" t="s">
        <v>991</v>
      </c>
      <c r="BC101" s="569" t="s">
        <v>1021</v>
      </c>
      <c r="BD101" s="568" t="s">
        <v>993</v>
      </c>
      <c r="BE101" s="570" t="s">
        <v>1020</v>
      </c>
      <c r="BF101" s="531" t="s">
        <v>994</v>
      </c>
      <c r="BG101" s="531" t="s">
        <v>999</v>
      </c>
      <c r="BI101" s="24" t="s">
        <v>1027</v>
      </c>
      <c r="BJ101" s="450" t="s">
        <v>228</v>
      </c>
      <c r="BK101" s="450" t="s">
        <v>229</v>
      </c>
      <c r="BL101" s="450" t="s">
        <v>230</v>
      </c>
      <c r="BM101" s="450" t="s">
        <v>231</v>
      </c>
      <c r="BN101" s="450" t="s">
        <v>533</v>
      </c>
      <c r="BO101" s="450" t="s">
        <v>534</v>
      </c>
      <c r="BP101" s="450" t="s">
        <v>535</v>
      </c>
      <c r="BQ101" s="450" t="s">
        <v>536</v>
      </c>
      <c r="BS101" s="1383" t="str">
        <f t="shared" ref="BS101:BS132" si="182">AV101</f>
        <v>Jours</v>
      </c>
      <c r="BU101" s="450" t="s">
        <v>228</v>
      </c>
      <c r="BV101" s="450" t="s">
        <v>229</v>
      </c>
      <c r="BW101" s="450" t="s">
        <v>230</v>
      </c>
      <c r="BX101" s="450" t="s">
        <v>231</v>
      </c>
      <c r="BY101" s="450" t="s">
        <v>533</v>
      </c>
      <c r="BZ101" s="450" t="s">
        <v>534</v>
      </c>
      <c r="CA101" s="450" t="s">
        <v>535</v>
      </c>
      <c r="CB101" s="450" t="s">
        <v>536</v>
      </c>
      <c r="CD101" s="1383" t="s">
        <v>1554</v>
      </c>
      <c r="CS101" s="506"/>
      <c r="CT101" s="506"/>
      <c r="CU101" s="506"/>
      <c r="CV101" s="506"/>
      <c r="DG101" s="333" t="s">
        <v>1350</v>
      </c>
      <c r="DH101" s="129" t="s">
        <v>1351</v>
      </c>
      <c r="DI101" s="129" t="s">
        <v>1353</v>
      </c>
      <c r="DK101" s="129" t="s">
        <v>1355</v>
      </c>
      <c r="DU101" s="1383" t="s">
        <v>247</v>
      </c>
      <c r="DV101" s="1383" t="s">
        <v>228</v>
      </c>
      <c r="DW101" s="1383" t="s">
        <v>229</v>
      </c>
      <c r="DX101" s="1383" t="s">
        <v>230</v>
      </c>
      <c r="DY101" s="1383" t="s">
        <v>231</v>
      </c>
      <c r="DZ101" s="1383" t="s">
        <v>533</v>
      </c>
      <c r="EA101" s="1383" t="s">
        <v>534</v>
      </c>
      <c r="EB101" s="1383" t="s">
        <v>535</v>
      </c>
      <c r="EC101" s="1383" t="s">
        <v>536</v>
      </c>
      <c r="ED101" s="1383" t="s">
        <v>191</v>
      </c>
      <c r="EE101" s="1383" t="s">
        <v>192</v>
      </c>
      <c r="EG101" s="1383" t="s">
        <v>1244</v>
      </c>
      <c r="EH101" s="1383" t="s">
        <v>1550</v>
      </c>
      <c r="EI101" s="1383" t="s">
        <v>1551</v>
      </c>
    </row>
    <row r="102" spans="1:145" x14ac:dyDescent="0.2">
      <c r="A102" s="24" t="str">
        <f>Mars!BJ20</f>
        <v>Fiche infoA6</v>
      </c>
      <c r="B102" s="828">
        <f>Mars!AB20</f>
        <v>45717</v>
      </c>
      <c r="C102" s="1393"/>
      <c r="D102" s="998">
        <f t="shared" ref="D102:D132" si="183">IF(AR102&lt;&gt;"",0,IF(DN102=10,0,IFERROR(+IF(BU102="",VLOOKUP(A102,base_horaire,2,FALSE),BU102),0)))</f>
        <v>0</v>
      </c>
      <c r="E102" s="999">
        <f t="shared" ref="E102:E132" si="184">IF(AR102&lt;&gt;"",0,IF(DN102=10,0,IFERROR(+IF(BV102="",VLOOKUP(A102,base_horaire,3,FALSE),BV102),0)))</f>
        <v>0</v>
      </c>
      <c r="F102" s="999">
        <f t="shared" ref="F102:F132" si="185">IF(AR102&lt;&gt;"",0,IF(DN102=10,0,IFERROR(+IF(BW102="",VLOOKUP(A102,base_horaire,4,FALSE),BW102),0)))</f>
        <v>0</v>
      </c>
      <c r="G102" s="999">
        <f t="shared" ref="G102:G132" si="186">IF(AR102&lt;&gt;"",0,IF(DN102=10,0,IFERROR(+IF(BX102="",VLOOKUP(A102,base_horaire,5,FALSE),BX102),0)))</f>
        <v>0</v>
      </c>
      <c r="H102" s="999">
        <f t="shared" ref="H102:H132" si="187">IF(AR102&lt;&gt;"",0,IF(DN102=10,0,IFERROR(+IF(BY102="",VLOOKUP(A102,base_horaire,6,FALSE),BY102),0)))</f>
        <v>0</v>
      </c>
      <c r="I102" s="999">
        <f t="shared" ref="I102:I132" si="188">IF(AR102&lt;&gt;"",0,IF(DN102=10,0,IFERROR(+IF(BZ102="",VLOOKUP(A102,base_horaire,7,FALSE),BZ102),0)))</f>
        <v>0</v>
      </c>
      <c r="J102" s="999">
        <f t="shared" ref="J102:J132" si="189">IF(AR102&lt;&gt;"",0,IF(DN102=10,0,IFERROR(+IF(CA102="",VLOOKUP(A102,base_horaire,8,FALSE),CA102),0)))</f>
        <v>0</v>
      </c>
      <c r="K102" s="999">
        <f t="shared" ref="K102:K132" si="190">IF(AR102&lt;&gt;"",0,IF(DN102=10,0,IFERROR(+IF(CB102="",VLOOKUP(A102,base_horaire,9,FALSE),CB102),0)))</f>
        <v>0</v>
      </c>
      <c r="L102" s="999">
        <f>+E102-D102+G102-F102+I102-H102+K102-J102</f>
        <v>0</v>
      </c>
      <c r="M102" s="1000">
        <f>ROUND(+L102*24,2)</f>
        <v>0</v>
      </c>
      <c r="O102" s="998">
        <f t="shared" ref="O102:O109" si="191">IF(AR102&lt;&gt;"",0,IF(DC102="oui",0,IF(AND(ISTEXT(AT102)=TRUE,BJ102=""),0,IF(BJ102="",D102,BJ102))))</f>
        <v>0</v>
      </c>
      <c r="P102" s="999">
        <f t="shared" ref="P102:P109" si="192">IF(AR102&lt;&gt;"",0,IF(DC102="oui",0,IF(AND(ISTEXT(AT102)=TRUE,BK102=""),0,IF(BK102="",E102,BK102))))</f>
        <v>0</v>
      </c>
      <c r="Q102" s="999">
        <f t="shared" ref="Q102:Q109" si="193">IF(AR102&lt;&gt;"",0,IF(DC102="oui",0,IF(AND(ISTEXT(AT102)=TRUE,BL102=""),0,IF(BL102="",F102,BL102))))</f>
        <v>0</v>
      </c>
      <c r="R102" s="999">
        <f t="shared" ref="R102:R109" si="194">IF(AR102&lt;&gt;"",0,IF(DC102="oui",0,IF(AND(ISTEXT(AT102)=TRUE,BM102=""),0,IF(BM102="",G102,BM102))))</f>
        <v>0</v>
      </c>
      <c r="S102" s="999">
        <f t="shared" ref="S102:S109" si="195">IF(AR102&lt;&gt;"",0,IF(DC102="oui",0,IF(AND(ISTEXT(AT102)=TRUE,BN102=""),0,IF(BN102="",H102,BN102))))</f>
        <v>0</v>
      </c>
      <c r="T102" s="999">
        <f t="shared" ref="T102:T109" si="196">IF(AR102&lt;&gt;"",0,IF(DC102="oui",0,IF(AND(ISTEXT(AT102)=TRUE,BO102=""),0,IF(BO102="",I102,BO102))))</f>
        <v>0</v>
      </c>
      <c r="U102" s="999">
        <f t="shared" ref="U102:U109" si="197">IF(AR102&lt;&gt;"",0,IF(DC102="oui",0,IF(AND(ISTEXT(AT102)=TRUE,BP102=""),0,IF(BP102="",J102,BP102))))</f>
        <v>0</v>
      </c>
      <c r="V102" s="999">
        <f t="shared" ref="V102:V109" si="198">IF(AR102&lt;&gt;"",0,IF(DC102="oui",0,IF(AND(ISTEXT(AT102)=TRUE,BQ102=""),0,IF(BQ102="",K102,BQ102))))</f>
        <v>0</v>
      </c>
      <c r="W102" s="999">
        <f t="shared" ref="W102:W132" si="199">+P102-O102+R102-Q102+T102-S102+V102-U102</f>
        <v>0</v>
      </c>
      <c r="X102" s="1000">
        <f t="shared" ref="X102:X132" si="200">ROUND(+W102*24,2)</f>
        <v>0</v>
      </c>
      <c r="Y102" s="459"/>
      <c r="Z102" s="291">
        <f t="shared" ref="Z102:Z132" si="201">+IF(AND(O102&gt;D102,D102&gt;0),D102,O102)</f>
        <v>0</v>
      </c>
      <c r="AA102" s="291">
        <f t="shared" ref="AA102:AA132" si="202">+IF(P102&gt;E102,P102,E102)</f>
        <v>0</v>
      </c>
      <c r="AB102" s="291">
        <f t="shared" ref="AB102:AB132" si="203">+IF(AND(Q102&gt;F102,F102&gt;0),F102,Q102)</f>
        <v>0</v>
      </c>
      <c r="AC102" s="291">
        <f t="shared" ref="AC102:AC132" si="204">+IF(R102&gt;G102,R102,G102)</f>
        <v>0</v>
      </c>
      <c r="AD102" s="291">
        <f t="shared" ref="AD102:AD132" si="205">+IF(AND(S102&gt;H102,H102&gt;0),H102,S102)</f>
        <v>0</v>
      </c>
      <c r="AE102" s="291">
        <f t="shared" ref="AE102:AE132" si="206">+IF(T102&gt;I102,T102,I102)</f>
        <v>0</v>
      </c>
      <c r="AF102" s="291">
        <f t="shared" ref="AF102:AF132" si="207">+IF(AND(U102&gt;J102,J102&gt;0),J102,U102)</f>
        <v>0</v>
      </c>
      <c r="AG102" s="291">
        <f t="shared" ref="AG102:AG132" si="208">+IF(V102&gt;K102,V102,K102)</f>
        <v>0</v>
      </c>
      <c r="AI102" s="461">
        <f t="shared" ref="AI102:AI109" si="209">IF(DC102="oui",0,IF(AND(ISTEXT(AT102)=TRUE,OR(X102=0,X102="")),0,ROUND(((((AA102-Z102)-(E102-D102))+((AC102-AB102)-(G102-F102))+((AE102-AD102)-(I102-H102))+(AG102-AF102)-(K102-J102))*24),2)))</f>
        <v>0</v>
      </c>
      <c r="AJ102" s="1111"/>
      <c r="AK102" s="507"/>
      <c r="AL102" s="828">
        <f t="shared" ref="AL102:AL132" si="210">B102</f>
        <v>45717</v>
      </c>
      <c r="AM102" s="515">
        <f>IFERROR(IF(AND(AT102="",AR102&lt;&gt;S.CAL!$BJ$3,AR102&lt;&gt;S.CAL!$BJ$4,$AR$95="NON"),M102-BD102,IF(AND(AT102="",AR102&lt;&gt;S.CAL!$BJ$3,AR102&lt;&gt;S.CAL!$BJ$4,$AR$95="OUI"),X102-AI102,IF(AT102&lt;&gt;0,AT102,IF(OR(AR102=S.CAL!$BJ$3,AR102=S.CAL!$BJ$4),AR102,"")))),"")</f>
        <v>0</v>
      </c>
      <c r="AN102" s="1113"/>
      <c r="AO102" s="1114"/>
      <c r="AP102" s="515">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516">
        <f>AI102-SUM(AN102:AO102)</f>
        <v>0</v>
      </c>
      <c r="AR102" s="1119"/>
      <c r="AT102" s="1122"/>
      <c r="AU102" s="831"/>
      <c r="AV102" s="1391">
        <f t="shared" ref="AV102:AV132" si="211">B102</f>
        <v>45717</v>
      </c>
      <c r="AX102" s="529">
        <f>+AV102</f>
        <v>45717</v>
      </c>
      <c r="AY102" s="546">
        <f>+IF(M102-X102&lt;0,0,M102-X102)</f>
        <v>0</v>
      </c>
      <c r="AZ102" s="549" t="s">
        <v>146</v>
      </c>
      <c r="BA102" s="550">
        <f>+IF(AZ102="OUI",AY102,0)</f>
        <v>0</v>
      </c>
      <c r="BB102" s="551" t="str">
        <f t="shared" ref="BB102:BB132" si="212">IF(AND(BE102="",+IFERROR(VLOOKUP(AT102,Liste_motif_formule,5,FALSE),0)="OUI"),"OUI",IF(AND(BE102="",IFERROR(VLOOKUP(AT102,Liste_motif_formule,5,FALSE),0)="NON"),"NON",IF(AND(BE102="",IFERROR(M102-AT102&gt;=0,0),AT102&lt;&gt;""),"OUI",IF(AND(BE102="",DC102="oui"),"OUI",IF(BE102&lt;&gt;"",BE102,"")))))</f>
        <v/>
      </c>
      <c r="BC102" s="546">
        <f>+IF(BB102="OUI",IFERROR(M102-AT102,M102),0)</f>
        <v>0</v>
      </c>
      <c r="BD102" s="546">
        <f>+BC102+BA102</f>
        <v>0</v>
      </c>
      <c r="BE102" s="1125"/>
      <c r="BF102" s="532" t="str">
        <f t="shared" ref="BF102:BF132" si="213">+IF(AND(AZ102="OUI",BB102="OUI"),"ERREUR","")</f>
        <v/>
      </c>
      <c r="BG102" s="532" t="str">
        <f>+IF(AND(M102=0,AT102=""),"oui","non")</f>
        <v>oui</v>
      </c>
      <c r="BH102" s="395" t="str">
        <f t="shared" ref="BH102:BH132" si="214">IFERROR(+VLOOKUP(AT102,Liste_motif_formule,4,FALSE),"")</f>
        <v/>
      </c>
      <c r="BI102" s="24" t="str">
        <f t="shared" ref="BI102:BI132" si="215">IFERROR(+VLOOKUP(AT102,Liste_motif_formule,5,FALSE),"")</f>
        <v/>
      </c>
      <c r="BJ102" s="1403"/>
      <c r="BK102" s="1403"/>
      <c r="BL102" s="1403"/>
      <c r="BM102" s="1403"/>
      <c r="BN102" s="1403"/>
      <c r="BO102" s="1403"/>
      <c r="BP102" s="1403"/>
      <c r="BQ102" s="1403"/>
      <c r="BS102" s="1391">
        <f t="shared" si="182"/>
        <v>45717</v>
      </c>
      <c r="BT102" s="27">
        <f>IFERROR(WEEKNUM(BS102,21),"")</f>
        <v>9</v>
      </c>
      <c r="BU102" s="1401"/>
      <c r="BV102" s="1401"/>
      <c r="BW102" s="1401"/>
      <c r="BX102" s="1401"/>
      <c r="BY102" s="1401"/>
      <c r="BZ102" s="1401"/>
      <c r="CA102" s="1401"/>
      <c r="CB102" s="1401"/>
      <c r="CD102" s="1407">
        <f>+M102</f>
        <v>0</v>
      </c>
      <c r="DC102" s="16" t="str">
        <f>Mars!FC20</f>
        <v>non</v>
      </c>
      <c r="DG102" s="333">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96" t="str">
        <f>+A102&amp;B102</f>
        <v>Fiche infoA645717</v>
      </c>
      <c r="DV102" s="1384">
        <f t="shared" ref="DV102:DV132" si="218">+IFERROR(+IF(BU102="",VLOOKUP(A102,base_horaire,2,FALSE),BU102),0)</f>
        <v>0</v>
      </c>
      <c r="DW102" s="1385">
        <f t="shared" ref="DW102:DW132" si="219">+IFERROR(+IF(BV102="",VLOOKUP(A102,base_horaire,3,FALSE),BV102),0)</f>
        <v>0</v>
      </c>
      <c r="DX102" s="1385">
        <f t="shared" ref="DX102:DX132" si="220">+IFERROR(+IF(BW102="",VLOOKUP(A102,base_horaire,4,FALSE),BW102),0)</f>
        <v>0</v>
      </c>
      <c r="DY102" s="1385">
        <f t="shared" ref="DY102:DY132" si="221">+IFERROR(+IF(BX102="",VLOOKUP(A102,base_horaire,5,FALSE),BX102),0)</f>
        <v>0</v>
      </c>
      <c r="DZ102" s="1385">
        <f t="shared" ref="DZ102:DZ132" si="222">+IFERROR(+IF(BY102="",VLOOKUP(A102,base_horaire,6,FALSE),BY102),0)</f>
        <v>0</v>
      </c>
      <c r="EA102" s="1385">
        <f t="shared" ref="EA102:EA132" si="223">IFERROR(+IF(BZ102="",VLOOKUP(A102,base_horaire,7,FALSE),BZ102),0)</f>
        <v>0</v>
      </c>
      <c r="EB102" s="1385">
        <f t="shared" ref="EB102:EB132" si="224">IFERROR(+IF(CA102="",VLOOKUP(A102,base_horaire,8,FALSE),CA102),0)</f>
        <v>0</v>
      </c>
      <c r="EC102" s="1385">
        <f t="shared" ref="EC102:EC132" si="225">IFERROR(+IF(CB102="",VLOOKUP(A102,base_horaire,9,FALSE),CB102),0)</f>
        <v>0</v>
      </c>
      <c r="ED102" s="1385">
        <f>+DW102-DV102+DY102-DX102+EA102-DZ102+EC102-EB102</f>
        <v>0</v>
      </c>
      <c r="EE102" s="1386">
        <f>ROUND(+ED102*24,2)</f>
        <v>0</v>
      </c>
      <c r="EG102" s="16" t="str">
        <f>+WEEKNUM(B102,21)&amp;YEAR(B102)</f>
        <v>92025</v>
      </c>
      <c r="EH102" s="16" t="str">
        <f t="shared" ref="EH102:EH132" si="226">+A102</f>
        <v>Fiche infoA6</v>
      </c>
      <c r="EI102" s="16" t="str">
        <f t="shared" ref="EI102:EI132" si="227">+VLOOKUP(EH102,Base_heures,6,FALSE)</f>
        <v/>
      </c>
    </row>
    <row r="103" spans="1:145" x14ac:dyDescent="0.2">
      <c r="A103" s="1395" t="str">
        <f>Mars!BJ21</f>
        <v>Fiche infoA7</v>
      </c>
      <c r="B103" s="829">
        <f>Mars!AB21</f>
        <v>45718</v>
      </c>
      <c r="C103" s="1394"/>
      <c r="D103" s="1001">
        <f t="shared" si="183"/>
        <v>0</v>
      </c>
      <c r="E103" s="452">
        <f t="shared" si="184"/>
        <v>0</v>
      </c>
      <c r="F103" s="452">
        <f t="shared" si="185"/>
        <v>0</v>
      </c>
      <c r="G103" s="452">
        <f t="shared" si="186"/>
        <v>0</v>
      </c>
      <c r="H103" s="452">
        <f t="shared" si="187"/>
        <v>0</v>
      </c>
      <c r="I103" s="452">
        <f t="shared" si="188"/>
        <v>0</v>
      </c>
      <c r="J103" s="452">
        <f t="shared" si="189"/>
        <v>0</v>
      </c>
      <c r="K103" s="452">
        <f t="shared" si="190"/>
        <v>0</v>
      </c>
      <c r="L103" s="452">
        <f t="shared" ref="L103:L132" si="228">+E103-D103+G103-F103+I103-H103+K103-J103</f>
        <v>0</v>
      </c>
      <c r="M103" s="1002">
        <f t="shared" ref="M103:M132" si="229">ROUND(+L103*24,2)</f>
        <v>0</v>
      </c>
      <c r="N103" s="1396"/>
      <c r="O103" s="1001">
        <f t="shared" si="191"/>
        <v>0</v>
      </c>
      <c r="P103" s="452">
        <f t="shared" si="192"/>
        <v>0</v>
      </c>
      <c r="Q103" s="452">
        <f t="shared" si="193"/>
        <v>0</v>
      </c>
      <c r="R103" s="452">
        <f t="shared" si="194"/>
        <v>0</v>
      </c>
      <c r="S103" s="452">
        <f t="shared" si="195"/>
        <v>0</v>
      </c>
      <c r="T103" s="452">
        <f t="shared" si="196"/>
        <v>0</v>
      </c>
      <c r="U103" s="452">
        <f t="shared" si="197"/>
        <v>0</v>
      </c>
      <c r="V103" s="452">
        <f t="shared" si="198"/>
        <v>0</v>
      </c>
      <c r="W103" s="452">
        <f t="shared" si="199"/>
        <v>0</v>
      </c>
      <c r="X103" s="1002">
        <f t="shared" si="200"/>
        <v>0</v>
      </c>
      <c r="Y103" s="1397"/>
      <c r="Z103" s="1398">
        <f t="shared" si="201"/>
        <v>0</v>
      </c>
      <c r="AA103" s="1398">
        <f t="shared" si="202"/>
        <v>0</v>
      </c>
      <c r="AB103" s="1398">
        <f t="shared" si="203"/>
        <v>0</v>
      </c>
      <c r="AC103" s="1398">
        <f t="shared" si="204"/>
        <v>0</v>
      </c>
      <c r="AD103" s="1398">
        <f t="shared" si="205"/>
        <v>0</v>
      </c>
      <c r="AE103" s="1398">
        <f t="shared" si="206"/>
        <v>0</v>
      </c>
      <c r="AF103" s="1398">
        <f t="shared" si="207"/>
        <v>0</v>
      </c>
      <c r="AG103" s="1398">
        <f t="shared" si="208"/>
        <v>0</v>
      </c>
      <c r="AH103" s="1396"/>
      <c r="AI103" s="462">
        <f t="shared" si="209"/>
        <v>0</v>
      </c>
      <c r="AJ103" s="1112"/>
      <c r="AK103" s="1399"/>
      <c r="AL103" s="829">
        <f t="shared" si="210"/>
        <v>45718</v>
      </c>
      <c r="AM103" s="684">
        <f>IFERROR(IF(AND(AT103="",AR103&lt;&gt;S.CAL!$BJ$3,AR103&lt;&gt;S.CAL!$BJ$4,$AR$95="NON"),M103-BD103,IF(AND(AT103="",AR103&lt;&gt;S.CAL!$BJ$3,AR103&lt;&gt;S.CAL!$BJ$4,$AR$95="OUI"),X103-AI103,IF(AT103&lt;&gt;0,AT103,IF(OR(AR103=S.CAL!$BJ$3,AR103=S.CAL!$BJ$4),AR103,"")))),"")</f>
        <v>0</v>
      </c>
      <c r="AN103" s="1115"/>
      <c r="AO103" s="1116"/>
      <c r="AP103" s="684">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400">
        <f t="shared" ref="AQ103:AQ132" si="230">AI103-SUM(AN103:AO103)</f>
        <v>0</v>
      </c>
      <c r="AR103" s="1120"/>
      <c r="AS103" s="1396"/>
      <c r="AT103" s="1123"/>
      <c r="AU103" s="831"/>
      <c r="AV103" s="1392">
        <f t="shared" si="211"/>
        <v>45718</v>
      </c>
      <c r="AW103" s="1396"/>
      <c r="AX103" s="529">
        <f t="shared" ref="AX103:AX132" si="231">+AV103</f>
        <v>45718</v>
      </c>
      <c r="AY103" s="541">
        <f t="shared" ref="AY103:AY132" si="232">+IF(M103-X103&lt;0,0,M103-X103)</f>
        <v>0</v>
      </c>
      <c r="AZ103" s="538" t="s">
        <v>146</v>
      </c>
      <c r="BA103" s="534">
        <f t="shared" ref="BA103:BA132" si="233">+IF(AZ103="OUI",AY103,0)</f>
        <v>0</v>
      </c>
      <c r="BB103" s="567" t="str">
        <f t="shared" si="212"/>
        <v/>
      </c>
      <c r="BC103" s="541">
        <f t="shared" ref="BC103:BC132" si="234">+IF(BB103="OUI",IFERROR(M103-AT103,M103),0)</f>
        <v>0</v>
      </c>
      <c r="BD103" s="541">
        <f t="shared" ref="BD103:BD132" si="235">+BC103+BA103</f>
        <v>0</v>
      </c>
      <c r="BE103" s="1126"/>
      <c r="BF103" s="532" t="str">
        <f t="shared" si="213"/>
        <v/>
      </c>
      <c r="BG103" s="532" t="str">
        <f t="shared" ref="BG103:BG132" si="236">+IF(AND(M103=0,AT103=""),"oui","non")</f>
        <v>oui</v>
      </c>
      <c r="BH103" s="395" t="str">
        <f t="shared" si="214"/>
        <v/>
      </c>
      <c r="BI103" s="24" t="str">
        <f t="shared" si="215"/>
        <v/>
      </c>
      <c r="BJ103" s="1404"/>
      <c r="BK103" s="1404"/>
      <c r="BL103" s="1404"/>
      <c r="BM103" s="1404"/>
      <c r="BN103" s="1404"/>
      <c r="BO103" s="1404"/>
      <c r="BP103" s="1404"/>
      <c r="BQ103" s="1404"/>
      <c r="BR103" s="1405"/>
      <c r="BS103" s="1392">
        <f t="shared" si="182"/>
        <v>45718</v>
      </c>
      <c r="BT103" s="1406" t="str">
        <f>IFERROR(IF(WEEKDAY(BS103,11)=1,WEEKNUM(BS103,21),""),"")</f>
        <v/>
      </c>
      <c r="BU103" s="1404"/>
      <c r="BV103" s="1404"/>
      <c r="BW103" s="1404"/>
      <c r="BX103" s="1404"/>
      <c r="BY103" s="1404"/>
      <c r="BZ103" s="1404"/>
      <c r="CA103" s="1404"/>
      <c r="CB103" s="1404"/>
      <c r="CD103" s="1408">
        <f t="shared" ref="CD103:CD132" si="237">+M103</f>
        <v>0</v>
      </c>
      <c r="DC103" s="16" t="str">
        <f>Mars!FC21</f>
        <v>non</v>
      </c>
      <c r="DG103" s="333">
        <f t="shared" ref="DG103:DG132" si="238">IF(OR(AT103=0,AT103=""),1,10)</f>
        <v>1</v>
      </c>
      <c r="DH103" s="129">
        <f t="shared" si="216"/>
        <v>10</v>
      </c>
      <c r="DI103" s="129">
        <f t="shared" ref="DI103:DI132" si="239">+IF(OR(DG103=1,DH103=1),1,10)</f>
        <v>1</v>
      </c>
      <c r="DK103" s="16">
        <f>+IF(AND(Mars!$DP$8&lt;&gt;52,AR103=S.CAL!$BJ$4),10,1)</f>
        <v>1</v>
      </c>
      <c r="DN103" s="16">
        <f t="shared" si="217"/>
        <v>1</v>
      </c>
      <c r="DU103" s="1296" t="str">
        <f t="shared" ref="DU103:DU132" si="240">+A103&amp;B103</f>
        <v>Fiche infoA745718</v>
      </c>
      <c r="DV103" s="1384">
        <f t="shared" si="218"/>
        <v>0</v>
      </c>
      <c r="DW103" s="1385">
        <f t="shared" si="219"/>
        <v>0</v>
      </c>
      <c r="DX103" s="1385">
        <f t="shared" si="220"/>
        <v>0</v>
      </c>
      <c r="DY103" s="1385">
        <f t="shared" si="221"/>
        <v>0</v>
      </c>
      <c r="DZ103" s="1385">
        <f t="shared" si="222"/>
        <v>0</v>
      </c>
      <c r="EA103" s="1385">
        <f t="shared" si="223"/>
        <v>0</v>
      </c>
      <c r="EB103" s="1385">
        <f t="shared" si="224"/>
        <v>0</v>
      </c>
      <c r="EC103" s="1385">
        <f t="shared" si="225"/>
        <v>0</v>
      </c>
      <c r="ED103" s="1385">
        <f t="shared" ref="ED103:ED132" si="241">+DW103-DV103+DY103-DX103+EA103-DZ103+EC103-EB103</f>
        <v>0</v>
      </c>
      <c r="EE103" s="1386">
        <f t="shared" ref="EE103:EE132" si="242">ROUND(+ED103*24,2)</f>
        <v>0</v>
      </c>
      <c r="EG103" s="16" t="str">
        <f t="shared" ref="EG103:EG132" si="243">+WEEKNUM(B103,21)&amp;YEAR(B103)</f>
        <v>92025</v>
      </c>
      <c r="EH103" s="16" t="str">
        <f t="shared" si="226"/>
        <v>Fiche infoA7</v>
      </c>
      <c r="EI103" s="16" t="str">
        <f t="shared" si="227"/>
        <v/>
      </c>
    </row>
    <row r="104" spans="1:145" x14ac:dyDescent="0.2">
      <c r="A104" s="24" t="str">
        <f>Mars!BJ22</f>
        <v>Fiche infoA1</v>
      </c>
      <c r="B104" s="829">
        <f>Mars!AB22</f>
        <v>45719</v>
      </c>
      <c r="C104" s="1393"/>
      <c r="D104" s="1001">
        <f t="shared" si="183"/>
        <v>0</v>
      </c>
      <c r="E104" s="452">
        <f t="shared" si="184"/>
        <v>0</v>
      </c>
      <c r="F104" s="452">
        <f t="shared" si="185"/>
        <v>0</v>
      </c>
      <c r="G104" s="452">
        <f t="shared" si="186"/>
        <v>0</v>
      </c>
      <c r="H104" s="452">
        <f t="shared" si="187"/>
        <v>0</v>
      </c>
      <c r="I104" s="452">
        <f t="shared" si="188"/>
        <v>0</v>
      </c>
      <c r="J104" s="452">
        <f t="shared" si="189"/>
        <v>0</v>
      </c>
      <c r="K104" s="452">
        <f t="shared" si="190"/>
        <v>0</v>
      </c>
      <c r="L104" s="452">
        <f t="shared" si="228"/>
        <v>0</v>
      </c>
      <c r="M104" s="1002">
        <f t="shared" si="229"/>
        <v>0</v>
      </c>
      <c r="O104" s="1001">
        <f t="shared" si="191"/>
        <v>0</v>
      </c>
      <c r="P104" s="452">
        <f t="shared" si="192"/>
        <v>0</v>
      </c>
      <c r="Q104" s="452">
        <f t="shared" si="193"/>
        <v>0</v>
      </c>
      <c r="R104" s="452">
        <f t="shared" si="194"/>
        <v>0</v>
      </c>
      <c r="S104" s="452">
        <f t="shared" si="195"/>
        <v>0</v>
      </c>
      <c r="T104" s="452">
        <f t="shared" si="196"/>
        <v>0</v>
      </c>
      <c r="U104" s="452">
        <f t="shared" si="197"/>
        <v>0</v>
      </c>
      <c r="V104" s="452">
        <f t="shared" si="198"/>
        <v>0</v>
      </c>
      <c r="W104" s="452">
        <f t="shared" si="199"/>
        <v>0</v>
      </c>
      <c r="X104" s="1002">
        <f t="shared" si="200"/>
        <v>0</v>
      </c>
      <c r="Y104" s="459"/>
      <c r="Z104" s="291">
        <f t="shared" si="201"/>
        <v>0</v>
      </c>
      <c r="AA104" s="291">
        <f t="shared" si="202"/>
        <v>0</v>
      </c>
      <c r="AB104" s="291">
        <f t="shared" si="203"/>
        <v>0</v>
      </c>
      <c r="AC104" s="291">
        <f t="shared" si="204"/>
        <v>0</v>
      </c>
      <c r="AD104" s="291">
        <f t="shared" si="205"/>
        <v>0</v>
      </c>
      <c r="AE104" s="291">
        <f t="shared" si="206"/>
        <v>0</v>
      </c>
      <c r="AF104" s="291">
        <f t="shared" si="207"/>
        <v>0</v>
      </c>
      <c r="AG104" s="291">
        <f t="shared" si="208"/>
        <v>0</v>
      </c>
      <c r="AI104" s="462">
        <f t="shared" si="209"/>
        <v>0</v>
      </c>
      <c r="AJ104" s="1112"/>
      <c r="AK104" s="507"/>
      <c r="AL104" s="829">
        <f t="shared" si="210"/>
        <v>45719</v>
      </c>
      <c r="AM104" s="684">
        <f>IFERROR(IF(AND(AT104="",AR104&lt;&gt;S.CAL!$BJ$3,AR104&lt;&gt;S.CAL!$BJ$4,$AR$95="NON"),M104-BD104,IF(AND(AT104="",AR104&lt;&gt;S.CAL!$BJ$3,AR104&lt;&gt;S.CAL!$BJ$4,$AR$95="OUI"),X104-AI104,IF(AT104&lt;&gt;0,AT104,IF(OR(AR104=S.CAL!$BJ$3,AR104=S.CAL!$BJ$4),AR104,"")))),"")</f>
        <v>0</v>
      </c>
      <c r="AN104" s="1115"/>
      <c r="AO104" s="1116"/>
      <c r="AP104" s="684">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516">
        <f t="shared" si="230"/>
        <v>0</v>
      </c>
      <c r="AR104" s="1120"/>
      <c r="AT104" s="1123"/>
      <c r="AU104" s="831"/>
      <c r="AV104" s="1392">
        <f t="shared" si="211"/>
        <v>45719</v>
      </c>
      <c r="AX104" s="529">
        <f t="shared" si="231"/>
        <v>45719</v>
      </c>
      <c r="AY104" s="541">
        <f t="shared" si="232"/>
        <v>0</v>
      </c>
      <c r="AZ104" s="538" t="s">
        <v>146</v>
      </c>
      <c r="BA104" s="534">
        <f t="shared" si="233"/>
        <v>0</v>
      </c>
      <c r="BB104" s="567" t="str">
        <f t="shared" si="212"/>
        <v/>
      </c>
      <c r="BC104" s="541">
        <f t="shared" si="234"/>
        <v>0</v>
      </c>
      <c r="BD104" s="541">
        <f t="shared" si="235"/>
        <v>0</v>
      </c>
      <c r="BE104" s="1126"/>
      <c r="BF104" s="532" t="str">
        <f t="shared" si="213"/>
        <v/>
      </c>
      <c r="BG104" s="532" t="str">
        <f t="shared" si="236"/>
        <v>oui</v>
      </c>
      <c r="BH104" s="395" t="str">
        <f t="shared" si="214"/>
        <v/>
      </c>
      <c r="BI104" s="24" t="str">
        <f t="shared" si="215"/>
        <v/>
      </c>
      <c r="BJ104" s="1403"/>
      <c r="BK104" s="1403"/>
      <c r="BL104" s="1403"/>
      <c r="BM104" s="1403"/>
      <c r="BN104" s="1403"/>
      <c r="BO104" s="1403"/>
      <c r="BP104" s="1403"/>
      <c r="BQ104" s="1403"/>
      <c r="BS104" s="1392">
        <f t="shared" si="182"/>
        <v>45719</v>
      </c>
      <c r="BT104" s="27">
        <f t="shared" ref="BT104:BT132" si="244">IFERROR(IF(WEEKDAY(BS104,11)=1,WEEKNUM(BS104,21),""),"")</f>
        <v>10</v>
      </c>
      <c r="BU104" s="1402"/>
      <c r="BV104" s="1402"/>
      <c r="BW104" s="1402"/>
      <c r="BX104" s="1402"/>
      <c r="BY104" s="1402"/>
      <c r="BZ104" s="1402"/>
      <c r="CA104" s="1402"/>
      <c r="CB104" s="1402"/>
      <c r="CD104" s="1408">
        <f t="shared" si="237"/>
        <v>0</v>
      </c>
      <c r="DC104" s="16" t="str">
        <f>Mars!FC22</f>
        <v>non</v>
      </c>
      <c r="DG104" s="333">
        <f t="shared" si="238"/>
        <v>1</v>
      </c>
      <c r="DH104" s="129">
        <f t="shared" si="216"/>
        <v>10</v>
      </c>
      <c r="DI104" s="129">
        <f t="shared" si="239"/>
        <v>1</v>
      </c>
      <c r="DK104" s="16">
        <f>+IF(AND(Mars!$DP$8&lt;&gt;52,AR104=S.CAL!$BJ$4),10,1)</f>
        <v>1</v>
      </c>
      <c r="DN104" s="16">
        <f t="shared" si="217"/>
        <v>1</v>
      </c>
      <c r="DU104" s="1296" t="str">
        <f t="shared" si="240"/>
        <v>Fiche infoA145719</v>
      </c>
      <c r="DV104" s="1384">
        <f t="shared" si="218"/>
        <v>0</v>
      </c>
      <c r="DW104" s="1385">
        <f t="shared" si="219"/>
        <v>0</v>
      </c>
      <c r="DX104" s="1385">
        <f t="shared" si="220"/>
        <v>0</v>
      </c>
      <c r="DY104" s="1385">
        <f t="shared" si="221"/>
        <v>0</v>
      </c>
      <c r="DZ104" s="1385">
        <f t="shared" si="222"/>
        <v>0</v>
      </c>
      <c r="EA104" s="1385">
        <f t="shared" si="223"/>
        <v>0</v>
      </c>
      <c r="EB104" s="1385">
        <f t="shared" si="224"/>
        <v>0</v>
      </c>
      <c r="EC104" s="1385">
        <f t="shared" si="225"/>
        <v>0</v>
      </c>
      <c r="ED104" s="1385">
        <f t="shared" si="241"/>
        <v>0</v>
      </c>
      <c r="EE104" s="1386">
        <f t="shared" si="242"/>
        <v>0</v>
      </c>
      <c r="EG104" s="16" t="str">
        <f t="shared" si="243"/>
        <v>102025</v>
      </c>
      <c r="EH104" s="16" t="str">
        <f t="shared" si="226"/>
        <v>Fiche infoA1</v>
      </c>
      <c r="EI104" s="16" t="str">
        <f t="shared" si="227"/>
        <v/>
      </c>
    </row>
    <row r="105" spans="1:145" x14ac:dyDescent="0.2">
      <c r="A105" s="1395" t="str">
        <f>Mars!BJ23</f>
        <v>Fiche infoA2</v>
      </c>
      <c r="B105" s="829">
        <f>Mars!AB23</f>
        <v>45720</v>
      </c>
      <c r="C105" s="1394"/>
      <c r="D105" s="1001">
        <f t="shared" si="183"/>
        <v>0</v>
      </c>
      <c r="E105" s="452">
        <f t="shared" si="184"/>
        <v>0</v>
      </c>
      <c r="F105" s="452">
        <f t="shared" si="185"/>
        <v>0</v>
      </c>
      <c r="G105" s="452">
        <f t="shared" si="186"/>
        <v>0</v>
      </c>
      <c r="H105" s="452">
        <f t="shared" si="187"/>
        <v>0</v>
      </c>
      <c r="I105" s="452">
        <f t="shared" si="188"/>
        <v>0</v>
      </c>
      <c r="J105" s="452">
        <f t="shared" si="189"/>
        <v>0</v>
      </c>
      <c r="K105" s="452">
        <f t="shared" si="190"/>
        <v>0</v>
      </c>
      <c r="L105" s="452">
        <f t="shared" si="228"/>
        <v>0</v>
      </c>
      <c r="M105" s="1002">
        <f t="shared" si="229"/>
        <v>0</v>
      </c>
      <c r="N105" s="1396"/>
      <c r="O105" s="1001">
        <f t="shared" si="191"/>
        <v>0</v>
      </c>
      <c r="P105" s="452">
        <f t="shared" si="192"/>
        <v>0</v>
      </c>
      <c r="Q105" s="452">
        <f t="shared" si="193"/>
        <v>0</v>
      </c>
      <c r="R105" s="452">
        <f t="shared" si="194"/>
        <v>0</v>
      </c>
      <c r="S105" s="452">
        <f t="shared" si="195"/>
        <v>0</v>
      </c>
      <c r="T105" s="452">
        <f t="shared" si="196"/>
        <v>0</v>
      </c>
      <c r="U105" s="452">
        <f t="shared" si="197"/>
        <v>0</v>
      </c>
      <c r="V105" s="452">
        <f t="shared" si="198"/>
        <v>0</v>
      </c>
      <c r="W105" s="452">
        <f t="shared" si="199"/>
        <v>0</v>
      </c>
      <c r="X105" s="1002">
        <f t="shared" si="200"/>
        <v>0</v>
      </c>
      <c r="Y105" s="1397"/>
      <c r="Z105" s="1398">
        <f t="shared" si="201"/>
        <v>0</v>
      </c>
      <c r="AA105" s="1398">
        <f t="shared" si="202"/>
        <v>0</v>
      </c>
      <c r="AB105" s="1398">
        <f t="shared" si="203"/>
        <v>0</v>
      </c>
      <c r="AC105" s="1398">
        <f t="shared" si="204"/>
        <v>0</v>
      </c>
      <c r="AD105" s="1398">
        <f t="shared" si="205"/>
        <v>0</v>
      </c>
      <c r="AE105" s="1398">
        <f t="shared" si="206"/>
        <v>0</v>
      </c>
      <c r="AF105" s="1398">
        <f t="shared" si="207"/>
        <v>0</v>
      </c>
      <c r="AG105" s="1398">
        <f t="shared" si="208"/>
        <v>0</v>
      </c>
      <c r="AH105" s="1396"/>
      <c r="AI105" s="462">
        <f t="shared" si="209"/>
        <v>0</v>
      </c>
      <c r="AJ105" s="1112"/>
      <c r="AK105" s="1399"/>
      <c r="AL105" s="829">
        <f t="shared" si="210"/>
        <v>45720</v>
      </c>
      <c r="AM105" s="684">
        <f>IFERROR(IF(AND(AT105="",AR105&lt;&gt;S.CAL!$BJ$3,AR105&lt;&gt;S.CAL!$BJ$4,$AR$95="NON"),M105-BD105,IF(AND(AT105="",AR105&lt;&gt;S.CAL!$BJ$3,AR105&lt;&gt;S.CAL!$BJ$4,$AR$95="OUI"),X105-AI105,IF(AT105&lt;&gt;0,AT105,IF(OR(AR105=S.CAL!$BJ$3,AR105=S.CAL!$BJ$4),AR105,"")))),"")</f>
        <v>0</v>
      </c>
      <c r="AN105" s="1115"/>
      <c r="AO105" s="1116"/>
      <c r="AP105" s="684">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400">
        <f t="shared" si="230"/>
        <v>0</v>
      </c>
      <c r="AR105" s="1120"/>
      <c r="AS105" s="1396"/>
      <c r="AT105" s="1123"/>
      <c r="AU105" s="831"/>
      <c r="AV105" s="1392">
        <f t="shared" si="211"/>
        <v>45720</v>
      </c>
      <c r="AW105" s="1396"/>
      <c r="AX105" s="529">
        <f t="shared" si="231"/>
        <v>45720</v>
      </c>
      <c r="AY105" s="541">
        <f t="shared" si="232"/>
        <v>0</v>
      </c>
      <c r="AZ105" s="538" t="s">
        <v>146</v>
      </c>
      <c r="BA105" s="534">
        <f t="shared" si="233"/>
        <v>0</v>
      </c>
      <c r="BB105" s="567" t="str">
        <f t="shared" si="212"/>
        <v/>
      </c>
      <c r="BC105" s="541">
        <f t="shared" si="234"/>
        <v>0</v>
      </c>
      <c r="BD105" s="541">
        <f t="shared" si="235"/>
        <v>0</v>
      </c>
      <c r="BE105" s="1126"/>
      <c r="BF105" s="532" t="str">
        <f t="shared" si="213"/>
        <v/>
      </c>
      <c r="BG105" s="532" t="str">
        <f t="shared" si="236"/>
        <v>oui</v>
      </c>
      <c r="BH105" s="395" t="str">
        <f t="shared" si="214"/>
        <v/>
      </c>
      <c r="BI105" s="24" t="str">
        <f t="shared" si="215"/>
        <v/>
      </c>
      <c r="BJ105" s="1404"/>
      <c r="BK105" s="1404"/>
      <c r="BL105" s="1404"/>
      <c r="BM105" s="1404"/>
      <c r="BN105" s="1404"/>
      <c r="BO105" s="1404"/>
      <c r="BP105" s="1404"/>
      <c r="BQ105" s="1404"/>
      <c r="BR105" s="1405"/>
      <c r="BS105" s="1392">
        <f t="shared" si="182"/>
        <v>45720</v>
      </c>
      <c r="BT105" s="1406" t="str">
        <f t="shared" si="244"/>
        <v/>
      </c>
      <c r="BU105" s="1404"/>
      <c r="BV105" s="1404"/>
      <c r="BW105" s="1404"/>
      <c r="BX105" s="1404"/>
      <c r="BY105" s="1404"/>
      <c r="BZ105" s="1404"/>
      <c r="CA105" s="1404"/>
      <c r="CB105" s="1404"/>
      <c r="CD105" s="1408">
        <f t="shared" si="237"/>
        <v>0</v>
      </c>
      <c r="DC105" s="16" t="str">
        <f>Mars!FC23</f>
        <v>non</v>
      </c>
      <c r="DG105" s="333">
        <f t="shared" si="238"/>
        <v>1</v>
      </c>
      <c r="DH105" s="129">
        <f t="shared" si="216"/>
        <v>10</v>
      </c>
      <c r="DI105" s="129">
        <f t="shared" si="239"/>
        <v>1</v>
      </c>
      <c r="DK105" s="16">
        <f>+IF(AND(Mars!$DP$8&lt;&gt;52,AR105=S.CAL!$BJ$4),10,1)</f>
        <v>1</v>
      </c>
      <c r="DN105" s="16">
        <f t="shared" si="217"/>
        <v>1</v>
      </c>
      <c r="DU105" s="1296" t="str">
        <f t="shared" si="240"/>
        <v>Fiche infoA245720</v>
      </c>
      <c r="DV105" s="1384">
        <f t="shared" si="218"/>
        <v>0</v>
      </c>
      <c r="DW105" s="1385">
        <f t="shared" si="219"/>
        <v>0</v>
      </c>
      <c r="DX105" s="1385">
        <f t="shared" si="220"/>
        <v>0</v>
      </c>
      <c r="DY105" s="1385">
        <f t="shared" si="221"/>
        <v>0</v>
      </c>
      <c r="DZ105" s="1385">
        <f t="shared" si="222"/>
        <v>0</v>
      </c>
      <c r="EA105" s="1385">
        <f t="shared" si="223"/>
        <v>0</v>
      </c>
      <c r="EB105" s="1385">
        <f t="shared" si="224"/>
        <v>0</v>
      </c>
      <c r="EC105" s="1385">
        <f t="shared" si="225"/>
        <v>0</v>
      </c>
      <c r="ED105" s="1385">
        <f t="shared" si="241"/>
        <v>0</v>
      </c>
      <c r="EE105" s="1386">
        <f t="shared" si="242"/>
        <v>0</v>
      </c>
      <c r="EG105" s="16" t="str">
        <f t="shared" si="243"/>
        <v>102025</v>
      </c>
      <c r="EH105" s="16" t="str">
        <f t="shared" si="226"/>
        <v>Fiche infoA2</v>
      </c>
      <c r="EI105" s="16" t="str">
        <f t="shared" si="227"/>
        <v/>
      </c>
    </row>
    <row r="106" spans="1:145" x14ac:dyDescent="0.2">
      <c r="A106" s="24" t="str">
        <f>Mars!BJ24</f>
        <v>Fiche infoA3</v>
      </c>
      <c r="B106" s="829">
        <f>Mars!AB24</f>
        <v>45721</v>
      </c>
      <c r="C106" s="1393"/>
      <c r="D106" s="1001">
        <f t="shared" si="183"/>
        <v>0</v>
      </c>
      <c r="E106" s="452">
        <f t="shared" si="184"/>
        <v>0</v>
      </c>
      <c r="F106" s="452">
        <f t="shared" si="185"/>
        <v>0</v>
      </c>
      <c r="G106" s="452">
        <f t="shared" si="186"/>
        <v>0</v>
      </c>
      <c r="H106" s="452">
        <f t="shared" si="187"/>
        <v>0</v>
      </c>
      <c r="I106" s="452">
        <f t="shared" si="188"/>
        <v>0</v>
      </c>
      <c r="J106" s="452">
        <f t="shared" si="189"/>
        <v>0</v>
      </c>
      <c r="K106" s="452">
        <f t="shared" si="190"/>
        <v>0</v>
      </c>
      <c r="L106" s="452">
        <f t="shared" si="228"/>
        <v>0</v>
      </c>
      <c r="M106" s="1002">
        <f t="shared" si="229"/>
        <v>0</v>
      </c>
      <c r="O106" s="1001">
        <f t="shared" si="191"/>
        <v>0</v>
      </c>
      <c r="P106" s="452">
        <f t="shared" si="192"/>
        <v>0</v>
      </c>
      <c r="Q106" s="452">
        <f t="shared" si="193"/>
        <v>0</v>
      </c>
      <c r="R106" s="452">
        <f t="shared" si="194"/>
        <v>0</v>
      </c>
      <c r="S106" s="452">
        <f t="shared" si="195"/>
        <v>0</v>
      </c>
      <c r="T106" s="452">
        <f t="shared" si="196"/>
        <v>0</v>
      </c>
      <c r="U106" s="452">
        <f t="shared" si="197"/>
        <v>0</v>
      </c>
      <c r="V106" s="452">
        <f t="shared" si="198"/>
        <v>0</v>
      </c>
      <c r="W106" s="452">
        <f t="shared" si="199"/>
        <v>0</v>
      </c>
      <c r="X106" s="1002">
        <f t="shared" si="200"/>
        <v>0</v>
      </c>
      <c r="Y106" s="459"/>
      <c r="Z106" s="291">
        <f t="shared" si="201"/>
        <v>0</v>
      </c>
      <c r="AA106" s="291">
        <f t="shared" si="202"/>
        <v>0</v>
      </c>
      <c r="AB106" s="291">
        <f t="shared" si="203"/>
        <v>0</v>
      </c>
      <c r="AC106" s="291">
        <f t="shared" si="204"/>
        <v>0</v>
      </c>
      <c r="AD106" s="291">
        <f t="shared" si="205"/>
        <v>0</v>
      </c>
      <c r="AE106" s="291">
        <f t="shared" si="206"/>
        <v>0</v>
      </c>
      <c r="AF106" s="291">
        <f t="shared" si="207"/>
        <v>0</v>
      </c>
      <c r="AG106" s="291">
        <f t="shared" si="208"/>
        <v>0</v>
      </c>
      <c r="AI106" s="462">
        <f t="shared" si="209"/>
        <v>0</v>
      </c>
      <c r="AJ106" s="1112"/>
      <c r="AK106" s="507"/>
      <c r="AL106" s="829">
        <f t="shared" si="210"/>
        <v>45721</v>
      </c>
      <c r="AM106" s="684">
        <f>IFERROR(IF(AND(AT106="",AR106&lt;&gt;S.CAL!$BJ$3,AR106&lt;&gt;S.CAL!$BJ$4,$AR$95="NON"),M106-BD106,IF(AND(AT106="",AR106&lt;&gt;S.CAL!$BJ$3,AR106&lt;&gt;S.CAL!$BJ$4,$AR$95="OUI"),X106-AI106,IF(AT106&lt;&gt;0,AT106,IF(OR(AR106=S.CAL!$BJ$3,AR106=S.CAL!$BJ$4),AR106,"")))),"")</f>
        <v>0</v>
      </c>
      <c r="AN106" s="1115"/>
      <c r="AO106" s="1116"/>
      <c r="AP106" s="684">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516">
        <f t="shared" si="230"/>
        <v>0</v>
      </c>
      <c r="AR106" s="1120"/>
      <c r="AT106" s="1123"/>
      <c r="AU106" s="831"/>
      <c r="AV106" s="1392">
        <f t="shared" si="211"/>
        <v>45721</v>
      </c>
      <c r="AX106" s="529">
        <f t="shared" si="231"/>
        <v>45721</v>
      </c>
      <c r="AY106" s="541">
        <f t="shared" si="232"/>
        <v>0</v>
      </c>
      <c r="AZ106" s="538" t="s">
        <v>146</v>
      </c>
      <c r="BA106" s="534">
        <f t="shared" si="233"/>
        <v>0</v>
      </c>
      <c r="BB106" s="567" t="str">
        <f t="shared" si="212"/>
        <v/>
      </c>
      <c r="BC106" s="541">
        <f t="shared" si="234"/>
        <v>0</v>
      </c>
      <c r="BD106" s="541">
        <f t="shared" si="235"/>
        <v>0</v>
      </c>
      <c r="BE106" s="1126"/>
      <c r="BF106" s="532" t="str">
        <f t="shared" si="213"/>
        <v/>
      </c>
      <c r="BG106" s="532" t="str">
        <f t="shared" si="236"/>
        <v>oui</v>
      </c>
      <c r="BH106" s="395" t="str">
        <f t="shared" si="214"/>
        <v/>
      </c>
      <c r="BI106" s="24" t="str">
        <f t="shared" si="215"/>
        <v/>
      </c>
      <c r="BJ106" s="1403"/>
      <c r="BK106" s="1403"/>
      <c r="BL106" s="1403"/>
      <c r="BM106" s="1403"/>
      <c r="BN106" s="1403"/>
      <c r="BO106" s="1403"/>
      <c r="BP106" s="1403"/>
      <c r="BQ106" s="1403"/>
      <c r="BS106" s="1392">
        <f t="shared" si="182"/>
        <v>45721</v>
      </c>
      <c r="BT106" s="27" t="str">
        <f t="shared" si="244"/>
        <v/>
      </c>
      <c r="BU106" s="1402"/>
      <c r="BV106" s="1402"/>
      <c r="BW106" s="1402"/>
      <c r="BX106" s="1402"/>
      <c r="BY106" s="1402"/>
      <c r="BZ106" s="1402"/>
      <c r="CA106" s="1402"/>
      <c r="CB106" s="1402"/>
      <c r="CD106" s="1408">
        <f t="shared" si="237"/>
        <v>0</v>
      </c>
      <c r="DC106" s="16" t="str">
        <f>Mars!FC24</f>
        <v>non</v>
      </c>
      <c r="DG106" s="333">
        <f t="shared" si="238"/>
        <v>1</v>
      </c>
      <c r="DH106" s="129">
        <f t="shared" si="216"/>
        <v>10</v>
      </c>
      <c r="DI106" s="129">
        <f t="shared" si="239"/>
        <v>1</v>
      </c>
      <c r="DK106" s="16">
        <f>+IF(AND(Mars!$DP$8&lt;&gt;52,AR106=S.CAL!$BJ$4),10,1)</f>
        <v>1</v>
      </c>
      <c r="DN106" s="16">
        <f t="shared" si="217"/>
        <v>1</v>
      </c>
      <c r="DU106" s="1296" t="str">
        <f t="shared" si="240"/>
        <v>Fiche infoA345721</v>
      </c>
      <c r="DV106" s="1384">
        <f t="shared" si="218"/>
        <v>0</v>
      </c>
      <c r="DW106" s="1385">
        <f t="shared" si="219"/>
        <v>0</v>
      </c>
      <c r="DX106" s="1385">
        <f t="shared" si="220"/>
        <v>0</v>
      </c>
      <c r="DY106" s="1385">
        <f t="shared" si="221"/>
        <v>0</v>
      </c>
      <c r="DZ106" s="1385">
        <f t="shared" si="222"/>
        <v>0</v>
      </c>
      <c r="EA106" s="1385">
        <f t="shared" si="223"/>
        <v>0</v>
      </c>
      <c r="EB106" s="1385">
        <f t="shared" si="224"/>
        <v>0</v>
      </c>
      <c r="EC106" s="1385">
        <f t="shared" si="225"/>
        <v>0</v>
      </c>
      <c r="ED106" s="1385">
        <f t="shared" si="241"/>
        <v>0</v>
      </c>
      <c r="EE106" s="1386">
        <f t="shared" si="242"/>
        <v>0</v>
      </c>
      <c r="EG106" s="16" t="str">
        <f t="shared" si="243"/>
        <v>102025</v>
      </c>
      <c r="EH106" s="16" t="str">
        <f t="shared" si="226"/>
        <v>Fiche infoA3</v>
      </c>
      <c r="EI106" s="16" t="str">
        <f t="shared" si="227"/>
        <v/>
      </c>
    </row>
    <row r="107" spans="1:145" x14ac:dyDescent="0.2">
      <c r="A107" s="1395" t="str">
        <f>Mars!BJ25</f>
        <v>Fiche infoA4</v>
      </c>
      <c r="B107" s="829">
        <f>Mars!AB25</f>
        <v>45722</v>
      </c>
      <c r="C107" s="1394"/>
      <c r="D107" s="1001">
        <f t="shared" si="183"/>
        <v>0</v>
      </c>
      <c r="E107" s="452">
        <f t="shared" si="184"/>
        <v>0</v>
      </c>
      <c r="F107" s="452">
        <f t="shared" si="185"/>
        <v>0</v>
      </c>
      <c r="G107" s="452">
        <f t="shared" si="186"/>
        <v>0</v>
      </c>
      <c r="H107" s="452">
        <f t="shared" si="187"/>
        <v>0</v>
      </c>
      <c r="I107" s="452">
        <f t="shared" si="188"/>
        <v>0</v>
      </c>
      <c r="J107" s="452">
        <f t="shared" si="189"/>
        <v>0</v>
      </c>
      <c r="K107" s="452">
        <f t="shared" si="190"/>
        <v>0</v>
      </c>
      <c r="L107" s="452">
        <f t="shared" si="228"/>
        <v>0</v>
      </c>
      <c r="M107" s="1002">
        <f t="shared" si="229"/>
        <v>0</v>
      </c>
      <c r="N107" s="1396"/>
      <c r="O107" s="1001">
        <f t="shared" si="191"/>
        <v>0</v>
      </c>
      <c r="P107" s="452">
        <f t="shared" si="192"/>
        <v>0</v>
      </c>
      <c r="Q107" s="452">
        <f t="shared" si="193"/>
        <v>0</v>
      </c>
      <c r="R107" s="452">
        <f t="shared" si="194"/>
        <v>0</v>
      </c>
      <c r="S107" s="452">
        <f t="shared" si="195"/>
        <v>0</v>
      </c>
      <c r="T107" s="452">
        <f t="shared" si="196"/>
        <v>0</v>
      </c>
      <c r="U107" s="452">
        <f t="shared" si="197"/>
        <v>0</v>
      </c>
      <c r="V107" s="452">
        <f t="shared" si="198"/>
        <v>0</v>
      </c>
      <c r="W107" s="452">
        <f t="shared" si="199"/>
        <v>0</v>
      </c>
      <c r="X107" s="1002">
        <f t="shared" si="200"/>
        <v>0</v>
      </c>
      <c r="Y107" s="1397"/>
      <c r="Z107" s="1398">
        <f t="shared" si="201"/>
        <v>0</v>
      </c>
      <c r="AA107" s="1398">
        <f t="shared" si="202"/>
        <v>0</v>
      </c>
      <c r="AB107" s="1398">
        <f t="shared" si="203"/>
        <v>0</v>
      </c>
      <c r="AC107" s="1398">
        <f t="shared" si="204"/>
        <v>0</v>
      </c>
      <c r="AD107" s="1398">
        <f t="shared" si="205"/>
        <v>0</v>
      </c>
      <c r="AE107" s="1398">
        <f t="shared" si="206"/>
        <v>0</v>
      </c>
      <c r="AF107" s="1398">
        <f t="shared" si="207"/>
        <v>0</v>
      </c>
      <c r="AG107" s="1398">
        <f t="shared" si="208"/>
        <v>0</v>
      </c>
      <c r="AH107" s="1396"/>
      <c r="AI107" s="462">
        <f t="shared" si="209"/>
        <v>0</v>
      </c>
      <c r="AJ107" s="1112"/>
      <c r="AK107" s="1399"/>
      <c r="AL107" s="829">
        <f t="shared" si="210"/>
        <v>45722</v>
      </c>
      <c r="AM107" s="684">
        <f>IFERROR(IF(AND(AT107="",AR107&lt;&gt;S.CAL!$BJ$3,AR107&lt;&gt;S.CAL!$BJ$4,$AR$95="NON"),M107-BD107,IF(AND(AT107="",AR107&lt;&gt;S.CAL!$BJ$3,AR107&lt;&gt;S.CAL!$BJ$4,$AR$95="OUI"),X107-AI107,IF(AT107&lt;&gt;0,AT107,IF(OR(AR107=S.CAL!$BJ$3,AR107=S.CAL!$BJ$4),AR107,"")))),"")</f>
        <v>0</v>
      </c>
      <c r="AN107" s="1115"/>
      <c r="AO107" s="1116"/>
      <c r="AP107" s="684">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400">
        <f t="shared" si="230"/>
        <v>0</v>
      </c>
      <c r="AR107" s="1120"/>
      <c r="AS107" s="1396"/>
      <c r="AT107" s="1123"/>
      <c r="AU107" s="831"/>
      <c r="AV107" s="1392">
        <f t="shared" si="211"/>
        <v>45722</v>
      </c>
      <c r="AW107" s="1396"/>
      <c r="AX107" s="529">
        <f t="shared" si="231"/>
        <v>45722</v>
      </c>
      <c r="AY107" s="541">
        <f t="shared" si="232"/>
        <v>0</v>
      </c>
      <c r="AZ107" s="538" t="s">
        <v>146</v>
      </c>
      <c r="BA107" s="534">
        <f t="shared" si="233"/>
        <v>0</v>
      </c>
      <c r="BB107" s="567" t="str">
        <f t="shared" si="212"/>
        <v/>
      </c>
      <c r="BC107" s="541">
        <f t="shared" si="234"/>
        <v>0</v>
      </c>
      <c r="BD107" s="541">
        <f t="shared" si="235"/>
        <v>0</v>
      </c>
      <c r="BE107" s="1126"/>
      <c r="BF107" s="532" t="str">
        <f t="shared" si="213"/>
        <v/>
      </c>
      <c r="BG107" s="532" t="str">
        <f t="shared" si="236"/>
        <v>oui</v>
      </c>
      <c r="BH107" s="395" t="str">
        <f t="shared" si="214"/>
        <v/>
      </c>
      <c r="BI107" s="24" t="str">
        <f t="shared" si="215"/>
        <v/>
      </c>
      <c r="BJ107" s="1404"/>
      <c r="BK107" s="1404"/>
      <c r="BL107" s="1404"/>
      <c r="BM107" s="1404"/>
      <c r="BN107" s="1404"/>
      <c r="BO107" s="1404"/>
      <c r="BP107" s="1404"/>
      <c r="BQ107" s="1404"/>
      <c r="BR107" s="1405"/>
      <c r="BS107" s="1392">
        <f t="shared" si="182"/>
        <v>45722</v>
      </c>
      <c r="BT107" s="1406" t="str">
        <f t="shared" si="244"/>
        <v/>
      </c>
      <c r="BU107" s="1404"/>
      <c r="BV107" s="1404"/>
      <c r="BW107" s="1404"/>
      <c r="BX107" s="1404"/>
      <c r="BY107" s="1404"/>
      <c r="BZ107" s="1404"/>
      <c r="CA107" s="1404"/>
      <c r="CB107" s="1404"/>
      <c r="CD107" s="1408">
        <f t="shared" si="237"/>
        <v>0</v>
      </c>
      <c r="DC107" s="16" t="str">
        <f>Mars!FC25</f>
        <v>non</v>
      </c>
      <c r="DG107" s="333">
        <f t="shared" si="238"/>
        <v>1</v>
      </c>
      <c r="DH107" s="129">
        <f t="shared" si="216"/>
        <v>10</v>
      </c>
      <c r="DI107" s="129">
        <f t="shared" si="239"/>
        <v>1</v>
      </c>
      <c r="DK107" s="16">
        <f>+IF(AND(Mars!$DP$8&lt;&gt;52,AR107=S.CAL!$BJ$4),10,1)</f>
        <v>1</v>
      </c>
      <c r="DN107" s="16">
        <f t="shared" si="217"/>
        <v>1</v>
      </c>
      <c r="DU107" s="1296" t="str">
        <f t="shared" si="240"/>
        <v>Fiche infoA445722</v>
      </c>
      <c r="DV107" s="1384">
        <f t="shared" si="218"/>
        <v>0</v>
      </c>
      <c r="DW107" s="1385">
        <f t="shared" si="219"/>
        <v>0</v>
      </c>
      <c r="DX107" s="1385">
        <f t="shared" si="220"/>
        <v>0</v>
      </c>
      <c r="DY107" s="1385">
        <f t="shared" si="221"/>
        <v>0</v>
      </c>
      <c r="DZ107" s="1385">
        <f t="shared" si="222"/>
        <v>0</v>
      </c>
      <c r="EA107" s="1385">
        <f t="shared" si="223"/>
        <v>0</v>
      </c>
      <c r="EB107" s="1385">
        <f t="shared" si="224"/>
        <v>0</v>
      </c>
      <c r="EC107" s="1385">
        <f t="shared" si="225"/>
        <v>0</v>
      </c>
      <c r="ED107" s="1385">
        <f t="shared" si="241"/>
        <v>0</v>
      </c>
      <c r="EE107" s="1386">
        <f t="shared" si="242"/>
        <v>0</v>
      </c>
      <c r="EG107" s="16" t="str">
        <f t="shared" si="243"/>
        <v>102025</v>
      </c>
      <c r="EH107" s="16" t="str">
        <f t="shared" si="226"/>
        <v>Fiche infoA4</v>
      </c>
      <c r="EI107" s="16" t="str">
        <f t="shared" si="227"/>
        <v/>
      </c>
    </row>
    <row r="108" spans="1:145" x14ac:dyDescent="0.2">
      <c r="A108" s="24" t="str">
        <f>Mars!BJ26</f>
        <v>Fiche infoA5</v>
      </c>
      <c r="B108" s="829">
        <f>Mars!AB26</f>
        <v>45723</v>
      </c>
      <c r="C108" s="1393"/>
      <c r="D108" s="1001">
        <f t="shared" si="183"/>
        <v>0</v>
      </c>
      <c r="E108" s="452">
        <f t="shared" si="184"/>
        <v>0</v>
      </c>
      <c r="F108" s="452">
        <f t="shared" si="185"/>
        <v>0</v>
      </c>
      <c r="G108" s="452">
        <f t="shared" si="186"/>
        <v>0</v>
      </c>
      <c r="H108" s="452">
        <f t="shared" si="187"/>
        <v>0</v>
      </c>
      <c r="I108" s="452">
        <f t="shared" si="188"/>
        <v>0</v>
      </c>
      <c r="J108" s="452">
        <f t="shared" si="189"/>
        <v>0</v>
      </c>
      <c r="K108" s="452">
        <f t="shared" si="190"/>
        <v>0</v>
      </c>
      <c r="L108" s="452">
        <f t="shared" si="228"/>
        <v>0</v>
      </c>
      <c r="M108" s="1002">
        <f t="shared" si="229"/>
        <v>0</v>
      </c>
      <c r="O108" s="1001">
        <f t="shared" si="191"/>
        <v>0</v>
      </c>
      <c r="P108" s="452">
        <f t="shared" si="192"/>
        <v>0</v>
      </c>
      <c r="Q108" s="452">
        <f t="shared" si="193"/>
        <v>0</v>
      </c>
      <c r="R108" s="452">
        <f t="shared" si="194"/>
        <v>0</v>
      </c>
      <c r="S108" s="452">
        <f t="shared" si="195"/>
        <v>0</v>
      </c>
      <c r="T108" s="452">
        <f t="shared" si="196"/>
        <v>0</v>
      </c>
      <c r="U108" s="452">
        <f t="shared" si="197"/>
        <v>0</v>
      </c>
      <c r="V108" s="452">
        <f t="shared" si="198"/>
        <v>0</v>
      </c>
      <c r="W108" s="452">
        <f t="shared" si="199"/>
        <v>0</v>
      </c>
      <c r="X108" s="1002">
        <f t="shared" si="200"/>
        <v>0</v>
      </c>
      <c r="Y108" s="459"/>
      <c r="Z108" s="291">
        <f t="shared" si="201"/>
        <v>0</v>
      </c>
      <c r="AA108" s="291">
        <f t="shared" si="202"/>
        <v>0</v>
      </c>
      <c r="AB108" s="291">
        <f t="shared" si="203"/>
        <v>0</v>
      </c>
      <c r="AC108" s="291">
        <f t="shared" si="204"/>
        <v>0</v>
      </c>
      <c r="AD108" s="291">
        <f t="shared" si="205"/>
        <v>0</v>
      </c>
      <c r="AE108" s="291">
        <f t="shared" si="206"/>
        <v>0</v>
      </c>
      <c r="AF108" s="291">
        <f t="shared" si="207"/>
        <v>0</v>
      </c>
      <c r="AG108" s="291">
        <f t="shared" si="208"/>
        <v>0</v>
      </c>
      <c r="AI108" s="462">
        <f t="shared" si="209"/>
        <v>0</v>
      </c>
      <c r="AJ108" s="1112"/>
      <c r="AK108" s="507"/>
      <c r="AL108" s="829">
        <f t="shared" si="210"/>
        <v>45723</v>
      </c>
      <c r="AM108" s="684">
        <f>IFERROR(IF(AND(AT108="",AR108&lt;&gt;S.CAL!$BJ$3,AR108&lt;&gt;S.CAL!$BJ$4,$AR$95="NON"),M108-BD108,IF(AND(AT108="",AR108&lt;&gt;S.CAL!$BJ$3,AR108&lt;&gt;S.CAL!$BJ$4,$AR$95="OUI"),X108-AI108,IF(AT108&lt;&gt;0,AT108,IF(OR(AR108=S.CAL!$BJ$3,AR108=S.CAL!$BJ$4),AR108,"")))),"")</f>
        <v>0</v>
      </c>
      <c r="AN108" s="1115"/>
      <c r="AO108" s="1116"/>
      <c r="AP108" s="684">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516">
        <f t="shared" si="230"/>
        <v>0</v>
      </c>
      <c r="AR108" s="1120"/>
      <c r="AT108" s="1123"/>
      <c r="AU108" s="831"/>
      <c r="AV108" s="1392">
        <f t="shared" si="211"/>
        <v>45723</v>
      </c>
      <c r="AX108" s="529">
        <f t="shared" si="231"/>
        <v>45723</v>
      </c>
      <c r="AY108" s="541">
        <f t="shared" si="232"/>
        <v>0</v>
      </c>
      <c r="AZ108" s="538" t="s">
        <v>146</v>
      </c>
      <c r="BA108" s="534">
        <f t="shared" si="233"/>
        <v>0</v>
      </c>
      <c r="BB108" s="567" t="str">
        <f t="shared" si="212"/>
        <v/>
      </c>
      <c r="BC108" s="541">
        <f t="shared" si="234"/>
        <v>0</v>
      </c>
      <c r="BD108" s="541">
        <f t="shared" si="235"/>
        <v>0</v>
      </c>
      <c r="BE108" s="1126"/>
      <c r="BF108" s="532" t="str">
        <f t="shared" si="213"/>
        <v/>
      </c>
      <c r="BG108" s="532" t="str">
        <f t="shared" si="236"/>
        <v>oui</v>
      </c>
      <c r="BH108" s="395" t="str">
        <f t="shared" si="214"/>
        <v/>
      </c>
      <c r="BI108" s="24" t="str">
        <f t="shared" si="215"/>
        <v/>
      </c>
      <c r="BJ108" s="1403"/>
      <c r="BK108" s="1403"/>
      <c r="BL108" s="1403"/>
      <c r="BM108" s="1403"/>
      <c r="BN108" s="1403"/>
      <c r="BO108" s="1403"/>
      <c r="BP108" s="1403"/>
      <c r="BQ108" s="1403"/>
      <c r="BS108" s="1392">
        <f t="shared" si="182"/>
        <v>45723</v>
      </c>
      <c r="BT108" s="27" t="str">
        <f t="shared" si="244"/>
        <v/>
      </c>
      <c r="BU108" s="1402"/>
      <c r="BV108" s="1402"/>
      <c r="BW108" s="1402"/>
      <c r="BX108" s="1402"/>
      <c r="BY108" s="1402"/>
      <c r="BZ108" s="1402"/>
      <c r="CA108" s="1402"/>
      <c r="CB108" s="1402"/>
      <c r="CD108" s="1408">
        <f t="shared" si="237"/>
        <v>0</v>
      </c>
      <c r="DC108" s="16" t="str">
        <f>Mars!FC26</f>
        <v>non</v>
      </c>
      <c r="DG108" s="333">
        <f t="shared" si="238"/>
        <v>1</v>
      </c>
      <c r="DH108" s="129">
        <f t="shared" si="216"/>
        <v>10</v>
      </c>
      <c r="DI108" s="129">
        <f t="shared" si="239"/>
        <v>1</v>
      </c>
      <c r="DK108" s="16">
        <f>+IF(AND(Mars!$DP$8&lt;&gt;52,AR108=S.CAL!$BJ$4),10,1)</f>
        <v>1</v>
      </c>
      <c r="DN108" s="16">
        <f t="shared" si="217"/>
        <v>1</v>
      </c>
      <c r="DU108" s="1296" t="str">
        <f t="shared" si="240"/>
        <v>Fiche infoA545723</v>
      </c>
      <c r="DV108" s="1384">
        <f t="shared" si="218"/>
        <v>0</v>
      </c>
      <c r="DW108" s="1385">
        <f t="shared" si="219"/>
        <v>0</v>
      </c>
      <c r="DX108" s="1385">
        <f t="shared" si="220"/>
        <v>0</v>
      </c>
      <c r="DY108" s="1385">
        <f t="shared" si="221"/>
        <v>0</v>
      </c>
      <c r="DZ108" s="1385">
        <f t="shared" si="222"/>
        <v>0</v>
      </c>
      <c r="EA108" s="1385">
        <f t="shared" si="223"/>
        <v>0</v>
      </c>
      <c r="EB108" s="1385">
        <f t="shared" si="224"/>
        <v>0</v>
      </c>
      <c r="EC108" s="1385">
        <f t="shared" si="225"/>
        <v>0</v>
      </c>
      <c r="ED108" s="1385">
        <f t="shared" si="241"/>
        <v>0</v>
      </c>
      <c r="EE108" s="1386">
        <f t="shared" si="242"/>
        <v>0</v>
      </c>
      <c r="EG108" s="16" t="str">
        <f t="shared" si="243"/>
        <v>102025</v>
      </c>
      <c r="EH108" s="16" t="str">
        <f t="shared" si="226"/>
        <v>Fiche infoA5</v>
      </c>
      <c r="EI108" s="16" t="str">
        <f t="shared" si="227"/>
        <v/>
      </c>
    </row>
    <row r="109" spans="1:145" x14ac:dyDescent="0.2">
      <c r="A109" s="1395" t="str">
        <f>Mars!BJ27</f>
        <v>Fiche infoA6</v>
      </c>
      <c r="B109" s="829">
        <f>Mars!AB27</f>
        <v>45724</v>
      </c>
      <c r="C109" s="1394"/>
      <c r="D109" s="1001">
        <f t="shared" si="183"/>
        <v>0</v>
      </c>
      <c r="E109" s="452">
        <f t="shared" si="184"/>
        <v>0</v>
      </c>
      <c r="F109" s="452">
        <f t="shared" si="185"/>
        <v>0</v>
      </c>
      <c r="G109" s="452">
        <f t="shared" si="186"/>
        <v>0</v>
      </c>
      <c r="H109" s="452">
        <f t="shared" si="187"/>
        <v>0</v>
      </c>
      <c r="I109" s="452">
        <f t="shared" si="188"/>
        <v>0</v>
      </c>
      <c r="J109" s="452">
        <f t="shared" si="189"/>
        <v>0</v>
      </c>
      <c r="K109" s="452">
        <f t="shared" si="190"/>
        <v>0</v>
      </c>
      <c r="L109" s="452">
        <f t="shared" si="228"/>
        <v>0</v>
      </c>
      <c r="M109" s="1002">
        <f t="shared" si="229"/>
        <v>0</v>
      </c>
      <c r="N109" s="1396"/>
      <c r="O109" s="1001">
        <f t="shared" si="191"/>
        <v>0</v>
      </c>
      <c r="P109" s="452">
        <f t="shared" si="192"/>
        <v>0</v>
      </c>
      <c r="Q109" s="452">
        <f t="shared" si="193"/>
        <v>0</v>
      </c>
      <c r="R109" s="452">
        <f t="shared" si="194"/>
        <v>0</v>
      </c>
      <c r="S109" s="452">
        <f t="shared" si="195"/>
        <v>0</v>
      </c>
      <c r="T109" s="452">
        <f t="shared" si="196"/>
        <v>0</v>
      </c>
      <c r="U109" s="452">
        <f t="shared" si="197"/>
        <v>0</v>
      </c>
      <c r="V109" s="452">
        <f t="shared" si="198"/>
        <v>0</v>
      </c>
      <c r="W109" s="452">
        <f t="shared" si="199"/>
        <v>0</v>
      </c>
      <c r="X109" s="1002">
        <f t="shared" si="200"/>
        <v>0</v>
      </c>
      <c r="Y109" s="1397"/>
      <c r="Z109" s="1398">
        <f t="shared" si="201"/>
        <v>0</v>
      </c>
      <c r="AA109" s="1398">
        <f t="shared" si="202"/>
        <v>0</v>
      </c>
      <c r="AB109" s="1398">
        <f t="shared" si="203"/>
        <v>0</v>
      </c>
      <c r="AC109" s="1398">
        <f t="shared" si="204"/>
        <v>0</v>
      </c>
      <c r="AD109" s="1398">
        <f t="shared" si="205"/>
        <v>0</v>
      </c>
      <c r="AE109" s="1398">
        <f t="shared" si="206"/>
        <v>0</v>
      </c>
      <c r="AF109" s="1398">
        <f t="shared" si="207"/>
        <v>0</v>
      </c>
      <c r="AG109" s="1398">
        <f t="shared" si="208"/>
        <v>0</v>
      </c>
      <c r="AH109" s="1396"/>
      <c r="AI109" s="462">
        <f t="shared" si="209"/>
        <v>0</v>
      </c>
      <c r="AJ109" s="1112"/>
      <c r="AK109" s="1399"/>
      <c r="AL109" s="829">
        <f t="shared" si="210"/>
        <v>45724</v>
      </c>
      <c r="AM109" s="684">
        <f>IFERROR(IF(AND(AT109="",AR109&lt;&gt;S.CAL!$BJ$3,AR109&lt;&gt;S.CAL!$BJ$4,$AR$95="NON"),M109-BD109,IF(AND(AT109="",AR109&lt;&gt;S.CAL!$BJ$3,AR109&lt;&gt;S.CAL!$BJ$4,$AR$95="OUI"),X109-AI109,IF(AT109&lt;&gt;0,AT109,IF(OR(AR109=S.CAL!$BJ$3,AR109=S.CAL!$BJ$4),AR109,"")))),"")</f>
        <v>0</v>
      </c>
      <c r="AN109" s="1115"/>
      <c r="AO109" s="1116"/>
      <c r="AP109" s="684">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400">
        <f t="shared" si="230"/>
        <v>0</v>
      </c>
      <c r="AR109" s="1120"/>
      <c r="AS109" s="1396"/>
      <c r="AT109" s="1123"/>
      <c r="AU109" s="831"/>
      <c r="AV109" s="1392">
        <f t="shared" si="211"/>
        <v>45724</v>
      </c>
      <c r="AW109" s="1396"/>
      <c r="AX109" s="529">
        <f t="shared" si="231"/>
        <v>45724</v>
      </c>
      <c r="AY109" s="541">
        <f t="shared" si="232"/>
        <v>0</v>
      </c>
      <c r="AZ109" s="538" t="s">
        <v>146</v>
      </c>
      <c r="BA109" s="534">
        <f t="shared" si="233"/>
        <v>0</v>
      </c>
      <c r="BB109" s="567" t="str">
        <f t="shared" si="212"/>
        <v/>
      </c>
      <c r="BC109" s="541">
        <f t="shared" si="234"/>
        <v>0</v>
      </c>
      <c r="BD109" s="541">
        <f t="shared" si="235"/>
        <v>0</v>
      </c>
      <c r="BE109" s="1126"/>
      <c r="BF109" s="532" t="str">
        <f t="shared" si="213"/>
        <v/>
      </c>
      <c r="BG109" s="532" t="str">
        <f t="shared" si="236"/>
        <v>oui</v>
      </c>
      <c r="BH109" s="395" t="str">
        <f t="shared" si="214"/>
        <v/>
      </c>
      <c r="BI109" s="24" t="str">
        <f t="shared" si="215"/>
        <v/>
      </c>
      <c r="BJ109" s="1404"/>
      <c r="BK109" s="1404"/>
      <c r="BL109" s="1404"/>
      <c r="BM109" s="1404"/>
      <c r="BN109" s="1404"/>
      <c r="BO109" s="1404"/>
      <c r="BP109" s="1404"/>
      <c r="BQ109" s="1404"/>
      <c r="BR109" s="1405"/>
      <c r="BS109" s="1392">
        <f t="shared" si="182"/>
        <v>45724</v>
      </c>
      <c r="BT109" s="1406" t="str">
        <f t="shared" si="244"/>
        <v/>
      </c>
      <c r="BU109" s="1404"/>
      <c r="BV109" s="1404"/>
      <c r="BW109" s="1404"/>
      <c r="BX109" s="1404"/>
      <c r="BY109" s="1404"/>
      <c r="BZ109" s="1404"/>
      <c r="CA109" s="1404"/>
      <c r="CB109" s="1404"/>
      <c r="CD109" s="1408">
        <f t="shared" si="237"/>
        <v>0</v>
      </c>
      <c r="DC109" s="16" t="str">
        <f>Mars!FC27</f>
        <v>non</v>
      </c>
      <c r="DG109" s="333">
        <f t="shared" si="238"/>
        <v>1</v>
      </c>
      <c r="DH109" s="129">
        <f t="shared" si="216"/>
        <v>10</v>
      </c>
      <c r="DI109" s="129">
        <f t="shared" si="239"/>
        <v>1</v>
      </c>
      <c r="DK109" s="16">
        <f>+IF(AND(Mars!$DP$8&lt;&gt;52,AR109=S.CAL!$BJ$4),10,1)</f>
        <v>1</v>
      </c>
      <c r="DN109" s="16">
        <f t="shared" si="217"/>
        <v>1</v>
      </c>
      <c r="DU109" s="1296" t="str">
        <f t="shared" si="240"/>
        <v>Fiche infoA645724</v>
      </c>
      <c r="DV109" s="1384">
        <f t="shared" si="218"/>
        <v>0</v>
      </c>
      <c r="DW109" s="1385">
        <f t="shared" si="219"/>
        <v>0</v>
      </c>
      <c r="DX109" s="1385">
        <f t="shared" si="220"/>
        <v>0</v>
      </c>
      <c r="DY109" s="1385">
        <f t="shared" si="221"/>
        <v>0</v>
      </c>
      <c r="DZ109" s="1385">
        <f t="shared" si="222"/>
        <v>0</v>
      </c>
      <c r="EA109" s="1385">
        <f t="shared" si="223"/>
        <v>0</v>
      </c>
      <c r="EB109" s="1385">
        <f t="shared" si="224"/>
        <v>0</v>
      </c>
      <c r="EC109" s="1385">
        <f t="shared" si="225"/>
        <v>0</v>
      </c>
      <c r="ED109" s="1385">
        <f t="shared" si="241"/>
        <v>0</v>
      </c>
      <c r="EE109" s="1386">
        <f t="shared" si="242"/>
        <v>0</v>
      </c>
      <c r="EG109" s="16" t="str">
        <f t="shared" si="243"/>
        <v>102025</v>
      </c>
      <c r="EH109" s="16" t="str">
        <f t="shared" si="226"/>
        <v>Fiche infoA6</v>
      </c>
      <c r="EI109" s="16" t="str">
        <f t="shared" si="227"/>
        <v/>
      </c>
    </row>
    <row r="110" spans="1:145" x14ac:dyDescent="0.2">
      <c r="A110" s="24" t="str">
        <f>Mars!BJ28</f>
        <v>Fiche infoA7</v>
      </c>
      <c r="B110" s="829">
        <f>Mars!AB28</f>
        <v>45725</v>
      </c>
      <c r="C110" s="1393"/>
      <c r="D110" s="1001">
        <f t="shared" si="183"/>
        <v>0</v>
      </c>
      <c r="E110" s="452">
        <f t="shared" si="184"/>
        <v>0</v>
      </c>
      <c r="F110" s="452">
        <f t="shared" si="185"/>
        <v>0</v>
      </c>
      <c r="G110" s="452">
        <f t="shared" si="186"/>
        <v>0</v>
      </c>
      <c r="H110" s="452">
        <f t="shared" si="187"/>
        <v>0</v>
      </c>
      <c r="I110" s="452">
        <f t="shared" si="188"/>
        <v>0</v>
      </c>
      <c r="J110" s="452">
        <f t="shared" si="189"/>
        <v>0</v>
      </c>
      <c r="K110" s="452">
        <f t="shared" si="190"/>
        <v>0</v>
      </c>
      <c r="L110" s="452">
        <f t="shared" si="228"/>
        <v>0</v>
      </c>
      <c r="M110" s="1002">
        <f t="shared" si="229"/>
        <v>0</v>
      </c>
      <c r="O110" s="1001">
        <f>IF(AR110&lt;&gt;"",0,IF(DC110="oui",0,IF(AND(ISTEXT(AT110)=TRUE,BJ110=""),0,IF(BJ110="",D110,BJ110))))</f>
        <v>0</v>
      </c>
      <c r="P110" s="452">
        <f>IF(AR110&lt;&gt;"",0,IF(DC110="oui",0,IF(AND(ISTEXT(AT110)=TRUE,BK110=""),0,IF(BK110="",E110,BK110))))</f>
        <v>0</v>
      </c>
      <c r="Q110" s="452">
        <f>IF(AR110&lt;&gt;"",0,IF(DC110="oui",0,IF(AND(ISTEXT(AT110)=TRUE,BL110=""),0,IF(BL110="",F110,BL110))))</f>
        <v>0</v>
      </c>
      <c r="R110" s="452">
        <f>IF(AR110&lt;&gt;"",0,IF(DC110="oui",0,IF(AND(ISTEXT(AT110)=TRUE,BM110=""),0,IF(BM110="",G110,BM110))))</f>
        <v>0</v>
      </c>
      <c r="S110" s="452">
        <f>IF(AR110&lt;&gt;"",0,IF(DC110="oui",0,IF(AND(ISTEXT(AT110)=TRUE,BN110=""),0,IF(BN110="",H110,BN110))))</f>
        <v>0</v>
      </c>
      <c r="T110" s="452">
        <f>IF(AR110&lt;&gt;"",0,IF(DC110="oui",0,IF(AND(ISTEXT(AT110)=TRUE,BO110=""),0,IF(BO110="",I110,BO110))))</f>
        <v>0</v>
      </c>
      <c r="U110" s="452">
        <f>IF(AR110&lt;&gt;"",0,IF(DC110="oui",0,IF(AND(ISTEXT(AT110)=TRUE,BP110=""),0,IF(BP110="",J110,BP110))))</f>
        <v>0</v>
      </c>
      <c r="V110" s="452">
        <f>IF(AR110&lt;&gt;"",0,IF(DC110="oui",0,IF(AND(ISTEXT(AT110)=TRUE,BQ110=""),0,IF(BQ110="",K110,BQ110))))</f>
        <v>0</v>
      </c>
      <c r="W110" s="452">
        <f t="shared" si="199"/>
        <v>0</v>
      </c>
      <c r="X110" s="1002">
        <f t="shared" si="200"/>
        <v>0</v>
      </c>
      <c r="Y110" s="459"/>
      <c r="Z110" s="291">
        <f t="shared" si="201"/>
        <v>0</v>
      </c>
      <c r="AA110" s="291">
        <f t="shared" si="202"/>
        <v>0</v>
      </c>
      <c r="AB110" s="291">
        <f t="shared" si="203"/>
        <v>0</v>
      </c>
      <c r="AC110" s="291">
        <f t="shared" si="204"/>
        <v>0</v>
      </c>
      <c r="AD110" s="291">
        <f t="shared" si="205"/>
        <v>0</v>
      </c>
      <c r="AE110" s="291">
        <f t="shared" si="206"/>
        <v>0</v>
      </c>
      <c r="AF110" s="291">
        <f t="shared" si="207"/>
        <v>0</v>
      </c>
      <c r="AG110" s="291">
        <f t="shared" si="208"/>
        <v>0</v>
      </c>
      <c r="AI110" s="462">
        <f>IF(DC110="oui",0,IF(AND(ISTEXT(AT110)=TRUE,OR(X110=0,X110="")),0,ROUND(((((AA110-Z110)-(E110-D110))+((AC110-AB110)-(G110-F110))+((AE110-AD110)-(I110-H110))+(AG110-AF110)-(K110-J110))*24),2)))</f>
        <v>0</v>
      </c>
      <c r="AJ110" s="1112"/>
      <c r="AK110" s="507"/>
      <c r="AL110" s="829">
        <f t="shared" si="210"/>
        <v>45725</v>
      </c>
      <c r="AM110" s="684">
        <f>IFERROR(IF(AND(AT110="",AR110&lt;&gt;S.CAL!$BJ$3,AR110&lt;&gt;S.CAL!$BJ$4,$AR$95="NON"),M110-BD110,IF(AND(AT110="",AR110&lt;&gt;S.CAL!$BJ$3,AR110&lt;&gt;S.CAL!$BJ$4,$AR$95="OUI"),X110-AI110,IF(AT110&lt;&gt;0,AT110,IF(OR(AR110=S.CAL!$BJ$3,AR110=S.CAL!$BJ$4),AR110,"")))),"")</f>
        <v>0</v>
      </c>
      <c r="AN110" s="1115"/>
      <c r="AO110" s="1116"/>
      <c r="AP110" s="684">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516">
        <f t="shared" si="230"/>
        <v>0</v>
      </c>
      <c r="AR110" s="1120"/>
      <c r="AT110" s="1123"/>
      <c r="AU110" s="831"/>
      <c r="AV110" s="1392">
        <f t="shared" si="211"/>
        <v>45725</v>
      </c>
      <c r="AX110" s="529">
        <f t="shared" si="231"/>
        <v>45725</v>
      </c>
      <c r="AY110" s="541">
        <f t="shared" si="232"/>
        <v>0</v>
      </c>
      <c r="AZ110" s="538" t="s">
        <v>146</v>
      </c>
      <c r="BA110" s="534">
        <f t="shared" si="233"/>
        <v>0</v>
      </c>
      <c r="BB110" s="567" t="str">
        <f t="shared" si="212"/>
        <v/>
      </c>
      <c r="BC110" s="541">
        <f t="shared" si="234"/>
        <v>0</v>
      </c>
      <c r="BD110" s="541">
        <f t="shared" si="235"/>
        <v>0</v>
      </c>
      <c r="BE110" s="1126"/>
      <c r="BF110" s="532" t="str">
        <f t="shared" si="213"/>
        <v/>
      </c>
      <c r="BG110" s="532" t="str">
        <f t="shared" si="236"/>
        <v>oui</v>
      </c>
      <c r="BH110" s="395" t="str">
        <f t="shared" si="214"/>
        <v/>
      </c>
      <c r="BI110" s="24" t="str">
        <f t="shared" si="215"/>
        <v/>
      </c>
      <c r="BJ110" s="1403"/>
      <c r="BK110" s="1403"/>
      <c r="BL110" s="1403"/>
      <c r="BM110" s="1403"/>
      <c r="BN110" s="1403"/>
      <c r="BO110" s="1403"/>
      <c r="BP110" s="1403"/>
      <c r="BQ110" s="1403"/>
      <c r="BS110" s="1392">
        <f t="shared" si="182"/>
        <v>45725</v>
      </c>
      <c r="BT110" s="27" t="str">
        <f t="shared" si="244"/>
        <v/>
      </c>
      <c r="BU110" s="1402"/>
      <c r="BV110" s="1402"/>
      <c r="BW110" s="1402"/>
      <c r="BX110" s="1402"/>
      <c r="BY110" s="1402"/>
      <c r="BZ110" s="1402"/>
      <c r="CA110" s="1402"/>
      <c r="CB110" s="1402"/>
      <c r="CD110" s="1408">
        <f t="shared" si="237"/>
        <v>0</v>
      </c>
      <c r="DC110" s="16" t="str">
        <f>Mars!FC28</f>
        <v>non</v>
      </c>
      <c r="DG110" s="333">
        <f t="shared" si="238"/>
        <v>1</v>
      </c>
      <c r="DH110" s="129">
        <f t="shared" si="216"/>
        <v>10</v>
      </c>
      <c r="DI110" s="129">
        <f t="shared" si="239"/>
        <v>1</v>
      </c>
      <c r="DK110" s="16">
        <f>+IF(AND(Mars!$DP$8&lt;&gt;52,AR110=S.CAL!$BJ$4),10,1)</f>
        <v>1</v>
      </c>
      <c r="DN110" s="16">
        <f t="shared" si="217"/>
        <v>1</v>
      </c>
      <c r="DU110" s="1296" t="str">
        <f t="shared" si="240"/>
        <v>Fiche infoA745725</v>
      </c>
      <c r="DV110" s="1384">
        <f t="shared" si="218"/>
        <v>0</v>
      </c>
      <c r="DW110" s="1385">
        <f t="shared" si="219"/>
        <v>0</v>
      </c>
      <c r="DX110" s="1385">
        <f t="shared" si="220"/>
        <v>0</v>
      </c>
      <c r="DY110" s="1385">
        <f t="shared" si="221"/>
        <v>0</v>
      </c>
      <c r="DZ110" s="1385">
        <f t="shared" si="222"/>
        <v>0</v>
      </c>
      <c r="EA110" s="1385">
        <f t="shared" si="223"/>
        <v>0</v>
      </c>
      <c r="EB110" s="1385">
        <f t="shared" si="224"/>
        <v>0</v>
      </c>
      <c r="EC110" s="1385">
        <f t="shared" si="225"/>
        <v>0</v>
      </c>
      <c r="ED110" s="1385">
        <f t="shared" si="241"/>
        <v>0</v>
      </c>
      <c r="EE110" s="1386">
        <f t="shared" si="242"/>
        <v>0</v>
      </c>
      <c r="EG110" s="16" t="str">
        <f t="shared" si="243"/>
        <v>102025</v>
      </c>
      <c r="EH110" s="16" t="str">
        <f t="shared" si="226"/>
        <v>Fiche infoA7</v>
      </c>
      <c r="EI110" s="16" t="str">
        <f t="shared" si="227"/>
        <v/>
      </c>
    </row>
    <row r="111" spans="1:145" x14ac:dyDescent="0.2">
      <c r="A111" s="1395" t="str">
        <f>Mars!BJ29</f>
        <v>Fiche infoA1</v>
      </c>
      <c r="B111" s="829">
        <f>Mars!AB29</f>
        <v>45726</v>
      </c>
      <c r="C111" s="1394"/>
      <c r="D111" s="1001">
        <f t="shared" si="183"/>
        <v>0</v>
      </c>
      <c r="E111" s="452">
        <f t="shared" si="184"/>
        <v>0</v>
      </c>
      <c r="F111" s="452">
        <f t="shared" si="185"/>
        <v>0</v>
      </c>
      <c r="G111" s="452">
        <f t="shared" si="186"/>
        <v>0</v>
      </c>
      <c r="H111" s="452">
        <f t="shared" si="187"/>
        <v>0</v>
      </c>
      <c r="I111" s="452">
        <f t="shared" si="188"/>
        <v>0</v>
      </c>
      <c r="J111" s="452">
        <f t="shared" si="189"/>
        <v>0</v>
      </c>
      <c r="K111" s="452">
        <f t="shared" si="190"/>
        <v>0</v>
      </c>
      <c r="L111" s="452">
        <f t="shared" si="228"/>
        <v>0</v>
      </c>
      <c r="M111" s="1002">
        <f t="shared" si="229"/>
        <v>0</v>
      </c>
      <c r="N111" s="1396"/>
      <c r="O111" s="1001">
        <f t="shared" ref="O111:O132" si="245">IF(AR111&lt;&gt;"",0,IF(DC111="oui",0,IF(AND(ISTEXT(AT111)=TRUE,BJ111=""),0,IF(BJ111="",D111,BJ111))))</f>
        <v>0</v>
      </c>
      <c r="P111" s="452">
        <f t="shared" ref="P111:P132" si="246">IF(AR111&lt;&gt;"",0,IF(DC111="oui",0,IF(AND(ISTEXT(AT111)=TRUE,BK111=""),0,IF(BK111="",E111,BK111))))</f>
        <v>0</v>
      </c>
      <c r="Q111" s="452">
        <f t="shared" ref="Q111:Q132" si="247">IF(AR111&lt;&gt;"",0,IF(DC111="oui",0,IF(AND(ISTEXT(AT111)=TRUE,BL111=""),0,IF(BL111="",F111,BL111))))</f>
        <v>0</v>
      </c>
      <c r="R111" s="452">
        <f t="shared" ref="R111:R132" si="248">IF(AR111&lt;&gt;"",0,IF(DC111="oui",0,IF(AND(ISTEXT(AT111)=TRUE,BM111=""),0,IF(BM111="",G111,BM111))))</f>
        <v>0</v>
      </c>
      <c r="S111" s="452">
        <f t="shared" ref="S111:S132" si="249">IF(AR111&lt;&gt;"",0,IF(DC111="oui",0,IF(AND(ISTEXT(AT111)=TRUE,BN111=""),0,IF(BN111="",H111,BN111))))</f>
        <v>0</v>
      </c>
      <c r="T111" s="452">
        <f t="shared" ref="T111:T132" si="250">IF(AR111&lt;&gt;"",0,IF(DC111="oui",0,IF(AND(ISTEXT(AT111)=TRUE,BO111=""),0,IF(BO111="",I111,BO111))))</f>
        <v>0</v>
      </c>
      <c r="U111" s="452">
        <f t="shared" ref="U111:U132" si="251">IF(AR111&lt;&gt;"",0,IF(DC111="oui",0,IF(AND(ISTEXT(AT111)=TRUE,BP111=""),0,IF(BP111="",J111,BP111))))</f>
        <v>0</v>
      </c>
      <c r="V111" s="452">
        <f t="shared" ref="V111:V132" si="252">IF(AR111&lt;&gt;"",0,IF(DC111="oui",0,IF(AND(ISTEXT(AT111)=TRUE,BQ111=""),0,IF(BQ111="",K111,BQ111))))</f>
        <v>0</v>
      </c>
      <c r="W111" s="452">
        <f t="shared" si="199"/>
        <v>0</v>
      </c>
      <c r="X111" s="1002">
        <f t="shared" si="200"/>
        <v>0</v>
      </c>
      <c r="Y111" s="1397"/>
      <c r="Z111" s="1398">
        <f t="shared" si="201"/>
        <v>0</v>
      </c>
      <c r="AA111" s="1398">
        <f t="shared" si="202"/>
        <v>0</v>
      </c>
      <c r="AB111" s="1398">
        <f t="shared" si="203"/>
        <v>0</v>
      </c>
      <c r="AC111" s="1398">
        <f t="shared" si="204"/>
        <v>0</v>
      </c>
      <c r="AD111" s="1398">
        <f t="shared" si="205"/>
        <v>0</v>
      </c>
      <c r="AE111" s="1398">
        <f t="shared" si="206"/>
        <v>0</v>
      </c>
      <c r="AF111" s="1398">
        <f t="shared" si="207"/>
        <v>0</v>
      </c>
      <c r="AG111" s="1398">
        <f t="shared" si="208"/>
        <v>0</v>
      </c>
      <c r="AH111" s="1396"/>
      <c r="AI111" s="462">
        <f t="shared" ref="AI111:AI132" si="253">IF(DC111="oui",0,IF(AND(ISTEXT(AT111)=TRUE,OR(X111=0,X111="")),0,ROUND(((((AA111-Z111)-(E111-D111))+((AC111-AB111)-(G111-F111))+((AE111-AD111)-(I111-H111))+(AG111-AF111)-(K111-J111))*24),2)))</f>
        <v>0</v>
      </c>
      <c r="AJ111" s="1112"/>
      <c r="AK111" s="1399"/>
      <c r="AL111" s="829">
        <f t="shared" si="210"/>
        <v>45726</v>
      </c>
      <c r="AM111" s="684">
        <f>IFERROR(IF(AND(AT111="",AR111&lt;&gt;S.CAL!$BJ$3,AR111&lt;&gt;S.CAL!$BJ$4,$AR$95="NON"),M111-BD111,IF(AND(AT111="",AR111&lt;&gt;S.CAL!$BJ$3,AR111&lt;&gt;S.CAL!$BJ$4,$AR$95="OUI"),X111-AI111,IF(AT111&lt;&gt;0,AT111,IF(OR(AR111=S.CAL!$BJ$3,AR111=S.CAL!$BJ$4),AR111,"")))),"")</f>
        <v>0</v>
      </c>
      <c r="AN111" s="1115"/>
      <c r="AO111" s="1116"/>
      <c r="AP111" s="684">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400">
        <f t="shared" si="230"/>
        <v>0</v>
      </c>
      <c r="AR111" s="1120"/>
      <c r="AS111" s="1396"/>
      <c r="AT111" s="1123"/>
      <c r="AU111" s="831"/>
      <c r="AV111" s="1392">
        <f t="shared" si="211"/>
        <v>45726</v>
      </c>
      <c r="AW111" s="1396"/>
      <c r="AX111" s="529">
        <f t="shared" si="231"/>
        <v>45726</v>
      </c>
      <c r="AY111" s="541">
        <f t="shared" si="232"/>
        <v>0</v>
      </c>
      <c r="AZ111" s="538" t="s">
        <v>146</v>
      </c>
      <c r="BA111" s="534">
        <f t="shared" si="233"/>
        <v>0</v>
      </c>
      <c r="BB111" s="567" t="str">
        <f t="shared" si="212"/>
        <v/>
      </c>
      <c r="BC111" s="541">
        <f t="shared" si="234"/>
        <v>0</v>
      </c>
      <c r="BD111" s="541">
        <f t="shared" si="235"/>
        <v>0</v>
      </c>
      <c r="BE111" s="1126"/>
      <c r="BF111" s="532" t="str">
        <f t="shared" si="213"/>
        <v/>
      </c>
      <c r="BG111" s="532" t="str">
        <f t="shared" si="236"/>
        <v>oui</v>
      </c>
      <c r="BH111" s="395" t="str">
        <f t="shared" si="214"/>
        <v/>
      </c>
      <c r="BI111" s="24" t="str">
        <f t="shared" si="215"/>
        <v/>
      </c>
      <c r="BJ111" s="1404"/>
      <c r="BK111" s="1404"/>
      <c r="BL111" s="1404"/>
      <c r="BM111" s="1404"/>
      <c r="BN111" s="1404"/>
      <c r="BO111" s="1404"/>
      <c r="BP111" s="1404"/>
      <c r="BQ111" s="1404"/>
      <c r="BR111" s="1405"/>
      <c r="BS111" s="1392">
        <f t="shared" si="182"/>
        <v>45726</v>
      </c>
      <c r="BT111" s="1406">
        <f t="shared" si="244"/>
        <v>11</v>
      </c>
      <c r="BU111" s="1404"/>
      <c r="BV111" s="1404"/>
      <c r="BW111" s="1404"/>
      <c r="BX111" s="1404"/>
      <c r="BY111" s="1404"/>
      <c r="BZ111" s="1404"/>
      <c r="CA111" s="1404"/>
      <c r="CB111" s="1404"/>
      <c r="CD111" s="1408">
        <f t="shared" si="237"/>
        <v>0</v>
      </c>
      <c r="DC111" s="16" t="str">
        <f>Mars!FC29</f>
        <v>non</v>
      </c>
      <c r="DG111" s="333">
        <f t="shared" si="238"/>
        <v>1</v>
      </c>
      <c r="DH111" s="129">
        <f t="shared" si="216"/>
        <v>10</v>
      </c>
      <c r="DI111" s="129">
        <f t="shared" si="239"/>
        <v>1</v>
      </c>
      <c r="DK111" s="16">
        <f>+IF(AND(Mars!$DP$8&lt;&gt;52,AR111=S.CAL!$BJ$4),10,1)</f>
        <v>1</v>
      </c>
      <c r="DN111" s="16">
        <f t="shared" si="217"/>
        <v>1</v>
      </c>
      <c r="DU111" s="1296" t="str">
        <f t="shared" si="240"/>
        <v>Fiche infoA145726</v>
      </c>
      <c r="DV111" s="1384">
        <f t="shared" si="218"/>
        <v>0</v>
      </c>
      <c r="DW111" s="1385">
        <f t="shared" si="219"/>
        <v>0</v>
      </c>
      <c r="DX111" s="1385">
        <f t="shared" si="220"/>
        <v>0</v>
      </c>
      <c r="DY111" s="1385">
        <f t="shared" si="221"/>
        <v>0</v>
      </c>
      <c r="DZ111" s="1385">
        <f t="shared" si="222"/>
        <v>0</v>
      </c>
      <c r="EA111" s="1385">
        <f t="shared" si="223"/>
        <v>0</v>
      </c>
      <c r="EB111" s="1385">
        <f t="shared" si="224"/>
        <v>0</v>
      </c>
      <c r="EC111" s="1385">
        <f t="shared" si="225"/>
        <v>0</v>
      </c>
      <c r="ED111" s="1385">
        <f t="shared" si="241"/>
        <v>0</v>
      </c>
      <c r="EE111" s="1386">
        <f t="shared" si="242"/>
        <v>0</v>
      </c>
      <c r="EG111" s="16" t="str">
        <f t="shared" si="243"/>
        <v>112025</v>
      </c>
      <c r="EH111" s="16" t="str">
        <f t="shared" si="226"/>
        <v>Fiche infoA1</v>
      </c>
      <c r="EI111" s="16" t="str">
        <f t="shared" si="227"/>
        <v/>
      </c>
    </row>
    <row r="112" spans="1:145" x14ac:dyDescent="0.2">
      <c r="A112" s="24" t="str">
        <f>Mars!BJ30</f>
        <v>Fiche infoA2</v>
      </c>
      <c r="B112" s="829">
        <f>Mars!AB30</f>
        <v>45727</v>
      </c>
      <c r="C112" s="1393"/>
      <c r="D112" s="1001">
        <f t="shared" si="183"/>
        <v>0</v>
      </c>
      <c r="E112" s="452">
        <f t="shared" si="184"/>
        <v>0</v>
      </c>
      <c r="F112" s="452">
        <f t="shared" si="185"/>
        <v>0</v>
      </c>
      <c r="G112" s="452">
        <f t="shared" si="186"/>
        <v>0</v>
      </c>
      <c r="H112" s="452">
        <f t="shared" si="187"/>
        <v>0</v>
      </c>
      <c r="I112" s="452">
        <f t="shared" si="188"/>
        <v>0</v>
      </c>
      <c r="J112" s="452">
        <f t="shared" si="189"/>
        <v>0</v>
      </c>
      <c r="K112" s="452">
        <f t="shared" si="190"/>
        <v>0</v>
      </c>
      <c r="L112" s="452">
        <f t="shared" si="228"/>
        <v>0</v>
      </c>
      <c r="M112" s="1002">
        <f t="shared" si="229"/>
        <v>0</v>
      </c>
      <c r="O112" s="1001">
        <f t="shared" si="245"/>
        <v>0</v>
      </c>
      <c r="P112" s="452">
        <f t="shared" si="246"/>
        <v>0</v>
      </c>
      <c r="Q112" s="452">
        <f t="shared" si="247"/>
        <v>0</v>
      </c>
      <c r="R112" s="452">
        <f t="shared" si="248"/>
        <v>0</v>
      </c>
      <c r="S112" s="452">
        <f t="shared" si="249"/>
        <v>0</v>
      </c>
      <c r="T112" s="452">
        <f t="shared" si="250"/>
        <v>0</v>
      </c>
      <c r="U112" s="452">
        <f t="shared" si="251"/>
        <v>0</v>
      </c>
      <c r="V112" s="452">
        <f t="shared" si="252"/>
        <v>0</v>
      </c>
      <c r="W112" s="452">
        <f t="shared" si="199"/>
        <v>0</v>
      </c>
      <c r="X112" s="1002">
        <f t="shared" si="200"/>
        <v>0</v>
      </c>
      <c r="Y112" s="459"/>
      <c r="Z112" s="291">
        <f t="shared" si="201"/>
        <v>0</v>
      </c>
      <c r="AA112" s="291">
        <f t="shared" si="202"/>
        <v>0</v>
      </c>
      <c r="AB112" s="291">
        <f t="shared" si="203"/>
        <v>0</v>
      </c>
      <c r="AC112" s="291">
        <f t="shared" si="204"/>
        <v>0</v>
      </c>
      <c r="AD112" s="291">
        <f t="shared" si="205"/>
        <v>0</v>
      </c>
      <c r="AE112" s="291">
        <f t="shared" si="206"/>
        <v>0</v>
      </c>
      <c r="AF112" s="291">
        <f t="shared" si="207"/>
        <v>0</v>
      </c>
      <c r="AG112" s="291">
        <f t="shared" si="208"/>
        <v>0</v>
      </c>
      <c r="AI112" s="462">
        <f t="shared" si="253"/>
        <v>0</v>
      </c>
      <c r="AJ112" s="1112"/>
      <c r="AK112" s="507"/>
      <c r="AL112" s="829">
        <f t="shared" si="210"/>
        <v>45727</v>
      </c>
      <c r="AM112" s="684">
        <f>IFERROR(IF(AND(AT112="",AR112&lt;&gt;S.CAL!$BJ$3,AR112&lt;&gt;S.CAL!$BJ$4,$AR$95="NON"),M112-BD112,IF(AND(AT112="",AR112&lt;&gt;S.CAL!$BJ$3,AR112&lt;&gt;S.CAL!$BJ$4,$AR$95="OUI"),X112-AI112,IF(AT112&lt;&gt;0,AT112,IF(OR(AR112=S.CAL!$BJ$3,AR112=S.CAL!$BJ$4),AR112,"")))),"")</f>
        <v>0</v>
      </c>
      <c r="AN112" s="1115"/>
      <c r="AO112" s="1116"/>
      <c r="AP112" s="684">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516">
        <f t="shared" si="230"/>
        <v>0</v>
      </c>
      <c r="AR112" s="1120"/>
      <c r="AT112" s="1123"/>
      <c r="AU112" s="831"/>
      <c r="AV112" s="1392">
        <f t="shared" si="211"/>
        <v>45727</v>
      </c>
      <c r="AX112" s="529">
        <f t="shared" si="231"/>
        <v>45727</v>
      </c>
      <c r="AY112" s="541">
        <f t="shared" si="232"/>
        <v>0</v>
      </c>
      <c r="AZ112" s="538" t="s">
        <v>146</v>
      </c>
      <c r="BA112" s="534">
        <f t="shared" si="233"/>
        <v>0</v>
      </c>
      <c r="BB112" s="567" t="str">
        <f t="shared" si="212"/>
        <v/>
      </c>
      <c r="BC112" s="541">
        <f t="shared" si="234"/>
        <v>0</v>
      </c>
      <c r="BD112" s="541">
        <f t="shared" si="235"/>
        <v>0</v>
      </c>
      <c r="BE112" s="1126"/>
      <c r="BF112" s="532" t="str">
        <f t="shared" si="213"/>
        <v/>
      </c>
      <c r="BG112" s="532" t="str">
        <f t="shared" si="236"/>
        <v>oui</v>
      </c>
      <c r="BH112" s="395" t="str">
        <f t="shared" si="214"/>
        <v/>
      </c>
      <c r="BI112" s="24" t="str">
        <f t="shared" si="215"/>
        <v/>
      </c>
      <c r="BJ112" s="1403"/>
      <c r="BK112" s="1403"/>
      <c r="BL112" s="1403"/>
      <c r="BM112" s="1403"/>
      <c r="BN112" s="1403"/>
      <c r="BO112" s="1403"/>
      <c r="BP112" s="1403"/>
      <c r="BQ112" s="1403"/>
      <c r="BS112" s="1392">
        <f t="shared" si="182"/>
        <v>45727</v>
      </c>
      <c r="BT112" s="27" t="str">
        <f t="shared" si="244"/>
        <v/>
      </c>
      <c r="BU112" s="1402"/>
      <c r="BV112" s="1402"/>
      <c r="BW112" s="1402"/>
      <c r="BX112" s="1402"/>
      <c r="BY112" s="1402"/>
      <c r="BZ112" s="1402"/>
      <c r="CA112" s="1402"/>
      <c r="CB112" s="1402"/>
      <c r="CD112" s="1408">
        <f t="shared" si="237"/>
        <v>0</v>
      </c>
      <c r="DC112" s="16" t="str">
        <f>Mars!FC30</f>
        <v>non</v>
      </c>
      <c r="DG112" s="333">
        <f t="shared" si="238"/>
        <v>1</v>
      </c>
      <c r="DH112" s="129">
        <f t="shared" si="216"/>
        <v>10</v>
      </c>
      <c r="DI112" s="129">
        <f t="shared" si="239"/>
        <v>1</v>
      </c>
      <c r="DK112" s="16">
        <f>+IF(AND(Mars!$DP$8&lt;&gt;52,AR112=S.CAL!$BJ$4),10,1)</f>
        <v>1</v>
      </c>
      <c r="DN112" s="16">
        <f t="shared" si="217"/>
        <v>1</v>
      </c>
      <c r="DU112" s="1296" t="str">
        <f t="shared" si="240"/>
        <v>Fiche infoA245727</v>
      </c>
      <c r="DV112" s="1384">
        <f t="shared" si="218"/>
        <v>0</v>
      </c>
      <c r="DW112" s="1385">
        <f t="shared" si="219"/>
        <v>0</v>
      </c>
      <c r="DX112" s="1385">
        <f t="shared" si="220"/>
        <v>0</v>
      </c>
      <c r="DY112" s="1385">
        <f t="shared" si="221"/>
        <v>0</v>
      </c>
      <c r="DZ112" s="1385">
        <f t="shared" si="222"/>
        <v>0</v>
      </c>
      <c r="EA112" s="1385">
        <f t="shared" si="223"/>
        <v>0</v>
      </c>
      <c r="EB112" s="1385">
        <f t="shared" si="224"/>
        <v>0</v>
      </c>
      <c r="EC112" s="1385">
        <f t="shared" si="225"/>
        <v>0</v>
      </c>
      <c r="ED112" s="1385">
        <f t="shared" si="241"/>
        <v>0</v>
      </c>
      <c r="EE112" s="1386">
        <f t="shared" si="242"/>
        <v>0</v>
      </c>
      <c r="EG112" s="16" t="str">
        <f t="shared" si="243"/>
        <v>112025</v>
      </c>
      <c r="EH112" s="16" t="str">
        <f t="shared" si="226"/>
        <v>Fiche infoA2</v>
      </c>
      <c r="EI112" s="16" t="str">
        <f t="shared" si="227"/>
        <v/>
      </c>
    </row>
    <row r="113" spans="1:139" x14ac:dyDescent="0.2">
      <c r="A113" s="1395" t="str">
        <f>Mars!BJ31</f>
        <v>Fiche infoA3</v>
      </c>
      <c r="B113" s="829">
        <f>Mars!AB31</f>
        <v>45728</v>
      </c>
      <c r="C113" s="1394"/>
      <c r="D113" s="1001">
        <f t="shared" si="183"/>
        <v>0</v>
      </c>
      <c r="E113" s="452">
        <f t="shared" si="184"/>
        <v>0</v>
      </c>
      <c r="F113" s="452">
        <f t="shared" si="185"/>
        <v>0</v>
      </c>
      <c r="G113" s="452">
        <f t="shared" si="186"/>
        <v>0</v>
      </c>
      <c r="H113" s="452">
        <f t="shared" si="187"/>
        <v>0</v>
      </c>
      <c r="I113" s="452">
        <f t="shared" si="188"/>
        <v>0</v>
      </c>
      <c r="J113" s="452">
        <f t="shared" si="189"/>
        <v>0</v>
      </c>
      <c r="K113" s="452">
        <f t="shared" si="190"/>
        <v>0</v>
      </c>
      <c r="L113" s="452">
        <f t="shared" si="228"/>
        <v>0</v>
      </c>
      <c r="M113" s="1002">
        <f t="shared" si="229"/>
        <v>0</v>
      </c>
      <c r="N113" s="1396"/>
      <c r="O113" s="1001">
        <f t="shared" si="245"/>
        <v>0</v>
      </c>
      <c r="P113" s="452">
        <f t="shared" si="246"/>
        <v>0</v>
      </c>
      <c r="Q113" s="452">
        <f t="shared" si="247"/>
        <v>0</v>
      </c>
      <c r="R113" s="452">
        <f t="shared" si="248"/>
        <v>0</v>
      </c>
      <c r="S113" s="452">
        <f t="shared" si="249"/>
        <v>0</v>
      </c>
      <c r="T113" s="452">
        <f t="shared" si="250"/>
        <v>0</v>
      </c>
      <c r="U113" s="452">
        <f t="shared" si="251"/>
        <v>0</v>
      </c>
      <c r="V113" s="452">
        <f t="shared" si="252"/>
        <v>0</v>
      </c>
      <c r="W113" s="452">
        <f t="shared" si="199"/>
        <v>0</v>
      </c>
      <c r="X113" s="1002">
        <f t="shared" si="200"/>
        <v>0</v>
      </c>
      <c r="Y113" s="1397"/>
      <c r="Z113" s="1398">
        <f t="shared" si="201"/>
        <v>0</v>
      </c>
      <c r="AA113" s="1398">
        <f t="shared" si="202"/>
        <v>0</v>
      </c>
      <c r="AB113" s="1398">
        <f t="shared" si="203"/>
        <v>0</v>
      </c>
      <c r="AC113" s="1398">
        <f t="shared" si="204"/>
        <v>0</v>
      </c>
      <c r="AD113" s="1398">
        <f t="shared" si="205"/>
        <v>0</v>
      </c>
      <c r="AE113" s="1398">
        <f t="shared" si="206"/>
        <v>0</v>
      </c>
      <c r="AF113" s="1398">
        <f t="shared" si="207"/>
        <v>0</v>
      </c>
      <c r="AG113" s="1398">
        <f t="shared" si="208"/>
        <v>0</v>
      </c>
      <c r="AH113" s="1396"/>
      <c r="AI113" s="462">
        <f t="shared" si="253"/>
        <v>0</v>
      </c>
      <c r="AJ113" s="1112"/>
      <c r="AK113" s="1399"/>
      <c r="AL113" s="829">
        <f t="shared" si="210"/>
        <v>45728</v>
      </c>
      <c r="AM113" s="684">
        <f>IFERROR(IF(AND(AT113="",AR113&lt;&gt;S.CAL!$BJ$3,AR113&lt;&gt;S.CAL!$BJ$4,$AR$95="NON"),M113-BD113,IF(AND(AT113="",AR113&lt;&gt;S.CAL!$BJ$3,AR113&lt;&gt;S.CAL!$BJ$4,$AR$95="OUI"),X113-AI113,IF(AT113&lt;&gt;0,AT113,IF(OR(AR113=S.CAL!$BJ$3,AR113=S.CAL!$BJ$4),AR113,"")))),"")</f>
        <v>0</v>
      </c>
      <c r="AN113" s="1115"/>
      <c r="AO113" s="1116"/>
      <c r="AP113" s="684">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400">
        <f t="shared" si="230"/>
        <v>0</v>
      </c>
      <c r="AR113" s="1120"/>
      <c r="AS113" s="1396"/>
      <c r="AT113" s="1123"/>
      <c r="AU113" s="831"/>
      <c r="AV113" s="1392">
        <f t="shared" si="211"/>
        <v>45728</v>
      </c>
      <c r="AW113" s="1396"/>
      <c r="AX113" s="529">
        <f t="shared" si="231"/>
        <v>45728</v>
      </c>
      <c r="AY113" s="541">
        <f t="shared" si="232"/>
        <v>0</v>
      </c>
      <c r="AZ113" s="538" t="s">
        <v>146</v>
      </c>
      <c r="BA113" s="534">
        <f t="shared" si="233"/>
        <v>0</v>
      </c>
      <c r="BB113" s="567" t="str">
        <f t="shared" si="212"/>
        <v/>
      </c>
      <c r="BC113" s="541">
        <f t="shared" si="234"/>
        <v>0</v>
      </c>
      <c r="BD113" s="541">
        <f t="shared" si="235"/>
        <v>0</v>
      </c>
      <c r="BE113" s="1126"/>
      <c r="BF113" s="532" t="str">
        <f t="shared" si="213"/>
        <v/>
      </c>
      <c r="BG113" s="532" t="str">
        <f t="shared" si="236"/>
        <v>oui</v>
      </c>
      <c r="BH113" s="395" t="str">
        <f t="shared" si="214"/>
        <v/>
      </c>
      <c r="BI113" s="24" t="str">
        <f t="shared" si="215"/>
        <v/>
      </c>
      <c r="BJ113" s="1404"/>
      <c r="BK113" s="1404"/>
      <c r="BL113" s="1404"/>
      <c r="BM113" s="1404"/>
      <c r="BN113" s="1404"/>
      <c r="BO113" s="1404"/>
      <c r="BP113" s="1404"/>
      <c r="BQ113" s="1404"/>
      <c r="BR113" s="1405"/>
      <c r="BS113" s="1392">
        <f t="shared" si="182"/>
        <v>45728</v>
      </c>
      <c r="BT113" s="1406" t="str">
        <f t="shared" si="244"/>
        <v/>
      </c>
      <c r="BU113" s="1404"/>
      <c r="BV113" s="1404"/>
      <c r="BW113" s="1404"/>
      <c r="BX113" s="1404"/>
      <c r="BY113" s="1404"/>
      <c r="BZ113" s="1404"/>
      <c r="CA113" s="1404"/>
      <c r="CB113" s="1404"/>
      <c r="CD113" s="1408">
        <f t="shared" si="237"/>
        <v>0</v>
      </c>
      <c r="DC113" s="16" t="str">
        <f>Mars!FC31</f>
        <v>non</v>
      </c>
      <c r="DG113" s="333">
        <f t="shared" si="238"/>
        <v>1</v>
      </c>
      <c r="DH113" s="129">
        <f t="shared" si="216"/>
        <v>10</v>
      </c>
      <c r="DI113" s="129">
        <f t="shared" si="239"/>
        <v>1</v>
      </c>
      <c r="DK113" s="16">
        <f>+IF(AND(Mars!$DP$8&lt;&gt;52,AR113=S.CAL!$BJ$4),10,1)</f>
        <v>1</v>
      </c>
      <c r="DN113" s="16">
        <f t="shared" si="217"/>
        <v>1</v>
      </c>
      <c r="DU113" s="1296" t="str">
        <f t="shared" si="240"/>
        <v>Fiche infoA345728</v>
      </c>
      <c r="DV113" s="1384">
        <f t="shared" si="218"/>
        <v>0</v>
      </c>
      <c r="DW113" s="1385">
        <f t="shared" si="219"/>
        <v>0</v>
      </c>
      <c r="DX113" s="1385">
        <f t="shared" si="220"/>
        <v>0</v>
      </c>
      <c r="DY113" s="1385">
        <f t="shared" si="221"/>
        <v>0</v>
      </c>
      <c r="DZ113" s="1385">
        <f t="shared" si="222"/>
        <v>0</v>
      </c>
      <c r="EA113" s="1385">
        <f t="shared" si="223"/>
        <v>0</v>
      </c>
      <c r="EB113" s="1385">
        <f t="shared" si="224"/>
        <v>0</v>
      </c>
      <c r="EC113" s="1385">
        <f t="shared" si="225"/>
        <v>0</v>
      </c>
      <c r="ED113" s="1385">
        <f t="shared" si="241"/>
        <v>0</v>
      </c>
      <c r="EE113" s="1386">
        <f t="shared" si="242"/>
        <v>0</v>
      </c>
      <c r="EG113" s="16" t="str">
        <f t="shared" si="243"/>
        <v>112025</v>
      </c>
      <c r="EH113" s="16" t="str">
        <f t="shared" si="226"/>
        <v>Fiche infoA3</v>
      </c>
      <c r="EI113" s="16" t="str">
        <f t="shared" si="227"/>
        <v/>
      </c>
    </row>
    <row r="114" spans="1:139" x14ac:dyDescent="0.2">
      <c r="A114" s="24" t="str">
        <f>Mars!BJ32</f>
        <v>Fiche infoA4</v>
      </c>
      <c r="B114" s="829">
        <f>Mars!AB32</f>
        <v>45729</v>
      </c>
      <c r="C114" s="1393"/>
      <c r="D114" s="1001">
        <f t="shared" si="183"/>
        <v>0</v>
      </c>
      <c r="E114" s="452">
        <f t="shared" si="184"/>
        <v>0</v>
      </c>
      <c r="F114" s="452">
        <f t="shared" si="185"/>
        <v>0</v>
      </c>
      <c r="G114" s="452">
        <f t="shared" si="186"/>
        <v>0</v>
      </c>
      <c r="H114" s="452">
        <f t="shared" si="187"/>
        <v>0</v>
      </c>
      <c r="I114" s="452">
        <f t="shared" si="188"/>
        <v>0</v>
      </c>
      <c r="J114" s="452">
        <f t="shared" si="189"/>
        <v>0</v>
      </c>
      <c r="K114" s="452">
        <f t="shared" si="190"/>
        <v>0</v>
      </c>
      <c r="L114" s="452">
        <f t="shared" si="228"/>
        <v>0</v>
      </c>
      <c r="M114" s="1002">
        <f t="shared" si="229"/>
        <v>0</v>
      </c>
      <c r="O114" s="1001">
        <f t="shared" si="245"/>
        <v>0</v>
      </c>
      <c r="P114" s="452">
        <f t="shared" si="246"/>
        <v>0</v>
      </c>
      <c r="Q114" s="452">
        <f t="shared" si="247"/>
        <v>0</v>
      </c>
      <c r="R114" s="452">
        <f t="shared" si="248"/>
        <v>0</v>
      </c>
      <c r="S114" s="452">
        <f t="shared" si="249"/>
        <v>0</v>
      </c>
      <c r="T114" s="452">
        <f t="shared" si="250"/>
        <v>0</v>
      </c>
      <c r="U114" s="452">
        <f t="shared" si="251"/>
        <v>0</v>
      </c>
      <c r="V114" s="452">
        <f t="shared" si="252"/>
        <v>0</v>
      </c>
      <c r="W114" s="452">
        <f t="shared" si="199"/>
        <v>0</v>
      </c>
      <c r="X114" s="1002">
        <f t="shared" si="200"/>
        <v>0</v>
      </c>
      <c r="Y114" s="459"/>
      <c r="Z114" s="291">
        <f t="shared" si="201"/>
        <v>0</v>
      </c>
      <c r="AA114" s="291">
        <f t="shared" si="202"/>
        <v>0</v>
      </c>
      <c r="AB114" s="291">
        <f t="shared" si="203"/>
        <v>0</v>
      </c>
      <c r="AC114" s="291">
        <f t="shared" si="204"/>
        <v>0</v>
      </c>
      <c r="AD114" s="291">
        <f t="shared" si="205"/>
        <v>0</v>
      </c>
      <c r="AE114" s="291">
        <f t="shared" si="206"/>
        <v>0</v>
      </c>
      <c r="AF114" s="291">
        <f t="shared" si="207"/>
        <v>0</v>
      </c>
      <c r="AG114" s="291">
        <f t="shared" si="208"/>
        <v>0</v>
      </c>
      <c r="AI114" s="462">
        <f t="shared" si="253"/>
        <v>0</v>
      </c>
      <c r="AJ114" s="1112"/>
      <c r="AK114" s="507"/>
      <c r="AL114" s="829">
        <f t="shared" si="210"/>
        <v>45729</v>
      </c>
      <c r="AM114" s="684">
        <f>IFERROR(IF(AND(AT114="",AR114&lt;&gt;S.CAL!$BJ$3,AR114&lt;&gt;S.CAL!$BJ$4,$AR$95="NON"),M114-BD114,IF(AND(AT114="",AR114&lt;&gt;S.CAL!$BJ$3,AR114&lt;&gt;S.CAL!$BJ$4,$AR$95="OUI"),X114-AI114,IF(AT114&lt;&gt;0,AT114,IF(OR(AR114=S.CAL!$BJ$3,AR114=S.CAL!$BJ$4),AR114,"")))),"")</f>
        <v>0</v>
      </c>
      <c r="AN114" s="1115"/>
      <c r="AO114" s="1116"/>
      <c r="AP114" s="684">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516">
        <f t="shared" si="230"/>
        <v>0</v>
      </c>
      <c r="AR114" s="1120"/>
      <c r="AT114" s="1123"/>
      <c r="AU114" s="831"/>
      <c r="AV114" s="1392">
        <f t="shared" si="211"/>
        <v>45729</v>
      </c>
      <c r="AX114" s="529">
        <f t="shared" si="231"/>
        <v>45729</v>
      </c>
      <c r="AY114" s="541">
        <f t="shared" si="232"/>
        <v>0</v>
      </c>
      <c r="AZ114" s="538" t="s">
        <v>146</v>
      </c>
      <c r="BA114" s="534">
        <f t="shared" si="233"/>
        <v>0</v>
      </c>
      <c r="BB114" s="567" t="str">
        <f t="shared" si="212"/>
        <v/>
      </c>
      <c r="BC114" s="541">
        <f t="shared" si="234"/>
        <v>0</v>
      </c>
      <c r="BD114" s="541">
        <f t="shared" si="235"/>
        <v>0</v>
      </c>
      <c r="BE114" s="1126"/>
      <c r="BF114" s="532" t="str">
        <f t="shared" si="213"/>
        <v/>
      </c>
      <c r="BG114" s="532" t="str">
        <f t="shared" si="236"/>
        <v>oui</v>
      </c>
      <c r="BH114" s="395" t="str">
        <f t="shared" si="214"/>
        <v/>
      </c>
      <c r="BI114" s="24" t="str">
        <f t="shared" si="215"/>
        <v/>
      </c>
      <c r="BJ114" s="1403"/>
      <c r="BK114" s="1403"/>
      <c r="BL114" s="1403"/>
      <c r="BM114" s="1403"/>
      <c r="BN114" s="1403"/>
      <c r="BO114" s="1403"/>
      <c r="BP114" s="1403"/>
      <c r="BQ114" s="1403"/>
      <c r="BS114" s="1392">
        <f t="shared" si="182"/>
        <v>45729</v>
      </c>
      <c r="BT114" s="27" t="str">
        <f t="shared" si="244"/>
        <v/>
      </c>
      <c r="BU114" s="1402"/>
      <c r="BV114" s="1402"/>
      <c r="BW114" s="1402"/>
      <c r="BX114" s="1402"/>
      <c r="BY114" s="1402"/>
      <c r="BZ114" s="1402"/>
      <c r="CA114" s="1402"/>
      <c r="CB114" s="1402"/>
      <c r="CD114" s="1408">
        <f t="shared" si="237"/>
        <v>0</v>
      </c>
      <c r="DC114" s="16" t="str">
        <f>Mars!FC32</f>
        <v>non</v>
      </c>
      <c r="DG114" s="333">
        <f t="shared" si="238"/>
        <v>1</v>
      </c>
      <c r="DH114" s="129">
        <f t="shared" si="216"/>
        <v>10</v>
      </c>
      <c r="DI114" s="129">
        <f t="shared" si="239"/>
        <v>1</v>
      </c>
      <c r="DK114" s="16">
        <f>+IF(AND(Mars!$DP$8&lt;&gt;52,AR114=S.CAL!$BJ$4),10,1)</f>
        <v>1</v>
      </c>
      <c r="DN114" s="16">
        <f t="shared" si="217"/>
        <v>1</v>
      </c>
      <c r="DU114" s="1296" t="str">
        <f t="shared" si="240"/>
        <v>Fiche infoA445729</v>
      </c>
      <c r="DV114" s="1384">
        <f t="shared" si="218"/>
        <v>0</v>
      </c>
      <c r="DW114" s="1385">
        <f t="shared" si="219"/>
        <v>0</v>
      </c>
      <c r="DX114" s="1385">
        <f t="shared" si="220"/>
        <v>0</v>
      </c>
      <c r="DY114" s="1385">
        <f t="shared" si="221"/>
        <v>0</v>
      </c>
      <c r="DZ114" s="1385">
        <f t="shared" si="222"/>
        <v>0</v>
      </c>
      <c r="EA114" s="1385">
        <f t="shared" si="223"/>
        <v>0</v>
      </c>
      <c r="EB114" s="1385">
        <f t="shared" si="224"/>
        <v>0</v>
      </c>
      <c r="EC114" s="1385">
        <f t="shared" si="225"/>
        <v>0</v>
      </c>
      <c r="ED114" s="1385">
        <f t="shared" si="241"/>
        <v>0</v>
      </c>
      <c r="EE114" s="1386">
        <f t="shared" si="242"/>
        <v>0</v>
      </c>
      <c r="EG114" s="16" t="str">
        <f t="shared" si="243"/>
        <v>112025</v>
      </c>
      <c r="EH114" s="16" t="str">
        <f t="shared" si="226"/>
        <v>Fiche infoA4</v>
      </c>
      <c r="EI114" s="16" t="str">
        <f t="shared" si="227"/>
        <v/>
      </c>
    </row>
    <row r="115" spans="1:139" x14ac:dyDescent="0.2">
      <c r="A115" s="1395" t="str">
        <f>Mars!BJ33</f>
        <v>Fiche infoA5</v>
      </c>
      <c r="B115" s="829">
        <f>Mars!AB33</f>
        <v>45730</v>
      </c>
      <c r="C115" s="1394"/>
      <c r="D115" s="1001">
        <f t="shared" si="183"/>
        <v>0</v>
      </c>
      <c r="E115" s="452">
        <f t="shared" si="184"/>
        <v>0</v>
      </c>
      <c r="F115" s="452">
        <f t="shared" si="185"/>
        <v>0</v>
      </c>
      <c r="G115" s="452">
        <f t="shared" si="186"/>
        <v>0</v>
      </c>
      <c r="H115" s="452">
        <f t="shared" si="187"/>
        <v>0</v>
      </c>
      <c r="I115" s="452">
        <f t="shared" si="188"/>
        <v>0</v>
      </c>
      <c r="J115" s="452">
        <f t="shared" si="189"/>
        <v>0</v>
      </c>
      <c r="K115" s="452">
        <f t="shared" si="190"/>
        <v>0</v>
      </c>
      <c r="L115" s="452">
        <f t="shared" si="228"/>
        <v>0</v>
      </c>
      <c r="M115" s="1002">
        <f t="shared" si="229"/>
        <v>0</v>
      </c>
      <c r="N115" s="1396"/>
      <c r="O115" s="1001">
        <f t="shared" si="245"/>
        <v>0</v>
      </c>
      <c r="P115" s="452">
        <f t="shared" si="246"/>
        <v>0</v>
      </c>
      <c r="Q115" s="452">
        <f t="shared" si="247"/>
        <v>0</v>
      </c>
      <c r="R115" s="452">
        <f t="shared" si="248"/>
        <v>0</v>
      </c>
      <c r="S115" s="452">
        <f t="shared" si="249"/>
        <v>0</v>
      </c>
      <c r="T115" s="452">
        <f t="shared" si="250"/>
        <v>0</v>
      </c>
      <c r="U115" s="452">
        <f t="shared" si="251"/>
        <v>0</v>
      </c>
      <c r="V115" s="452">
        <f t="shared" si="252"/>
        <v>0</v>
      </c>
      <c r="W115" s="452">
        <f t="shared" si="199"/>
        <v>0</v>
      </c>
      <c r="X115" s="1002">
        <f t="shared" si="200"/>
        <v>0</v>
      </c>
      <c r="Y115" s="1397"/>
      <c r="Z115" s="1398">
        <f t="shared" si="201"/>
        <v>0</v>
      </c>
      <c r="AA115" s="1398">
        <f t="shared" si="202"/>
        <v>0</v>
      </c>
      <c r="AB115" s="1398">
        <f t="shared" si="203"/>
        <v>0</v>
      </c>
      <c r="AC115" s="1398">
        <f t="shared" si="204"/>
        <v>0</v>
      </c>
      <c r="AD115" s="1398">
        <f t="shared" si="205"/>
        <v>0</v>
      </c>
      <c r="AE115" s="1398">
        <f t="shared" si="206"/>
        <v>0</v>
      </c>
      <c r="AF115" s="1398">
        <f t="shared" si="207"/>
        <v>0</v>
      </c>
      <c r="AG115" s="1398">
        <f t="shared" si="208"/>
        <v>0</v>
      </c>
      <c r="AH115" s="1396"/>
      <c r="AI115" s="462">
        <f t="shared" si="253"/>
        <v>0</v>
      </c>
      <c r="AJ115" s="1112"/>
      <c r="AK115" s="1399"/>
      <c r="AL115" s="829">
        <f t="shared" si="210"/>
        <v>45730</v>
      </c>
      <c r="AM115" s="684">
        <f>IFERROR(IF(AND(AT115="",AR115&lt;&gt;S.CAL!$BJ$3,AR115&lt;&gt;S.CAL!$BJ$4,$AR$95="NON"),M115-BD115,IF(AND(AT115="",AR115&lt;&gt;S.CAL!$BJ$3,AR115&lt;&gt;S.CAL!$BJ$4,$AR$95="OUI"),X115-AI115,IF(AT115&lt;&gt;0,AT115,IF(OR(AR115=S.CAL!$BJ$3,AR115=S.CAL!$BJ$4),AR115,"")))),"")</f>
        <v>0</v>
      </c>
      <c r="AN115" s="1115"/>
      <c r="AO115" s="1116"/>
      <c r="AP115" s="684">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400">
        <f t="shared" si="230"/>
        <v>0</v>
      </c>
      <c r="AR115" s="1120"/>
      <c r="AS115" s="1396"/>
      <c r="AT115" s="1123"/>
      <c r="AU115" s="831"/>
      <c r="AV115" s="1392">
        <f t="shared" si="211"/>
        <v>45730</v>
      </c>
      <c r="AW115" s="1396"/>
      <c r="AX115" s="529">
        <f t="shared" si="231"/>
        <v>45730</v>
      </c>
      <c r="AY115" s="541">
        <f t="shared" si="232"/>
        <v>0</v>
      </c>
      <c r="AZ115" s="538" t="s">
        <v>146</v>
      </c>
      <c r="BA115" s="534">
        <f t="shared" si="233"/>
        <v>0</v>
      </c>
      <c r="BB115" s="567" t="str">
        <f t="shared" si="212"/>
        <v/>
      </c>
      <c r="BC115" s="541">
        <f t="shared" si="234"/>
        <v>0</v>
      </c>
      <c r="BD115" s="541">
        <f t="shared" si="235"/>
        <v>0</v>
      </c>
      <c r="BE115" s="1126"/>
      <c r="BF115" s="532" t="str">
        <f t="shared" si="213"/>
        <v/>
      </c>
      <c r="BG115" s="532" t="str">
        <f t="shared" si="236"/>
        <v>oui</v>
      </c>
      <c r="BH115" s="395" t="str">
        <f t="shared" si="214"/>
        <v/>
      </c>
      <c r="BI115" s="24" t="str">
        <f t="shared" si="215"/>
        <v/>
      </c>
      <c r="BJ115" s="1404"/>
      <c r="BK115" s="1404"/>
      <c r="BL115" s="1404"/>
      <c r="BM115" s="1404"/>
      <c r="BN115" s="1404"/>
      <c r="BO115" s="1404"/>
      <c r="BP115" s="1404"/>
      <c r="BQ115" s="1404"/>
      <c r="BR115" s="1405"/>
      <c r="BS115" s="1392">
        <f t="shared" si="182"/>
        <v>45730</v>
      </c>
      <c r="BT115" s="1406" t="str">
        <f t="shared" si="244"/>
        <v/>
      </c>
      <c r="BU115" s="1404"/>
      <c r="BV115" s="1404"/>
      <c r="BW115" s="1404"/>
      <c r="BX115" s="1404"/>
      <c r="BY115" s="1404"/>
      <c r="BZ115" s="1404"/>
      <c r="CA115" s="1404"/>
      <c r="CB115" s="1404"/>
      <c r="CD115" s="1408">
        <f t="shared" si="237"/>
        <v>0</v>
      </c>
      <c r="DC115" s="16" t="str">
        <f>Mars!FC33</f>
        <v>non</v>
      </c>
      <c r="DG115" s="333">
        <f t="shared" si="238"/>
        <v>1</v>
      </c>
      <c r="DH115" s="129">
        <f t="shared" si="216"/>
        <v>10</v>
      </c>
      <c r="DI115" s="129">
        <f t="shared" si="239"/>
        <v>1</v>
      </c>
      <c r="DK115" s="16">
        <f>+IF(AND(Mars!$DP$8&lt;&gt;52,AR115=S.CAL!$BJ$4),10,1)</f>
        <v>1</v>
      </c>
      <c r="DN115" s="16">
        <f t="shared" si="217"/>
        <v>1</v>
      </c>
      <c r="DU115" s="1296" t="str">
        <f t="shared" si="240"/>
        <v>Fiche infoA545730</v>
      </c>
      <c r="DV115" s="1384">
        <f t="shared" si="218"/>
        <v>0</v>
      </c>
      <c r="DW115" s="1385">
        <f t="shared" si="219"/>
        <v>0</v>
      </c>
      <c r="DX115" s="1385">
        <f t="shared" si="220"/>
        <v>0</v>
      </c>
      <c r="DY115" s="1385">
        <f t="shared" si="221"/>
        <v>0</v>
      </c>
      <c r="DZ115" s="1385">
        <f t="shared" si="222"/>
        <v>0</v>
      </c>
      <c r="EA115" s="1385">
        <f t="shared" si="223"/>
        <v>0</v>
      </c>
      <c r="EB115" s="1385">
        <f t="shared" si="224"/>
        <v>0</v>
      </c>
      <c r="EC115" s="1385">
        <f t="shared" si="225"/>
        <v>0</v>
      </c>
      <c r="ED115" s="1385">
        <f t="shared" si="241"/>
        <v>0</v>
      </c>
      <c r="EE115" s="1386">
        <f t="shared" si="242"/>
        <v>0</v>
      </c>
      <c r="EG115" s="16" t="str">
        <f t="shared" si="243"/>
        <v>112025</v>
      </c>
      <c r="EH115" s="16" t="str">
        <f t="shared" si="226"/>
        <v>Fiche infoA5</v>
      </c>
      <c r="EI115" s="16" t="str">
        <f t="shared" si="227"/>
        <v/>
      </c>
    </row>
    <row r="116" spans="1:139" x14ac:dyDescent="0.2">
      <c r="A116" s="24" t="str">
        <f>Mars!BJ34</f>
        <v>Fiche infoA6</v>
      </c>
      <c r="B116" s="829">
        <f>Mars!AB34</f>
        <v>45731</v>
      </c>
      <c r="C116" s="1393"/>
      <c r="D116" s="1001">
        <f t="shared" si="183"/>
        <v>0</v>
      </c>
      <c r="E116" s="452">
        <f t="shared" si="184"/>
        <v>0</v>
      </c>
      <c r="F116" s="452">
        <f t="shared" si="185"/>
        <v>0</v>
      </c>
      <c r="G116" s="452">
        <f t="shared" si="186"/>
        <v>0</v>
      </c>
      <c r="H116" s="452">
        <f t="shared" si="187"/>
        <v>0</v>
      </c>
      <c r="I116" s="452">
        <f t="shared" si="188"/>
        <v>0</v>
      </c>
      <c r="J116" s="452">
        <f t="shared" si="189"/>
        <v>0</v>
      </c>
      <c r="K116" s="452">
        <f t="shared" si="190"/>
        <v>0</v>
      </c>
      <c r="L116" s="452">
        <f t="shared" si="228"/>
        <v>0</v>
      </c>
      <c r="M116" s="1002">
        <f t="shared" si="229"/>
        <v>0</v>
      </c>
      <c r="O116" s="1001">
        <f t="shared" si="245"/>
        <v>0</v>
      </c>
      <c r="P116" s="452">
        <f t="shared" si="246"/>
        <v>0</v>
      </c>
      <c r="Q116" s="452">
        <f t="shared" si="247"/>
        <v>0</v>
      </c>
      <c r="R116" s="452">
        <f t="shared" si="248"/>
        <v>0</v>
      </c>
      <c r="S116" s="452">
        <f t="shared" si="249"/>
        <v>0</v>
      </c>
      <c r="T116" s="452">
        <f t="shared" si="250"/>
        <v>0</v>
      </c>
      <c r="U116" s="452">
        <f t="shared" si="251"/>
        <v>0</v>
      </c>
      <c r="V116" s="452">
        <f t="shared" si="252"/>
        <v>0</v>
      </c>
      <c r="W116" s="452">
        <f t="shared" si="199"/>
        <v>0</v>
      </c>
      <c r="X116" s="1002">
        <f t="shared" si="200"/>
        <v>0</v>
      </c>
      <c r="Y116" s="459"/>
      <c r="Z116" s="291">
        <f t="shared" si="201"/>
        <v>0</v>
      </c>
      <c r="AA116" s="291">
        <f t="shared" si="202"/>
        <v>0</v>
      </c>
      <c r="AB116" s="291">
        <f t="shared" si="203"/>
        <v>0</v>
      </c>
      <c r="AC116" s="291">
        <f t="shared" si="204"/>
        <v>0</v>
      </c>
      <c r="AD116" s="291">
        <f t="shared" si="205"/>
        <v>0</v>
      </c>
      <c r="AE116" s="291">
        <f t="shared" si="206"/>
        <v>0</v>
      </c>
      <c r="AF116" s="291">
        <f t="shared" si="207"/>
        <v>0</v>
      </c>
      <c r="AG116" s="291">
        <f t="shared" si="208"/>
        <v>0</v>
      </c>
      <c r="AI116" s="462">
        <f t="shared" si="253"/>
        <v>0</v>
      </c>
      <c r="AJ116" s="1112"/>
      <c r="AK116" s="507"/>
      <c r="AL116" s="829">
        <f t="shared" si="210"/>
        <v>45731</v>
      </c>
      <c r="AM116" s="684">
        <f>IFERROR(IF(AND(AT116="",AR116&lt;&gt;S.CAL!$BJ$3,AR116&lt;&gt;S.CAL!$BJ$4,$AR$95="NON"),M116-BD116,IF(AND(AT116="",AR116&lt;&gt;S.CAL!$BJ$3,AR116&lt;&gt;S.CAL!$BJ$4,$AR$95="OUI"),X116-AI116,IF(AT116&lt;&gt;0,AT116,IF(OR(AR116=S.CAL!$BJ$3,AR116=S.CAL!$BJ$4),AR116,"")))),"")</f>
        <v>0</v>
      </c>
      <c r="AN116" s="1115"/>
      <c r="AO116" s="1116"/>
      <c r="AP116" s="684">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516">
        <f t="shared" si="230"/>
        <v>0</v>
      </c>
      <c r="AR116" s="1120"/>
      <c r="AT116" s="1123"/>
      <c r="AU116" s="831"/>
      <c r="AV116" s="1392">
        <f t="shared" si="211"/>
        <v>45731</v>
      </c>
      <c r="AX116" s="529">
        <f t="shared" si="231"/>
        <v>45731</v>
      </c>
      <c r="AY116" s="541">
        <f t="shared" si="232"/>
        <v>0</v>
      </c>
      <c r="AZ116" s="538" t="s">
        <v>146</v>
      </c>
      <c r="BA116" s="534">
        <f t="shared" si="233"/>
        <v>0</v>
      </c>
      <c r="BB116" s="567" t="str">
        <f t="shared" si="212"/>
        <v/>
      </c>
      <c r="BC116" s="541">
        <f t="shared" si="234"/>
        <v>0</v>
      </c>
      <c r="BD116" s="541">
        <f t="shared" si="235"/>
        <v>0</v>
      </c>
      <c r="BE116" s="1126"/>
      <c r="BF116" s="532" t="str">
        <f t="shared" si="213"/>
        <v/>
      </c>
      <c r="BG116" s="532" t="str">
        <f t="shared" si="236"/>
        <v>oui</v>
      </c>
      <c r="BH116" s="395" t="str">
        <f t="shared" si="214"/>
        <v/>
      </c>
      <c r="BI116" s="24" t="str">
        <f t="shared" si="215"/>
        <v/>
      </c>
      <c r="BJ116" s="1403"/>
      <c r="BK116" s="1403"/>
      <c r="BL116" s="1403"/>
      <c r="BM116" s="1403"/>
      <c r="BN116" s="1403"/>
      <c r="BO116" s="1403"/>
      <c r="BP116" s="1403"/>
      <c r="BQ116" s="1403"/>
      <c r="BS116" s="1392">
        <f t="shared" si="182"/>
        <v>45731</v>
      </c>
      <c r="BT116" s="27" t="str">
        <f t="shared" si="244"/>
        <v/>
      </c>
      <c r="BU116" s="1402"/>
      <c r="BV116" s="1402"/>
      <c r="BW116" s="1402"/>
      <c r="BX116" s="1402"/>
      <c r="BY116" s="1402"/>
      <c r="BZ116" s="1402"/>
      <c r="CA116" s="1402"/>
      <c r="CB116" s="1402"/>
      <c r="CD116" s="1408">
        <f t="shared" si="237"/>
        <v>0</v>
      </c>
      <c r="DC116" s="16" t="str">
        <f>Mars!FC34</f>
        <v>non</v>
      </c>
      <c r="DG116" s="333">
        <f t="shared" si="238"/>
        <v>1</v>
      </c>
      <c r="DH116" s="129">
        <f t="shared" si="216"/>
        <v>10</v>
      </c>
      <c r="DI116" s="129">
        <f t="shared" si="239"/>
        <v>1</v>
      </c>
      <c r="DK116" s="16">
        <f>+IF(AND(Mars!$DP$8&lt;&gt;52,AR116=S.CAL!$BJ$4),10,1)</f>
        <v>1</v>
      </c>
      <c r="DN116" s="16">
        <f t="shared" si="217"/>
        <v>1</v>
      </c>
      <c r="DU116" s="1296" t="str">
        <f t="shared" si="240"/>
        <v>Fiche infoA645731</v>
      </c>
      <c r="DV116" s="1384">
        <f t="shared" si="218"/>
        <v>0</v>
      </c>
      <c r="DW116" s="1385">
        <f t="shared" si="219"/>
        <v>0</v>
      </c>
      <c r="DX116" s="1385">
        <f t="shared" si="220"/>
        <v>0</v>
      </c>
      <c r="DY116" s="1385">
        <f t="shared" si="221"/>
        <v>0</v>
      </c>
      <c r="DZ116" s="1385">
        <f t="shared" si="222"/>
        <v>0</v>
      </c>
      <c r="EA116" s="1385">
        <f t="shared" si="223"/>
        <v>0</v>
      </c>
      <c r="EB116" s="1385">
        <f t="shared" si="224"/>
        <v>0</v>
      </c>
      <c r="EC116" s="1385">
        <f t="shared" si="225"/>
        <v>0</v>
      </c>
      <c r="ED116" s="1385">
        <f t="shared" si="241"/>
        <v>0</v>
      </c>
      <c r="EE116" s="1386">
        <f t="shared" si="242"/>
        <v>0</v>
      </c>
      <c r="EG116" s="16" t="str">
        <f t="shared" si="243"/>
        <v>112025</v>
      </c>
      <c r="EH116" s="16" t="str">
        <f t="shared" si="226"/>
        <v>Fiche infoA6</v>
      </c>
      <c r="EI116" s="16" t="str">
        <f t="shared" si="227"/>
        <v/>
      </c>
    </row>
    <row r="117" spans="1:139" x14ac:dyDescent="0.2">
      <c r="A117" s="1395" t="str">
        <f>Mars!BJ35</f>
        <v>Fiche infoA7</v>
      </c>
      <c r="B117" s="829">
        <f>Mars!AB35</f>
        <v>45732</v>
      </c>
      <c r="C117" s="1394"/>
      <c r="D117" s="1001">
        <f t="shared" si="183"/>
        <v>0</v>
      </c>
      <c r="E117" s="452">
        <f t="shared" si="184"/>
        <v>0</v>
      </c>
      <c r="F117" s="452">
        <f t="shared" si="185"/>
        <v>0</v>
      </c>
      <c r="G117" s="452">
        <f t="shared" si="186"/>
        <v>0</v>
      </c>
      <c r="H117" s="452">
        <f t="shared" si="187"/>
        <v>0</v>
      </c>
      <c r="I117" s="452">
        <f t="shared" si="188"/>
        <v>0</v>
      </c>
      <c r="J117" s="452">
        <f t="shared" si="189"/>
        <v>0</v>
      </c>
      <c r="K117" s="452">
        <f t="shared" si="190"/>
        <v>0</v>
      </c>
      <c r="L117" s="452">
        <f t="shared" si="228"/>
        <v>0</v>
      </c>
      <c r="M117" s="1002">
        <f t="shared" si="229"/>
        <v>0</v>
      </c>
      <c r="N117" s="1396"/>
      <c r="O117" s="1001">
        <f t="shared" si="245"/>
        <v>0</v>
      </c>
      <c r="P117" s="452">
        <f t="shared" si="246"/>
        <v>0</v>
      </c>
      <c r="Q117" s="452">
        <f t="shared" si="247"/>
        <v>0</v>
      </c>
      <c r="R117" s="452">
        <f t="shared" si="248"/>
        <v>0</v>
      </c>
      <c r="S117" s="452">
        <f t="shared" si="249"/>
        <v>0</v>
      </c>
      <c r="T117" s="452">
        <f t="shared" si="250"/>
        <v>0</v>
      </c>
      <c r="U117" s="452">
        <f t="shared" si="251"/>
        <v>0</v>
      </c>
      <c r="V117" s="452">
        <f t="shared" si="252"/>
        <v>0</v>
      </c>
      <c r="W117" s="452">
        <f t="shared" si="199"/>
        <v>0</v>
      </c>
      <c r="X117" s="1002">
        <f t="shared" si="200"/>
        <v>0</v>
      </c>
      <c r="Y117" s="1397"/>
      <c r="Z117" s="1398">
        <f t="shared" si="201"/>
        <v>0</v>
      </c>
      <c r="AA117" s="1398">
        <f t="shared" si="202"/>
        <v>0</v>
      </c>
      <c r="AB117" s="1398">
        <f t="shared" si="203"/>
        <v>0</v>
      </c>
      <c r="AC117" s="1398">
        <f t="shared" si="204"/>
        <v>0</v>
      </c>
      <c r="AD117" s="1398">
        <f t="shared" si="205"/>
        <v>0</v>
      </c>
      <c r="AE117" s="1398">
        <f t="shared" si="206"/>
        <v>0</v>
      </c>
      <c r="AF117" s="1398">
        <f t="shared" si="207"/>
        <v>0</v>
      </c>
      <c r="AG117" s="1398">
        <f t="shared" si="208"/>
        <v>0</v>
      </c>
      <c r="AH117" s="1396"/>
      <c r="AI117" s="462">
        <f t="shared" si="253"/>
        <v>0</v>
      </c>
      <c r="AJ117" s="1112"/>
      <c r="AK117" s="1399"/>
      <c r="AL117" s="829">
        <f t="shared" si="210"/>
        <v>45732</v>
      </c>
      <c r="AM117" s="684">
        <f>IFERROR(IF(AND(AT117="",AR117&lt;&gt;S.CAL!$BJ$3,AR117&lt;&gt;S.CAL!$BJ$4,$AR$95="NON"),M117-BD117,IF(AND(AT117="",AR117&lt;&gt;S.CAL!$BJ$3,AR117&lt;&gt;S.CAL!$BJ$4,$AR$95="OUI"),X117-AI117,IF(AT117&lt;&gt;0,AT117,IF(OR(AR117=S.CAL!$BJ$3,AR117=S.CAL!$BJ$4),AR117,"")))),"")</f>
        <v>0</v>
      </c>
      <c r="AN117" s="1115"/>
      <c r="AO117" s="1116"/>
      <c r="AP117" s="684">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400">
        <f t="shared" si="230"/>
        <v>0</v>
      </c>
      <c r="AR117" s="1120"/>
      <c r="AS117" s="1396"/>
      <c r="AT117" s="1123"/>
      <c r="AU117" s="831"/>
      <c r="AV117" s="1392">
        <f t="shared" si="211"/>
        <v>45732</v>
      </c>
      <c r="AW117" s="1396"/>
      <c r="AX117" s="529">
        <f t="shared" si="231"/>
        <v>45732</v>
      </c>
      <c r="AY117" s="541">
        <f t="shared" si="232"/>
        <v>0</v>
      </c>
      <c r="AZ117" s="538" t="s">
        <v>146</v>
      </c>
      <c r="BA117" s="534">
        <f t="shared" si="233"/>
        <v>0</v>
      </c>
      <c r="BB117" s="567" t="str">
        <f t="shared" si="212"/>
        <v/>
      </c>
      <c r="BC117" s="541">
        <f t="shared" si="234"/>
        <v>0</v>
      </c>
      <c r="BD117" s="541">
        <f t="shared" si="235"/>
        <v>0</v>
      </c>
      <c r="BE117" s="1126"/>
      <c r="BF117" s="532" t="str">
        <f t="shared" si="213"/>
        <v/>
      </c>
      <c r="BG117" s="532" t="str">
        <f t="shared" si="236"/>
        <v>oui</v>
      </c>
      <c r="BH117" s="395" t="str">
        <f t="shared" si="214"/>
        <v/>
      </c>
      <c r="BI117" s="24" t="str">
        <f t="shared" si="215"/>
        <v/>
      </c>
      <c r="BJ117" s="1404"/>
      <c r="BK117" s="1404"/>
      <c r="BL117" s="1404"/>
      <c r="BM117" s="1404"/>
      <c r="BN117" s="1404"/>
      <c r="BO117" s="1404"/>
      <c r="BP117" s="1404"/>
      <c r="BQ117" s="1404"/>
      <c r="BR117" s="1405"/>
      <c r="BS117" s="1392">
        <f t="shared" si="182"/>
        <v>45732</v>
      </c>
      <c r="BT117" s="1406" t="str">
        <f t="shared" si="244"/>
        <v/>
      </c>
      <c r="BU117" s="1404"/>
      <c r="BV117" s="1404"/>
      <c r="BW117" s="1404"/>
      <c r="BX117" s="1404"/>
      <c r="BY117" s="1404"/>
      <c r="BZ117" s="1404"/>
      <c r="CA117" s="1404"/>
      <c r="CB117" s="1404"/>
      <c r="CD117" s="1408">
        <f t="shared" si="237"/>
        <v>0</v>
      </c>
      <c r="DC117" s="16" t="str">
        <f>Mars!FC35</f>
        <v>non</v>
      </c>
      <c r="DG117" s="333">
        <f t="shared" si="238"/>
        <v>1</v>
      </c>
      <c r="DH117" s="129">
        <f t="shared" si="216"/>
        <v>10</v>
      </c>
      <c r="DI117" s="129">
        <f t="shared" si="239"/>
        <v>1</v>
      </c>
      <c r="DK117" s="16">
        <f>+IF(AND(Mars!$DP$8&lt;&gt;52,AR117=S.CAL!$BJ$4),10,1)</f>
        <v>1</v>
      </c>
      <c r="DN117" s="16">
        <f t="shared" si="217"/>
        <v>1</v>
      </c>
      <c r="DU117" s="1296" t="str">
        <f t="shared" si="240"/>
        <v>Fiche infoA745732</v>
      </c>
      <c r="DV117" s="1384">
        <f t="shared" si="218"/>
        <v>0</v>
      </c>
      <c r="DW117" s="1385">
        <f t="shared" si="219"/>
        <v>0</v>
      </c>
      <c r="DX117" s="1385">
        <f t="shared" si="220"/>
        <v>0</v>
      </c>
      <c r="DY117" s="1385">
        <f t="shared" si="221"/>
        <v>0</v>
      </c>
      <c r="DZ117" s="1385">
        <f t="shared" si="222"/>
        <v>0</v>
      </c>
      <c r="EA117" s="1385">
        <f t="shared" si="223"/>
        <v>0</v>
      </c>
      <c r="EB117" s="1385">
        <f t="shared" si="224"/>
        <v>0</v>
      </c>
      <c r="EC117" s="1385">
        <f t="shared" si="225"/>
        <v>0</v>
      </c>
      <c r="ED117" s="1385">
        <f t="shared" si="241"/>
        <v>0</v>
      </c>
      <c r="EE117" s="1386">
        <f t="shared" si="242"/>
        <v>0</v>
      </c>
      <c r="EG117" s="16" t="str">
        <f t="shared" si="243"/>
        <v>112025</v>
      </c>
      <c r="EH117" s="16" t="str">
        <f t="shared" si="226"/>
        <v>Fiche infoA7</v>
      </c>
      <c r="EI117" s="16" t="str">
        <f t="shared" si="227"/>
        <v/>
      </c>
    </row>
    <row r="118" spans="1:139" x14ac:dyDescent="0.2">
      <c r="A118" s="24" t="str">
        <f>Mars!BJ36</f>
        <v>Fiche infoA1</v>
      </c>
      <c r="B118" s="829">
        <f>Mars!AB36</f>
        <v>45733</v>
      </c>
      <c r="C118" s="1393"/>
      <c r="D118" s="1001">
        <f t="shared" si="183"/>
        <v>0</v>
      </c>
      <c r="E118" s="452">
        <f t="shared" si="184"/>
        <v>0</v>
      </c>
      <c r="F118" s="452">
        <f t="shared" si="185"/>
        <v>0</v>
      </c>
      <c r="G118" s="452">
        <f t="shared" si="186"/>
        <v>0</v>
      </c>
      <c r="H118" s="452">
        <f t="shared" si="187"/>
        <v>0</v>
      </c>
      <c r="I118" s="452">
        <f t="shared" si="188"/>
        <v>0</v>
      </c>
      <c r="J118" s="452">
        <f t="shared" si="189"/>
        <v>0</v>
      </c>
      <c r="K118" s="452">
        <f t="shared" si="190"/>
        <v>0</v>
      </c>
      <c r="L118" s="452">
        <f t="shared" si="228"/>
        <v>0</v>
      </c>
      <c r="M118" s="1002">
        <f t="shared" si="229"/>
        <v>0</v>
      </c>
      <c r="O118" s="1001">
        <f t="shared" si="245"/>
        <v>0</v>
      </c>
      <c r="P118" s="452">
        <f t="shared" si="246"/>
        <v>0</v>
      </c>
      <c r="Q118" s="452">
        <f t="shared" si="247"/>
        <v>0</v>
      </c>
      <c r="R118" s="452">
        <f t="shared" si="248"/>
        <v>0</v>
      </c>
      <c r="S118" s="452">
        <f t="shared" si="249"/>
        <v>0</v>
      </c>
      <c r="T118" s="452">
        <f t="shared" si="250"/>
        <v>0</v>
      </c>
      <c r="U118" s="452">
        <f t="shared" si="251"/>
        <v>0</v>
      </c>
      <c r="V118" s="452">
        <f t="shared" si="252"/>
        <v>0</v>
      </c>
      <c r="W118" s="452">
        <f t="shared" si="199"/>
        <v>0</v>
      </c>
      <c r="X118" s="1002">
        <f t="shared" si="200"/>
        <v>0</v>
      </c>
      <c r="Y118" s="459"/>
      <c r="Z118" s="291">
        <f t="shared" si="201"/>
        <v>0</v>
      </c>
      <c r="AA118" s="291">
        <f t="shared" si="202"/>
        <v>0</v>
      </c>
      <c r="AB118" s="291">
        <f t="shared" si="203"/>
        <v>0</v>
      </c>
      <c r="AC118" s="291">
        <f t="shared" si="204"/>
        <v>0</v>
      </c>
      <c r="AD118" s="291">
        <f t="shared" si="205"/>
        <v>0</v>
      </c>
      <c r="AE118" s="291">
        <f t="shared" si="206"/>
        <v>0</v>
      </c>
      <c r="AF118" s="291">
        <f t="shared" si="207"/>
        <v>0</v>
      </c>
      <c r="AG118" s="291">
        <f t="shared" si="208"/>
        <v>0</v>
      </c>
      <c r="AI118" s="462">
        <f t="shared" si="253"/>
        <v>0</v>
      </c>
      <c r="AJ118" s="1112"/>
      <c r="AK118" s="507"/>
      <c r="AL118" s="829">
        <f t="shared" si="210"/>
        <v>45733</v>
      </c>
      <c r="AM118" s="684">
        <f>IFERROR(IF(AND(AT118="",AR118&lt;&gt;S.CAL!$BJ$3,AR118&lt;&gt;S.CAL!$BJ$4,$AR$95="NON"),M118-BD118,IF(AND(AT118="",AR118&lt;&gt;S.CAL!$BJ$3,AR118&lt;&gt;S.CAL!$BJ$4,$AR$95="OUI"),X118-AI118,IF(AT118&lt;&gt;0,AT118,IF(OR(AR118=S.CAL!$BJ$3,AR118=S.CAL!$BJ$4),AR118,"")))),"")</f>
        <v>0</v>
      </c>
      <c r="AN118" s="1115"/>
      <c r="AO118" s="1116"/>
      <c r="AP118" s="684">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516">
        <f t="shared" si="230"/>
        <v>0</v>
      </c>
      <c r="AR118" s="1120"/>
      <c r="AT118" s="1123"/>
      <c r="AU118" s="831"/>
      <c r="AV118" s="1392">
        <f t="shared" si="211"/>
        <v>45733</v>
      </c>
      <c r="AX118" s="529">
        <f t="shared" si="231"/>
        <v>45733</v>
      </c>
      <c r="AY118" s="541">
        <f t="shared" si="232"/>
        <v>0</v>
      </c>
      <c r="AZ118" s="538" t="s">
        <v>146</v>
      </c>
      <c r="BA118" s="534">
        <f t="shared" si="233"/>
        <v>0</v>
      </c>
      <c r="BB118" s="567" t="str">
        <f t="shared" si="212"/>
        <v/>
      </c>
      <c r="BC118" s="541">
        <f t="shared" si="234"/>
        <v>0</v>
      </c>
      <c r="BD118" s="541">
        <f t="shared" si="235"/>
        <v>0</v>
      </c>
      <c r="BE118" s="1126"/>
      <c r="BF118" s="532" t="str">
        <f t="shared" si="213"/>
        <v/>
      </c>
      <c r="BG118" s="532" t="str">
        <f t="shared" si="236"/>
        <v>oui</v>
      </c>
      <c r="BH118" s="395" t="str">
        <f t="shared" si="214"/>
        <v/>
      </c>
      <c r="BI118" s="24" t="str">
        <f t="shared" si="215"/>
        <v/>
      </c>
      <c r="BJ118" s="1403"/>
      <c r="BK118" s="1403"/>
      <c r="BL118" s="1403"/>
      <c r="BM118" s="1403"/>
      <c r="BN118" s="1403"/>
      <c r="BO118" s="1403"/>
      <c r="BP118" s="1403"/>
      <c r="BQ118" s="1403"/>
      <c r="BS118" s="1392">
        <f t="shared" si="182"/>
        <v>45733</v>
      </c>
      <c r="BT118" s="27">
        <f t="shared" si="244"/>
        <v>12</v>
      </c>
      <c r="BU118" s="1402"/>
      <c r="BV118" s="1402"/>
      <c r="BW118" s="1402"/>
      <c r="BX118" s="1402"/>
      <c r="BY118" s="1402"/>
      <c r="BZ118" s="1402"/>
      <c r="CA118" s="1402"/>
      <c r="CB118" s="1402"/>
      <c r="CD118" s="1408">
        <f t="shared" si="237"/>
        <v>0</v>
      </c>
      <c r="DC118" s="16" t="str">
        <f>Mars!FC36</f>
        <v>non</v>
      </c>
      <c r="DG118" s="333">
        <f t="shared" si="238"/>
        <v>1</v>
      </c>
      <c r="DH118" s="129">
        <f t="shared" si="216"/>
        <v>10</v>
      </c>
      <c r="DI118" s="129">
        <f t="shared" si="239"/>
        <v>1</v>
      </c>
      <c r="DK118" s="16">
        <f>+IF(AND(Mars!$DP$8&lt;&gt;52,AR118=S.CAL!$BJ$4),10,1)</f>
        <v>1</v>
      </c>
      <c r="DN118" s="16">
        <f t="shared" si="217"/>
        <v>1</v>
      </c>
      <c r="DU118" s="1296" t="str">
        <f t="shared" si="240"/>
        <v>Fiche infoA145733</v>
      </c>
      <c r="DV118" s="1384">
        <f t="shared" si="218"/>
        <v>0</v>
      </c>
      <c r="DW118" s="1385">
        <f t="shared" si="219"/>
        <v>0</v>
      </c>
      <c r="DX118" s="1385">
        <f t="shared" si="220"/>
        <v>0</v>
      </c>
      <c r="DY118" s="1385">
        <f t="shared" si="221"/>
        <v>0</v>
      </c>
      <c r="DZ118" s="1385">
        <f t="shared" si="222"/>
        <v>0</v>
      </c>
      <c r="EA118" s="1385">
        <f t="shared" si="223"/>
        <v>0</v>
      </c>
      <c r="EB118" s="1385">
        <f t="shared" si="224"/>
        <v>0</v>
      </c>
      <c r="EC118" s="1385">
        <f t="shared" si="225"/>
        <v>0</v>
      </c>
      <c r="ED118" s="1385">
        <f t="shared" si="241"/>
        <v>0</v>
      </c>
      <c r="EE118" s="1386">
        <f t="shared" si="242"/>
        <v>0</v>
      </c>
      <c r="EG118" s="16" t="str">
        <f t="shared" si="243"/>
        <v>122025</v>
      </c>
      <c r="EH118" s="16" t="str">
        <f t="shared" si="226"/>
        <v>Fiche infoA1</v>
      </c>
      <c r="EI118" s="16" t="str">
        <f t="shared" si="227"/>
        <v/>
      </c>
    </row>
    <row r="119" spans="1:139" x14ac:dyDescent="0.2">
      <c r="A119" s="1395" t="str">
        <f>Mars!BJ37</f>
        <v>Fiche infoA2</v>
      </c>
      <c r="B119" s="829">
        <f>Mars!AB37</f>
        <v>45734</v>
      </c>
      <c r="C119" s="1394"/>
      <c r="D119" s="1001">
        <f t="shared" si="183"/>
        <v>0</v>
      </c>
      <c r="E119" s="452">
        <f t="shared" si="184"/>
        <v>0</v>
      </c>
      <c r="F119" s="452">
        <f t="shared" si="185"/>
        <v>0</v>
      </c>
      <c r="G119" s="452">
        <f t="shared" si="186"/>
        <v>0</v>
      </c>
      <c r="H119" s="452">
        <f t="shared" si="187"/>
        <v>0</v>
      </c>
      <c r="I119" s="452">
        <f t="shared" si="188"/>
        <v>0</v>
      </c>
      <c r="J119" s="452">
        <f t="shared" si="189"/>
        <v>0</v>
      </c>
      <c r="K119" s="452">
        <f t="shared" si="190"/>
        <v>0</v>
      </c>
      <c r="L119" s="452">
        <f t="shared" si="228"/>
        <v>0</v>
      </c>
      <c r="M119" s="1002">
        <f t="shared" si="229"/>
        <v>0</v>
      </c>
      <c r="N119" s="1396"/>
      <c r="O119" s="1001">
        <f t="shared" si="245"/>
        <v>0</v>
      </c>
      <c r="P119" s="452">
        <f t="shared" si="246"/>
        <v>0</v>
      </c>
      <c r="Q119" s="452">
        <f t="shared" si="247"/>
        <v>0</v>
      </c>
      <c r="R119" s="452">
        <f t="shared" si="248"/>
        <v>0</v>
      </c>
      <c r="S119" s="452">
        <f t="shared" si="249"/>
        <v>0</v>
      </c>
      <c r="T119" s="452">
        <f t="shared" si="250"/>
        <v>0</v>
      </c>
      <c r="U119" s="452">
        <f t="shared" si="251"/>
        <v>0</v>
      </c>
      <c r="V119" s="452">
        <f t="shared" si="252"/>
        <v>0</v>
      </c>
      <c r="W119" s="452">
        <f t="shared" si="199"/>
        <v>0</v>
      </c>
      <c r="X119" s="1002">
        <f t="shared" si="200"/>
        <v>0</v>
      </c>
      <c r="Y119" s="1397"/>
      <c r="Z119" s="1398">
        <f t="shared" si="201"/>
        <v>0</v>
      </c>
      <c r="AA119" s="1398">
        <f t="shared" si="202"/>
        <v>0</v>
      </c>
      <c r="AB119" s="1398">
        <f t="shared" si="203"/>
        <v>0</v>
      </c>
      <c r="AC119" s="1398">
        <f t="shared" si="204"/>
        <v>0</v>
      </c>
      <c r="AD119" s="1398">
        <f t="shared" si="205"/>
        <v>0</v>
      </c>
      <c r="AE119" s="1398">
        <f t="shared" si="206"/>
        <v>0</v>
      </c>
      <c r="AF119" s="1398">
        <f t="shared" si="207"/>
        <v>0</v>
      </c>
      <c r="AG119" s="1398">
        <f t="shared" si="208"/>
        <v>0</v>
      </c>
      <c r="AH119" s="1396"/>
      <c r="AI119" s="462">
        <f t="shared" si="253"/>
        <v>0</v>
      </c>
      <c r="AJ119" s="1112"/>
      <c r="AK119" s="1399"/>
      <c r="AL119" s="829">
        <f t="shared" si="210"/>
        <v>45734</v>
      </c>
      <c r="AM119" s="684">
        <f>IFERROR(IF(AND(AT119="",AR119&lt;&gt;S.CAL!$BJ$3,AR119&lt;&gt;S.CAL!$BJ$4,$AR$95="NON"),M119-BD119,IF(AND(AT119="",AR119&lt;&gt;S.CAL!$BJ$3,AR119&lt;&gt;S.CAL!$BJ$4,$AR$95="OUI"),X119-AI119,IF(AT119&lt;&gt;0,AT119,IF(OR(AR119=S.CAL!$BJ$3,AR119=S.CAL!$BJ$4),AR119,"")))),"")</f>
        <v>0</v>
      </c>
      <c r="AN119" s="1115"/>
      <c r="AO119" s="1116"/>
      <c r="AP119" s="684">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400">
        <f t="shared" si="230"/>
        <v>0</v>
      </c>
      <c r="AR119" s="1120"/>
      <c r="AS119" s="1396"/>
      <c r="AT119" s="1123"/>
      <c r="AU119" s="831"/>
      <c r="AV119" s="1392">
        <f t="shared" si="211"/>
        <v>45734</v>
      </c>
      <c r="AW119" s="1396"/>
      <c r="AX119" s="529">
        <f t="shared" si="231"/>
        <v>45734</v>
      </c>
      <c r="AY119" s="541">
        <f t="shared" si="232"/>
        <v>0</v>
      </c>
      <c r="AZ119" s="538" t="s">
        <v>146</v>
      </c>
      <c r="BA119" s="534">
        <f t="shared" si="233"/>
        <v>0</v>
      </c>
      <c r="BB119" s="567" t="str">
        <f t="shared" si="212"/>
        <v/>
      </c>
      <c r="BC119" s="541">
        <f t="shared" si="234"/>
        <v>0</v>
      </c>
      <c r="BD119" s="541">
        <f t="shared" si="235"/>
        <v>0</v>
      </c>
      <c r="BE119" s="1126"/>
      <c r="BF119" s="532" t="str">
        <f t="shared" si="213"/>
        <v/>
      </c>
      <c r="BG119" s="532" t="str">
        <f t="shared" si="236"/>
        <v>oui</v>
      </c>
      <c r="BH119" s="395" t="str">
        <f t="shared" si="214"/>
        <v/>
      </c>
      <c r="BI119" s="24" t="str">
        <f t="shared" si="215"/>
        <v/>
      </c>
      <c r="BJ119" s="1404"/>
      <c r="BK119" s="1404"/>
      <c r="BL119" s="1404"/>
      <c r="BM119" s="1404"/>
      <c r="BN119" s="1404"/>
      <c r="BO119" s="1404"/>
      <c r="BP119" s="1404"/>
      <c r="BQ119" s="1404"/>
      <c r="BR119" s="1405"/>
      <c r="BS119" s="1392">
        <f t="shared" si="182"/>
        <v>45734</v>
      </c>
      <c r="BT119" s="1406" t="str">
        <f t="shared" si="244"/>
        <v/>
      </c>
      <c r="BU119" s="1404"/>
      <c r="BV119" s="1404"/>
      <c r="BW119" s="1404"/>
      <c r="BX119" s="1404"/>
      <c r="BY119" s="1404"/>
      <c r="BZ119" s="1404"/>
      <c r="CA119" s="1404"/>
      <c r="CB119" s="1404"/>
      <c r="CD119" s="1408">
        <f t="shared" si="237"/>
        <v>0</v>
      </c>
      <c r="DC119" s="16" t="str">
        <f>Mars!FC37</f>
        <v>non</v>
      </c>
      <c r="DG119" s="333">
        <f t="shared" si="238"/>
        <v>1</v>
      </c>
      <c r="DH119" s="129">
        <f t="shared" si="216"/>
        <v>10</v>
      </c>
      <c r="DI119" s="129">
        <f t="shared" si="239"/>
        <v>1</v>
      </c>
      <c r="DK119" s="16">
        <f>+IF(AND(Mars!$DP$8&lt;&gt;52,AR119=S.CAL!$BJ$4),10,1)</f>
        <v>1</v>
      </c>
      <c r="DN119" s="16">
        <f t="shared" si="217"/>
        <v>1</v>
      </c>
      <c r="DU119" s="1296" t="str">
        <f t="shared" si="240"/>
        <v>Fiche infoA245734</v>
      </c>
      <c r="DV119" s="1384">
        <f t="shared" si="218"/>
        <v>0</v>
      </c>
      <c r="DW119" s="1385">
        <f t="shared" si="219"/>
        <v>0</v>
      </c>
      <c r="DX119" s="1385">
        <f t="shared" si="220"/>
        <v>0</v>
      </c>
      <c r="DY119" s="1385">
        <f t="shared" si="221"/>
        <v>0</v>
      </c>
      <c r="DZ119" s="1385">
        <f t="shared" si="222"/>
        <v>0</v>
      </c>
      <c r="EA119" s="1385">
        <f t="shared" si="223"/>
        <v>0</v>
      </c>
      <c r="EB119" s="1385">
        <f t="shared" si="224"/>
        <v>0</v>
      </c>
      <c r="EC119" s="1385">
        <f t="shared" si="225"/>
        <v>0</v>
      </c>
      <c r="ED119" s="1385">
        <f t="shared" si="241"/>
        <v>0</v>
      </c>
      <c r="EE119" s="1386">
        <f t="shared" si="242"/>
        <v>0</v>
      </c>
      <c r="EG119" s="16" t="str">
        <f t="shared" si="243"/>
        <v>122025</v>
      </c>
      <c r="EH119" s="16" t="str">
        <f t="shared" si="226"/>
        <v>Fiche infoA2</v>
      </c>
      <c r="EI119" s="16" t="str">
        <f t="shared" si="227"/>
        <v/>
      </c>
    </row>
    <row r="120" spans="1:139" x14ac:dyDescent="0.2">
      <c r="A120" s="24" t="str">
        <f>Mars!BJ38</f>
        <v>Fiche infoA3</v>
      </c>
      <c r="B120" s="829">
        <f>Mars!AB38</f>
        <v>45735</v>
      </c>
      <c r="C120" s="1393"/>
      <c r="D120" s="1001">
        <f t="shared" si="183"/>
        <v>0</v>
      </c>
      <c r="E120" s="452">
        <f t="shared" si="184"/>
        <v>0</v>
      </c>
      <c r="F120" s="452">
        <f t="shared" si="185"/>
        <v>0</v>
      </c>
      <c r="G120" s="452">
        <f t="shared" si="186"/>
        <v>0</v>
      </c>
      <c r="H120" s="452">
        <f t="shared" si="187"/>
        <v>0</v>
      </c>
      <c r="I120" s="452">
        <f t="shared" si="188"/>
        <v>0</v>
      </c>
      <c r="J120" s="452">
        <f t="shared" si="189"/>
        <v>0</v>
      </c>
      <c r="K120" s="452">
        <f t="shared" si="190"/>
        <v>0</v>
      </c>
      <c r="L120" s="452">
        <f t="shared" si="228"/>
        <v>0</v>
      </c>
      <c r="M120" s="1002">
        <f t="shared" si="229"/>
        <v>0</v>
      </c>
      <c r="O120" s="1001">
        <f t="shared" si="245"/>
        <v>0</v>
      </c>
      <c r="P120" s="452">
        <f t="shared" si="246"/>
        <v>0</v>
      </c>
      <c r="Q120" s="452">
        <f t="shared" si="247"/>
        <v>0</v>
      </c>
      <c r="R120" s="452">
        <f t="shared" si="248"/>
        <v>0</v>
      </c>
      <c r="S120" s="452">
        <f t="shared" si="249"/>
        <v>0</v>
      </c>
      <c r="T120" s="452">
        <f t="shared" si="250"/>
        <v>0</v>
      </c>
      <c r="U120" s="452">
        <f t="shared" si="251"/>
        <v>0</v>
      </c>
      <c r="V120" s="452">
        <f t="shared" si="252"/>
        <v>0</v>
      </c>
      <c r="W120" s="452">
        <f t="shared" si="199"/>
        <v>0</v>
      </c>
      <c r="X120" s="1002">
        <f t="shared" si="200"/>
        <v>0</v>
      </c>
      <c r="Y120" s="459"/>
      <c r="Z120" s="291">
        <f t="shared" si="201"/>
        <v>0</v>
      </c>
      <c r="AA120" s="291">
        <f t="shared" si="202"/>
        <v>0</v>
      </c>
      <c r="AB120" s="291">
        <f t="shared" si="203"/>
        <v>0</v>
      </c>
      <c r="AC120" s="291">
        <f t="shared" si="204"/>
        <v>0</v>
      </c>
      <c r="AD120" s="291">
        <f t="shared" si="205"/>
        <v>0</v>
      </c>
      <c r="AE120" s="291">
        <f t="shared" si="206"/>
        <v>0</v>
      </c>
      <c r="AF120" s="291">
        <f t="shared" si="207"/>
        <v>0</v>
      </c>
      <c r="AG120" s="291">
        <f t="shared" si="208"/>
        <v>0</v>
      </c>
      <c r="AI120" s="462">
        <f t="shared" si="253"/>
        <v>0</v>
      </c>
      <c r="AJ120" s="1112"/>
      <c r="AK120" s="507"/>
      <c r="AL120" s="829">
        <f t="shared" si="210"/>
        <v>45735</v>
      </c>
      <c r="AM120" s="684">
        <f>IFERROR(IF(AND(AT120="",AR120&lt;&gt;S.CAL!$BJ$3,AR120&lt;&gt;S.CAL!$BJ$4,$AR$95="NON"),M120-BD120,IF(AND(AT120="",AR120&lt;&gt;S.CAL!$BJ$3,AR120&lt;&gt;S.CAL!$BJ$4,$AR$95="OUI"),X120-AI120,IF(AT120&lt;&gt;0,AT120,IF(OR(AR120=S.CAL!$BJ$3,AR120=S.CAL!$BJ$4),AR120,"")))),"")</f>
        <v>0</v>
      </c>
      <c r="AN120" s="1115"/>
      <c r="AO120" s="1116"/>
      <c r="AP120" s="684">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516">
        <f t="shared" si="230"/>
        <v>0</v>
      </c>
      <c r="AR120" s="1120"/>
      <c r="AT120" s="1123"/>
      <c r="AU120" s="831"/>
      <c r="AV120" s="1392">
        <f t="shared" si="211"/>
        <v>45735</v>
      </c>
      <c r="AX120" s="529">
        <f t="shared" si="231"/>
        <v>45735</v>
      </c>
      <c r="AY120" s="541">
        <f t="shared" si="232"/>
        <v>0</v>
      </c>
      <c r="AZ120" s="538" t="s">
        <v>146</v>
      </c>
      <c r="BA120" s="534">
        <f t="shared" si="233"/>
        <v>0</v>
      </c>
      <c r="BB120" s="567" t="str">
        <f t="shared" si="212"/>
        <v/>
      </c>
      <c r="BC120" s="541">
        <f t="shared" si="234"/>
        <v>0</v>
      </c>
      <c r="BD120" s="541">
        <f t="shared" si="235"/>
        <v>0</v>
      </c>
      <c r="BE120" s="1126"/>
      <c r="BF120" s="532" t="str">
        <f t="shared" si="213"/>
        <v/>
      </c>
      <c r="BG120" s="532" t="str">
        <f t="shared" si="236"/>
        <v>oui</v>
      </c>
      <c r="BH120" s="395" t="str">
        <f t="shared" si="214"/>
        <v/>
      </c>
      <c r="BI120" s="24" t="str">
        <f t="shared" si="215"/>
        <v/>
      </c>
      <c r="BJ120" s="1403"/>
      <c r="BK120" s="1403"/>
      <c r="BL120" s="1403"/>
      <c r="BM120" s="1403"/>
      <c r="BN120" s="1403"/>
      <c r="BO120" s="1403"/>
      <c r="BP120" s="1403"/>
      <c r="BQ120" s="1403"/>
      <c r="BS120" s="1392">
        <f t="shared" si="182"/>
        <v>45735</v>
      </c>
      <c r="BT120" s="27" t="str">
        <f t="shared" si="244"/>
        <v/>
      </c>
      <c r="BU120" s="1402"/>
      <c r="BV120" s="1402"/>
      <c r="BW120" s="1402"/>
      <c r="BX120" s="1402"/>
      <c r="BY120" s="1402"/>
      <c r="BZ120" s="1402"/>
      <c r="CA120" s="1402"/>
      <c r="CB120" s="1402"/>
      <c r="CD120" s="1408">
        <f t="shared" si="237"/>
        <v>0</v>
      </c>
      <c r="DC120" s="16" t="str">
        <f>Mars!FC38</f>
        <v>non</v>
      </c>
      <c r="DG120" s="333">
        <f t="shared" si="238"/>
        <v>1</v>
      </c>
      <c r="DH120" s="129">
        <f t="shared" si="216"/>
        <v>10</v>
      </c>
      <c r="DI120" s="129">
        <f t="shared" si="239"/>
        <v>1</v>
      </c>
      <c r="DK120" s="16">
        <f>+IF(AND(Mars!$DP$8&lt;&gt;52,AR120=S.CAL!$BJ$4),10,1)</f>
        <v>1</v>
      </c>
      <c r="DN120" s="16">
        <f t="shared" si="217"/>
        <v>1</v>
      </c>
      <c r="DU120" s="1296" t="str">
        <f t="shared" si="240"/>
        <v>Fiche infoA345735</v>
      </c>
      <c r="DV120" s="1384">
        <f t="shared" si="218"/>
        <v>0</v>
      </c>
      <c r="DW120" s="1385">
        <f t="shared" si="219"/>
        <v>0</v>
      </c>
      <c r="DX120" s="1385">
        <f t="shared" si="220"/>
        <v>0</v>
      </c>
      <c r="DY120" s="1385">
        <f t="shared" si="221"/>
        <v>0</v>
      </c>
      <c r="DZ120" s="1385">
        <f t="shared" si="222"/>
        <v>0</v>
      </c>
      <c r="EA120" s="1385">
        <f t="shared" si="223"/>
        <v>0</v>
      </c>
      <c r="EB120" s="1385">
        <f t="shared" si="224"/>
        <v>0</v>
      </c>
      <c r="EC120" s="1385">
        <f t="shared" si="225"/>
        <v>0</v>
      </c>
      <c r="ED120" s="1385">
        <f t="shared" si="241"/>
        <v>0</v>
      </c>
      <c r="EE120" s="1386">
        <f t="shared" si="242"/>
        <v>0</v>
      </c>
      <c r="EG120" s="16" t="str">
        <f t="shared" si="243"/>
        <v>122025</v>
      </c>
      <c r="EH120" s="16" t="str">
        <f t="shared" si="226"/>
        <v>Fiche infoA3</v>
      </c>
      <c r="EI120" s="16" t="str">
        <f t="shared" si="227"/>
        <v/>
      </c>
    </row>
    <row r="121" spans="1:139" x14ac:dyDescent="0.2">
      <c r="A121" s="1395" t="str">
        <f>Mars!BJ39</f>
        <v>Fiche infoA4</v>
      </c>
      <c r="B121" s="829">
        <f>Mars!AB39</f>
        <v>45736</v>
      </c>
      <c r="C121" s="1394"/>
      <c r="D121" s="1001">
        <f t="shared" si="183"/>
        <v>0</v>
      </c>
      <c r="E121" s="452">
        <f t="shared" si="184"/>
        <v>0</v>
      </c>
      <c r="F121" s="452">
        <f t="shared" si="185"/>
        <v>0</v>
      </c>
      <c r="G121" s="452">
        <f t="shared" si="186"/>
        <v>0</v>
      </c>
      <c r="H121" s="452">
        <f t="shared" si="187"/>
        <v>0</v>
      </c>
      <c r="I121" s="452">
        <f t="shared" si="188"/>
        <v>0</v>
      </c>
      <c r="J121" s="452">
        <f t="shared" si="189"/>
        <v>0</v>
      </c>
      <c r="K121" s="452">
        <f t="shared" si="190"/>
        <v>0</v>
      </c>
      <c r="L121" s="452">
        <f t="shared" si="228"/>
        <v>0</v>
      </c>
      <c r="M121" s="1002">
        <f t="shared" si="229"/>
        <v>0</v>
      </c>
      <c r="N121" s="1396"/>
      <c r="O121" s="1001">
        <f t="shared" si="245"/>
        <v>0</v>
      </c>
      <c r="P121" s="452">
        <f t="shared" si="246"/>
        <v>0</v>
      </c>
      <c r="Q121" s="452">
        <f t="shared" si="247"/>
        <v>0</v>
      </c>
      <c r="R121" s="452">
        <f t="shared" si="248"/>
        <v>0</v>
      </c>
      <c r="S121" s="452">
        <f t="shared" si="249"/>
        <v>0</v>
      </c>
      <c r="T121" s="452">
        <f t="shared" si="250"/>
        <v>0</v>
      </c>
      <c r="U121" s="452">
        <f t="shared" si="251"/>
        <v>0</v>
      </c>
      <c r="V121" s="452">
        <f t="shared" si="252"/>
        <v>0</v>
      </c>
      <c r="W121" s="452">
        <f t="shared" si="199"/>
        <v>0</v>
      </c>
      <c r="X121" s="1002">
        <f t="shared" si="200"/>
        <v>0</v>
      </c>
      <c r="Y121" s="1397"/>
      <c r="Z121" s="1398">
        <f t="shared" si="201"/>
        <v>0</v>
      </c>
      <c r="AA121" s="1398">
        <f t="shared" si="202"/>
        <v>0</v>
      </c>
      <c r="AB121" s="1398">
        <f t="shared" si="203"/>
        <v>0</v>
      </c>
      <c r="AC121" s="1398">
        <f t="shared" si="204"/>
        <v>0</v>
      </c>
      <c r="AD121" s="1398">
        <f t="shared" si="205"/>
        <v>0</v>
      </c>
      <c r="AE121" s="1398">
        <f t="shared" si="206"/>
        <v>0</v>
      </c>
      <c r="AF121" s="1398">
        <f t="shared" si="207"/>
        <v>0</v>
      </c>
      <c r="AG121" s="1398">
        <f t="shared" si="208"/>
        <v>0</v>
      </c>
      <c r="AH121" s="1396"/>
      <c r="AI121" s="462">
        <f t="shared" si="253"/>
        <v>0</v>
      </c>
      <c r="AJ121" s="1112"/>
      <c r="AK121" s="1399"/>
      <c r="AL121" s="829">
        <f t="shared" si="210"/>
        <v>45736</v>
      </c>
      <c r="AM121" s="684">
        <f>IFERROR(IF(AND(AT121="",AR121&lt;&gt;S.CAL!$BJ$3,AR121&lt;&gt;S.CAL!$BJ$4,$AR$95="NON"),M121-BD121,IF(AND(AT121="",AR121&lt;&gt;S.CAL!$BJ$3,AR121&lt;&gt;S.CAL!$BJ$4,$AR$95="OUI"),X121-AI121,IF(AT121&lt;&gt;0,AT121,IF(OR(AR121=S.CAL!$BJ$3,AR121=S.CAL!$BJ$4),AR121,"")))),"")</f>
        <v>0</v>
      </c>
      <c r="AN121" s="1115"/>
      <c r="AO121" s="1116"/>
      <c r="AP121" s="684">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400">
        <f t="shared" si="230"/>
        <v>0</v>
      </c>
      <c r="AR121" s="1120"/>
      <c r="AS121" s="1396"/>
      <c r="AT121" s="1123"/>
      <c r="AU121" s="831"/>
      <c r="AV121" s="1392">
        <f t="shared" si="211"/>
        <v>45736</v>
      </c>
      <c r="AW121" s="1396"/>
      <c r="AX121" s="529">
        <f t="shared" si="231"/>
        <v>45736</v>
      </c>
      <c r="AY121" s="541">
        <f t="shared" si="232"/>
        <v>0</v>
      </c>
      <c r="AZ121" s="538" t="s">
        <v>146</v>
      </c>
      <c r="BA121" s="534">
        <f t="shared" si="233"/>
        <v>0</v>
      </c>
      <c r="BB121" s="567" t="str">
        <f t="shared" si="212"/>
        <v/>
      </c>
      <c r="BC121" s="541">
        <f t="shared" si="234"/>
        <v>0</v>
      </c>
      <c r="BD121" s="541">
        <f t="shared" si="235"/>
        <v>0</v>
      </c>
      <c r="BE121" s="1126"/>
      <c r="BF121" s="532" t="str">
        <f t="shared" si="213"/>
        <v/>
      </c>
      <c r="BG121" s="532" t="str">
        <f t="shared" si="236"/>
        <v>oui</v>
      </c>
      <c r="BH121" s="395" t="str">
        <f t="shared" si="214"/>
        <v/>
      </c>
      <c r="BI121" s="24" t="str">
        <f t="shared" si="215"/>
        <v/>
      </c>
      <c r="BJ121" s="1404"/>
      <c r="BK121" s="1404"/>
      <c r="BL121" s="1404"/>
      <c r="BM121" s="1404"/>
      <c r="BN121" s="1404"/>
      <c r="BO121" s="1404"/>
      <c r="BP121" s="1404"/>
      <c r="BQ121" s="1404"/>
      <c r="BR121" s="1405"/>
      <c r="BS121" s="1392">
        <f t="shared" si="182"/>
        <v>45736</v>
      </c>
      <c r="BT121" s="1406" t="str">
        <f t="shared" si="244"/>
        <v/>
      </c>
      <c r="BU121" s="1404"/>
      <c r="BV121" s="1404"/>
      <c r="BW121" s="1404"/>
      <c r="BX121" s="1404"/>
      <c r="BY121" s="1404"/>
      <c r="BZ121" s="1404"/>
      <c r="CA121" s="1404"/>
      <c r="CB121" s="1404"/>
      <c r="CD121" s="1408">
        <f t="shared" si="237"/>
        <v>0</v>
      </c>
      <c r="DC121" s="16" t="str">
        <f>Mars!FC39</f>
        <v>non</v>
      </c>
      <c r="DG121" s="333">
        <f t="shared" si="238"/>
        <v>1</v>
      </c>
      <c r="DH121" s="129">
        <f t="shared" si="216"/>
        <v>10</v>
      </c>
      <c r="DI121" s="129">
        <f t="shared" si="239"/>
        <v>1</v>
      </c>
      <c r="DK121" s="16">
        <f>+IF(AND(Mars!$DP$8&lt;&gt;52,AR121=S.CAL!$BJ$4),10,1)</f>
        <v>1</v>
      </c>
      <c r="DN121" s="16">
        <f t="shared" si="217"/>
        <v>1</v>
      </c>
      <c r="DU121" s="1296" t="str">
        <f t="shared" si="240"/>
        <v>Fiche infoA445736</v>
      </c>
      <c r="DV121" s="1384">
        <f t="shared" si="218"/>
        <v>0</v>
      </c>
      <c r="DW121" s="1385">
        <f t="shared" si="219"/>
        <v>0</v>
      </c>
      <c r="DX121" s="1385">
        <f t="shared" si="220"/>
        <v>0</v>
      </c>
      <c r="DY121" s="1385">
        <f t="shared" si="221"/>
        <v>0</v>
      </c>
      <c r="DZ121" s="1385">
        <f t="shared" si="222"/>
        <v>0</v>
      </c>
      <c r="EA121" s="1385">
        <f t="shared" si="223"/>
        <v>0</v>
      </c>
      <c r="EB121" s="1385">
        <f t="shared" si="224"/>
        <v>0</v>
      </c>
      <c r="EC121" s="1385">
        <f t="shared" si="225"/>
        <v>0</v>
      </c>
      <c r="ED121" s="1385">
        <f t="shared" si="241"/>
        <v>0</v>
      </c>
      <c r="EE121" s="1386">
        <f t="shared" si="242"/>
        <v>0</v>
      </c>
      <c r="EG121" s="16" t="str">
        <f t="shared" si="243"/>
        <v>122025</v>
      </c>
      <c r="EH121" s="16" t="str">
        <f t="shared" si="226"/>
        <v>Fiche infoA4</v>
      </c>
      <c r="EI121" s="16" t="str">
        <f t="shared" si="227"/>
        <v/>
      </c>
    </row>
    <row r="122" spans="1:139" x14ac:dyDescent="0.2">
      <c r="A122" s="24" t="str">
        <f>Mars!BJ40</f>
        <v>Fiche infoA5</v>
      </c>
      <c r="B122" s="829">
        <f>Mars!AB40</f>
        <v>45737</v>
      </c>
      <c r="C122" s="1393"/>
      <c r="D122" s="1001">
        <f t="shared" si="183"/>
        <v>0</v>
      </c>
      <c r="E122" s="452">
        <f t="shared" si="184"/>
        <v>0</v>
      </c>
      <c r="F122" s="452">
        <f t="shared" si="185"/>
        <v>0</v>
      </c>
      <c r="G122" s="452">
        <f t="shared" si="186"/>
        <v>0</v>
      </c>
      <c r="H122" s="452">
        <f t="shared" si="187"/>
        <v>0</v>
      </c>
      <c r="I122" s="452">
        <f t="shared" si="188"/>
        <v>0</v>
      </c>
      <c r="J122" s="452">
        <f t="shared" si="189"/>
        <v>0</v>
      </c>
      <c r="K122" s="452">
        <f t="shared" si="190"/>
        <v>0</v>
      </c>
      <c r="L122" s="452">
        <f t="shared" si="228"/>
        <v>0</v>
      </c>
      <c r="M122" s="1002">
        <f t="shared" si="229"/>
        <v>0</v>
      </c>
      <c r="O122" s="1001">
        <f t="shared" si="245"/>
        <v>0</v>
      </c>
      <c r="P122" s="452">
        <f t="shared" si="246"/>
        <v>0</v>
      </c>
      <c r="Q122" s="452">
        <f t="shared" si="247"/>
        <v>0</v>
      </c>
      <c r="R122" s="452">
        <f t="shared" si="248"/>
        <v>0</v>
      </c>
      <c r="S122" s="452">
        <f t="shared" si="249"/>
        <v>0</v>
      </c>
      <c r="T122" s="452">
        <f t="shared" si="250"/>
        <v>0</v>
      </c>
      <c r="U122" s="452">
        <f t="shared" si="251"/>
        <v>0</v>
      </c>
      <c r="V122" s="452">
        <f t="shared" si="252"/>
        <v>0</v>
      </c>
      <c r="W122" s="452">
        <f t="shared" si="199"/>
        <v>0</v>
      </c>
      <c r="X122" s="1002">
        <f t="shared" si="200"/>
        <v>0</v>
      </c>
      <c r="Y122" s="459"/>
      <c r="Z122" s="291">
        <f t="shared" si="201"/>
        <v>0</v>
      </c>
      <c r="AA122" s="291">
        <f t="shared" si="202"/>
        <v>0</v>
      </c>
      <c r="AB122" s="291">
        <f t="shared" si="203"/>
        <v>0</v>
      </c>
      <c r="AC122" s="291">
        <f t="shared" si="204"/>
        <v>0</v>
      </c>
      <c r="AD122" s="291">
        <f t="shared" si="205"/>
        <v>0</v>
      </c>
      <c r="AE122" s="291">
        <f t="shared" si="206"/>
        <v>0</v>
      </c>
      <c r="AF122" s="291">
        <f t="shared" si="207"/>
        <v>0</v>
      </c>
      <c r="AG122" s="291">
        <f t="shared" si="208"/>
        <v>0</v>
      </c>
      <c r="AI122" s="462">
        <f t="shared" si="253"/>
        <v>0</v>
      </c>
      <c r="AJ122" s="1112"/>
      <c r="AK122" s="507"/>
      <c r="AL122" s="829">
        <f t="shared" si="210"/>
        <v>45737</v>
      </c>
      <c r="AM122" s="684">
        <f>IFERROR(IF(AND(AT122="",AR122&lt;&gt;S.CAL!$BJ$3,AR122&lt;&gt;S.CAL!$BJ$4,$AR$95="NON"),M122-BD122,IF(AND(AT122="",AR122&lt;&gt;S.CAL!$BJ$3,AR122&lt;&gt;S.CAL!$BJ$4,$AR$95="OUI"),X122-AI122,IF(AT122&lt;&gt;0,AT122,IF(OR(AR122=S.CAL!$BJ$3,AR122=S.CAL!$BJ$4),AR122,"")))),"")</f>
        <v>0</v>
      </c>
      <c r="AN122" s="1115"/>
      <c r="AO122" s="1116"/>
      <c r="AP122" s="684">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516">
        <f t="shared" si="230"/>
        <v>0</v>
      </c>
      <c r="AR122" s="1120"/>
      <c r="AT122" s="1123"/>
      <c r="AU122" s="831"/>
      <c r="AV122" s="1392">
        <f t="shared" si="211"/>
        <v>45737</v>
      </c>
      <c r="AX122" s="529">
        <f t="shared" si="231"/>
        <v>45737</v>
      </c>
      <c r="AY122" s="541">
        <f t="shared" si="232"/>
        <v>0</v>
      </c>
      <c r="AZ122" s="538" t="s">
        <v>146</v>
      </c>
      <c r="BA122" s="534">
        <f t="shared" si="233"/>
        <v>0</v>
      </c>
      <c r="BB122" s="567" t="str">
        <f t="shared" si="212"/>
        <v/>
      </c>
      <c r="BC122" s="541">
        <f t="shared" si="234"/>
        <v>0</v>
      </c>
      <c r="BD122" s="541">
        <f t="shared" si="235"/>
        <v>0</v>
      </c>
      <c r="BE122" s="1126"/>
      <c r="BF122" s="532" t="str">
        <f t="shared" si="213"/>
        <v/>
      </c>
      <c r="BG122" s="532" t="str">
        <f t="shared" si="236"/>
        <v>oui</v>
      </c>
      <c r="BH122" s="395" t="str">
        <f t="shared" si="214"/>
        <v/>
      </c>
      <c r="BI122" s="24" t="str">
        <f t="shared" si="215"/>
        <v/>
      </c>
      <c r="BJ122" s="1403"/>
      <c r="BK122" s="1403"/>
      <c r="BL122" s="1403"/>
      <c r="BM122" s="1403"/>
      <c r="BN122" s="1403"/>
      <c r="BO122" s="1403"/>
      <c r="BP122" s="1403"/>
      <c r="BQ122" s="1403"/>
      <c r="BS122" s="1392">
        <f t="shared" si="182"/>
        <v>45737</v>
      </c>
      <c r="BT122" s="27" t="str">
        <f t="shared" si="244"/>
        <v/>
      </c>
      <c r="BU122" s="1402"/>
      <c r="BV122" s="1402"/>
      <c r="BW122" s="1402"/>
      <c r="BX122" s="1402"/>
      <c r="BY122" s="1402"/>
      <c r="BZ122" s="1402"/>
      <c r="CA122" s="1402"/>
      <c r="CB122" s="1402"/>
      <c r="CD122" s="1408">
        <f t="shared" si="237"/>
        <v>0</v>
      </c>
      <c r="DC122" s="16" t="str">
        <f>Mars!FC40</f>
        <v>non</v>
      </c>
      <c r="DG122" s="333">
        <f t="shared" si="238"/>
        <v>1</v>
      </c>
      <c r="DH122" s="129">
        <f t="shared" si="216"/>
        <v>10</v>
      </c>
      <c r="DI122" s="129">
        <f t="shared" si="239"/>
        <v>1</v>
      </c>
      <c r="DK122" s="16">
        <f>+IF(AND(Mars!$DP$8&lt;&gt;52,AR122=S.CAL!$BJ$4),10,1)</f>
        <v>1</v>
      </c>
      <c r="DN122" s="16">
        <f t="shared" si="217"/>
        <v>1</v>
      </c>
      <c r="DU122" s="1296" t="str">
        <f t="shared" si="240"/>
        <v>Fiche infoA545737</v>
      </c>
      <c r="DV122" s="1384">
        <f t="shared" si="218"/>
        <v>0</v>
      </c>
      <c r="DW122" s="1385">
        <f t="shared" si="219"/>
        <v>0</v>
      </c>
      <c r="DX122" s="1385">
        <f t="shared" si="220"/>
        <v>0</v>
      </c>
      <c r="DY122" s="1385">
        <f t="shared" si="221"/>
        <v>0</v>
      </c>
      <c r="DZ122" s="1385">
        <f t="shared" si="222"/>
        <v>0</v>
      </c>
      <c r="EA122" s="1385">
        <f t="shared" si="223"/>
        <v>0</v>
      </c>
      <c r="EB122" s="1385">
        <f t="shared" si="224"/>
        <v>0</v>
      </c>
      <c r="EC122" s="1385">
        <f t="shared" si="225"/>
        <v>0</v>
      </c>
      <c r="ED122" s="1385">
        <f t="shared" si="241"/>
        <v>0</v>
      </c>
      <c r="EE122" s="1386">
        <f t="shared" si="242"/>
        <v>0</v>
      </c>
      <c r="EG122" s="16" t="str">
        <f t="shared" si="243"/>
        <v>122025</v>
      </c>
      <c r="EH122" s="16" t="str">
        <f t="shared" si="226"/>
        <v>Fiche infoA5</v>
      </c>
      <c r="EI122" s="16" t="str">
        <f t="shared" si="227"/>
        <v/>
      </c>
    </row>
    <row r="123" spans="1:139" x14ac:dyDescent="0.2">
      <c r="A123" s="1395" t="str">
        <f>Mars!BJ41</f>
        <v>Fiche infoA6</v>
      </c>
      <c r="B123" s="829">
        <f>Mars!AB41</f>
        <v>45738</v>
      </c>
      <c r="C123" s="1394"/>
      <c r="D123" s="1001">
        <f t="shared" si="183"/>
        <v>0</v>
      </c>
      <c r="E123" s="452">
        <f t="shared" si="184"/>
        <v>0</v>
      </c>
      <c r="F123" s="452">
        <f t="shared" si="185"/>
        <v>0</v>
      </c>
      <c r="G123" s="452">
        <f t="shared" si="186"/>
        <v>0</v>
      </c>
      <c r="H123" s="452">
        <f t="shared" si="187"/>
        <v>0</v>
      </c>
      <c r="I123" s="452">
        <f t="shared" si="188"/>
        <v>0</v>
      </c>
      <c r="J123" s="452">
        <f t="shared" si="189"/>
        <v>0</v>
      </c>
      <c r="K123" s="452">
        <f t="shared" si="190"/>
        <v>0</v>
      </c>
      <c r="L123" s="452">
        <f t="shared" si="228"/>
        <v>0</v>
      </c>
      <c r="M123" s="1002">
        <f t="shared" si="229"/>
        <v>0</v>
      </c>
      <c r="N123" s="1396"/>
      <c r="O123" s="1001">
        <f t="shared" si="245"/>
        <v>0</v>
      </c>
      <c r="P123" s="452">
        <f t="shared" si="246"/>
        <v>0</v>
      </c>
      <c r="Q123" s="452">
        <f t="shared" si="247"/>
        <v>0</v>
      </c>
      <c r="R123" s="452">
        <f t="shared" si="248"/>
        <v>0</v>
      </c>
      <c r="S123" s="452">
        <f t="shared" si="249"/>
        <v>0</v>
      </c>
      <c r="T123" s="452">
        <f t="shared" si="250"/>
        <v>0</v>
      </c>
      <c r="U123" s="452">
        <f t="shared" si="251"/>
        <v>0</v>
      </c>
      <c r="V123" s="452">
        <f t="shared" si="252"/>
        <v>0</v>
      </c>
      <c r="W123" s="452">
        <f t="shared" si="199"/>
        <v>0</v>
      </c>
      <c r="X123" s="1002">
        <f t="shared" si="200"/>
        <v>0</v>
      </c>
      <c r="Y123" s="1397"/>
      <c r="Z123" s="1398">
        <f t="shared" si="201"/>
        <v>0</v>
      </c>
      <c r="AA123" s="1398">
        <f t="shared" si="202"/>
        <v>0</v>
      </c>
      <c r="AB123" s="1398">
        <f t="shared" si="203"/>
        <v>0</v>
      </c>
      <c r="AC123" s="1398">
        <f t="shared" si="204"/>
        <v>0</v>
      </c>
      <c r="AD123" s="1398">
        <f t="shared" si="205"/>
        <v>0</v>
      </c>
      <c r="AE123" s="1398">
        <f t="shared" si="206"/>
        <v>0</v>
      </c>
      <c r="AF123" s="1398">
        <f t="shared" si="207"/>
        <v>0</v>
      </c>
      <c r="AG123" s="1398">
        <f t="shared" si="208"/>
        <v>0</v>
      </c>
      <c r="AH123" s="1396"/>
      <c r="AI123" s="462">
        <f t="shared" si="253"/>
        <v>0</v>
      </c>
      <c r="AJ123" s="1112"/>
      <c r="AK123" s="1399"/>
      <c r="AL123" s="829">
        <f t="shared" si="210"/>
        <v>45738</v>
      </c>
      <c r="AM123" s="684">
        <f>IFERROR(IF(AND(AT123="",AR123&lt;&gt;S.CAL!$BJ$3,AR123&lt;&gt;S.CAL!$BJ$4,$AR$95="NON"),M123-BD123,IF(AND(AT123="",AR123&lt;&gt;S.CAL!$BJ$3,AR123&lt;&gt;S.CAL!$BJ$4,$AR$95="OUI"),X123-AI123,IF(AT123&lt;&gt;0,AT123,IF(OR(AR123=S.CAL!$BJ$3,AR123=S.CAL!$BJ$4),AR123,"")))),"")</f>
        <v>0</v>
      </c>
      <c r="AN123" s="1115"/>
      <c r="AO123" s="1116"/>
      <c r="AP123" s="684">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400">
        <f t="shared" si="230"/>
        <v>0</v>
      </c>
      <c r="AR123" s="1120"/>
      <c r="AS123" s="1396"/>
      <c r="AT123" s="1123"/>
      <c r="AU123" s="831"/>
      <c r="AV123" s="1392">
        <f t="shared" si="211"/>
        <v>45738</v>
      </c>
      <c r="AW123" s="1396"/>
      <c r="AX123" s="529">
        <f t="shared" si="231"/>
        <v>45738</v>
      </c>
      <c r="AY123" s="541">
        <f t="shared" si="232"/>
        <v>0</v>
      </c>
      <c r="AZ123" s="538" t="s">
        <v>146</v>
      </c>
      <c r="BA123" s="534">
        <f t="shared" si="233"/>
        <v>0</v>
      </c>
      <c r="BB123" s="567" t="str">
        <f t="shared" si="212"/>
        <v/>
      </c>
      <c r="BC123" s="541">
        <f t="shared" si="234"/>
        <v>0</v>
      </c>
      <c r="BD123" s="541">
        <f t="shared" si="235"/>
        <v>0</v>
      </c>
      <c r="BE123" s="1126"/>
      <c r="BF123" s="532" t="str">
        <f t="shared" si="213"/>
        <v/>
      </c>
      <c r="BG123" s="532" t="str">
        <f t="shared" si="236"/>
        <v>oui</v>
      </c>
      <c r="BH123" s="395" t="str">
        <f t="shared" si="214"/>
        <v/>
      </c>
      <c r="BI123" s="24" t="str">
        <f t="shared" si="215"/>
        <v/>
      </c>
      <c r="BJ123" s="1404"/>
      <c r="BK123" s="1404"/>
      <c r="BL123" s="1404"/>
      <c r="BM123" s="1404"/>
      <c r="BN123" s="1404"/>
      <c r="BO123" s="1404"/>
      <c r="BP123" s="1404"/>
      <c r="BQ123" s="1404"/>
      <c r="BR123" s="1405"/>
      <c r="BS123" s="1392">
        <f t="shared" si="182"/>
        <v>45738</v>
      </c>
      <c r="BT123" s="1406" t="str">
        <f t="shared" si="244"/>
        <v/>
      </c>
      <c r="BU123" s="1404"/>
      <c r="BV123" s="1404"/>
      <c r="BW123" s="1404"/>
      <c r="BX123" s="1404"/>
      <c r="BY123" s="1404"/>
      <c r="BZ123" s="1404"/>
      <c r="CA123" s="1404"/>
      <c r="CB123" s="1404"/>
      <c r="CD123" s="1408">
        <f t="shared" si="237"/>
        <v>0</v>
      </c>
      <c r="DC123" s="16" t="str">
        <f>Mars!FC41</f>
        <v>non</v>
      </c>
      <c r="DG123" s="333">
        <f t="shared" si="238"/>
        <v>1</v>
      </c>
      <c r="DH123" s="129">
        <f t="shared" si="216"/>
        <v>10</v>
      </c>
      <c r="DI123" s="129">
        <f t="shared" si="239"/>
        <v>1</v>
      </c>
      <c r="DK123" s="16">
        <f>+IF(AND(Mars!$DP$8&lt;&gt;52,AR123=S.CAL!$BJ$4),10,1)</f>
        <v>1</v>
      </c>
      <c r="DN123" s="16">
        <f t="shared" si="217"/>
        <v>1</v>
      </c>
      <c r="DU123" s="1296" t="str">
        <f t="shared" si="240"/>
        <v>Fiche infoA645738</v>
      </c>
      <c r="DV123" s="1384">
        <f t="shared" si="218"/>
        <v>0</v>
      </c>
      <c r="DW123" s="1385">
        <f t="shared" si="219"/>
        <v>0</v>
      </c>
      <c r="DX123" s="1385">
        <f t="shared" si="220"/>
        <v>0</v>
      </c>
      <c r="DY123" s="1385">
        <f t="shared" si="221"/>
        <v>0</v>
      </c>
      <c r="DZ123" s="1385">
        <f t="shared" si="222"/>
        <v>0</v>
      </c>
      <c r="EA123" s="1385">
        <f t="shared" si="223"/>
        <v>0</v>
      </c>
      <c r="EB123" s="1385">
        <f t="shared" si="224"/>
        <v>0</v>
      </c>
      <c r="EC123" s="1385">
        <f t="shared" si="225"/>
        <v>0</v>
      </c>
      <c r="ED123" s="1385">
        <f t="shared" si="241"/>
        <v>0</v>
      </c>
      <c r="EE123" s="1386">
        <f t="shared" si="242"/>
        <v>0</v>
      </c>
      <c r="EG123" s="16" t="str">
        <f t="shared" si="243"/>
        <v>122025</v>
      </c>
      <c r="EH123" s="16" t="str">
        <f t="shared" si="226"/>
        <v>Fiche infoA6</v>
      </c>
      <c r="EI123" s="16" t="str">
        <f t="shared" si="227"/>
        <v/>
      </c>
    </row>
    <row r="124" spans="1:139" x14ac:dyDescent="0.2">
      <c r="A124" s="24" t="str">
        <f>Mars!BJ42</f>
        <v>Fiche infoA7</v>
      </c>
      <c r="B124" s="829">
        <f>Mars!AB42</f>
        <v>45739</v>
      </c>
      <c r="C124" s="1393"/>
      <c r="D124" s="1001">
        <f t="shared" si="183"/>
        <v>0</v>
      </c>
      <c r="E124" s="452">
        <f t="shared" si="184"/>
        <v>0</v>
      </c>
      <c r="F124" s="452">
        <f t="shared" si="185"/>
        <v>0</v>
      </c>
      <c r="G124" s="452">
        <f t="shared" si="186"/>
        <v>0</v>
      </c>
      <c r="H124" s="452">
        <f t="shared" si="187"/>
        <v>0</v>
      </c>
      <c r="I124" s="452">
        <f t="shared" si="188"/>
        <v>0</v>
      </c>
      <c r="J124" s="452">
        <f t="shared" si="189"/>
        <v>0</v>
      </c>
      <c r="K124" s="452">
        <f t="shared" si="190"/>
        <v>0</v>
      </c>
      <c r="L124" s="452">
        <f t="shared" si="228"/>
        <v>0</v>
      </c>
      <c r="M124" s="1002">
        <f t="shared" si="229"/>
        <v>0</v>
      </c>
      <c r="O124" s="1001">
        <f t="shared" si="245"/>
        <v>0</v>
      </c>
      <c r="P124" s="452">
        <f t="shared" si="246"/>
        <v>0</v>
      </c>
      <c r="Q124" s="452">
        <f t="shared" si="247"/>
        <v>0</v>
      </c>
      <c r="R124" s="452">
        <f t="shared" si="248"/>
        <v>0</v>
      </c>
      <c r="S124" s="452">
        <f t="shared" si="249"/>
        <v>0</v>
      </c>
      <c r="T124" s="452">
        <f t="shared" si="250"/>
        <v>0</v>
      </c>
      <c r="U124" s="452">
        <f t="shared" si="251"/>
        <v>0</v>
      </c>
      <c r="V124" s="452">
        <f t="shared" si="252"/>
        <v>0</v>
      </c>
      <c r="W124" s="452">
        <f t="shared" si="199"/>
        <v>0</v>
      </c>
      <c r="X124" s="1002">
        <f t="shared" si="200"/>
        <v>0</v>
      </c>
      <c r="Y124" s="459"/>
      <c r="Z124" s="291">
        <f t="shared" si="201"/>
        <v>0</v>
      </c>
      <c r="AA124" s="291">
        <f t="shared" si="202"/>
        <v>0</v>
      </c>
      <c r="AB124" s="291">
        <f t="shared" si="203"/>
        <v>0</v>
      </c>
      <c r="AC124" s="291">
        <f t="shared" si="204"/>
        <v>0</v>
      </c>
      <c r="AD124" s="291">
        <f t="shared" si="205"/>
        <v>0</v>
      </c>
      <c r="AE124" s="291">
        <f t="shared" si="206"/>
        <v>0</v>
      </c>
      <c r="AF124" s="291">
        <f t="shared" si="207"/>
        <v>0</v>
      </c>
      <c r="AG124" s="291">
        <f t="shared" si="208"/>
        <v>0</v>
      </c>
      <c r="AI124" s="462">
        <f t="shared" si="253"/>
        <v>0</v>
      </c>
      <c r="AJ124" s="1112"/>
      <c r="AK124" s="507"/>
      <c r="AL124" s="829">
        <f t="shared" si="210"/>
        <v>45739</v>
      </c>
      <c r="AM124" s="684">
        <f>IFERROR(IF(AND(AT124="",AR124&lt;&gt;S.CAL!$BJ$3,AR124&lt;&gt;S.CAL!$BJ$4,$AR$95="NON"),M124-BD124,IF(AND(AT124="",AR124&lt;&gt;S.CAL!$BJ$3,AR124&lt;&gt;S.CAL!$BJ$4,$AR$95="OUI"),X124-AI124,IF(AT124&lt;&gt;0,AT124,IF(OR(AR124=S.CAL!$BJ$3,AR124=S.CAL!$BJ$4),AR124,"")))),"")</f>
        <v>0</v>
      </c>
      <c r="AN124" s="1115"/>
      <c r="AO124" s="1116"/>
      <c r="AP124" s="684">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516">
        <f t="shared" si="230"/>
        <v>0</v>
      </c>
      <c r="AR124" s="1120"/>
      <c r="AT124" s="1123"/>
      <c r="AU124" s="831"/>
      <c r="AV124" s="1392">
        <f t="shared" si="211"/>
        <v>45739</v>
      </c>
      <c r="AX124" s="529">
        <f t="shared" si="231"/>
        <v>45739</v>
      </c>
      <c r="AY124" s="541">
        <f t="shared" si="232"/>
        <v>0</v>
      </c>
      <c r="AZ124" s="538" t="s">
        <v>146</v>
      </c>
      <c r="BA124" s="534">
        <f t="shared" si="233"/>
        <v>0</v>
      </c>
      <c r="BB124" s="567" t="str">
        <f t="shared" si="212"/>
        <v/>
      </c>
      <c r="BC124" s="541">
        <f t="shared" si="234"/>
        <v>0</v>
      </c>
      <c r="BD124" s="541">
        <f t="shared" si="235"/>
        <v>0</v>
      </c>
      <c r="BE124" s="1126"/>
      <c r="BF124" s="532" t="str">
        <f t="shared" si="213"/>
        <v/>
      </c>
      <c r="BG124" s="532" t="str">
        <f t="shared" si="236"/>
        <v>oui</v>
      </c>
      <c r="BH124" s="395" t="str">
        <f t="shared" si="214"/>
        <v/>
      </c>
      <c r="BI124" s="24" t="str">
        <f t="shared" si="215"/>
        <v/>
      </c>
      <c r="BJ124" s="1403"/>
      <c r="BK124" s="1403"/>
      <c r="BL124" s="1403"/>
      <c r="BM124" s="1403"/>
      <c r="BN124" s="1403"/>
      <c r="BO124" s="1403"/>
      <c r="BP124" s="1403"/>
      <c r="BQ124" s="1403"/>
      <c r="BS124" s="1392">
        <f t="shared" si="182"/>
        <v>45739</v>
      </c>
      <c r="BT124" s="27" t="str">
        <f t="shared" si="244"/>
        <v/>
      </c>
      <c r="BU124" s="1402"/>
      <c r="BV124" s="1402"/>
      <c r="BW124" s="1402"/>
      <c r="BX124" s="1402"/>
      <c r="BY124" s="1402"/>
      <c r="BZ124" s="1402"/>
      <c r="CA124" s="1402"/>
      <c r="CB124" s="1402"/>
      <c r="CD124" s="1408">
        <f t="shared" si="237"/>
        <v>0</v>
      </c>
      <c r="DC124" s="16" t="str">
        <f>Mars!FC42</f>
        <v>non</v>
      </c>
      <c r="DG124" s="333">
        <f t="shared" si="238"/>
        <v>1</v>
      </c>
      <c r="DH124" s="129">
        <f t="shared" si="216"/>
        <v>10</v>
      </c>
      <c r="DI124" s="129">
        <f t="shared" si="239"/>
        <v>1</v>
      </c>
      <c r="DK124" s="16">
        <f>+IF(AND(Mars!$DP$8&lt;&gt;52,AR124=S.CAL!$BJ$4),10,1)</f>
        <v>1</v>
      </c>
      <c r="DN124" s="16">
        <f t="shared" si="217"/>
        <v>1</v>
      </c>
      <c r="DU124" s="1296" t="str">
        <f t="shared" si="240"/>
        <v>Fiche infoA745739</v>
      </c>
      <c r="DV124" s="1384">
        <f t="shared" si="218"/>
        <v>0</v>
      </c>
      <c r="DW124" s="1385">
        <f t="shared" si="219"/>
        <v>0</v>
      </c>
      <c r="DX124" s="1385">
        <f t="shared" si="220"/>
        <v>0</v>
      </c>
      <c r="DY124" s="1385">
        <f t="shared" si="221"/>
        <v>0</v>
      </c>
      <c r="DZ124" s="1385">
        <f t="shared" si="222"/>
        <v>0</v>
      </c>
      <c r="EA124" s="1385">
        <f t="shared" si="223"/>
        <v>0</v>
      </c>
      <c r="EB124" s="1385">
        <f t="shared" si="224"/>
        <v>0</v>
      </c>
      <c r="EC124" s="1385">
        <f t="shared" si="225"/>
        <v>0</v>
      </c>
      <c r="ED124" s="1385">
        <f t="shared" si="241"/>
        <v>0</v>
      </c>
      <c r="EE124" s="1386">
        <f t="shared" si="242"/>
        <v>0</v>
      </c>
      <c r="EG124" s="16" t="str">
        <f t="shared" si="243"/>
        <v>122025</v>
      </c>
      <c r="EH124" s="16" t="str">
        <f t="shared" si="226"/>
        <v>Fiche infoA7</v>
      </c>
      <c r="EI124" s="16" t="str">
        <f t="shared" si="227"/>
        <v/>
      </c>
    </row>
    <row r="125" spans="1:139" x14ac:dyDescent="0.2">
      <c r="A125" s="1395" t="str">
        <f>Mars!BJ43</f>
        <v>Fiche infoA1</v>
      </c>
      <c r="B125" s="829">
        <f>Mars!AB43</f>
        <v>45740</v>
      </c>
      <c r="C125" s="1394"/>
      <c r="D125" s="1001">
        <f t="shared" si="183"/>
        <v>0</v>
      </c>
      <c r="E125" s="452">
        <f t="shared" si="184"/>
        <v>0</v>
      </c>
      <c r="F125" s="452">
        <f t="shared" si="185"/>
        <v>0</v>
      </c>
      <c r="G125" s="452">
        <f t="shared" si="186"/>
        <v>0</v>
      </c>
      <c r="H125" s="452">
        <f t="shared" si="187"/>
        <v>0</v>
      </c>
      <c r="I125" s="452">
        <f t="shared" si="188"/>
        <v>0</v>
      </c>
      <c r="J125" s="452">
        <f t="shared" si="189"/>
        <v>0</v>
      </c>
      <c r="K125" s="452">
        <f t="shared" si="190"/>
        <v>0</v>
      </c>
      <c r="L125" s="452">
        <f t="shared" si="228"/>
        <v>0</v>
      </c>
      <c r="M125" s="1002">
        <f t="shared" si="229"/>
        <v>0</v>
      </c>
      <c r="N125" s="1396"/>
      <c r="O125" s="1001">
        <f t="shared" si="245"/>
        <v>0</v>
      </c>
      <c r="P125" s="452">
        <f t="shared" si="246"/>
        <v>0</v>
      </c>
      <c r="Q125" s="452">
        <f t="shared" si="247"/>
        <v>0</v>
      </c>
      <c r="R125" s="452">
        <f t="shared" si="248"/>
        <v>0</v>
      </c>
      <c r="S125" s="452">
        <f t="shared" si="249"/>
        <v>0</v>
      </c>
      <c r="T125" s="452">
        <f t="shared" si="250"/>
        <v>0</v>
      </c>
      <c r="U125" s="452">
        <f t="shared" si="251"/>
        <v>0</v>
      </c>
      <c r="V125" s="452">
        <f t="shared" si="252"/>
        <v>0</v>
      </c>
      <c r="W125" s="452">
        <f t="shared" si="199"/>
        <v>0</v>
      </c>
      <c r="X125" s="1002">
        <f t="shared" si="200"/>
        <v>0</v>
      </c>
      <c r="Y125" s="1397"/>
      <c r="Z125" s="1398">
        <f t="shared" si="201"/>
        <v>0</v>
      </c>
      <c r="AA125" s="1398">
        <f t="shared" si="202"/>
        <v>0</v>
      </c>
      <c r="AB125" s="1398">
        <f t="shared" si="203"/>
        <v>0</v>
      </c>
      <c r="AC125" s="1398">
        <f t="shared" si="204"/>
        <v>0</v>
      </c>
      <c r="AD125" s="1398">
        <f t="shared" si="205"/>
        <v>0</v>
      </c>
      <c r="AE125" s="1398">
        <f t="shared" si="206"/>
        <v>0</v>
      </c>
      <c r="AF125" s="1398">
        <f t="shared" si="207"/>
        <v>0</v>
      </c>
      <c r="AG125" s="1398">
        <f t="shared" si="208"/>
        <v>0</v>
      </c>
      <c r="AH125" s="1396"/>
      <c r="AI125" s="462">
        <f t="shared" si="253"/>
        <v>0</v>
      </c>
      <c r="AJ125" s="1112"/>
      <c r="AK125" s="1399"/>
      <c r="AL125" s="829">
        <f t="shared" si="210"/>
        <v>45740</v>
      </c>
      <c r="AM125" s="684">
        <f>IFERROR(IF(AND(AT125="",AR125&lt;&gt;S.CAL!$BJ$3,AR125&lt;&gt;S.CAL!$BJ$4,$AR$95="NON"),M125-BD125,IF(AND(AT125="",AR125&lt;&gt;S.CAL!$BJ$3,AR125&lt;&gt;S.CAL!$BJ$4,$AR$95="OUI"),X125-AI125,IF(AT125&lt;&gt;0,AT125,IF(OR(AR125=S.CAL!$BJ$3,AR125=S.CAL!$BJ$4),AR125,"")))),"")</f>
        <v>0</v>
      </c>
      <c r="AN125" s="1115"/>
      <c r="AO125" s="1116"/>
      <c r="AP125" s="684">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400">
        <f t="shared" si="230"/>
        <v>0</v>
      </c>
      <c r="AR125" s="1120"/>
      <c r="AS125" s="1396"/>
      <c r="AT125" s="1123"/>
      <c r="AU125" s="831"/>
      <c r="AV125" s="1392">
        <f t="shared" si="211"/>
        <v>45740</v>
      </c>
      <c r="AW125" s="1396"/>
      <c r="AX125" s="529">
        <f t="shared" si="231"/>
        <v>45740</v>
      </c>
      <c r="AY125" s="541">
        <f t="shared" si="232"/>
        <v>0</v>
      </c>
      <c r="AZ125" s="538" t="s">
        <v>146</v>
      </c>
      <c r="BA125" s="534">
        <f t="shared" si="233"/>
        <v>0</v>
      </c>
      <c r="BB125" s="567" t="str">
        <f t="shared" si="212"/>
        <v/>
      </c>
      <c r="BC125" s="541">
        <f t="shared" si="234"/>
        <v>0</v>
      </c>
      <c r="BD125" s="541">
        <f t="shared" si="235"/>
        <v>0</v>
      </c>
      <c r="BE125" s="1126"/>
      <c r="BF125" s="532" t="str">
        <f t="shared" si="213"/>
        <v/>
      </c>
      <c r="BG125" s="532" t="str">
        <f t="shared" si="236"/>
        <v>oui</v>
      </c>
      <c r="BH125" s="395" t="str">
        <f t="shared" si="214"/>
        <v/>
      </c>
      <c r="BI125" s="24" t="str">
        <f t="shared" si="215"/>
        <v/>
      </c>
      <c r="BJ125" s="1404"/>
      <c r="BK125" s="1404"/>
      <c r="BL125" s="1404"/>
      <c r="BM125" s="1404"/>
      <c r="BN125" s="1404"/>
      <c r="BO125" s="1404"/>
      <c r="BP125" s="1404"/>
      <c r="BQ125" s="1404"/>
      <c r="BR125" s="1405"/>
      <c r="BS125" s="1392">
        <f t="shared" si="182"/>
        <v>45740</v>
      </c>
      <c r="BT125" s="1406">
        <f t="shared" si="244"/>
        <v>13</v>
      </c>
      <c r="BU125" s="1404"/>
      <c r="BV125" s="1404"/>
      <c r="BW125" s="1404"/>
      <c r="BX125" s="1404"/>
      <c r="BY125" s="1404"/>
      <c r="BZ125" s="1404"/>
      <c r="CA125" s="1404"/>
      <c r="CB125" s="1404"/>
      <c r="CD125" s="1408">
        <f t="shared" si="237"/>
        <v>0</v>
      </c>
      <c r="DC125" s="16" t="str">
        <f>Mars!FC43</f>
        <v>non</v>
      </c>
      <c r="DG125" s="333">
        <f t="shared" si="238"/>
        <v>1</v>
      </c>
      <c r="DH125" s="129">
        <f t="shared" si="216"/>
        <v>10</v>
      </c>
      <c r="DI125" s="129">
        <f t="shared" si="239"/>
        <v>1</v>
      </c>
      <c r="DK125" s="16">
        <f>+IF(AND(Mars!$DP$8&lt;&gt;52,AR125=S.CAL!$BJ$4),10,1)</f>
        <v>1</v>
      </c>
      <c r="DN125" s="16">
        <f t="shared" si="217"/>
        <v>1</v>
      </c>
      <c r="DU125" s="1296" t="str">
        <f t="shared" si="240"/>
        <v>Fiche infoA145740</v>
      </c>
      <c r="DV125" s="1384">
        <f t="shared" si="218"/>
        <v>0</v>
      </c>
      <c r="DW125" s="1385">
        <f t="shared" si="219"/>
        <v>0</v>
      </c>
      <c r="DX125" s="1385">
        <f t="shared" si="220"/>
        <v>0</v>
      </c>
      <c r="DY125" s="1385">
        <f t="shared" si="221"/>
        <v>0</v>
      </c>
      <c r="DZ125" s="1385">
        <f t="shared" si="222"/>
        <v>0</v>
      </c>
      <c r="EA125" s="1385">
        <f t="shared" si="223"/>
        <v>0</v>
      </c>
      <c r="EB125" s="1385">
        <f t="shared" si="224"/>
        <v>0</v>
      </c>
      <c r="EC125" s="1385">
        <f t="shared" si="225"/>
        <v>0</v>
      </c>
      <c r="ED125" s="1385">
        <f t="shared" si="241"/>
        <v>0</v>
      </c>
      <c r="EE125" s="1386">
        <f t="shared" si="242"/>
        <v>0</v>
      </c>
      <c r="EG125" s="16" t="str">
        <f t="shared" si="243"/>
        <v>132025</v>
      </c>
      <c r="EH125" s="16" t="str">
        <f t="shared" si="226"/>
        <v>Fiche infoA1</v>
      </c>
      <c r="EI125" s="16" t="str">
        <f t="shared" si="227"/>
        <v/>
      </c>
    </row>
    <row r="126" spans="1:139" x14ac:dyDescent="0.2">
      <c r="A126" s="24" t="str">
        <f>Mars!BJ44</f>
        <v>Fiche infoA2</v>
      </c>
      <c r="B126" s="829">
        <f>Mars!AB44</f>
        <v>45741</v>
      </c>
      <c r="C126" s="1393"/>
      <c r="D126" s="1001">
        <f t="shared" si="183"/>
        <v>0</v>
      </c>
      <c r="E126" s="452">
        <f t="shared" si="184"/>
        <v>0</v>
      </c>
      <c r="F126" s="452">
        <f t="shared" si="185"/>
        <v>0</v>
      </c>
      <c r="G126" s="452">
        <f t="shared" si="186"/>
        <v>0</v>
      </c>
      <c r="H126" s="452">
        <f t="shared" si="187"/>
        <v>0</v>
      </c>
      <c r="I126" s="452">
        <f t="shared" si="188"/>
        <v>0</v>
      </c>
      <c r="J126" s="452">
        <f t="shared" si="189"/>
        <v>0</v>
      </c>
      <c r="K126" s="452">
        <f t="shared" si="190"/>
        <v>0</v>
      </c>
      <c r="L126" s="452">
        <f t="shared" si="228"/>
        <v>0</v>
      </c>
      <c r="M126" s="1002">
        <f t="shared" si="229"/>
        <v>0</v>
      </c>
      <c r="O126" s="1001">
        <f t="shared" si="245"/>
        <v>0</v>
      </c>
      <c r="P126" s="452">
        <f t="shared" si="246"/>
        <v>0</v>
      </c>
      <c r="Q126" s="452">
        <f t="shared" si="247"/>
        <v>0</v>
      </c>
      <c r="R126" s="452">
        <f t="shared" si="248"/>
        <v>0</v>
      </c>
      <c r="S126" s="452">
        <f t="shared" si="249"/>
        <v>0</v>
      </c>
      <c r="T126" s="452">
        <f t="shared" si="250"/>
        <v>0</v>
      </c>
      <c r="U126" s="452">
        <f t="shared" si="251"/>
        <v>0</v>
      </c>
      <c r="V126" s="452">
        <f t="shared" si="252"/>
        <v>0</v>
      </c>
      <c r="W126" s="452">
        <f t="shared" si="199"/>
        <v>0</v>
      </c>
      <c r="X126" s="1002">
        <f t="shared" si="200"/>
        <v>0</v>
      </c>
      <c r="Y126" s="459"/>
      <c r="Z126" s="291">
        <f t="shared" si="201"/>
        <v>0</v>
      </c>
      <c r="AA126" s="291">
        <f t="shared" si="202"/>
        <v>0</v>
      </c>
      <c r="AB126" s="291">
        <f t="shared" si="203"/>
        <v>0</v>
      </c>
      <c r="AC126" s="291">
        <f t="shared" si="204"/>
        <v>0</v>
      </c>
      <c r="AD126" s="291">
        <f t="shared" si="205"/>
        <v>0</v>
      </c>
      <c r="AE126" s="291">
        <f t="shared" si="206"/>
        <v>0</v>
      </c>
      <c r="AF126" s="291">
        <f t="shared" si="207"/>
        <v>0</v>
      </c>
      <c r="AG126" s="291">
        <f t="shared" si="208"/>
        <v>0</v>
      </c>
      <c r="AI126" s="462">
        <f t="shared" si="253"/>
        <v>0</v>
      </c>
      <c r="AJ126" s="1112"/>
      <c r="AK126" s="507"/>
      <c r="AL126" s="829">
        <f t="shared" si="210"/>
        <v>45741</v>
      </c>
      <c r="AM126" s="684">
        <f>IFERROR(IF(AND(AT126="",AR126&lt;&gt;S.CAL!$BJ$3,AR126&lt;&gt;S.CAL!$BJ$4,$AR$95="NON"),M126-BD126,IF(AND(AT126="",AR126&lt;&gt;S.CAL!$BJ$3,AR126&lt;&gt;S.CAL!$BJ$4,$AR$95="OUI"),X126-AI126,IF(AT126&lt;&gt;0,AT126,IF(OR(AR126=S.CAL!$BJ$3,AR126=S.CAL!$BJ$4),AR126,"")))),"")</f>
        <v>0</v>
      </c>
      <c r="AN126" s="1115"/>
      <c r="AO126" s="1116"/>
      <c r="AP126" s="684">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516">
        <f t="shared" si="230"/>
        <v>0</v>
      </c>
      <c r="AR126" s="1120"/>
      <c r="AT126" s="1123"/>
      <c r="AU126" s="831"/>
      <c r="AV126" s="1392">
        <f t="shared" si="211"/>
        <v>45741</v>
      </c>
      <c r="AX126" s="529">
        <f t="shared" si="231"/>
        <v>45741</v>
      </c>
      <c r="AY126" s="541">
        <f t="shared" si="232"/>
        <v>0</v>
      </c>
      <c r="AZ126" s="538" t="s">
        <v>146</v>
      </c>
      <c r="BA126" s="534">
        <f t="shared" si="233"/>
        <v>0</v>
      </c>
      <c r="BB126" s="567" t="str">
        <f t="shared" si="212"/>
        <v/>
      </c>
      <c r="BC126" s="541">
        <f t="shared" si="234"/>
        <v>0</v>
      </c>
      <c r="BD126" s="541">
        <f t="shared" si="235"/>
        <v>0</v>
      </c>
      <c r="BE126" s="1126"/>
      <c r="BF126" s="532" t="str">
        <f t="shared" si="213"/>
        <v/>
      </c>
      <c r="BG126" s="532" t="str">
        <f t="shared" si="236"/>
        <v>oui</v>
      </c>
      <c r="BH126" s="395" t="str">
        <f t="shared" si="214"/>
        <v/>
      </c>
      <c r="BI126" s="24" t="str">
        <f t="shared" si="215"/>
        <v/>
      </c>
      <c r="BJ126" s="1403"/>
      <c r="BK126" s="1403"/>
      <c r="BL126" s="1403"/>
      <c r="BM126" s="1403"/>
      <c r="BN126" s="1403"/>
      <c r="BO126" s="1403"/>
      <c r="BP126" s="1403"/>
      <c r="BQ126" s="1403"/>
      <c r="BS126" s="1392">
        <f t="shared" si="182"/>
        <v>45741</v>
      </c>
      <c r="BT126" s="27" t="str">
        <f t="shared" si="244"/>
        <v/>
      </c>
      <c r="BU126" s="1402"/>
      <c r="BV126" s="1402"/>
      <c r="BW126" s="1402"/>
      <c r="BX126" s="1402"/>
      <c r="BY126" s="1402"/>
      <c r="BZ126" s="1402"/>
      <c r="CA126" s="1402"/>
      <c r="CB126" s="1402"/>
      <c r="CD126" s="1408">
        <f t="shared" si="237"/>
        <v>0</v>
      </c>
      <c r="DC126" s="16" t="str">
        <f>Mars!FC44</f>
        <v>non</v>
      </c>
      <c r="DG126" s="333">
        <f t="shared" si="238"/>
        <v>1</v>
      </c>
      <c r="DH126" s="129">
        <f t="shared" si="216"/>
        <v>10</v>
      </c>
      <c r="DI126" s="129">
        <f t="shared" si="239"/>
        <v>1</v>
      </c>
      <c r="DK126" s="16">
        <f>+IF(AND(Mars!$DP$8&lt;&gt;52,AR126=S.CAL!$BJ$4),10,1)</f>
        <v>1</v>
      </c>
      <c r="DN126" s="16">
        <f t="shared" si="217"/>
        <v>1</v>
      </c>
      <c r="DU126" s="1296" t="str">
        <f t="shared" si="240"/>
        <v>Fiche infoA245741</v>
      </c>
      <c r="DV126" s="1384">
        <f t="shared" si="218"/>
        <v>0</v>
      </c>
      <c r="DW126" s="1385">
        <f t="shared" si="219"/>
        <v>0</v>
      </c>
      <c r="DX126" s="1385">
        <f t="shared" si="220"/>
        <v>0</v>
      </c>
      <c r="DY126" s="1385">
        <f t="shared" si="221"/>
        <v>0</v>
      </c>
      <c r="DZ126" s="1385">
        <f t="shared" si="222"/>
        <v>0</v>
      </c>
      <c r="EA126" s="1385">
        <f t="shared" si="223"/>
        <v>0</v>
      </c>
      <c r="EB126" s="1385">
        <f t="shared" si="224"/>
        <v>0</v>
      </c>
      <c r="EC126" s="1385">
        <f t="shared" si="225"/>
        <v>0</v>
      </c>
      <c r="ED126" s="1385">
        <f t="shared" si="241"/>
        <v>0</v>
      </c>
      <c r="EE126" s="1386">
        <f t="shared" si="242"/>
        <v>0</v>
      </c>
      <c r="EG126" s="16" t="str">
        <f t="shared" si="243"/>
        <v>132025</v>
      </c>
      <c r="EH126" s="16" t="str">
        <f t="shared" si="226"/>
        <v>Fiche infoA2</v>
      </c>
      <c r="EI126" s="16" t="str">
        <f t="shared" si="227"/>
        <v/>
      </c>
    </row>
    <row r="127" spans="1:139" x14ac:dyDescent="0.2">
      <c r="A127" s="1395" t="str">
        <f>Mars!BJ45</f>
        <v>Fiche infoA3</v>
      </c>
      <c r="B127" s="829">
        <f>Mars!AB45</f>
        <v>45742</v>
      </c>
      <c r="C127" s="1394"/>
      <c r="D127" s="1001">
        <f t="shared" si="183"/>
        <v>0</v>
      </c>
      <c r="E127" s="452">
        <f t="shared" si="184"/>
        <v>0</v>
      </c>
      <c r="F127" s="452">
        <f t="shared" si="185"/>
        <v>0</v>
      </c>
      <c r="G127" s="452">
        <f t="shared" si="186"/>
        <v>0</v>
      </c>
      <c r="H127" s="452">
        <f t="shared" si="187"/>
        <v>0</v>
      </c>
      <c r="I127" s="452">
        <f t="shared" si="188"/>
        <v>0</v>
      </c>
      <c r="J127" s="452">
        <f t="shared" si="189"/>
        <v>0</v>
      </c>
      <c r="K127" s="452">
        <f t="shared" si="190"/>
        <v>0</v>
      </c>
      <c r="L127" s="452">
        <f t="shared" si="228"/>
        <v>0</v>
      </c>
      <c r="M127" s="1002">
        <f t="shared" si="229"/>
        <v>0</v>
      </c>
      <c r="N127" s="1396"/>
      <c r="O127" s="1001">
        <f t="shared" si="245"/>
        <v>0</v>
      </c>
      <c r="P127" s="452">
        <f t="shared" si="246"/>
        <v>0</v>
      </c>
      <c r="Q127" s="452">
        <f t="shared" si="247"/>
        <v>0</v>
      </c>
      <c r="R127" s="452">
        <f t="shared" si="248"/>
        <v>0</v>
      </c>
      <c r="S127" s="452">
        <f t="shared" si="249"/>
        <v>0</v>
      </c>
      <c r="T127" s="452">
        <f t="shared" si="250"/>
        <v>0</v>
      </c>
      <c r="U127" s="452">
        <f t="shared" si="251"/>
        <v>0</v>
      </c>
      <c r="V127" s="452">
        <f t="shared" si="252"/>
        <v>0</v>
      </c>
      <c r="W127" s="452">
        <f t="shared" si="199"/>
        <v>0</v>
      </c>
      <c r="X127" s="1002">
        <f t="shared" si="200"/>
        <v>0</v>
      </c>
      <c r="Y127" s="1397"/>
      <c r="Z127" s="1398">
        <f t="shared" si="201"/>
        <v>0</v>
      </c>
      <c r="AA127" s="1398">
        <f t="shared" si="202"/>
        <v>0</v>
      </c>
      <c r="AB127" s="1398">
        <f t="shared" si="203"/>
        <v>0</v>
      </c>
      <c r="AC127" s="1398">
        <f t="shared" si="204"/>
        <v>0</v>
      </c>
      <c r="AD127" s="1398">
        <f t="shared" si="205"/>
        <v>0</v>
      </c>
      <c r="AE127" s="1398">
        <f t="shared" si="206"/>
        <v>0</v>
      </c>
      <c r="AF127" s="1398">
        <f t="shared" si="207"/>
        <v>0</v>
      </c>
      <c r="AG127" s="1398">
        <f t="shared" si="208"/>
        <v>0</v>
      </c>
      <c r="AH127" s="1396"/>
      <c r="AI127" s="462">
        <f t="shared" si="253"/>
        <v>0</v>
      </c>
      <c r="AJ127" s="1112"/>
      <c r="AK127" s="1399"/>
      <c r="AL127" s="829">
        <f t="shared" si="210"/>
        <v>45742</v>
      </c>
      <c r="AM127" s="684">
        <f>IFERROR(IF(AND(AT127="",AR127&lt;&gt;S.CAL!$BJ$3,AR127&lt;&gt;S.CAL!$BJ$4,$AR$95="NON"),M127-BD127,IF(AND(AT127="",AR127&lt;&gt;S.CAL!$BJ$3,AR127&lt;&gt;S.CAL!$BJ$4,$AR$95="OUI"),X127-AI127,IF(AT127&lt;&gt;0,AT127,IF(OR(AR127=S.CAL!$BJ$3,AR127=S.CAL!$BJ$4),AR127,"")))),"")</f>
        <v>0</v>
      </c>
      <c r="AN127" s="1115"/>
      <c r="AO127" s="1116"/>
      <c r="AP127" s="684">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400">
        <f t="shared" si="230"/>
        <v>0</v>
      </c>
      <c r="AR127" s="1120"/>
      <c r="AS127" s="1396"/>
      <c r="AT127" s="1123"/>
      <c r="AU127" s="831"/>
      <c r="AV127" s="1392">
        <f t="shared" si="211"/>
        <v>45742</v>
      </c>
      <c r="AW127" s="1396"/>
      <c r="AX127" s="529">
        <f t="shared" si="231"/>
        <v>45742</v>
      </c>
      <c r="AY127" s="541">
        <f t="shared" si="232"/>
        <v>0</v>
      </c>
      <c r="AZ127" s="538" t="s">
        <v>146</v>
      </c>
      <c r="BA127" s="534">
        <f t="shared" si="233"/>
        <v>0</v>
      </c>
      <c r="BB127" s="567" t="str">
        <f t="shared" si="212"/>
        <v/>
      </c>
      <c r="BC127" s="541">
        <f t="shared" si="234"/>
        <v>0</v>
      </c>
      <c r="BD127" s="541">
        <f t="shared" si="235"/>
        <v>0</v>
      </c>
      <c r="BE127" s="1126"/>
      <c r="BF127" s="532" t="str">
        <f t="shared" si="213"/>
        <v/>
      </c>
      <c r="BG127" s="532" t="str">
        <f t="shared" si="236"/>
        <v>oui</v>
      </c>
      <c r="BH127" s="395" t="str">
        <f t="shared" si="214"/>
        <v/>
      </c>
      <c r="BI127" s="24" t="str">
        <f t="shared" si="215"/>
        <v/>
      </c>
      <c r="BJ127" s="1404"/>
      <c r="BK127" s="1404"/>
      <c r="BL127" s="1404"/>
      <c r="BM127" s="1404"/>
      <c r="BN127" s="1404"/>
      <c r="BO127" s="1404"/>
      <c r="BP127" s="1404"/>
      <c r="BQ127" s="1404"/>
      <c r="BR127" s="1405"/>
      <c r="BS127" s="1392">
        <f t="shared" si="182"/>
        <v>45742</v>
      </c>
      <c r="BT127" s="1406" t="str">
        <f t="shared" si="244"/>
        <v/>
      </c>
      <c r="BU127" s="1404"/>
      <c r="BV127" s="1404"/>
      <c r="BW127" s="1404"/>
      <c r="BX127" s="1404"/>
      <c r="BY127" s="1404"/>
      <c r="BZ127" s="1404"/>
      <c r="CA127" s="1404"/>
      <c r="CB127" s="1404"/>
      <c r="CD127" s="1408">
        <f t="shared" si="237"/>
        <v>0</v>
      </c>
      <c r="DC127" s="16" t="str">
        <f>Mars!FC45</f>
        <v>non</v>
      </c>
      <c r="DG127" s="333">
        <f t="shared" si="238"/>
        <v>1</v>
      </c>
      <c r="DH127" s="129">
        <f t="shared" si="216"/>
        <v>10</v>
      </c>
      <c r="DI127" s="129">
        <f t="shared" si="239"/>
        <v>1</v>
      </c>
      <c r="DK127" s="16">
        <f>+IF(AND(Mars!$DP$8&lt;&gt;52,AR127=S.CAL!$BJ$4),10,1)</f>
        <v>1</v>
      </c>
      <c r="DN127" s="16">
        <f t="shared" si="217"/>
        <v>1</v>
      </c>
      <c r="DU127" s="1296" t="str">
        <f t="shared" si="240"/>
        <v>Fiche infoA345742</v>
      </c>
      <c r="DV127" s="1384">
        <f t="shared" si="218"/>
        <v>0</v>
      </c>
      <c r="DW127" s="1385">
        <f t="shared" si="219"/>
        <v>0</v>
      </c>
      <c r="DX127" s="1385">
        <f t="shared" si="220"/>
        <v>0</v>
      </c>
      <c r="DY127" s="1385">
        <f t="shared" si="221"/>
        <v>0</v>
      </c>
      <c r="DZ127" s="1385">
        <f t="shared" si="222"/>
        <v>0</v>
      </c>
      <c r="EA127" s="1385">
        <f t="shared" si="223"/>
        <v>0</v>
      </c>
      <c r="EB127" s="1385">
        <f t="shared" si="224"/>
        <v>0</v>
      </c>
      <c r="EC127" s="1385">
        <f t="shared" si="225"/>
        <v>0</v>
      </c>
      <c r="ED127" s="1385">
        <f t="shared" si="241"/>
        <v>0</v>
      </c>
      <c r="EE127" s="1386">
        <f t="shared" si="242"/>
        <v>0</v>
      </c>
      <c r="EG127" s="16" t="str">
        <f t="shared" si="243"/>
        <v>132025</v>
      </c>
      <c r="EH127" s="16" t="str">
        <f t="shared" si="226"/>
        <v>Fiche infoA3</v>
      </c>
      <c r="EI127" s="16" t="str">
        <f t="shared" si="227"/>
        <v/>
      </c>
    </row>
    <row r="128" spans="1:139" x14ac:dyDescent="0.2">
      <c r="A128" s="24" t="str">
        <f>Mars!BJ46</f>
        <v>Fiche infoA4</v>
      </c>
      <c r="B128" s="829">
        <f>Mars!AB46</f>
        <v>45743</v>
      </c>
      <c r="C128" s="1393"/>
      <c r="D128" s="1001">
        <f t="shared" si="183"/>
        <v>0</v>
      </c>
      <c r="E128" s="452">
        <f t="shared" si="184"/>
        <v>0</v>
      </c>
      <c r="F128" s="452">
        <f t="shared" si="185"/>
        <v>0</v>
      </c>
      <c r="G128" s="452">
        <f t="shared" si="186"/>
        <v>0</v>
      </c>
      <c r="H128" s="452">
        <f t="shared" si="187"/>
        <v>0</v>
      </c>
      <c r="I128" s="452">
        <f t="shared" si="188"/>
        <v>0</v>
      </c>
      <c r="J128" s="452">
        <f t="shared" si="189"/>
        <v>0</v>
      </c>
      <c r="K128" s="452">
        <f t="shared" si="190"/>
        <v>0</v>
      </c>
      <c r="L128" s="452">
        <f t="shared" si="228"/>
        <v>0</v>
      </c>
      <c r="M128" s="1002">
        <f t="shared" si="229"/>
        <v>0</v>
      </c>
      <c r="O128" s="1001">
        <f t="shared" si="245"/>
        <v>0</v>
      </c>
      <c r="P128" s="452">
        <f t="shared" si="246"/>
        <v>0</v>
      </c>
      <c r="Q128" s="452">
        <f t="shared" si="247"/>
        <v>0</v>
      </c>
      <c r="R128" s="452">
        <f t="shared" si="248"/>
        <v>0</v>
      </c>
      <c r="S128" s="452">
        <f t="shared" si="249"/>
        <v>0</v>
      </c>
      <c r="T128" s="452">
        <f t="shared" si="250"/>
        <v>0</v>
      </c>
      <c r="U128" s="452">
        <f t="shared" si="251"/>
        <v>0</v>
      </c>
      <c r="V128" s="452">
        <f t="shared" si="252"/>
        <v>0</v>
      </c>
      <c r="W128" s="452">
        <f t="shared" si="199"/>
        <v>0</v>
      </c>
      <c r="X128" s="1002">
        <f t="shared" si="200"/>
        <v>0</v>
      </c>
      <c r="Y128" s="459"/>
      <c r="Z128" s="291">
        <f t="shared" si="201"/>
        <v>0</v>
      </c>
      <c r="AA128" s="291">
        <f t="shared" si="202"/>
        <v>0</v>
      </c>
      <c r="AB128" s="291">
        <f t="shared" si="203"/>
        <v>0</v>
      </c>
      <c r="AC128" s="291">
        <f t="shared" si="204"/>
        <v>0</v>
      </c>
      <c r="AD128" s="291">
        <f t="shared" si="205"/>
        <v>0</v>
      </c>
      <c r="AE128" s="291">
        <f t="shared" si="206"/>
        <v>0</v>
      </c>
      <c r="AF128" s="291">
        <f t="shared" si="207"/>
        <v>0</v>
      </c>
      <c r="AG128" s="291">
        <f t="shared" si="208"/>
        <v>0</v>
      </c>
      <c r="AI128" s="462">
        <f t="shared" si="253"/>
        <v>0</v>
      </c>
      <c r="AJ128" s="1112"/>
      <c r="AK128" s="507"/>
      <c r="AL128" s="829">
        <f t="shared" si="210"/>
        <v>45743</v>
      </c>
      <c r="AM128" s="684">
        <f>IFERROR(IF(AND(AT128="",AR128&lt;&gt;S.CAL!$BJ$3,AR128&lt;&gt;S.CAL!$BJ$4,$AR$95="NON"),M128-BD128,IF(AND(AT128="",AR128&lt;&gt;S.CAL!$BJ$3,AR128&lt;&gt;S.CAL!$BJ$4,$AR$95="OUI"),X128-AI128,IF(AT128&lt;&gt;0,AT128,IF(OR(AR128=S.CAL!$BJ$3,AR128=S.CAL!$BJ$4),AR128,"")))),"")</f>
        <v>0</v>
      </c>
      <c r="AN128" s="1115"/>
      <c r="AO128" s="1116"/>
      <c r="AP128" s="684">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516">
        <f t="shared" si="230"/>
        <v>0</v>
      </c>
      <c r="AR128" s="1120"/>
      <c r="AT128" s="1123"/>
      <c r="AU128" s="831"/>
      <c r="AV128" s="1392">
        <f t="shared" si="211"/>
        <v>45743</v>
      </c>
      <c r="AX128" s="529">
        <f t="shared" si="231"/>
        <v>45743</v>
      </c>
      <c r="AY128" s="541">
        <f t="shared" si="232"/>
        <v>0</v>
      </c>
      <c r="AZ128" s="538" t="s">
        <v>146</v>
      </c>
      <c r="BA128" s="534">
        <f t="shared" si="233"/>
        <v>0</v>
      </c>
      <c r="BB128" s="567" t="str">
        <f t="shared" si="212"/>
        <v/>
      </c>
      <c r="BC128" s="541">
        <f t="shared" si="234"/>
        <v>0</v>
      </c>
      <c r="BD128" s="541">
        <f t="shared" si="235"/>
        <v>0</v>
      </c>
      <c r="BE128" s="1126"/>
      <c r="BF128" s="532" t="str">
        <f t="shared" si="213"/>
        <v/>
      </c>
      <c r="BG128" s="532" t="str">
        <f t="shared" si="236"/>
        <v>oui</v>
      </c>
      <c r="BH128" s="395" t="str">
        <f t="shared" si="214"/>
        <v/>
      </c>
      <c r="BI128" s="24" t="str">
        <f t="shared" si="215"/>
        <v/>
      </c>
      <c r="BJ128" s="1403"/>
      <c r="BK128" s="1403"/>
      <c r="BL128" s="1403"/>
      <c r="BM128" s="1403"/>
      <c r="BN128" s="1403"/>
      <c r="BO128" s="1403"/>
      <c r="BP128" s="1403"/>
      <c r="BQ128" s="1403"/>
      <c r="BS128" s="1392">
        <f t="shared" si="182"/>
        <v>45743</v>
      </c>
      <c r="BT128" s="27" t="str">
        <f t="shared" si="244"/>
        <v/>
      </c>
      <c r="BU128" s="1402"/>
      <c r="BV128" s="1402"/>
      <c r="BW128" s="1402"/>
      <c r="BX128" s="1402"/>
      <c r="BY128" s="1402"/>
      <c r="BZ128" s="1402"/>
      <c r="CA128" s="1402"/>
      <c r="CB128" s="1402"/>
      <c r="CD128" s="1408">
        <f t="shared" si="237"/>
        <v>0</v>
      </c>
      <c r="DC128" s="16" t="str">
        <f>Mars!FC46</f>
        <v>non</v>
      </c>
      <c r="DG128" s="333">
        <f t="shared" si="238"/>
        <v>1</v>
      </c>
      <c r="DH128" s="129">
        <f t="shared" si="216"/>
        <v>10</v>
      </c>
      <c r="DI128" s="129">
        <f t="shared" si="239"/>
        <v>1</v>
      </c>
      <c r="DK128" s="16">
        <f>+IF(AND(Mars!$DP$8&lt;&gt;52,AR128=S.CAL!$BJ$4),10,1)</f>
        <v>1</v>
      </c>
      <c r="DN128" s="16">
        <f t="shared" si="217"/>
        <v>1</v>
      </c>
      <c r="DU128" s="1296" t="str">
        <f t="shared" si="240"/>
        <v>Fiche infoA445743</v>
      </c>
      <c r="DV128" s="1384">
        <f t="shared" si="218"/>
        <v>0</v>
      </c>
      <c r="DW128" s="1385">
        <f t="shared" si="219"/>
        <v>0</v>
      </c>
      <c r="DX128" s="1385">
        <f t="shared" si="220"/>
        <v>0</v>
      </c>
      <c r="DY128" s="1385">
        <f t="shared" si="221"/>
        <v>0</v>
      </c>
      <c r="DZ128" s="1385">
        <f t="shared" si="222"/>
        <v>0</v>
      </c>
      <c r="EA128" s="1385">
        <f t="shared" si="223"/>
        <v>0</v>
      </c>
      <c r="EB128" s="1385">
        <f t="shared" si="224"/>
        <v>0</v>
      </c>
      <c r="EC128" s="1385">
        <f t="shared" si="225"/>
        <v>0</v>
      </c>
      <c r="ED128" s="1385">
        <f t="shared" si="241"/>
        <v>0</v>
      </c>
      <c r="EE128" s="1386">
        <f t="shared" si="242"/>
        <v>0</v>
      </c>
      <c r="EG128" s="16" t="str">
        <f t="shared" si="243"/>
        <v>132025</v>
      </c>
      <c r="EH128" s="16" t="str">
        <f t="shared" si="226"/>
        <v>Fiche infoA4</v>
      </c>
      <c r="EI128" s="16" t="str">
        <f t="shared" si="227"/>
        <v/>
      </c>
    </row>
    <row r="129" spans="1:145" x14ac:dyDescent="0.2">
      <c r="A129" s="1395" t="str">
        <f>Mars!BJ47</f>
        <v>Fiche infoA5</v>
      </c>
      <c r="B129" s="829">
        <f>Mars!AB47</f>
        <v>45744</v>
      </c>
      <c r="C129" s="1394"/>
      <c r="D129" s="1001">
        <f t="shared" si="183"/>
        <v>0</v>
      </c>
      <c r="E129" s="452">
        <f t="shared" si="184"/>
        <v>0</v>
      </c>
      <c r="F129" s="452">
        <f t="shared" si="185"/>
        <v>0</v>
      </c>
      <c r="G129" s="452">
        <f t="shared" si="186"/>
        <v>0</v>
      </c>
      <c r="H129" s="452">
        <f t="shared" si="187"/>
        <v>0</v>
      </c>
      <c r="I129" s="452">
        <f t="shared" si="188"/>
        <v>0</v>
      </c>
      <c r="J129" s="452">
        <f t="shared" si="189"/>
        <v>0</v>
      </c>
      <c r="K129" s="452">
        <f t="shared" si="190"/>
        <v>0</v>
      </c>
      <c r="L129" s="452">
        <f t="shared" si="228"/>
        <v>0</v>
      </c>
      <c r="M129" s="1002">
        <f t="shared" si="229"/>
        <v>0</v>
      </c>
      <c r="N129" s="1396"/>
      <c r="O129" s="1001">
        <f t="shared" si="245"/>
        <v>0</v>
      </c>
      <c r="P129" s="452">
        <f t="shared" si="246"/>
        <v>0</v>
      </c>
      <c r="Q129" s="452">
        <f t="shared" si="247"/>
        <v>0</v>
      </c>
      <c r="R129" s="452">
        <f t="shared" si="248"/>
        <v>0</v>
      </c>
      <c r="S129" s="452">
        <f t="shared" si="249"/>
        <v>0</v>
      </c>
      <c r="T129" s="452">
        <f t="shared" si="250"/>
        <v>0</v>
      </c>
      <c r="U129" s="452">
        <f t="shared" si="251"/>
        <v>0</v>
      </c>
      <c r="V129" s="452">
        <f t="shared" si="252"/>
        <v>0</v>
      </c>
      <c r="W129" s="452">
        <f t="shared" si="199"/>
        <v>0</v>
      </c>
      <c r="X129" s="1002">
        <f t="shared" si="200"/>
        <v>0</v>
      </c>
      <c r="Y129" s="1397"/>
      <c r="Z129" s="1398">
        <f t="shared" si="201"/>
        <v>0</v>
      </c>
      <c r="AA129" s="1398">
        <f t="shared" si="202"/>
        <v>0</v>
      </c>
      <c r="AB129" s="1398">
        <f t="shared" si="203"/>
        <v>0</v>
      </c>
      <c r="AC129" s="1398">
        <f t="shared" si="204"/>
        <v>0</v>
      </c>
      <c r="AD129" s="1398">
        <f t="shared" si="205"/>
        <v>0</v>
      </c>
      <c r="AE129" s="1398">
        <f t="shared" si="206"/>
        <v>0</v>
      </c>
      <c r="AF129" s="1398">
        <f t="shared" si="207"/>
        <v>0</v>
      </c>
      <c r="AG129" s="1398">
        <f t="shared" si="208"/>
        <v>0</v>
      </c>
      <c r="AH129" s="1396"/>
      <c r="AI129" s="462">
        <f t="shared" si="253"/>
        <v>0</v>
      </c>
      <c r="AJ129" s="1112"/>
      <c r="AK129" s="1399"/>
      <c r="AL129" s="829">
        <f t="shared" si="210"/>
        <v>45744</v>
      </c>
      <c r="AM129" s="684">
        <f>IFERROR(IF(AND(AT129="",AR129&lt;&gt;S.CAL!$BJ$3,AR129&lt;&gt;S.CAL!$BJ$4,$AR$95="NON"),M129-BD129,IF(AND(AT129="",AR129&lt;&gt;S.CAL!$BJ$3,AR129&lt;&gt;S.CAL!$BJ$4,$AR$95="OUI"),X129-AI129,IF(AT129&lt;&gt;0,AT129,IF(OR(AR129=S.CAL!$BJ$3,AR129=S.CAL!$BJ$4),AR129,"")))),"")</f>
        <v>0</v>
      </c>
      <c r="AN129" s="1115"/>
      <c r="AO129" s="1116"/>
      <c r="AP129" s="684">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400">
        <f t="shared" si="230"/>
        <v>0</v>
      </c>
      <c r="AR129" s="1120"/>
      <c r="AS129" s="1396"/>
      <c r="AT129" s="1123"/>
      <c r="AU129" s="831"/>
      <c r="AV129" s="1392">
        <f t="shared" si="211"/>
        <v>45744</v>
      </c>
      <c r="AW129" s="1396"/>
      <c r="AX129" s="529">
        <f t="shared" si="231"/>
        <v>45744</v>
      </c>
      <c r="AY129" s="541">
        <f t="shared" si="232"/>
        <v>0</v>
      </c>
      <c r="AZ129" s="538" t="s">
        <v>146</v>
      </c>
      <c r="BA129" s="534">
        <f t="shared" si="233"/>
        <v>0</v>
      </c>
      <c r="BB129" s="567" t="str">
        <f t="shared" si="212"/>
        <v/>
      </c>
      <c r="BC129" s="541">
        <f t="shared" si="234"/>
        <v>0</v>
      </c>
      <c r="BD129" s="541">
        <f t="shared" si="235"/>
        <v>0</v>
      </c>
      <c r="BE129" s="1126"/>
      <c r="BF129" s="532" t="str">
        <f t="shared" si="213"/>
        <v/>
      </c>
      <c r="BG129" s="532" t="str">
        <f t="shared" si="236"/>
        <v>oui</v>
      </c>
      <c r="BH129" s="395" t="str">
        <f t="shared" si="214"/>
        <v/>
      </c>
      <c r="BI129" s="24" t="str">
        <f t="shared" si="215"/>
        <v/>
      </c>
      <c r="BJ129" s="1404"/>
      <c r="BK129" s="1404"/>
      <c r="BL129" s="1404"/>
      <c r="BM129" s="1404"/>
      <c r="BN129" s="1404"/>
      <c r="BO129" s="1404"/>
      <c r="BP129" s="1404"/>
      <c r="BQ129" s="1404"/>
      <c r="BR129" s="1405"/>
      <c r="BS129" s="1392">
        <f t="shared" si="182"/>
        <v>45744</v>
      </c>
      <c r="BT129" s="1406" t="str">
        <f t="shared" si="244"/>
        <v/>
      </c>
      <c r="BU129" s="1404"/>
      <c r="BV129" s="1404"/>
      <c r="BW129" s="1404"/>
      <c r="BX129" s="1404"/>
      <c r="BY129" s="1404"/>
      <c r="BZ129" s="1404"/>
      <c r="CA129" s="1404"/>
      <c r="CB129" s="1404"/>
      <c r="CD129" s="1408">
        <f t="shared" si="237"/>
        <v>0</v>
      </c>
      <c r="DC129" s="16" t="str">
        <f>Mars!FC47</f>
        <v>non</v>
      </c>
      <c r="DG129" s="333">
        <f t="shared" si="238"/>
        <v>1</v>
      </c>
      <c r="DH129" s="129">
        <f t="shared" si="216"/>
        <v>10</v>
      </c>
      <c r="DI129" s="129">
        <f t="shared" si="239"/>
        <v>1</v>
      </c>
      <c r="DK129" s="16">
        <f>+IF(AND(Mars!$DP$8&lt;&gt;52,AR129=S.CAL!$BJ$4),10,1)</f>
        <v>1</v>
      </c>
      <c r="DN129" s="16">
        <f t="shared" si="217"/>
        <v>1</v>
      </c>
      <c r="DU129" s="1296" t="str">
        <f t="shared" si="240"/>
        <v>Fiche infoA545744</v>
      </c>
      <c r="DV129" s="1384">
        <f t="shared" si="218"/>
        <v>0</v>
      </c>
      <c r="DW129" s="1385">
        <f t="shared" si="219"/>
        <v>0</v>
      </c>
      <c r="DX129" s="1385">
        <f t="shared" si="220"/>
        <v>0</v>
      </c>
      <c r="DY129" s="1385">
        <f t="shared" si="221"/>
        <v>0</v>
      </c>
      <c r="DZ129" s="1385">
        <f t="shared" si="222"/>
        <v>0</v>
      </c>
      <c r="EA129" s="1385">
        <f t="shared" si="223"/>
        <v>0</v>
      </c>
      <c r="EB129" s="1385">
        <f t="shared" si="224"/>
        <v>0</v>
      </c>
      <c r="EC129" s="1385">
        <f t="shared" si="225"/>
        <v>0</v>
      </c>
      <c r="ED129" s="1385">
        <f t="shared" si="241"/>
        <v>0</v>
      </c>
      <c r="EE129" s="1386">
        <f t="shared" si="242"/>
        <v>0</v>
      </c>
      <c r="EG129" s="16" t="str">
        <f t="shared" si="243"/>
        <v>132025</v>
      </c>
      <c r="EH129" s="16" t="str">
        <f t="shared" si="226"/>
        <v>Fiche infoA5</v>
      </c>
      <c r="EI129" s="16" t="str">
        <f t="shared" si="227"/>
        <v/>
      </c>
    </row>
    <row r="130" spans="1:145" x14ac:dyDescent="0.2">
      <c r="A130" s="24" t="str">
        <f>Mars!BJ48</f>
        <v>Fiche infoA6</v>
      </c>
      <c r="B130" s="829">
        <f>Mars!AB48</f>
        <v>45745</v>
      </c>
      <c r="C130" s="1393"/>
      <c r="D130" s="1001">
        <f t="shared" si="183"/>
        <v>0</v>
      </c>
      <c r="E130" s="452">
        <f t="shared" si="184"/>
        <v>0</v>
      </c>
      <c r="F130" s="452">
        <f t="shared" si="185"/>
        <v>0</v>
      </c>
      <c r="G130" s="452">
        <f t="shared" si="186"/>
        <v>0</v>
      </c>
      <c r="H130" s="452">
        <f t="shared" si="187"/>
        <v>0</v>
      </c>
      <c r="I130" s="452">
        <f t="shared" si="188"/>
        <v>0</v>
      </c>
      <c r="J130" s="452">
        <f t="shared" si="189"/>
        <v>0</v>
      </c>
      <c r="K130" s="452">
        <f t="shared" si="190"/>
        <v>0</v>
      </c>
      <c r="L130" s="452">
        <f t="shared" si="228"/>
        <v>0</v>
      </c>
      <c r="M130" s="1002">
        <f t="shared" si="229"/>
        <v>0</v>
      </c>
      <c r="O130" s="1001">
        <f t="shared" si="245"/>
        <v>0</v>
      </c>
      <c r="P130" s="452">
        <f t="shared" si="246"/>
        <v>0</v>
      </c>
      <c r="Q130" s="452">
        <f t="shared" si="247"/>
        <v>0</v>
      </c>
      <c r="R130" s="452">
        <f t="shared" si="248"/>
        <v>0</v>
      </c>
      <c r="S130" s="452">
        <f t="shared" si="249"/>
        <v>0</v>
      </c>
      <c r="T130" s="452">
        <f t="shared" si="250"/>
        <v>0</v>
      </c>
      <c r="U130" s="452">
        <f t="shared" si="251"/>
        <v>0</v>
      </c>
      <c r="V130" s="452">
        <f t="shared" si="252"/>
        <v>0</v>
      </c>
      <c r="W130" s="452">
        <f t="shared" si="199"/>
        <v>0</v>
      </c>
      <c r="X130" s="1002">
        <f t="shared" si="200"/>
        <v>0</v>
      </c>
      <c r="Y130" s="459"/>
      <c r="Z130" s="291">
        <f t="shared" si="201"/>
        <v>0</v>
      </c>
      <c r="AA130" s="291">
        <f t="shared" si="202"/>
        <v>0</v>
      </c>
      <c r="AB130" s="291">
        <f t="shared" si="203"/>
        <v>0</v>
      </c>
      <c r="AC130" s="291">
        <f t="shared" si="204"/>
        <v>0</v>
      </c>
      <c r="AD130" s="291">
        <f t="shared" si="205"/>
        <v>0</v>
      </c>
      <c r="AE130" s="291">
        <f t="shared" si="206"/>
        <v>0</v>
      </c>
      <c r="AF130" s="291">
        <f t="shared" si="207"/>
        <v>0</v>
      </c>
      <c r="AG130" s="291">
        <f t="shared" si="208"/>
        <v>0</v>
      </c>
      <c r="AI130" s="462">
        <f t="shared" si="253"/>
        <v>0</v>
      </c>
      <c r="AJ130" s="1112"/>
      <c r="AK130" s="507"/>
      <c r="AL130" s="829">
        <f t="shared" si="210"/>
        <v>45745</v>
      </c>
      <c r="AM130" s="684">
        <f>IFERROR(IF(AND(AT130="",AR130&lt;&gt;S.CAL!$BJ$3,AR130&lt;&gt;S.CAL!$BJ$4,$AR$95="NON"),M130-BD130,IF(AND(AT130="",AR130&lt;&gt;S.CAL!$BJ$3,AR130&lt;&gt;S.CAL!$BJ$4,$AR$95="OUI"),X130-AI130,IF(AT130&lt;&gt;0,AT130,IF(OR(AR130=S.CAL!$BJ$3,AR130=S.CAL!$BJ$4),AR130,"")))),"")</f>
        <v>0</v>
      </c>
      <c r="AN130" s="1115"/>
      <c r="AO130" s="1116"/>
      <c r="AP130" s="684">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516">
        <f t="shared" si="230"/>
        <v>0</v>
      </c>
      <c r="AR130" s="1120"/>
      <c r="AT130" s="1123"/>
      <c r="AU130" s="831"/>
      <c r="AV130" s="1392">
        <f t="shared" si="211"/>
        <v>45745</v>
      </c>
      <c r="AX130" s="529">
        <f t="shared" si="231"/>
        <v>45745</v>
      </c>
      <c r="AY130" s="541">
        <f t="shared" si="232"/>
        <v>0</v>
      </c>
      <c r="AZ130" s="538" t="s">
        <v>146</v>
      </c>
      <c r="BA130" s="534">
        <f t="shared" si="233"/>
        <v>0</v>
      </c>
      <c r="BB130" s="567" t="str">
        <f t="shared" si="212"/>
        <v/>
      </c>
      <c r="BC130" s="541">
        <f t="shared" si="234"/>
        <v>0</v>
      </c>
      <c r="BD130" s="541">
        <f t="shared" si="235"/>
        <v>0</v>
      </c>
      <c r="BE130" s="1126"/>
      <c r="BF130" s="532" t="str">
        <f t="shared" si="213"/>
        <v/>
      </c>
      <c r="BG130" s="532" t="str">
        <f t="shared" si="236"/>
        <v>oui</v>
      </c>
      <c r="BH130" s="395" t="str">
        <f t="shared" si="214"/>
        <v/>
      </c>
      <c r="BI130" s="24" t="str">
        <f t="shared" si="215"/>
        <v/>
      </c>
      <c r="BJ130" s="1403"/>
      <c r="BK130" s="1403"/>
      <c r="BL130" s="1403"/>
      <c r="BM130" s="1403"/>
      <c r="BN130" s="1403"/>
      <c r="BO130" s="1403"/>
      <c r="BP130" s="1403"/>
      <c r="BQ130" s="1403"/>
      <c r="BS130" s="1392">
        <f t="shared" si="182"/>
        <v>45745</v>
      </c>
      <c r="BT130" s="27" t="str">
        <f t="shared" si="244"/>
        <v/>
      </c>
      <c r="BU130" s="1402"/>
      <c r="BV130" s="1402"/>
      <c r="BW130" s="1402"/>
      <c r="BX130" s="1402"/>
      <c r="BY130" s="1402"/>
      <c r="BZ130" s="1402"/>
      <c r="CA130" s="1402"/>
      <c r="CB130" s="1402"/>
      <c r="CD130" s="1408">
        <f t="shared" si="237"/>
        <v>0</v>
      </c>
      <c r="DC130" s="16" t="str">
        <f>Mars!FC48</f>
        <v>non</v>
      </c>
      <c r="DG130" s="333">
        <f t="shared" si="238"/>
        <v>1</v>
      </c>
      <c r="DH130" s="129">
        <f t="shared" si="216"/>
        <v>10</v>
      </c>
      <c r="DI130" s="129">
        <f t="shared" si="239"/>
        <v>1</v>
      </c>
      <c r="DK130" s="16">
        <f>+IF(AND(Mars!$DP$8&lt;&gt;52,AR130=S.CAL!$BJ$4),10,1)</f>
        <v>1</v>
      </c>
      <c r="DN130" s="16">
        <f t="shared" si="217"/>
        <v>1</v>
      </c>
      <c r="DU130" s="1296" t="str">
        <f t="shared" si="240"/>
        <v>Fiche infoA645745</v>
      </c>
      <c r="DV130" s="1384">
        <f t="shared" si="218"/>
        <v>0</v>
      </c>
      <c r="DW130" s="1385">
        <f t="shared" si="219"/>
        <v>0</v>
      </c>
      <c r="DX130" s="1385">
        <f t="shared" si="220"/>
        <v>0</v>
      </c>
      <c r="DY130" s="1385">
        <f t="shared" si="221"/>
        <v>0</v>
      </c>
      <c r="DZ130" s="1385">
        <f t="shared" si="222"/>
        <v>0</v>
      </c>
      <c r="EA130" s="1385">
        <f t="shared" si="223"/>
        <v>0</v>
      </c>
      <c r="EB130" s="1385">
        <f t="shared" si="224"/>
        <v>0</v>
      </c>
      <c r="EC130" s="1385">
        <f t="shared" si="225"/>
        <v>0</v>
      </c>
      <c r="ED130" s="1385">
        <f t="shared" si="241"/>
        <v>0</v>
      </c>
      <c r="EE130" s="1386">
        <f t="shared" si="242"/>
        <v>0</v>
      </c>
      <c r="EG130" s="16" t="str">
        <f t="shared" si="243"/>
        <v>132025</v>
      </c>
      <c r="EH130" s="16" t="str">
        <f t="shared" si="226"/>
        <v>Fiche infoA6</v>
      </c>
      <c r="EI130" s="16" t="str">
        <f t="shared" si="227"/>
        <v/>
      </c>
    </row>
    <row r="131" spans="1:145" x14ac:dyDescent="0.2">
      <c r="A131" s="1395" t="str">
        <f>Mars!BJ49</f>
        <v>Fiche infoA7</v>
      </c>
      <c r="B131" s="829">
        <f>Mars!AB49</f>
        <v>45746</v>
      </c>
      <c r="C131" s="1394"/>
      <c r="D131" s="1001">
        <f t="shared" si="183"/>
        <v>0</v>
      </c>
      <c r="E131" s="452">
        <f t="shared" si="184"/>
        <v>0</v>
      </c>
      <c r="F131" s="452">
        <f t="shared" si="185"/>
        <v>0</v>
      </c>
      <c r="G131" s="452">
        <f t="shared" si="186"/>
        <v>0</v>
      </c>
      <c r="H131" s="452">
        <f t="shared" si="187"/>
        <v>0</v>
      </c>
      <c r="I131" s="452">
        <f t="shared" si="188"/>
        <v>0</v>
      </c>
      <c r="J131" s="452">
        <f t="shared" si="189"/>
        <v>0</v>
      </c>
      <c r="K131" s="452">
        <f t="shared" si="190"/>
        <v>0</v>
      </c>
      <c r="L131" s="452">
        <f t="shared" si="228"/>
        <v>0</v>
      </c>
      <c r="M131" s="1002">
        <f t="shared" si="229"/>
        <v>0</v>
      </c>
      <c r="N131" s="1396"/>
      <c r="O131" s="1001">
        <f t="shared" si="245"/>
        <v>0</v>
      </c>
      <c r="P131" s="452">
        <f t="shared" si="246"/>
        <v>0</v>
      </c>
      <c r="Q131" s="452">
        <f t="shared" si="247"/>
        <v>0</v>
      </c>
      <c r="R131" s="452">
        <f t="shared" si="248"/>
        <v>0</v>
      </c>
      <c r="S131" s="452">
        <f t="shared" si="249"/>
        <v>0</v>
      </c>
      <c r="T131" s="452">
        <f t="shared" si="250"/>
        <v>0</v>
      </c>
      <c r="U131" s="452">
        <f t="shared" si="251"/>
        <v>0</v>
      </c>
      <c r="V131" s="452">
        <f t="shared" si="252"/>
        <v>0</v>
      </c>
      <c r="W131" s="452">
        <f t="shared" si="199"/>
        <v>0</v>
      </c>
      <c r="X131" s="1002">
        <f t="shared" si="200"/>
        <v>0</v>
      </c>
      <c r="Y131" s="1397"/>
      <c r="Z131" s="1398">
        <f t="shared" si="201"/>
        <v>0</v>
      </c>
      <c r="AA131" s="1398">
        <f t="shared" si="202"/>
        <v>0</v>
      </c>
      <c r="AB131" s="1398">
        <f t="shared" si="203"/>
        <v>0</v>
      </c>
      <c r="AC131" s="1398">
        <f t="shared" si="204"/>
        <v>0</v>
      </c>
      <c r="AD131" s="1398">
        <f t="shared" si="205"/>
        <v>0</v>
      </c>
      <c r="AE131" s="1398">
        <f t="shared" si="206"/>
        <v>0</v>
      </c>
      <c r="AF131" s="1398">
        <f t="shared" si="207"/>
        <v>0</v>
      </c>
      <c r="AG131" s="1398">
        <f t="shared" si="208"/>
        <v>0</v>
      </c>
      <c r="AH131" s="1396"/>
      <c r="AI131" s="462">
        <f t="shared" si="253"/>
        <v>0</v>
      </c>
      <c r="AJ131" s="1112"/>
      <c r="AK131" s="1399"/>
      <c r="AL131" s="829">
        <f t="shared" si="210"/>
        <v>45746</v>
      </c>
      <c r="AM131" s="684">
        <f>IFERROR(IF(AND(AT131="",AR131&lt;&gt;S.CAL!$BJ$3,AR131&lt;&gt;S.CAL!$BJ$4,$AR$95="NON"),M131-BD131,IF(AND(AT131="",AR131&lt;&gt;S.CAL!$BJ$3,AR131&lt;&gt;S.CAL!$BJ$4,$AR$95="OUI"),X131-AI131,IF(AT131&lt;&gt;0,AT131,IF(OR(AR131=S.CAL!$BJ$3,AR131=S.CAL!$BJ$4),AR131,"")))),"")</f>
        <v>0</v>
      </c>
      <c r="AN131" s="1115"/>
      <c r="AO131" s="1116"/>
      <c r="AP131" s="684">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400">
        <f t="shared" si="230"/>
        <v>0</v>
      </c>
      <c r="AR131" s="1120"/>
      <c r="AS131" s="1396"/>
      <c r="AT131" s="1123"/>
      <c r="AU131" s="831"/>
      <c r="AV131" s="1392">
        <f t="shared" si="211"/>
        <v>45746</v>
      </c>
      <c r="AW131" s="1396"/>
      <c r="AX131" s="529">
        <f t="shared" si="231"/>
        <v>45746</v>
      </c>
      <c r="AY131" s="541">
        <f t="shared" si="232"/>
        <v>0</v>
      </c>
      <c r="AZ131" s="538" t="s">
        <v>146</v>
      </c>
      <c r="BA131" s="534">
        <f t="shared" si="233"/>
        <v>0</v>
      </c>
      <c r="BB131" s="567" t="str">
        <f t="shared" si="212"/>
        <v/>
      </c>
      <c r="BC131" s="541">
        <f t="shared" si="234"/>
        <v>0</v>
      </c>
      <c r="BD131" s="541">
        <f t="shared" si="235"/>
        <v>0</v>
      </c>
      <c r="BE131" s="1126"/>
      <c r="BF131" s="532" t="str">
        <f t="shared" si="213"/>
        <v/>
      </c>
      <c r="BG131" s="532" t="str">
        <f t="shared" si="236"/>
        <v>oui</v>
      </c>
      <c r="BH131" s="395" t="str">
        <f t="shared" si="214"/>
        <v/>
      </c>
      <c r="BI131" s="24" t="str">
        <f t="shared" si="215"/>
        <v/>
      </c>
      <c r="BJ131" s="1404"/>
      <c r="BK131" s="1404"/>
      <c r="BL131" s="1404"/>
      <c r="BM131" s="1404"/>
      <c r="BN131" s="1404"/>
      <c r="BO131" s="1404"/>
      <c r="BP131" s="1404"/>
      <c r="BQ131" s="1404"/>
      <c r="BR131" s="1405"/>
      <c r="BS131" s="1392">
        <f t="shared" si="182"/>
        <v>45746</v>
      </c>
      <c r="BT131" s="1406" t="str">
        <f t="shared" si="244"/>
        <v/>
      </c>
      <c r="BU131" s="1404"/>
      <c r="BV131" s="1404"/>
      <c r="BW131" s="1404"/>
      <c r="BX131" s="1404"/>
      <c r="BY131" s="1404"/>
      <c r="BZ131" s="1404"/>
      <c r="CA131" s="1404"/>
      <c r="CB131" s="1404"/>
      <c r="CD131" s="1408">
        <f t="shared" si="237"/>
        <v>0</v>
      </c>
      <c r="DC131" s="16" t="str">
        <f>Mars!FC49</f>
        <v>non</v>
      </c>
      <c r="DG131" s="333">
        <f t="shared" si="238"/>
        <v>1</v>
      </c>
      <c r="DH131" s="129">
        <f t="shared" si="216"/>
        <v>10</v>
      </c>
      <c r="DI131" s="129">
        <f t="shared" si="239"/>
        <v>1</v>
      </c>
      <c r="DK131" s="16">
        <f>+IF(AND(Mars!$DP$8&lt;&gt;52,AR131=S.CAL!$BJ$4),10,1)</f>
        <v>1</v>
      </c>
      <c r="DN131" s="16">
        <f t="shared" si="217"/>
        <v>1</v>
      </c>
      <c r="DU131" s="1296" t="str">
        <f t="shared" si="240"/>
        <v>Fiche infoA745746</v>
      </c>
      <c r="DV131" s="1384">
        <f t="shared" si="218"/>
        <v>0</v>
      </c>
      <c r="DW131" s="1385">
        <f t="shared" si="219"/>
        <v>0</v>
      </c>
      <c r="DX131" s="1385">
        <f t="shared" si="220"/>
        <v>0</v>
      </c>
      <c r="DY131" s="1385">
        <f t="shared" si="221"/>
        <v>0</v>
      </c>
      <c r="DZ131" s="1385">
        <f t="shared" si="222"/>
        <v>0</v>
      </c>
      <c r="EA131" s="1385">
        <f t="shared" si="223"/>
        <v>0</v>
      </c>
      <c r="EB131" s="1385">
        <f t="shared" si="224"/>
        <v>0</v>
      </c>
      <c r="EC131" s="1385">
        <f t="shared" si="225"/>
        <v>0</v>
      </c>
      <c r="ED131" s="1385">
        <f t="shared" si="241"/>
        <v>0</v>
      </c>
      <c r="EE131" s="1386">
        <f t="shared" si="242"/>
        <v>0</v>
      </c>
      <c r="EG131" s="16" t="str">
        <f t="shared" si="243"/>
        <v>132025</v>
      </c>
      <c r="EH131" s="16" t="str">
        <f t="shared" si="226"/>
        <v>Fiche infoA7</v>
      </c>
      <c r="EI131" s="16" t="str">
        <f t="shared" si="227"/>
        <v/>
      </c>
    </row>
    <row r="132" spans="1:145" x14ac:dyDescent="0.2">
      <c r="A132" s="24" t="str">
        <f>Mars!BJ50</f>
        <v>Fiche infoA1</v>
      </c>
      <c r="B132" s="830">
        <f>Mars!AB50</f>
        <v>45747</v>
      </c>
      <c r="C132" s="1393"/>
      <c r="D132" s="1003">
        <f t="shared" si="183"/>
        <v>0</v>
      </c>
      <c r="E132" s="1004">
        <f t="shared" si="184"/>
        <v>0</v>
      </c>
      <c r="F132" s="1004">
        <f t="shared" si="185"/>
        <v>0</v>
      </c>
      <c r="G132" s="1004">
        <f t="shared" si="186"/>
        <v>0</v>
      </c>
      <c r="H132" s="1004">
        <f t="shared" si="187"/>
        <v>0</v>
      </c>
      <c r="I132" s="1004">
        <f t="shared" si="188"/>
        <v>0</v>
      </c>
      <c r="J132" s="1004">
        <f t="shared" si="189"/>
        <v>0</v>
      </c>
      <c r="K132" s="1004">
        <f t="shared" si="190"/>
        <v>0</v>
      </c>
      <c r="L132" s="1004">
        <f t="shared" si="228"/>
        <v>0</v>
      </c>
      <c r="M132" s="1005">
        <f t="shared" si="229"/>
        <v>0</v>
      </c>
      <c r="O132" s="1003">
        <f t="shared" si="245"/>
        <v>0</v>
      </c>
      <c r="P132" s="1004">
        <f t="shared" si="246"/>
        <v>0</v>
      </c>
      <c r="Q132" s="1004">
        <f t="shared" si="247"/>
        <v>0</v>
      </c>
      <c r="R132" s="1004">
        <f t="shared" si="248"/>
        <v>0</v>
      </c>
      <c r="S132" s="1004">
        <f t="shared" si="249"/>
        <v>0</v>
      </c>
      <c r="T132" s="1004">
        <f t="shared" si="250"/>
        <v>0</v>
      </c>
      <c r="U132" s="1004">
        <f t="shared" si="251"/>
        <v>0</v>
      </c>
      <c r="V132" s="1004">
        <f t="shared" si="252"/>
        <v>0</v>
      </c>
      <c r="W132" s="1004">
        <f t="shared" si="199"/>
        <v>0</v>
      </c>
      <c r="X132" s="1005">
        <f t="shared" si="200"/>
        <v>0</v>
      </c>
      <c r="Y132" s="459"/>
      <c r="Z132" s="291">
        <f t="shared" si="201"/>
        <v>0</v>
      </c>
      <c r="AA132" s="291">
        <f t="shared" si="202"/>
        <v>0</v>
      </c>
      <c r="AB132" s="291">
        <f t="shared" si="203"/>
        <v>0</v>
      </c>
      <c r="AC132" s="291">
        <f t="shared" si="204"/>
        <v>0</v>
      </c>
      <c r="AD132" s="291">
        <f t="shared" si="205"/>
        <v>0</v>
      </c>
      <c r="AE132" s="291">
        <f t="shared" si="206"/>
        <v>0</v>
      </c>
      <c r="AF132" s="291">
        <f t="shared" si="207"/>
        <v>0</v>
      </c>
      <c r="AG132" s="291">
        <f t="shared" si="208"/>
        <v>0</v>
      </c>
      <c r="AI132" s="462">
        <f t="shared" si="253"/>
        <v>0</v>
      </c>
      <c r="AJ132" s="1112"/>
      <c r="AK132" s="507"/>
      <c r="AL132" s="830">
        <f t="shared" si="210"/>
        <v>45747</v>
      </c>
      <c r="AM132" s="517">
        <f>IFERROR(IF(AND(AT132="",AR132&lt;&gt;S.CAL!$BJ$3,AR132&lt;&gt;S.CAL!$BJ$4,$AR$95="NON"),M132-BD132,IF(AND(AT132="",AR132&lt;&gt;S.CAL!$BJ$3,AR132&lt;&gt;S.CAL!$BJ$4,$AR$95="OUI"),X132-AI132,IF(AT132&lt;&gt;0,AT132,IF(OR(AR132=S.CAL!$BJ$3,AR132=S.CAL!$BJ$4),AR132,"")))),"")</f>
        <v>0</v>
      </c>
      <c r="AN132" s="1117"/>
      <c r="AO132" s="1118"/>
      <c r="AP132" s="517">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516">
        <f t="shared" si="230"/>
        <v>0</v>
      </c>
      <c r="AR132" s="1121"/>
      <c r="AT132" s="1124"/>
      <c r="AU132" s="832"/>
      <c r="AV132" s="830">
        <f t="shared" si="211"/>
        <v>45747</v>
      </c>
      <c r="AX132" s="529">
        <f t="shared" si="231"/>
        <v>45747</v>
      </c>
      <c r="AY132" s="542">
        <f t="shared" si="232"/>
        <v>0</v>
      </c>
      <c r="AZ132" s="539" t="s">
        <v>146</v>
      </c>
      <c r="BA132" s="552">
        <f t="shared" si="233"/>
        <v>0</v>
      </c>
      <c r="BB132" s="540" t="str">
        <f t="shared" si="212"/>
        <v/>
      </c>
      <c r="BC132" s="542">
        <f t="shared" si="234"/>
        <v>0</v>
      </c>
      <c r="BD132" s="542">
        <f t="shared" si="235"/>
        <v>0</v>
      </c>
      <c r="BE132" s="1127"/>
      <c r="BF132" s="532" t="str">
        <f t="shared" si="213"/>
        <v/>
      </c>
      <c r="BG132" s="532" t="str">
        <f t="shared" si="236"/>
        <v>oui</v>
      </c>
      <c r="BH132" s="395" t="str">
        <f t="shared" si="214"/>
        <v/>
      </c>
      <c r="BI132" s="24" t="str">
        <f t="shared" si="215"/>
        <v/>
      </c>
      <c r="BJ132" s="1403"/>
      <c r="BK132" s="1403"/>
      <c r="BL132" s="1403"/>
      <c r="BM132" s="1403"/>
      <c r="BN132" s="1403"/>
      <c r="BO132" s="1403"/>
      <c r="BP132" s="1403"/>
      <c r="BQ132" s="1403"/>
      <c r="BS132" s="830">
        <f t="shared" si="182"/>
        <v>45747</v>
      </c>
      <c r="BT132" s="27">
        <f t="shared" si="244"/>
        <v>14</v>
      </c>
      <c r="BU132" s="1402"/>
      <c r="BV132" s="1402"/>
      <c r="BW132" s="1402"/>
      <c r="BX132" s="1402"/>
      <c r="BY132" s="1402"/>
      <c r="BZ132" s="1402"/>
      <c r="CA132" s="1402"/>
      <c r="CB132" s="1402"/>
      <c r="CD132" s="1409">
        <f t="shared" si="237"/>
        <v>0</v>
      </c>
      <c r="DC132" s="16" t="str">
        <f>Mars!FC50</f>
        <v>non</v>
      </c>
      <c r="DG132" s="333">
        <f t="shared" si="238"/>
        <v>1</v>
      </c>
      <c r="DH132" s="129">
        <f t="shared" si="216"/>
        <v>10</v>
      </c>
      <c r="DI132" s="129">
        <f t="shared" si="239"/>
        <v>1</v>
      </c>
      <c r="DK132" s="16">
        <f>+IF(AND(Mars!$DP$8&lt;&gt;52,AR132=S.CAL!$BJ$4),10,1)</f>
        <v>1</v>
      </c>
      <c r="DN132" s="16">
        <f t="shared" si="217"/>
        <v>1</v>
      </c>
      <c r="DU132" s="1296" t="str">
        <f t="shared" si="240"/>
        <v>Fiche infoA145747</v>
      </c>
      <c r="DV132" s="1384">
        <f t="shared" si="218"/>
        <v>0</v>
      </c>
      <c r="DW132" s="1385">
        <f t="shared" si="219"/>
        <v>0</v>
      </c>
      <c r="DX132" s="1385">
        <f t="shared" si="220"/>
        <v>0</v>
      </c>
      <c r="DY132" s="1385">
        <f t="shared" si="221"/>
        <v>0</v>
      </c>
      <c r="DZ132" s="1385">
        <f t="shared" si="222"/>
        <v>0</v>
      </c>
      <c r="EA132" s="1385">
        <f t="shared" si="223"/>
        <v>0</v>
      </c>
      <c r="EB132" s="1385">
        <f t="shared" si="224"/>
        <v>0</v>
      </c>
      <c r="EC132" s="1385">
        <f t="shared" si="225"/>
        <v>0</v>
      </c>
      <c r="ED132" s="1385">
        <f t="shared" si="241"/>
        <v>0</v>
      </c>
      <c r="EE132" s="1386">
        <f t="shared" si="242"/>
        <v>0</v>
      </c>
      <c r="EG132" s="16" t="str">
        <f t="shared" si="243"/>
        <v>142025</v>
      </c>
      <c r="EH132" s="16" t="str">
        <f t="shared" si="226"/>
        <v>Fiche infoA1</v>
      </c>
      <c r="EI132" s="16" t="str">
        <f t="shared" si="227"/>
        <v/>
      </c>
    </row>
    <row r="133" spans="1:145" x14ac:dyDescent="0.2">
      <c r="AM133" s="554">
        <f>SUM(AM102:AM132)</f>
        <v>0</v>
      </c>
      <c r="AN133" s="518">
        <f>SUM(AN102:AN132)</f>
        <v>0</v>
      </c>
      <c r="AO133" s="518">
        <f>SUM(AO102:AO132)</f>
        <v>0</v>
      </c>
      <c r="AP133" s="519">
        <f>SUM(AP102:AP132)</f>
        <v>0</v>
      </c>
      <c r="BD133" s="565">
        <f>SUM(BD102:BD132)</f>
        <v>0</v>
      </c>
      <c r="EE133" s="1386"/>
    </row>
    <row r="134" spans="1:145" x14ac:dyDescent="0.2">
      <c r="X134" s="29" t="s">
        <v>450</v>
      </c>
      <c r="Y134" s="29"/>
      <c r="Z134" s="29"/>
      <c r="AA134" s="29"/>
      <c r="AB134" s="29"/>
      <c r="AC134" s="29"/>
      <c r="AD134" s="29"/>
      <c r="AE134" s="29"/>
      <c r="AF134" s="29"/>
      <c r="AG134" s="29"/>
      <c r="AI134" s="463">
        <f>SUM(AI102:AI132)</f>
        <v>0</v>
      </c>
      <c r="AJ134" s="19"/>
      <c r="AK134" s="19"/>
      <c r="AL134" s="19"/>
      <c r="AM134" s="19"/>
      <c r="AN134" s="19"/>
      <c r="AO134" s="19"/>
      <c r="AP134" s="19"/>
      <c r="AQ134" s="512"/>
    </row>
    <row r="136" spans="1:145" ht="23.25" x14ac:dyDescent="0.35">
      <c r="B136" s="453" t="s">
        <v>806</v>
      </c>
      <c r="C136" s="453"/>
      <c r="D136" s="453"/>
      <c r="BS136" s="19" t="s">
        <v>1552</v>
      </c>
      <c r="EK136" s="16" t="str">
        <f>+EG146</f>
        <v>numero sem</v>
      </c>
      <c r="EL136" s="27" t="s">
        <v>1546</v>
      </c>
      <c r="EM136" s="27" t="s">
        <v>1547</v>
      </c>
      <c r="EN136" s="16" t="s">
        <v>1548</v>
      </c>
    </row>
    <row r="137" spans="1:145" ht="13.5" thickBot="1" x14ac:dyDescent="0.25">
      <c r="AR137" s="1713" t="s">
        <v>1003</v>
      </c>
      <c r="AS137" s="1714"/>
      <c r="AT137" s="1715"/>
      <c r="BT137" s="29" t="s">
        <v>1555</v>
      </c>
      <c r="BU137" s="27" t="str">
        <f>+IFERROR(EJ137,"")</f>
        <v>14</v>
      </c>
      <c r="BV137" s="53" t="str">
        <f>IF(BU137="","",+EN137)</f>
        <v>non</v>
      </c>
      <c r="BW137" s="1711" t="str">
        <f>+IF(BV137="oui", "Ecart "&amp;EO137&amp;" hrs","")</f>
        <v/>
      </c>
      <c r="BX137" s="1711"/>
      <c r="EJ137" s="16" t="str">
        <f>LEFT(EK137,LEN(EK137)-4)</f>
        <v>14</v>
      </c>
      <c r="EK137" s="16" t="str" cm="1">
        <f t="array" ref="EK137">IFERROR(INDEX(EG147:EG177,MATCH(0,INDEX(COUNTIF(EK136:EK136,EG147:EG177),0,0),0)),"")</f>
        <v>142025</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805</v>
      </c>
      <c r="D138" s="1710">
        <f>+Identification!$B$7</f>
        <v>0</v>
      </c>
      <c r="E138" s="1710"/>
      <c r="F138" s="1710"/>
      <c r="G138" s="1710"/>
      <c r="O138" s="454" t="s">
        <v>84</v>
      </c>
      <c r="P138" s="32"/>
      <c r="Q138" s="33"/>
      <c r="R138" s="454" t="s">
        <v>149</v>
      </c>
      <c r="S138" s="32"/>
      <c r="T138" s="32"/>
      <c r="U138" s="32"/>
      <c r="V138" s="32"/>
      <c r="W138" s="32"/>
      <c r="X138" s="33"/>
      <c r="AR138" s="1716"/>
      <c r="AS138" s="1717"/>
      <c r="AT138" s="1718"/>
      <c r="BU138" s="27" t="str">
        <f t="shared" ref="BU138:BU142" si="255">+IFERROR(EJ138,"")</f>
        <v>15</v>
      </c>
      <c r="BV138" s="53" t="str">
        <f t="shared" ref="BV138:BV142" si="256">IF(BU138="","",+EN138)</f>
        <v>non</v>
      </c>
      <c r="BW138" s="1711" t="str">
        <f t="shared" ref="BW138:BW142" si="257">+IF(BV138="oui", "Ecart "&amp;EO138&amp;" hrs","")</f>
        <v/>
      </c>
      <c r="BX138" s="1711"/>
      <c r="EJ138" s="16" t="str">
        <f t="shared" ref="EJ138:EJ143" si="258">LEFT(EK138,LEN(EK138)-4)</f>
        <v>15</v>
      </c>
      <c r="EK138" s="16" t="str" cm="1">
        <f t="array" ref="EK138">IFERROR(INDEX(EG147:EG177,MATCH(0,INDEX(COUNTIF(EK136:EK137,EG147:EG177),0,0),0)),"")</f>
        <v>152025</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21"/>
      <c r="S139" s="1722"/>
      <c r="T139" s="1722"/>
      <c r="U139" s="1722"/>
      <c r="V139" s="1722"/>
      <c r="W139" s="1722"/>
      <c r="X139" s="1723"/>
      <c r="Y139" s="460"/>
      <c r="Z139" s="460"/>
      <c r="AA139" s="460"/>
      <c r="AB139" s="460"/>
      <c r="AC139" s="460"/>
      <c r="AD139" s="460"/>
      <c r="AE139" s="460"/>
      <c r="AF139" s="460"/>
      <c r="AG139" s="460"/>
      <c r="AR139" s="1716"/>
      <c r="AS139" s="1717"/>
      <c r="AT139" s="1718"/>
      <c r="BU139" s="27" t="str">
        <f t="shared" si="255"/>
        <v>16</v>
      </c>
      <c r="BV139" s="53" t="str">
        <f t="shared" si="256"/>
        <v>non</v>
      </c>
      <c r="BW139" s="1711" t="str">
        <f t="shared" si="257"/>
        <v/>
      </c>
      <c r="BX139" s="1711"/>
      <c r="EJ139" s="16" t="str">
        <f t="shared" si="258"/>
        <v>16</v>
      </c>
      <c r="EK139" s="16" t="str">
        <f t="array" ref="EK139">IFERROR(INDEX(EG147:EG177,MATCH(0,INDEX(COUNTIF(EK136:EK138,EG147:EG177),0,0),0)),"")</f>
        <v>162025</v>
      </c>
      <c r="EL139" s="27">
        <f t="shared" si="259"/>
        <v>0</v>
      </c>
      <c r="EM139" s="27">
        <f t="shared" si="260"/>
        <v>0</v>
      </c>
      <c r="EN139" s="16" t="str">
        <f t="shared" si="254"/>
        <v>non</v>
      </c>
      <c r="EO139" s="16">
        <f t="shared" si="261"/>
        <v>0</v>
      </c>
    </row>
    <row r="140" spans="1:145" x14ac:dyDescent="0.2">
      <c r="C140" s="39" t="s">
        <v>29</v>
      </c>
      <c r="D140" s="1710">
        <f>+Identification!$B$25</f>
        <v>0</v>
      </c>
      <c r="E140" s="1710"/>
      <c r="O140" s="35"/>
      <c r="Q140" s="36"/>
      <c r="R140" s="1721"/>
      <c r="S140" s="1722"/>
      <c r="T140" s="1722"/>
      <c r="U140" s="1722"/>
      <c r="V140" s="1722"/>
      <c r="W140" s="1722"/>
      <c r="X140" s="1723"/>
      <c r="Y140" s="460"/>
      <c r="Z140" s="460"/>
      <c r="AA140" s="460"/>
      <c r="AB140" s="460"/>
      <c r="AC140" s="460"/>
      <c r="AD140" s="460"/>
      <c r="AE140" s="460"/>
      <c r="AF140" s="460"/>
      <c r="AG140" s="460"/>
      <c r="AL140" s="16" t="str">
        <f t="shared" ref="AL140" si="262">C143</f>
        <v>Mois :</v>
      </c>
      <c r="AM140" s="1712">
        <f t="shared" ref="AM140" si="263">D143</f>
        <v>45748</v>
      </c>
      <c r="AN140" s="1712">
        <f t="shared" ref="AN140" si="264">E143</f>
        <v>0</v>
      </c>
      <c r="AR140" s="557" t="str">
        <f>IF(AT140="",AR95,AT140)</f>
        <v>NON</v>
      </c>
      <c r="AS140" s="556" t="s">
        <v>503</v>
      </c>
      <c r="AT140" s="1105"/>
      <c r="BJ140" s="16" t="str">
        <f t="shared" ref="BJ140" si="265">AL140</f>
        <v>Mois :</v>
      </c>
      <c r="BK140" s="1712">
        <f t="shared" ref="BK140" si="266">AM140</f>
        <v>45748</v>
      </c>
      <c r="BL140" s="1712"/>
      <c r="BU140" s="27" t="str">
        <f t="shared" si="255"/>
        <v>17</v>
      </c>
      <c r="BV140" s="53" t="str">
        <f t="shared" si="256"/>
        <v>non</v>
      </c>
      <c r="BW140" s="1711" t="str">
        <f t="shared" si="257"/>
        <v/>
      </c>
      <c r="BX140" s="1711"/>
      <c r="EJ140" s="16" t="str">
        <f t="shared" si="258"/>
        <v>17</v>
      </c>
      <c r="EK140" s="16" t="str">
        <f t="array" ref="EK140">IFERROR(INDEX(EG147:EG177,MATCH(0,INDEX(COUNTIF(EK136:EK139,EG147:EG177),0,0),0)),"")</f>
        <v>172025</v>
      </c>
      <c r="EL140" s="27">
        <f t="shared" si="259"/>
        <v>0</v>
      </c>
      <c r="EM140" s="27">
        <f t="shared" si="260"/>
        <v>0</v>
      </c>
      <c r="EN140" s="16" t="str">
        <f t="shared" si="254"/>
        <v>non</v>
      </c>
      <c r="EO140" s="16">
        <f t="shared" si="261"/>
        <v>0</v>
      </c>
    </row>
    <row r="141" spans="1:145" ht="13.5" thickBot="1" x14ac:dyDescent="0.25">
      <c r="O141" s="42"/>
      <c r="P141" s="43"/>
      <c r="Q141" s="44"/>
      <c r="R141" s="1724"/>
      <c r="S141" s="1725"/>
      <c r="T141" s="1725"/>
      <c r="U141" s="1725"/>
      <c r="V141" s="1725"/>
      <c r="W141" s="1725"/>
      <c r="X141" s="1726"/>
      <c r="Y141" s="460"/>
      <c r="Z141" s="460"/>
      <c r="AA141" s="460"/>
      <c r="AB141" s="460"/>
      <c r="AC141" s="460"/>
      <c r="AD141" s="460"/>
      <c r="AE141" s="460"/>
      <c r="AF141" s="460"/>
      <c r="AG141" s="460"/>
      <c r="BU141" s="27" t="str">
        <f t="shared" si="255"/>
        <v>18</v>
      </c>
      <c r="BV141" s="53" t="str">
        <f t="shared" si="256"/>
        <v>non</v>
      </c>
      <c r="BW141" s="1711" t="str">
        <f t="shared" si="257"/>
        <v/>
      </c>
      <c r="BX141" s="1711"/>
      <c r="EJ141" s="16" t="str">
        <f t="shared" si="258"/>
        <v>18</v>
      </c>
      <c r="EK141" s="16" t="str">
        <f t="array" ref="EK141">IFERROR(INDEX(EG147:EG177,MATCH(0,INDEX(COUNTIF(EK136:EK140,EG147:EG177),0,0),0)),"")</f>
        <v>182025</v>
      </c>
      <c r="EL141" s="27">
        <f t="shared" si="259"/>
        <v>0</v>
      </c>
      <c r="EM141" s="27">
        <f t="shared" si="260"/>
        <v>0</v>
      </c>
      <c r="EN141" s="16" t="str">
        <f t="shared" si="254"/>
        <v>non</v>
      </c>
      <c r="EO141" s="16">
        <f t="shared" si="261"/>
        <v>0</v>
      </c>
    </row>
    <row r="142" spans="1:145" ht="13.5" thickTop="1" x14ac:dyDescent="0.2">
      <c r="AI142" s="553" t="s">
        <v>1000</v>
      </c>
      <c r="BU142" s="27" t="str">
        <f t="shared" si="255"/>
        <v/>
      </c>
      <c r="BV142" s="53" t="str">
        <f t="shared" si="256"/>
        <v/>
      </c>
      <c r="BW142" s="1711" t="str">
        <f t="shared" si="257"/>
        <v/>
      </c>
      <c r="BX142" s="1711"/>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32</v>
      </c>
      <c r="D143" s="1712">
        <f>+Avril!X3</f>
        <v>45748</v>
      </c>
      <c r="E143" s="1712"/>
      <c r="F143" s="39" t="s">
        <v>12</v>
      </c>
      <c r="G143" s="63">
        <f>+Avril!X4</f>
        <v>2025</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20" t="s">
        <v>974</v>
      </c>
      <c r="AM144" s="1720"/>
      <c r="AN144" s="1720"/>
      <c r="AO144" s="1720"/>
      <c r="AP144" s="1720"/>
      <c r="AQ144" s="510"/>
      <c r="AT144" s="1719" t="s">
        <v>761</v>
      </c>
      <c r="AU144" s="1719"/>
      <c r="AV144" s="1719"/>
      <c r="AW144" s="63"/>
      <c r="AX144" s="63"/>
      <c r="AY144" s="535" t="s">
        <v>989</v>
      </c>
      <c r="AZ144" s="536"/>
      <c r="BA144" s="536"/>
      <c r="BB144" s="536"/>
      <c r="BC144" s="537"/>
      <c r="BD144" s="537"/>
      <c r="BE144" s="537"/>
      <c r="BF144" s="530"/>
      <c r="BG144" s="530"/>
      <c r="BJ144" s="455"/>
      <c r="BK144" s="455"/>
      <c r="BL144" s="455"/>
      <c r="BM144" s="455"/>
      <c r="BN144" s="455"/>
      <c r="BO144" s="455"/>
      <c r="BP144" s="455"/>
      <c r="BQ144" s="455"/>
      <c r="BU144" s="456"/>
      <c r="BV144" s="456"/>
      <c r="BW144" s="456"/>
      <c r="BX144" s="456"/>
      <c r="BY144" s="456"/>
      <c r="BZ144" s="456"/>
      <c r="CA144" s="456"/>
      <c r="CB144" s="456"/>
    </row>
    <row r="145" spans="1:139" ht="15" customHeight="1" x14ac:dyDescent="0.2">
      <c r="D145" s="457" t="s">
        <v>803</v>
      </c>
      <c r="E145" s="456"/>
      <c r="F145" s="456"/>
      <c r="G145" s="456"/>
      <c r="H145" s="456"/>
      <c r="I145" s="456"/>
      <c r="J145" s="456"/>
      <c r="K145" s="456"/>
      <c r="L145" s="456"/>
      <c r="M145" s="456"/>
      <c r="O145" s="458" t="s">
        <v>802</v>
      </c>
      <c r="P145" s="455"/>
      <c r="Q145" s="455"/>
      <c r="R145" s="455"/>
      <c r="S145" s="455"/>
      <c r="T145" s="455"/>
      <c r="U145" s="455"/>
      <c r="V145" s="455"/>
      <c r="W145" s="455"/>
      <c r="X145" s="455"/>
      <c r="BJ145" s="1109" t="s">
        <v>804</v>
      </c>
      <c r="BK145" s="1110"/>
      <c r="BL145" s="1110"/>
      <c r="BM145" s="1110"/>
      <c r="BN145" s="1110"/>
      <c r="BO145" s="1110"/>
      <c r="BP145" s="1110"/>
      <c r="BQ145" s="1110"/>
      <c r="BU145" s="1109" t="s">
        <v>1394</v>
      </c>
      <c r="BV145" s="1110"/>
      <c r="BW145" s="1110"/>
      <c r="BX145" s="1110"/>
      <c r="BY145" s="1110"/>
      <c r="BZ145" s="1110"/>
      <c r="CA145" s="1110"/>
      <c r="CB145" s="1110"/>
      <c r="DG145" s="333" t="s">
        <v>1349</v>
      </c>
      <c r="DH145" s="129"/>
      <c r="DI145" s="129"/>
      <c r="DK145" s="129" t="s">
        <v>1354</v>
      </c>
      <c r="DN145" s="16" t="s">
        <v>1357</v>
      </c>
      <c r="DV145" s="843" t="s">
        <v>1549</v>
      </c>
      <c r="DW145" s="843"/>
      <c r="DX145" s="843"/>
      <c r="DY145" s="843"/>
      <c r="DZ145" s="843"/>
      <c r="EA145" s="843"/>
      <c r="EB145" s="843"/>
      <c r="EC145" s="843"/>
      <c r="ED145" s="843"/>
      <c r="EE145" s="843"/>
    </row>
    <row r="146" spans="1:139" ht="56.25" customHeight="1" x14ac:dyDescent="0.2">
      <c r="A146" s="24" t="s">
        <v>801</v>
      </c>
      <c r="B146" s="450" t="s">
        <v>16</v>
      </c>
      <c r="C146" s="451"/>
      <c r="D146" s="450" t="s">
        <v>228</v>
      </c>
      <c r="E146" s="450" t="s">
        <v>229</v>
      </c>
      <c r="F146" s="450" t="s">
        <v>230</v>
      </c>
      <c r="G146" s="450" t="s">
        <v>231</v>
      </c>
      <c r="H146" s="450" t="s">
        <v>533</v>
      </c>
      <c r="I146" s="450" t="s">
        <v>534</v>
      </c>
      <c r="J146" s="450" t="s">
        <v>535</v>
      </c>
      <c r="K146" s="450" t="s">
        <v>536</v>
      </c>
      <c r="L146" s="450" t="s">
        <v>191</v>
      </c>
      <c r="M146" s="450" t="s">
        <v>192</v>
      </c>
      <c r="N146" s="451"/>
      <c r="O146" s="450" t="s">
        <v>228</v>
      </c>
      <c r="P146" s="450" t="s">
        <v>229</v>
      </c>
      <c r="Q146" s="450" t="s">
        <v>230</v>
      </c>
      <c r="R146" s="450" t="s">
        <v>231</v>
      </c>
      <c r="S146" s="450" t="s">
        <v>533</v>
      </c>
      <c r="T146" s="450" t="s">
        <v>534</v>
      </c>
      <c r="U146" s="450" t="s">
        <v>535</v>
      </c>
      <c r="V146" s="450" t="s">
        <v>536</v>
      </c>
      <c r="W146" s="450" t="s">
        <v>191</v>
      </c>
      <c r="X146" s="450" t="s">
        <v>192</v>
      </c>
      <c r="Y146" s="451"/>
      <c r="Z146" s="450" t="s">
        <v>808</v>
      </c>
      <c r="AA146" s="450" t="s">
        <v>809</v>
      </c>
      <c r="AB146" s="450" t="s">
        <v>810</v>
      </c>
      <c r="AC146" s="450" t="s">
        <v>811</v>
      </c>
      <c r="AD146" s="450" t="s">
        <v>812</v>
      </c>
      <c r="AE146" s="450" t="s">
        <v>813</v>
      </c>
      <c r="AF146" s="450" t="s">
        <v>814</v>
      </c>
      <c r="AG146" s="450" t="s">
        <v>815</v>
      </c>
      <c r="AI146" s="450" t="s">
        <v>816</v>
      </c>
      <c r="AJ146" s="450" t="s">
        <v>807</v>
      </c>
      <c r="AK146" s="451"/>
      <c r="AL146" s="513" t="s">
        <v>16</v>
      </c>
      <c r="AM146" s="548" t="s">
        <v>1017</v>
      </c>
      <c r="AN146" s="1106" t="s">
        <v>972</v>
      </c>
      <c r="AO146" s="1107" t="s">
        <v>973</v>
      </c>
      <c r="AP146" s="514" t="s">
        <v>1018</v>
      </c>
      <c r="AQ146" s="511"/>
      <c r="AR146" s="1108" t="s">
        <v>696</v>
      </c>
      <c r="AT146" s="1108" t="s">
        <v>1356</v>
      </c>
      <c r="AU146" s="1107" t="s">
        <v>1019</v>
      </c>
      <c r="AV146" s="450" t="s">
        <v>16</v>
      </c>
      <c r="AW146" s="451"/>
      <c r="AX146" s="451"/>
      <c r="AY146" s="547" t="s">
        <v>986</v>
      </c>
      <c r="AZ146" s="548" t="s">
        <v>992</v>
      </c>
      <c r="BA146" s="531" t="s">
        <v>990</v>
      </c>
      <c r="BB146" s="568" t="s">
        <v>991</v>
      </c>
      <c r="BC146" s="569" t="s">
        <v>1021</v>
      </c>
      <c r="BD146" s="568" t="s">
        <v>993</v>
      </c>
      <c r="BE146" s="570" t="s">
        <v>1020</v>
      </c>
      <c r="BF146" s="531" t="s">
        <v>994</v>
      </c>
      <c r="BG146" s="531" t="s">
        <v>999</v>
      </c>
      <c r="BI146" s="24" t="s">
        <v>1027</v>
      </c>
      <c r="BJ146" s="450" t="s">
        <v>228</v>
      </c>
      <c r="BK146" s="450" t="s">
        <v>229</v>
      </c>
      <c r="BL146" s="450" t="s">
        <v>230</v>
      </c>
      <c r="BM146" s="450" t="s">
        <v>231</v>
      </c>
      <c r="BN146" s="450" t="s">
        <v>533</v>
      </c>
      <c r="BO146" s="450" t="s">
        <v>534</v>
      </c>
      <c r="BP146" s="450" t="s">
        <v>535</v>
      </c>
      <c r="BQ146" s="450" t="s">
        <v>536</v>
      </c>
      <c r="BS146" s="1383" t="str">
        <f t="shared" ref="BS146:BS177" si="267">AV146</f>
        <v>Jours</v>
      </c>
      <c r="BU146" s="450" t="s">
        <v>228</v>
      </c>
      <c r="BV146" s="450" t="s">
        <v>229</v>
      </c>
      <c r="BW146" s="450" t="s">
        <v>230</v>
      </c>
      <c r="BX146" s="450" t="s">
        <v>231</v>
      </c>
      <c r="BY146" s="450" t="s">
        <v>533</v>
      </c>
      <c r="BZ146" s="450" t="s">
        <v>534</v>
      </c>
      <c r="CA146" s="450" t="s">
        <v>535</v>
      </c>
      <c r="CB146" s="450" t="s">
        <v>536</v>
      </c>
      <c r="CD146" s="1383" t="s">
        <v>1554</v>
      </c>
      <c r="CS146" s="506"/>
      <c r="CT146" s="506"/>
      <c r="CU146" s="506"/>
      <c r="CV146" s="506"/>
      <c r="DG146" s="333" t="s">
        <v>1350</v>
      </c>
      <c r="DH146" s="129" t="s">
        <v>1351</v>
      </c>
      <c r="DI146" s="129" t="s">
        <v>1353</v>
      </c>
      <c r="DK146" s="129" t="s">
        <v>1355</v>
      </c>
      <c r="DU146" s="1383" t="s">
        <v>247</v>
      </c>
      <c r="DV146" s="1383" t="s">
        <v>228</v>
      </c>
      <c r="DW146" s="1383" t="s">
        <v>229</v>
      </c>
      <c r="DX146" s="1383" t="s">
        <v>230</v>
      </c>
      <c r="DY146" s="1383" t="s">
        <v>231</v>
      </c>
      <c r="DZ146" s="1383" t="s">
        <v>533</v>
      </c>
      <c r="EA146" s="1383" t="s">
        <v>534</v>
      </c>
      <c r="EB146" s="1383" t="s">
        <v>535</v>
      </c>
      <c r="EC146" s="1383" t="s">
        <v>536</v>
      </c>
      <c r="ED146" s="1383" t="s">
        <v>191</v>
      </c>
      <c r="EE146" s="1383" t="s">
        <v>192</v>
      </c>
      <c r="EG146" s="1383" t="s">
        <v>1244</v>
      </c>
      <c r="EH146" s="1383" t="s">
        <v>1550</v>
      </c>
      <c r="EI146" s="1383" t="s">
        <v>1551</v>
      </c>
    </row>
    <row r="147" spans="1:139" x14ac:dyDescent="0.2">
      <c r="A147" s="24" t="str">
        <f>Avril!BJ20</f>
        <v>Fiche infoA2</v>
      </c>
      <c r="B147" s="828">
        <f>Avril!AB20</f>
        <v>45748</v>
      </c>
      <c r="C147" s="1393"/>
      <c r="D147" s="998">
        <f t="shared" ref="D147:D177" si="268">IF(AR147&lt;&gt;"",0,IF(DN147=10,0,IFERROR(+IF(BU147="",VLOOKUP(A147,base_horaire,2,FALSE),BU147),0)))</f>
        <v>0</v>
      </c>
      <c r="E147" s="999">
        <f t="shared" ref="E147:E177" si="269">IF(AR147&lt;&gt;"",0,IF(DN147=10,0,IFERROR(+IF(BV147="",VLOOKUP(A147,base_horaire,3,FALSE),BV147),0)))</f>
        <v>0</v>
      </c>
      <c r="F147" s="999">
        <f t="shared" ref="F147:F177" si="270">IF(AR147&lt;&gt;"",0,IF(DN147=10,0,IFERROR(+IF(BW147="",VLOOKUP(A147,base_horaire,4,FALSE),BW147),0)))</f>
        <v>0</v>
      </c>
      <c r="G147" s="999">
        <f t="shared" ref="G147:G177" si="271">IF(AR147&lt;&gt;"",0,IF(DN147=10,0,IFERROR(+IF(BX147="",VLOOKUP(A147,base_horaire,5,FALSE),BX147),0)))</f>
        <v>0</v>
      </c>
      <c r="H147" s="999">
        <f t="shared" ref="H147:H177" si="272">IF(AR147&lt;&gt;"",0,IF(DN147=10,0,IFERROR(+IF(BY147="",VLOOKUP(A147,base_horaire,6,FALSE),BY147),0)))</f>
        <v>0</v>
      </c>
      <c r="I147" s="999">
        <f t="shared" ref="I147:I177" si="273">IF(AR147&lt;&gt;"",0,IF(DN147=10,0,IFERROR(+IF(BZ147="",VLOOKUP(A147,base_horaire,7,FALSE),BZ147),0)))</f>
        <v>0</v>
      </c>
      <c r="J147" s="999">
        <f t="shared" ref="J147:J177" si="274">IF(AR147&lt;&gt;"",0,IF(DN147=10,0,IFERROR(+IF(CA147="",VLOOKUP(A147,base_horaire,8,FALSE),CA147),0)))</f>
        <v>0</v>
      </c>
      <c r="K147" s="999">
        <f t="shared" ref="K147:K177" si="275">IF(AR147&lt;&gt;"",0,IF(DN147=10,0,IFERROR(+IF(CB147="",VLOOKUP(A147,base_horaire,9,FALSE),CB147),0)))</f>
        <v>0</v>
      </c>
      <c r="L147" s="999">
        <f>+E147-D147+G147-F147+I147-H147+K147-J147</f>
        <v>0</v>
      </c>
      <c r="M147" s="1000">
        <f>ROUND(+L147*24,2)</f>
        <v>0</v>
      </c>
      <c r="O147" s="998">
        <f t="shared" ref="O147:O154" si="276">IF(AR147&lt;&gt;"",0,IF(DC147="oui",0,IF(AND(ISTEXT(AT147)=TRUE,BJ147=""),0,IF(BJ147="",D147,BJ147))))</f>
        <v>0</v>
      </c>
      <c r="P147" s="999">
        <f t="shared" ref="P147:P154" si="277">IF(AR147&lt;&gt;"",0,IF(DC147="oui",0,IF(AND(ISTEXT(AT147)=TRUE,BK147=""),0,IF(BK147="",E147,BK147))))</f>
        <v>0</v>
      </c>
      <c r="Q147" s="999">
        <f t="shared" ref="Q147:Q154" si="278">IF(AR147&lt;&gt;"",0,IF(DC147="oui",0,IF(AND(ISTEXT(AT147)=TRUE,BL147=""),0,IF(BL147="",F147,BL147))))</f>
        <v>0</v>
      </c>
      <c r="R147" s="999">
        <f t="shared" ref="R147:R154" si="279">IF(AR147&lt;&gt;"",0,IF(DC147="oui",0,IF(AND(ISTEXT(AT147)=TRUE,BM147=""),0,IF(BM147="",G147,BM147))))</f>
        <v>0</v>
      </c>
      <c r="S147" s="999">
        <f t="shared" ref="S147:S154" si="280">IF(AR147&lt;&gt;"",0,IF(DC147="oui",0,IF(AND(ISTEXT(AT147)=TRUE,BN147=""),0,IF(BN147="",H147,BN147))))</f>
        <v>0</v>
      </c>
      <c r="T147" s="999">
        <f t="shared" ref="T147:T154" si="281">IF(AR147&lt;&gt;"",0,IF(DC147="oui",0,IF(AND(ISTEXT(AT147)=TRUE,BO147=""),0,IF(BO147="",I147,BO147))))</f>
        <v>0</v>
      </c>
      <c r="U147" s="999">
        <f t="shared" ref="U147:U154" si="282">IF(AR147&lt;&gt;"",0,IF(DC147="oui",0,IF(AND(ISTEXT(AT147)=TRUE,BP147=""),0,IF(BP147="",J147,BP147))))</f>
        <v>0</v>
      </c>
      <c r="V147" s="999">
        <f t="shared" ref="V147:V154" si="283">IF(AR147&lt;&gt;"",0,IF(DC147="oui",0,IF(AND(ISTEXT(AT147)=TRUE,BQ147=""),0,IF(BQ147="",K147,BQ147))))</f>
        <v>0</v>
      </c>
      <c r="W147" s="999">
        <f t="shared" ref="W147:W177" si="284">+P147-O147+R147-Q147+T147-S147+V147-U147</f>
        <v>0</v>
      </c>
      <c r="X147" s="1000">
        <f t="shared" ref="X147:X177" si="285">ROUND(+W147*24,2)</f>
        <v>0</v>
      </c>
      <c r="Y147" s="459"/>
      <c r="Z147" s="291">
        <f t="shared" ref="Z147:Z177" si="286">+IF(AND(O147&gt;D147,D147&gt;0),D147,O147)</f>
        <v>0</v>
      </c>
      <c r="AA147" s="291">
        <f t="shared" ref="AA147:AA177" si="287">+IF(P147&gt;E147,P147,E147)</f>
        <v>0</v>
      </c>
      <c r="AB147" s="291">
        <f t="shared" ref="AB147:AB177" si="288">+IF(AND(Q147&gt;F147,F147&gt;0),F147,Q147)</f>
        <v>0</v>
      </c>
      <c r="AC147" s="291">
        <f t="shared" ref="AC147:AC177" si="289">+IF(R147&gt;G147,R147,G147)</f>
        <v>0</v>
      </c>
      <c r="AD147" s="291">
        <f t="shared" ref="AD147:AD177" si="290">+IF(AND(S147&gt;H147,H147&gt;0),H147,S147)</f>
        <v>0</v>
      </c>
      <c r="AE147" s="291">
        <f t="shared" ref="AE147:AE177" si="291">+IF(T147&gt;I147,T147,I147)</f>
        <v>0</v>
      </c>
      <c r="AF147" s="291">
        <f t="shared" ref="AF147:AF177" si="292">+IF(AND(U147&gt;J147,J147&gt;0),J147,U147)</f>
        <v>0</v>
      </c>
      <c r="AG147" s="291">
        <f t="shared" ref="AG147:AG177" si="293">+IF(V147&gt;K147,V147,K147)</f>
        <v>0</v>
      </c>
      <c r="AI147" s="461">
        <f t="shared" ref="AI147:AI154" si="294">IF(DC147="oui",0,IF(AND(ISTEXT(AT147)=TRUE,OR(X147=0,X147="")),0,ROUND(((((AA147-Z147)-(E147-D147))+((AC147-AB147)-(G147-F147))+((AE147-AD147)-(I147-H147))+(AG147-AF147)-(K147-J147))*24),2)))</f>
        <v>0</v>
      </c>
      <c r="AJ147" s="1111"/>
      <c r="AK147" s="507"/>
      <c r="AL147" s="828">
        <f t="shared" ref="AL147:AL177" si="295">B147</f>
        <v>45748</v>
      </c>
      <c r="AM147" s="515">
        <f>IFERROR(IF(AND(AT147="",AR147&lt;&gt;S.CAL!$BJ$3,AR147&lt;&gt;S.CAL!$BJ$4,$AR$140="NON"),M147-BD147,IF(AND(AT147="",AR147&lt;&gt;S.CAL!$BJ$3,AR147&lt;&gt;S.CAL!$BJ$4,$AR$140="OUI"),X147-AI147,IF(AT147&lt;&gt;0,AT147,IF(OR(AR147=S.CAL!$BJ$3,AR147=S.CAL!$BJ$4),AR147,"")))),"")</f>
        <v>0</v>
      </c>
      <c r="AN147" s="1113"/>
      <c r="AO147" s="1114"/>
      <c r="AP147" s="515">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516">
        <f>AI147-SUM(AN147:AO147)</f>
        <v>0</v>
      </c>
      <c r="AR147" s="1119"/>
      <c r="AT147" s="1122"/>
      <c r="AU147" s="831"/>
      <c r="AV147" s="1391">
        <f t="shared" ref="AV147:AV177" si="296">B147</f>
        <v>45748</v>
      </c>
      <c r="AX147" s="529">
        <f>+AV147</f>
        <v>45748</v>
      </c>
      <c r="AY147" s="546">
        <f>+IF(M147-X147&lt;0,0,M147-X147)</f>
        <v>0</v>
      </c>
      <c r="AZ147" s="549" t="s">
        <v>146</v>
      </c>
      <c r="BA147" s="550">
        <f>+IF(AZ147="OUI",AY147,0)</f>
        <v>0</v>
      </c>
      <c r="BB147" s="551" t="str">
        <f t="shared" ref="BB147:BB177" si="297">IF(AND(BE147="",+IFERROR(VLOOKUP(AT147,Liste_motif_formule,5,FALSE),0)="OUI"),"OUI",IF(AND(BE147="",IFERROR(VLOOKUP(AT147,Liste_motif_formule,5,FALSE),0)="NON"),"NON",IF(AND(BE147="",IFERROR(M147-AT147&gt;=0,0),AT147&lt;&gt;""),"OUI",IF(AND(BE147="",DC147="oui"),"OUI",IF(BE147&lt;&gt;"",BE147,"")))))</f>
        <v/>
      </c>
      <c r="BC147" s="546">
        <f>+IF(BB147="OUI",IFERROR(M147-AT147,M147),0)</f>
        <v>0</v>
      </c>
      <c r="BD147" s="546">
        <f>+BC147+BA147</f>
        <v>0</v>
      </c>
      <c r="BE147" s="508"/>
      <c r="BF147" s="532" t="str">
        <f t="shared" ref="BF147:BF177" si="298">+IF(AND(AZ147="OUI",BB147="OUI"),"ERREUR","")</f>
        <v/>
      </c>
      <c r="BG147" s="532" t="str">
        <f>+IF(AND(M147=0,AT147=""),"oui","non")</f>
        <v>oui</v>
      </c>
      <c r="BH147" s="395" t="str">
        <f t="shared" ref="BH147:BH177" si="299">IFERROR(+VLOOKUP(AT147,Liste_motif_formule,4,FALSE),"")</f>
        <v/>
      </c>
      <c r="BI147" s="24" t="str">
        <f t="shared" ref="BI147:BI177" si="300">IFERROR(+VLOOKUP(AT147,Liste_motif_formule,5,FALSE),"")</f>
        <v/>
      </c>
      <c r="BJ147" s="1403"/>
      <c r="BK147" s="1403"/>
      <c r="BL147" s="1403"/>
      <c r="BM147" s="1403"/>
      <c r="BN147" s="1403"/>
      <c r="BO147" s="1403"/>
      <c r="BP147" s="1403"/>
      <c r="BQ147" s="1403"/>
      <c r="BS147" s="1391">
        <f t="shared" si="267"/>
        <v>45748</v>
      </c>
      <c r="BT147" s="27">
        <f>IFERROR(WEEKNUM(BS147,21),"")</f>
        <v>14</v>
      </c>
      <c r="BU147" s="1401"/>
      <c r="BV147" s="1401"/>
      <c r="BW147" s="1401"/>
      <c r="BX147" s="1401"/>
      <c r="BY147" s="1401"/>
      <c r="BZ147" s="1401"/>
      <c r="CA147" s="1401"/>
      <c r="CB147" s="1401"/>
      <c r="CD147" s="1407">
        <f>+M147</f>
        <v>0</v>
      </c>
      <c r="DC147" s="16" t="str">
        <f>Avril!FC20</f>
        <v>non</v>
      </c>
      <c r="DG147" s="333">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96" t="str">
        <f>+A147&amp;B147</f>
        <v>Fiche infoA245748</v>
      </c>
      <c r="DV147" s="1384">
        <f t="shared" ref="DV147:DV177" si="303">+IFERROR(+IF(BU147="",VLOOKUP(A147,base_horaire,2,FALSE),BU147),0)</f>
        <v>0</v>
      </c>
      <c r="DW147" s="1385">
        <f t="shared" ref="DW147:DW177" si="304">+IFERROR(+IF(BV147="",VLOOKUP(A147,base_horaire,3,FALSE),BV147),0)</f>
        <v>0</v>
      </c>
      <c r="DX147" s="1385">
        <f t="shared" ref="DX147:DX177" si="305">+IFERROR(+IF(BW147="",VLOOKUP(A147,base_horaire,4,FALSE),BW147),0)</f>
        <v>0</v>
      </c>
      <c r="DY147" s="1385">
        <f t="shared" ref="DY147:DY177" si="306">+IFERROR(+IF(BX147="",VLOOKUP(A147,base_horaire,5,FALSE),BX147),0)</f>
        <v>0</v>
      </c>
      <c r="DZ147" s="1385">
        <f t="shared" ref="DZ147:DZ177" si="307">+IFERROR(+IF(BY147="",VLOOKUP(A147,base_horaire,6,FALSE),BY147),0)</f>
        <v>0</v>
      </c>
      <c r="EA147" s="1385">
        <f t="shared" ref="EA147:EA177" si="308">IFERROR(+IF(BZ147="",VLOOKUP(A147,base_horaire,7,FALSE),BZ147),0)</f>
        <v>0</v>
      </c>
      <c r="EB147" s="1385">
        <f t="shared" ref="EB147:EB177" si="309">IFERROR(+IF(CA147="",VLOOKUP(A147,base_horaire,8,FALSE),CA147),0)</f>
        <v>0</v>
      </c>
      <c r="EC147" s="1385">
        <f t="shared" ref="EC147:EC177" si="310">IFERROR(+IF(CB147="",VLOOKUP(A147,base_horaire,9,FALSE),CB147),0)</f>
        <v>0</v>
      </c>
      <c r="ED147" s="1385">
        <f>+DW147-DV147+DY147-DX147+EA147-DZ147+EC147-EB147</f>
        <v>0</v>
      </c>
      <c r="EE147" s="1386">
        <f>ROUND(+ED147*24,2)</f>
        <v>0</v>
      </c>
      <c r="EG147" s="16" t="str">
        <f>+WEEKNUM(B147,21)&amp;YEAR(B147)</f>
        <v>142025</v>
      </c>
      <c r="EH147" s="16" t="str">
        <f t="shared" ref="EH147:EH177" si="311">+A147</f>
        <v>Fiche infoA2</v>
      </c>
      <c r="EI147" s="16" t="str">
        <f t="shared" ref="EI147:EI177" si="312">+VLOOKUP(EH147,Base_heures,6,FALSE)</f>
        <v/>
      </c>
    </row>
    <row r="148" spans="1:139" x14ac:dyDescent="0.2">
      <c r="A148" s="1395" t="str">
        <f>Avril!BJ21</f>
        <v>Fiche infoA3</v>
      </c>
      <c r="B148" s="829">
        <f>Avril!AB21</f>
        <v>45749</v>
      </c>
      <c r="C148" s="1394"/>
      <c r="D148" s="1001">
        <f t="shared" si="268"/>
        <v>0</v>
      </c>
      <c r="E148" s="452">
        <f t="shared" si="269"/>
        <v>0</v>
      </c>
      <c r="F148" s="452">
        <f t="shared" si="270"/>
        <v>0</v>
      </c>
      <c r="G148" s="452">
        <f t="shared" si="271"/>
        <v>0</v>
      </c>
      <c r="H148" s="452">
        <f t="shared" si="272"/>
        <v>0</v>
      </c>
      <c r="I148" s="452">
        <f t="shared" si="273"/>
        <v>0</v>
      </c>
      <c r="J148" s="452">
        <f t="shared" si="274"/>
        <v>0</v>
      </c>
      <c r="K148" s="452">
        <f t="shared" si="275"/>
        <v>0</v>
      </c>
      <c r="L148" s="452">
        <f t="shared" ref="L148:L177" si="313">+E148-D148+G148-F148+I148-H148+K148-J148</f>
        <v>0</v>
      </c>
      <c r="M148" s="1002">
        <f t="shared" ref="M148:M177" si="314">ROUND(+L148*24,2)</f>
        <v>0</v>
      </c>
      <c r="N148" s="1396"/>
      <c r="O148" s="1001">
        <f t="shared" si="276"/>
        <v>0</v>
      </c>
      <c r="P148" s="452">
        <f t="shared" si="277"/>
        <v>0</v>
      </c>
      <c r="Q148" s="452">
        <f t="shared" si="278"/>
        <v>0</v>
      </c>
      <c r="R148" s="452">
        <f t="shared" si="279"/>
        <v>0</v>
      </c>
      <c r="S148" s="452">
        <f t="shared" si="280"/>
        <v>0</v>
      </c>
      <c r="T148" s="452">
        <f t="shared" si="281"/>
        <v>0</v>
      </c>
      <c r="U148" s="452">
        <f t="shared" si="282"/>
        <v>0</v>
      </c>
      <c r="V148" s="452">
        <f t="shared" si="283"/>
        <v>0</v>
      </c>
      <c r="W148" s="452">
        <f t="shared" si="284"/>
        <v>0</v>
      </c>
      <c r="X148" s="1002">
        <f t="shared" si="285"/>
        <v>0</v>
      </c>
      <c r="Y148" s="1397"/>
      <c r="Z148" s="1398">
        <f t="shared" si="286"/>
        <v>0</v>
      </c>
      <c r="AA148" s="1398">
        <f t="shared" si="287"/>
        <v>0</v>
      </c>
      <c r="AB148" s="1398">
        <f t="shared" si="288"/>
        <v>0</v>
      </c>
      <c r="AC148" s="1398">
        <f t="shared" si="289"/>
        <v>0</v>
      </c>
      <c r="AD148" s="1398">
        <f t="shared" si="290"/>
        <v>0</v>
      </c>
      <c r="AE148" s="1398">
        <f t="shared" si="291"/>
        <v>0</v>
      </c>
      <c r="AF148" s="1398">
        <f t="shared" si="292"/>
        <v>0</v>
      </c>
      <c r="AG148" s="1398">
        <f t="shared" si="293"/>
        <v>0</v>
      </c>
      <c r="AH148" s="1396"/>
      <c r="AI148" s="462">
        <f t="shared" si="294"/>
        <v>0</v>
      </c>
      <c r="AJ148" s="1112"/>
      <c r="AK148" s="1399"/>
      <c r="AL148" s="829">
        <f t="shared" si="295"/>
        <v>45749</v>
      </c>
      <c r="AM148" s="684">
        <f>IFERROR(IF(AND(AT148="",AR148&lt;&gt;S.CAL!$BJ$3,AR148&lt;&gt;S.CAL!$BJ$4,$AR$140="NON"),M148-BD148,IF(AND(AT148="",AR148&lt;&gt;S.CAL!$BJ$3,AR148&lt;&gt;S.CAL!$BJ$4,$AR$140="OUI"),X148-AI148,IF(AT148&lt;&gt;0,AT148,IF(OR(AR148=S.CAL!$BJ$3,AR148=S.CAL!$BJ$4),AR148,"")))),"")</f>
        <v>0</v>
      </c>
      <c r="AN148" s="1115"/>
      <c r="AO148" s="1116"/>
      <c r="AP148" s="684">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400">
        <f t="shared" ref="AQ148:AQ177" si="315">AI148-SUM(AN148:AO148)</f>
        <v>0</v>
      </c>
      <c r="AR148" s="1120"/>
      <c r="AS148" s="1396"/>
      <c r="AT148" s="1123"/>
      <c r="AU148" s="831"/>
      <c r="AV148" s="1392">
        <f t="shared" si="296"/>
        <v>45749</v>
      </c>
      <c r="AW148" s="1396"/>
      <c r="AX148" s="529">
        <f t="shared" ref="AX148:AX177" si="316">+AV148</f>
        <v>45749</v>
      </c>
      <c r="AY148" s="541">
        <f t="shared" ref="AY148:AY177" si="317">+IF(M148-X148&lt;0,0,M148-X148)</f>
        <v>0</v>
      </c>
      <c r="AZ148" s="538" t="s">
        <v>146</v>
      </c>
      <c r="BA148" s="534">
        <f t="shared" ref="BA148:BA177" si="318">+IF(AZ148="OUI",AY148,0)</f>
        <v>0</v>
      </c>
      <c r="BB148" s="567" t="str">
        <f t="shared" si="297"/>
        <v/>
      </c>
      <c r="BC148" s="541">
        <f t="shared" ref="BC148:BC177" si="319">+IF(BB148="OUI",IFERROR(M148-AT148,M148),0)</f>
        <v>0</v>
      </c>
      <c r="BD148" s="541">
        <f t="shared" ref="BD148:BD177" si="320">+BC148+BA148</f>
        <v>0</v>
      </c>
      <c r="BE148" s="750"/>
      <c r="BF148" s="532" t="str">
        <f t="shared" si="298"/>
        <v/>
      </c>
      <c r="BG148" s="532" t="str">
        <f t="shared" ref="BG148:BG177" si="321">+IF(AND(M148=0,AT148=""),"oui","non")</f>
        <v>oui</v>
      </c>
      <c r="BH148" s="395" t="str">
        <f t="shared" si="299"/>
        <v/>
      </c>
      <c r="BI148" s="24" t="str">
        <f t="shared" si="300"/>
        <v/>
      </c>
      <c r="BJ148" s="1404"/>
      <c r="BK148" s="1404"/>
      <c r="BL148" s="1404"/>
      <c r="BM148" s="1404"/>
      <c r="BN148" s="1404"/>
      <c r="BO148" s="1404"/>
      <c r="BP148" s="1404"/>
      <c r="BQ148" s="1404"/>
      <c r="BR148" s="1405"/>
      <c r="BS148" s="1392">
        <f t="shared" si="267"/>
        <v>45749</v>
      </c>
      <c r="BT148" s="1406" t="str">
        <f>IFERROR(IF(WEEKDAY(BS148,11)=1,WEEKNUM(BS148,21),""),"")</f>
        <v/>
      </c>
      <c r="BU148" s="1404"/>
      <c r="BV148" s="1404"/>
      <c r="BW148" s="1404"/>
      <c r="BX148" s="1404"/>
      <c r="BY148" s="1404"/>
      <c r="BZ148" s="1404"/>
      <c r="CA148" s="1404"/>
      <c r="CB148" s="1404"/>
      <c r="CD148" s="1408">
        <f t="shared" ref="CD148:CD177" si="322">+M148</f>
        <v>0</v>
      </c>
      <c r="DC148" s="16" t="str">
        <f>Avril!FC21</f>
        <v>non</v>
      </c>
      <c r="DG148" s="333">
        <f t="shared" ref="DG148:DG177" si="323">IF(OR(AT148=0,AT148=""),1,10)</f>
        <v>1</v>
      </c>
      <c r="DH148" s="129">
        <f t="shared" si="301"/>
        <v>10</v>
      </c>
      <c r="DI148" s="129">
        <f t="shared" ref="DI148:DI177" si="324">+IF(OR(DG148=1,DH148=1),1,10)</f>
        <v>1</v>
      </c>
      <c r="DK148" s="16">
        <f>+IF(AND(Avril!$DP$8&lt;&gt;52,AR148=S.CAL!$BJ$4),10,1)</f>
        <v>1</v>
      </c>
      <c r="DN148" s="16">
        <f t="shared" si="302"/>
        <v>1</v>
      </c>
      <c r="DU148" s="1296" t="str">
        <f t="shared" ref="DU148:DU177" si="325">+A148&amp;B148</f>
        <v>Fiche infoA345749</v>
      </c>
      <c r="DV148" s="1384">
        <f t="shared" si="303"/>
        <v>0</v>
      </c>
      <c r="DW148" s="1385">
        <f t="shared" si="304"/>
        <v>0</v>
      </c>
      <c r="DX148" s="1385">
        <f t="shared" si="305"/>
        <v>0</v>
      </c>
      <c r="DY148" s="1385">
        <f t="shared" si="306"/>
        <v>0</v>
      </c>
      <c r="DZ148" s="1385">
        <f t="shared" si="307"/>
        <v>0</v>
      </c>
      <c r="EA148" s="1385">
        <f t="shared" si="308"/>
        <v>0</v>
      </c>
      <c r="EB148" s="1385">
        <f t="shared" si="309"/>
        <v>0</v>
      </c>
      <c r="EC148" s="1385">
        <f t="shared" si="310"/>
        <v>0</v>
      </c>
      <c r="ED148" s="1385">
        <f t="shared" ref="ED148:ED177" si="326">+DW148-DV148+DY148-DX148+EA148-DZ148+EC148-EB148</f>
        <v>0</v>
      </c>
      <c r="EE148" s="1386">
        <f t="shared" ref="EE148:EE177" si="327">ROUND(+ED148*24,2)</f>
        <v>0</v>
      </c>
      <c r="EG148" s="16" t="str">
        <f t="shared" ref="EG148:EG177" si="328">+WEEKNUM(B148,21)&amp;YEAR(B148)</f>
        <v>142025</v>
      </c>
      <c r="EH148" s="16" t="str">
        <f t="shared" si="311"/>
        <v>Fiche infoA3</v>
      </c>
      <c r="EI148" s="16" t="str">
        <f t="shared" si="312"/>
        <v/>
      </c>
    </row>
    <row r="149" spans="1:139" x14ac:dyDescent="0.2">
      <c r="A149" s="24" t="str">
        <f>Avril!BJ22</f>
        <v>Fiche infoA4</v>
      </c>
      <c r="B149" s="829">
        <f>Avril!AB22</f>
        <v>45750</v>
      </c>
      <c r="C149" s="1393"/>
      <c r="D149" s="1001">
        <f t="shared" si="268"/>
        <v>0</v>
      </c>
      <c r="E149" s="452">
        <f t="shared" si="269"/>
        <v>0</v>
      </c>
      <c r="F149" s="452">
        <f t="shared" si="270"/>
        <v>0</v>
      </c>
      <c r="G149" s="452">
        <f t="shared" si="271"/>
        <v>0</v>
      </c>
      <c r="H149" s="452">
        <f t="shared" si="272"/>
        <v>0</v>
      </c>
      <c r="I149" s="452">
        <f t="shared" si="273"/>
        <v>0</v>
      </c>
      <c r="J149" s="452">
        <f t="shared" si="274"/>
        <v>0</v>
      </c>
      <c r="K149" s="452">
        <f t="shared" si="275"/>
        <v>0</v>
      </c>
      <c r="L149" s="452">
        <f t="shared" si="313"/>
        <v>0</v>
      </c>
      <c r="M149" s="1002">
        <f t="shared" si="314"/>
        <v>0</v>
      </c>
      <c r="O149" s="1001">
        <f t="shared" si="276"/>
        <v>0</v>
      </c>
      <c r="P149" s="452">
        <f t="shared" si="277"/>
        <v>0</v>
      </c>
      <c r="Q149" s="452">
        <f t="shared" si="278"/>
        <v>0</v>
      </c>
      <c r="R149" s="452">
        <f t="shared" si="279"/>
        <v>0</v>
      </c>
      <c r="S149" s="452">
        <f t="shared" si="280"/>
        <v>0</v>
      </c>
      <c r="T149" s="452">
        <f t="shared" si="281"/>
        <v>0</v>
      </c>
      <c r="U149" s="452">
        <f t="shared" si="282"/>
        <v>0</v>
      </c>
      <c r="V149" s="452">
        <f t="shared" si="283"/>
        <v>0</v>
      </c>
      <c r="W149" s="452">
        <f t="shared" si="284"/>
        <v>0</v>
      </c>
      <c r="X149" s="1002">
        <f t="shared" si="285"/>
        <v>0</v>
      </c>
      <c r="Y149" s="459"/>
      <c r="Z149" s="291">
        <f t="shared" si="286"/>
        <v>0</v>
      </c>
      <c r="AA149" s="291">
        <f t="shared" si="287"/>
        <v>0</v>
      </c>
      <c r="AB149" s="291">
        <f t="shared" si="288"/>
        <v>0</v>
      </c>
      <c r="AC149" s="291">
        <f t="shared" si="289"/>
        <v>0</v>
      </c>
      <c r="AD149" s="291">
        <f t="shared" si="290"/>
        <v>0</v>
      </c>
      <c r="AE149" s="291">
        <f t="shared" si="291"/>
        <v>0</v>
      </c>
      <c r="AF149" s="291">
        <f t="shared" si="292"/>
        <v>0</v>
      </c>
      <c r="AG149" s="291">
        <f t="shared" si="293"/>
        <v>0</v>
      </c>
      <c r="AI149" s="462">
        <f t="shared" si="294"/>
        <v>0</v>
      </c>
      <c r="AJ149" s="1112"/>
      <c r="AK149" s="507"/>
      <c r="AL149" s="829">
        <f t="shared" si="295"/>
        <v>45750</v>
      </c>
      <c r="AM149" s="684">
        <f>IFERROR(IF(AND(AT149="",AR149&lt;&gt;S.CAL!$BJ$3,AR149&lt;&gt;S.CAL!$BJ$4,$AR$140="NON"),M149-BD149,IF(AND(AT149="",AR149&lt;&gt;S.CAL!$BJ$3,AR149&lt;&gt;S.CAL!$BJ$4,$AR$140="OUI"),X149-AI149,IF(AT149&lt;&gt;0,AT149,IF(OR(AR149=S.CAL!$BJ$3,AR149=S.CAL!$BJ$4),AR149,"")))),"")</f>
        <v>0</v>
      </c>
      <c r="AN149" s="1115"/>
      <c r="AO149" s="1116"/>
      <c r="AP149" s="684">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516">
        <f t="shared" si="315"/>
        <v>0</v>
      </c>
      <c r="AR149" s="1120"/>
      <c r="AT149" s="1123"/>
      <c r="AU149" s="831"/>
      <c r="AV149" s="1392">
        <f t="shared" si="296"/>
        <v>45750</v>
      </c>
      <c r="AX149" s="529">
        <f t="shared" si="316"/>
        <v>45750</v>
      </c>
      <c r="AY149" s="541">
        <f t="shared" si="317"/>
        <v>0</v>
      </c>
      <c r="AZ149" s="538" t="s">
        <v>146</v>
      </c>
      <c r="BA149" s="534">
        <f t="shared" si="318"/>
        <v>0</v>
      </c>
      <c r="BB149" s="567" t="str">
        <f t="shared" si="297"/>
        <v/>
      </c>
      <c r="BC149" s="541">
        <f t="shared" si="319"/>
        <v>0</v>
      </c>
      <c r="BD149" s="541">
        <f t="shared" si="320"/>
        <v>0</v>
      </c>
      <c r="BE149" s="750"/>
      <c r="BF149" s="532" t="str">
        <f t="shared" si="298"/>
        <v/>
      </c>
      <c r="BG149" s="532" t="str">
        <f t="shared" si="321"/>
        <v>oui</v>
      </c>
      <c r="BH149" s="395" t="str">
        <f t="shared" si="299"/>
        <v/>
      </c>
      <c r="BI149" s="24" t="str">
        <f t="shared" si="300"/>
        <v/>
      </c>
      <c r="BJ149" s="1403"/>
      <c r="BK149" s="1403"/>
      <c r="BL149" s="1403"/>
      <c r="BM149" s="1403"/>
      <c r="BN149" s="1403"/>
      <c r="BO149" s="1403"/>
      <c r="BP149" s="1403"/>
      <c r="BQ149" s="1403"/>
      <c r="BS149" s="1392">
        <f t="shared" si="267"/>
        <v>45750</v>
      </c>
      <c r="BT149" s="27" t="str">
        <f t="shared" ref="BT149:BT177" si="329">IFERROR(IF(WEEKDAY(BS149,11)=1,WEEKNUM(BS149,21),""),"")</f>
        <v/>
      </c>
      <c r="BU149" s="1402"/>
      <c r="BV149" s="1402"/>
      <c r="BW149" s="1402"/>
      <c r="BX149" s="1402"/>
      <c r="BY149" s="1402"/>
      <c r="BZ149" s="1402"/>
      <c r="CA149" s="1402"/>
      <c r="CB149" s="1402"/>
      <c r="CD149" s="1408">
        <f t="shared" si="322"/>
        <v>0</v>
      </c>
      <c r="DC149" s="16" t="str">
        <f>Avril!FC22</f>
        <v>non</v>
      </c>
      <c r="DG149" s="333">
        <f t="shared" si="323"/>
        <v>1</v>
      </c>
      <c r="DH149" s="129">
        <f t="shared" si="301"/>
        <v>10</v>
      </c>
      <c r="DI149" s="129">
        <f t="shared" si="324"/>
        <v>1</v>
      </c>
      <c r="DK149" s="16">
        <f>+IF(AND(Avril!$DP$8&lt;&gt;52,AR149=S.CAL!$BJ$4),10,1)</f>
        <v>1</v>
      </c>
      <c r="DN149" s="16">
        <f t="shared" si="302"/>
        <v>1</v>
      </c>
      <c r="DU149" s="1296" t="str">
        <f t="shared" si="325"/>
        <v>Fiche infoA445750</v>
      </c>
      <c r="DV149" s="1384">
        <f t="shared" si="303"/>
        <v>0</v>
      </c>
      <c r="DW149" s="1385">
        <f t="shared" si="304"/>
        <v>0</v>
      </c>
      <c r="DX149" s="1385">
        <f t="shared" si="305"/>
        <v>0</v>
      </c>
      <c r="DY149" s="1385">
        <f t="shared" si="306"/>
        <v>0</v>
      </c>
      <c r="DZ149" s="1385">
        <f t="shared" si="307"/>
        <v>0</v>
      </c>
      <c r="EA149" s="1385">
        <f t="shared" si="308"/>
        <v>0</v>
      </c>
      <c r="EB149" s="1385">
        <f t="shared" si="309"/>
        <v>0</v>
      </c>
      <c r="EC149" s="1385">
        <f t="shared" si="310"/>
        <v>0</v>
      </c>
      <c r="ED149" s="1385">
        <f t="shared" si="326"/>
        <v>0</v>
      </c>
      <c r="EE149" s="1386">
        <f t="shared" si="327"/>
        <v>0</v>
      </c>
      <c r="EG149" s="16" t="str">
        <f t="shared" si="328"/>
        <v>142025</v>
      </c>
      <c r="EH149" s="16" t="str">
        <f t="shared" si="311"/>
        <v>Fiche infoA4</v>
      </c>
      <c r="EI149" s="16" t="str">
        <f t="shared" si="312"/>
        <v/>
      </c>
    </row>
    <row r="150" spans="1:139" x14ac:dyDescent="0.2">
      <c r="A150" s="1395" t="str">
        <f>Avril!BJ23</f>
        <v>Fiche infoA5</v>
      </c>
      <c r="B150" s="829">
        <f>Avril!AB23</f>
        <v>45751</v>
      </c>
      <c r="C150" s="1394"/>
      <c r="D150" s="1001">
        <f t="shared" si="268"/>
        <v>0</v>
      </c>
      <c r="E150" s="452">
        <f t="shared" si="269"/>
        <v>0</v>
      </c>
      <c r="F150" s="452">
        <f t="shared" si="270"/>
        <v>0</v>
      </c>
      <c r="G150" s="452">
        <f t="shared" si="271"/>
        <v>0</v>
      </c>
      <c r="H150" s="452">
        <f t="shared" si="272"/>
        <v>0</v>
      </c>
      <c r="I150" s="452">
        <f t="shared" si="273"/>
        <v>0</v>
      </c>
      <c r="J150" s="452">
        <f t="shared" si="274"/>
        <v>0</v>
      </c>
      <c r="K150" s="452">
        <f t="shared" si="275"/>
        <v>0</v>
      </c>
      <c r="L150" s="452">
        <f t="shared" si="313"/>
        <v>0</v>
      </c>
      <c r="M150" s="1002">
        <f t="shared" si="314"/>
        <v>0</v>
      </c>
      <c r="N150" s="1396"/>
      <c r="O150" s="1001">
        <f t="shared" si="276"/>
        <v>0</v>
      </c>
      <c r="P150" s="452">
        <f t="shared" si="277"/>
        <v>0</v>
      </c>
      <c r="Q150" s="452">
        <f t="shared" si="278"/>
        <v>0</v>
      </c>
      <c r="R150" s="452">
        <f t="shared" si="279"/>
        <v>0</v>
      </c>
      <c r="S150" s="452">
        <f t="shared" si="280"/>
        <v>0</v>
      </c>
      <c r="T150" s="452">
        <f t="shared" si="281"/>
        <v>0</v>
      </c>
      <c r="U150" s="452">
        <f t="shared" si="282"/>
        <v>0</v>
      </c>
      <c r="V150" s="452">
        <f t="shared" si="283"/>
        <v>0</v>
      </c>
      <c r="W150" s="452">
        <f t="shared" si="284"/>
        <v>0</v>
      </c>
      <c r="X150" s="1002">
        <f t="shared" si="285"/>
        <v>0</v>
      </c>
      <c r="Y150" s="1397"/>
      <c r="Z150" s="1398">
        <f t="shared" si="286"/>
        <v>0</v>
      </c>
      <c r="AA150" s="1398">
        <f t="shared" si="287"/>
        <v>0</v>
      </c>
      <c r="AB150" s="1398">
        <f t="shared" si="288"/>
        <v>0</v>
      </c>
      <c r="AC150" s="1398">
        <f t="shared" si="289"/>
        <v>0</v>
      </c>
      <c r="AD150" s="1398">
        <f t="shared" si="290"/>
        <v>0</v>
      </c>
      <c r="AE150" s="1398">
        <f t="shared" si="291"/>
        <v>0</v>
      </c>
      <c r="AF150" s="1398">
        <f t="shared" si="292"/>
        <v>0</v>
      </c>
      <c r="AG150" s="1398">
        <f t="shared" si="293"/>
        <v>0</v>
      </c>
      <c r="AH150" s="1396"/>
      <c r="AI150" s="462">
        <f t="shared" si="294"/>
        <v>0</v>
      </c>
      <c r="AJ150" s="1112"/>
      <c r="AK150" s="1399"/>
      <c r="AL150" s="829">
        <f t="shared" si="295"/>
        <v>45751</v>
      </c>
      <c r="AM150" s="684">
        <f>IFERROR(IF(AND(AT150="",AR150&lt;&gt;S.CAL!$BJ$3,AR150&lt;&gt;S.CAL!$BJ$4,$AR$140="NON"),M150-BD150,IF(AND(AT150="",AR150&lt;&gt;S.CAL!$BJ$3,AR150&lt;&gt;S.CAL!$BJ$4,$AR$140="OUI"),X150-AI150,IF(AT150&lt;&gt;0,AT150,IF(OR(AR150=S.CAL!$BJ$3,AR150=S.CAL!$BJ$4),AR150,"")))),"")</f>
        <v>0</v>
      </c>
      <c r="AN150" s="1115"/>
      <c r="AO150" s="1116"/>
      <c r="AP150" s="684">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400">
        <f t="shared" si="315"/>
        <v>0</v>
      </c>
      <c r="AR150" s="1120"/>
      <c r="AS150" s="1396"/>
      <c r="AT150" s="1123"/>
      <c r="AU150" s="831"/>
      <c r="AV150" s="1392">
        <f t="shared" si="296"/>
        <v>45751</v>
      </c>
      <c r="AW150" s="1396"/>
      <c r="AX150" s="529">
        <f t="shared" si="316"/>
        <v>45751</v>
      </c>
      <c r="AY150" s="541">
        <f t="shared" si="317"/>
        <v>0</v>
      </c>
      <c r="AZ150" s="538" t="s">
        <v>146</v>
      </c>
      <c r="BA150" s="534">
        <f t="shared" si="318"/>
        <v>0</v>
      </c>
      <c r="BB150" s="567" t="str">
        <f t="shared" si="297"/>
        <v/>
      </c>
      <c r="BC150" s="541">
        <f t="shared" si="319"/>
        <v>0</v>
      </c>
      <c r="BD150" s="541">
        <f t="shared" si="320"/>
        <v>0</v>
      </c>
      <c r="BE150" s="750"/>
      <c r="BF150" s="532" t="str">
        <f t="shared" si="298"/>
        <v/>
      </c>
      <c r="BG150" s="532" t="str">
        <f t="shared" si="321"/>
        <v>oui</v>
      </c>
      <c r="BH150" s="395" t="str">
        <f t="shared" si="299"/>
        <v/>
      </c>
      <c r="BI150" s="24" t="str">
        <f t="shared" si="300"/>
        <v/>
      </c>
      <c r="BJ150" s="1404"/>
      <c r="BK150" s="1404"/>
      <c r="BL150" s="1404"/>
      <c r="BM150" s="1404"/>
      <c r="BN150" s="1404"/>
      <c r="BO150" s="1404"/>
      <c r="BP150" s="1404"/>
      <c r="BQ150" s="1404"/>
      <c r="BR150" s="1405"/>
      <c r="BS150" s="1392">
        <f t="shared" si="267"/>
        <v>45751</v>
      </c>
      <c r="BT150" s="1406" t="str">
        <f t="shared" si="329"/>
        <v/>
      </c>
      <c r="BU150" s="1404"/>
      <c r="BV150" s="1404"/>
      <c r="BW150" s="1404"/>
      <c r="BX150" s="1404"/>
      <c r="BY150" s="1404"/>
      <c r="BZ150" s="1404"/>
      <c r="CA150" s="1404"/>
      <c r="CB150" s="1404"/>
      <c r="CD150" s="1408">
        <f t="shared" si="322"/>
        <v>0</v>
      </c>
      <c r="DC150" s="16" t="str">
        <f>Avril!FC23</f>
        <v>non</v>
      </c>
      <c r="DG150" s="333">
        <f t="shared" si="323"/>
        <v>1</v>
      </c>
      <c r="DH150" s="129">
        <f t="shared" si="301"/>
        <v>10</v>
      </c>
      <c r="DI150" s="129">
        <f t="shared" si="324"/>
        <v>1</v>
      </c>
      <c r="DK150" s="16">
        <f>+IF(AND(Avril!$DP$8&lt;&gt;52,AR150=S.CAL!$BJ$4),10,1)</f>
        <v>1</v>
      </c>
      <c r="DN150" s="16">
        <f t="shared" si="302"/>
        <v>1</v>
      </c>
      <c r="DU150" s="1296" t="str">
        <f t="shared" si="325"/>
        <v>Fiche infoA545751</v>
      </c>
      <c r="DV150" s="1384">
        <f t="shared" si="303"/>
        <v>0</v>
      </c>
      <c r="DW150" s="1385">
        <f t="shared" si="304"/>
        <v>0</v>
      </c>
      <c r="DX150" s="1385">
        <f t="shared" si="305"/>
        <v>0</v>
      </c>
      <c r="DY150" s="1385">
        <f t="shared" si="306"/>
        <v>0</v>
      </c>
      <c r="DZ150" s="1385">
        <f t="shared" si="307"/>
        <v>0</v>
      </c>
      <c r="EA150" s="1385">
        <f t="shared" si="308"/>
        <v>0</v>
      </c>
      <c r="EB150" s="1385">
        <f t="shared" si="309"/>
        <v>0</v>
      </c>
      <c r="EC150" s="1385">
        <f t="shared" si="310"/>
        <v>0</v>
      </c>
      <c r="ED150" s="1385">
        <f t="shared" si="326"/>
        <v>0</v>
      </c>
      <c r="EE150" s="1386">
        <f t="shared" si="327"/>
        <v>0</v>
      </c>
      <c r="EG150" s="16" t="str">
        <f t="shared" si="328"/>
        <v>142025</v>
      </c>
      <c r="EH150" s="16" t="str">
        <f t="shared" si="311"/>
        <v>Fiche infoA5</v>
      </c>
      <c r="EI150" s="16" t="str">
        <f t="shared" si="312"/>
        <v/>
      </c>
    </row>
    <row r="151" spans="1:139" x14ac:dyDescent="0.2">
      <c r="A151" s="24" t="str">
        <f>Avril!BJ24</f>
        <v>Fiche infoA6</v>
      </c>
      <c r="B151" s="829">
        <f>Avril!AB24</f>
        <v>45752</v>
      </c>
      <c r="C151" s="1393"/>
      <c r="D151" s="1001">
        <f t="shared" si="268"/>
        <v>0</v>
      </c>
      <c r="E151" s="452">
        <f t="shared" si="269"/>
        <v>0</v>
      </c>
      <c r="F151" s="452">
        <f t="shared" si="270"/>
        <v>0</v>
      </c>
      <c r="G151" s="452">
        <f t="shared" si="271"/>
        <v>0</v>
      </c>
      <c r="H151" s="452">
        <f t="shared" si="272"/>
        <v>0</v>
      </c>
      <c r="I151" s="452">
        <f t="shared" si="273"/>
        <v>0</v>
      </c>
      <c r="J151" s="452">
        <f t="shared" si="274"/>
        <v>0</v>
      </c>
      <c r="K151" s="452">
        <f t="shared" si="275"/>
        <v>0</v>
      </c>
      <c r="L151" s="452">
        <f t="shared" si="313"/>
        <v>0</v>
      </c>
      <c r="M151" s="1002">
        <f t="shared" si="314"/>
        <v>0</v>
      </c>
      <c r="O151" s="1001">
        <f t="shared" si="276"/>
        <v>0</v>
      </c>
      <c r="P151" s="452">
        <f t="shared" si="277"/>
        <v>0</v>
      </c>
      <c r="Q151" s="452">
        <f t="shared" si="278"/>
        <v>0</v>
      </c>
      <c r="R151" s="452">
        <f t="shared" si="279"/>
        <v>0</v>
      </c>
      <c r="S151" s="452">
        <f t="shared" si="280"/>
        <v>0</v>
      </c>
      <c r="T151" s="452">
        <f t="shared" si="281"/>
        <v>0</v>
      </c>
      <c r="U151" s="452">
        <f t="shared" si="282"/>
        <v>0</v>
      </c>
      <c r="V151" s="452">
        <f t="shared" si="283"/>
        <v>0</v>
      </c>
      <c r="W151" s="452">
        <f t="shared" si="284"/>
        <v>0</v>
      </c>
      <c r="X151" s="1002">
        <f t="shared" si="285"/>
        <v>0</v>
      </c>
      <c r="Y151" s="459"/>
      <c r="Z151" s="291">
        <f t="shared" si="286"/>
        <v>0</v>
      </c>
      <c r="AA151" s="291">
        <f t="shared" si="287"/>
        <v>0</v>
      </c>
      <c r="AB151" s="291">
        <f t="shared" si="288"/>
        <v>0</v>
      </c>
      <c r="AC151" s="291">
        <f t="shared" si="289"/>
        <v>0</v>
      </c>
      <c r="AD151" s="291">
        <f t="shared" si="290"/>
        <v>0</v>
      </c>
      <c r="AE151" s="291">
        <f t="shared" si="291"/>
        <v>0</v>
      </c>
      <c r="AF151" s="291">
        <f t="shared" si="292"/>
        <v>0</v>
      </c>
      <c r="AG151" s="291">
        <f t="shared" si="293"/>
        <v>0</v>
      </c>
      <c r="AI151" s="462">
        <f t="shared" si="294"/>
        <v>0</v>
      </c>
      <c r="AJ151" s="1112"/>
      <c r="AK151" s="507"/>
      <c r="AL151" s="829">
        <f t="shared" si="295"/>
        <v>45752</v>
      </c>
      <c r="AM151" s="684">
        <f>IFERROR(IF(AND(AT151="",AR151&lt;&gt;S.CAL!$BJ$3,AR151&lt;&gt;S.CAL!$BJ$4,$AR$140="NON"),M151-BD151,IF(AND(AT151="",AR151&lt;&gt;S.CAL!$BJ$3,AR151&lt;&gt;S.CAL!$BJ$4,$AR$140="OUI"),X151-AI151,IF(AT151&lt;&gt;0,AT151,IF(OR(AR151=S.CAL!$BJ$3,AR151=S.CAL!$BJ$4),AR151,"")))),"")</f>
        <v>0</v>
      </c>
      <c r="AN151" s="1115"/>
      <c r="AO151" s="1116"/>
      <c r="AP151" s="684">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516">
        <f t="shared" si="315"/>
        <v>0</v>
      </c>
      <c r="AR151" s="1120"/>
      <c r="AT151" s="1123"/>
      <c r="AU151" s="831"/>
      <c r="AV151" s="1392">
        <f t="shared" si="296"/>
        <v>45752</v>
      </c>
      <c r="AX151" s="529">
        <f t="shared" si="316"/>
        <v>45752</v>
      </c>
      <c r="AY151" s="541">
        <f t="shared" si="317"/>
        <v>0</v>
      </c>
      <c r="AZ151" s="538" t="s">
        <v>146</v>
      </c>
      <c r="BA151" s="534">
        <f t="shared" si="318"/>
        <v>0</v>
      </c>
      <c r="BB151" s="567" t="str">
        <f t="shared" si="297"/>
        <v/>
      </c>
      <c r="BC151" s="541">
        <f t="shared" si="319"/>
        <v>0</v>
      </c>
      <c r="BD151" s="541">
        <f t="shared" si="320"/>
        <v>0</v>
      </c>
      <c r="BE151" s="750"/>
      <c r="BF151" s="532" t="str">
        <f t="shared" si="298"/>
        <v/>
      </c>
      <c r="BG151" s="532" t="str">
        <f t="shared" si="321"/>
        <v>oui</v>
      </c>
      <c r="BH151" s="395" t="str">
        <f t="shared" si="299"/>
        <v/>
      </c>
      <c r="BI151" s="24" t="str">
        <f t="shared" si="300"/>
        <v/>
      </c>
      <c r="BJ151" s="1403"/>
      <c r="BK151" s="1403"/>
      <c r="BL151" s="1403"/>
      <c r="BM151" s="1403"/>
      <c r="BN151" s="1403"/>
      <c r="BO151" s="1403"/>
      <c r="BP151" s="1403"/>
      <c r="BQ151" s="1403"/>
      <c r="BS151" s="1392">
        <f t="shared" si="267"/>
        <v>45752</v>
      </c>
      <c r="BT151" s="27" t="str">
        <f t="shared" si="329"/>
        <v/>
      </c>
      <c r="BU151" s="1402"/>
      <c r="BV151" s="1402"/>
      <c r="BW151" s="1402"/>
      <c r="BX151" s="1402"/>
      <c r="BY151" s="1402"/>
      <c r="BZ151" s="1402"/>
      <c r="CA151" s="1402"/>
      <c r="CB151" s="1402"/>
      <c r="CD151" s="1408">
        <f t="shared" si="322"/>
        <v>0</v>
      </c>
      <c r="DC151" s="16" t="str">
        <f>Avril!FC24</f>
        <v>non</v>
      </c>
      <c r="DG151" s="333">
        <f t="shared" si="323"/>
        <v>1</v>
      </c>
      <c r="DH151" s="129">
        <f t="shared" si="301"/>
        <v>10</v>
      </c>
      <c r="DI151" s="129">
        <f t="shared" si="324"/>
        <v>1</v>
      </c>
      <c r="DK151" s="16">
        <f>+IF(AND(Avril!$DP$8&lt;&gt;52,AR151=S.CAL!$BJ$4),10,1)</f>
        <v>1</v>
      </c>
      <c r="DN151" s="16">
        <f t="shared" si="302"/>
        <v>1</v>
      </c>
      <c r="DU151" s="1296" t="str">
        <f t="shared" si="325"/>
        <v>Fiche infoA645752</v>
      </c>
      <c r="DV151" s="1384">
        <f t="shared" si="303"/>
        <v>0</v>
      </c>
      <c r="DW151" s="1385">
        <f t="shared" si="304"/>
        <v>0</v>
      </c>
      <c r="DX151" s="1385">
        <f t="shared" si="305"/>
        <v>0</v>
      </c>
      <c r="DY151" s="1385">
        <f t="shared" si="306"/>
        <v>0</v>
      </c>
      <c r="DZ151" s="1385">
        <f t="shared" si="307"/>
        <v>0</v>
      </c>
      <c r="EA151" s="1385">
        <f t="shared" si="308"/>
        <v>0</v>
      </c>
      <c r="EB151" s="1385">
        <f t="shared" si="309"/>
        <v>0</v>
      </c>
      <c r="EC151" s="1385">
        <f t="shared" si="310"/>
        <v>0</v>
      </c>
      <c r="ED151" s="1385">
        <f t="shared" si="326"/>
        <v>0</v>
      </c>
      <c r="EE151" s="1386">
        <f t="shared" si="327"/>
        <v>0</v>
      </c>
      <c r="EG151" s="16" t="str">
        <f t="shared" si="328"/>
        <v>142025</v>
      </c>
      <c r="EH151" s="16" t="str">
        <f t="shared" si="311"/>
        <v>Fiche infoA6</v>
      </c>
      <c r="EI151" s="16" t="str">
        <f t="shared" si="312"/>
        <v/>
      </c>
    </row>
    <row r="152" spans="1:139" x14ac:dyDescent="0.2">
      <c r="A152" s="1395" t="str">
        <f>Avril!BJ25</f>
        <v>Fiche infoA7</v>
      </c>
      <c r="B152" s="829">
        <f>Avril!AB25</f>
        <v>45753</v>
      </c>
      <c r="C152" s="1394"/>
      <c r="D152" s="1001">
        <f t="shared" si="268"/>
        <v>0</v>
      </c>
      <c r="E152" s="452">
        <f t="shared" si="269"/>
        <v>0</v>
      </c>
      <c r="F152" s="452">
        <f t="shared" si="270"/>
        <v>0</v>
      </c>
      <c r="G152" s="452">
        <f t="shared" si="271"/>
        <v>0</v>
      </c>
      <c r="H152" s="452">
        <f t="shared" si="272"/>
        <v>0</v>
      </c>
      <c r="I152" s="452">
        <f t="shared" si="273"/>
        <v>0</v>
      </c>
      <c r="J152" s="452">
        <f t="shared" si="274"/>
        <v>0</v>
      </c>
      <c r="K152" s="452">
        <f t="shared" si="275"/>
        <v>0</v>
      </c>
      <c r="L152" s="452">
        <f t="shared" si="313"/>
        <v>0</v>
      </c>
      <c r="M152" s="1002">
        <f t="shared" si="314"/>
        <v>0</v>
      </c>
      <c r="N152" s="1396"/>
      <c r="O152" s="1001">
        <f t="shared" si="276"/>
        <v>0</v>
      </c>
      <c r="P152" s="452">
        <f t="shared" si="277"/>
        <v>0</v>
      </c>
      <c r="Q152" s="452">
        <f t="shared" si="278"/>
        <v>0</v>
      </c>
      <c r="R152" s="452">
        <f t="shared" si="279"/>
        <v>0</v>
      </c>
      <c r="S152" s="452">
        <f t="shared" si="280"/>
        <v>0</v>
      </c>
      <c r="T152" s="452">
        <f t="shared" si="281"/>
        <v>0</v>
      </c>
      <c r="U152" s="452">
        <f t="shared" si="282"/>
        <v>0</v>
      </c>
      <c r="V152" s="452">
        <f t="shared" si="283"/>
        <v>0</v>
      </c>
      <c r="W152" s="452">
        <f t="shared" si="284"/>
        <v>0</v>
      </c>
      <c r="X152" s="1002">
        <f t="shared" si="285"/>
        <v>0</v>
      </c>
      <c r="Y152" s="1397"/>
      <c r="Z152" s="1398">
        <f t="shared" si="286"/>
        <v>0</v>
      </c>
      <c r="AA152" s="1398">
        <f t="shared" si="287"/>
        <v>0</v>
      </c>
      <c r="AB152" s="1398">
        <f t="shared" si="288"/>
        <v>0</v>
      </c>
      <c r="AC152" s="1398">
        <f t="shared" si="289"/>
        <v>0</v>
      </c>
      <c r="AD152" s="1398">
        <f t="shared" si="290"/>
        <v>0</v>
      </c>
      <c r="AE152" s="1398">
        <f t="shared" si="291"/>
        <v>0</v>
      </c>
      <c r="AF152" s="1398">
        <f t="shared" si="292"/>
        <v>0</v>
      </c>
      <c r="AG152" s="1398">
        <f t="shared" si="293"/>
        <v>0</v>
      </c>
      <c r="AH152" s="1396"/>
      <c r="AI152" s="462">
        <f t="shared" si="294"/>
        <v>0</v>
      </c>
      <c r="AJ152" s="1112"/>
      <c r="AK152" s="1399"/>
      <c r="AL152" s="829">
        <f t="shared" si="295"/>
        <v>45753</v>
      </c>
      <c r="AM152" s="684">
        <f>IFERROR(IF(AND(AT152="",AR152&lt;&gt;S.CAL!$BJ$3,AR152&lt;&gt;S.CAL!$BJ$4,$AR$140="NON"),M152-BD152,IF(AND(AT152="",AR152&lt;&gt;S.CAL!$BJ$3,AR152&lt;&gt;S.CAL!$BJ$4,$AR$140="OUI"),X152-AI152,IF(AT152&lt;&gt;0,AT152,IF(OR(AR152=S.CAL!$BJ$3,AR152=S.CAL!$BJ$4),AR152,"")))),"")</f>
        <v>0</v>
      </c>
      <c r="AN152" s="1115"/>
      <c r="AO152" s="1116"/>
      <c r="AP152" s="684">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400">
        <f t="shared" si="315"/>
        <v>0</v>
      </c>
      <c r="AR152" s="1120"/>
      <c r="AS152" s="1396"/>
      <c r="AT152" s="1123"/>
      <c r="AU152" s="831"/>
      <c r="AV152" s="1392">
        <f t="shared" si="296"/>
        <v>45753</v>
      </c>
      <c r="AW152" s="1396"/>
      <c r="AX152" s="529">
        <f t="shared" si="316"/>
        <v>45753</v>
      </c>
      <c r="AY152" s="541">
        <f t="shared" si="317"/>
        <v>0</v>
      </c>
      <c r="AZ152" s="538" t="s">
        <v>146</v>
      </c>
      <c r="BA152" s="534">
        <f t="shared" si="318"/>
        <v>0</v>
      </c>
      <c r="BB152" s="567" t="str">
        <f t="shared" si="297"/>
        <v/>
      </c>
      <c r="BC152" s="541">
        <f t="shared" si="319"/>
        <v>0</v>
      </c>
      <c r="BD152" s="541">
        <f t="shared" si="320"/>
        <v>0</v>
      </c>
      <c r="BE152" s="750"/>
      <c r="BF152" s="532" t="str">
        <f t="shared" si="298"/>
        <v/>
      </c>
      <c r="BG152" s="532" t="str">
        <f t="shared" si="321"/>
        <v>oui</v>
      </c>
      <c r="BH152" s="395" t="str">
        <f t="shared" si="299"/>
        <v/>
      </c>
      <c r="BI152" s="24" t="str">
        <f t="shared" si="300"/>
        <v/>
      </c>
      <c r="BJ152" s="1404"/>
      <c r="BK152" s="1404"/>
      <c r="BL152" s="1404"/>
      <c r="BM152" s="1404"/>
      <c r="BN152" s="1404"/>
      <c r="BO152" s="1404"/>
      <c r="BP152" s="1404"/>
      <c r="BQ152" s="1404"/>
      <c r="BR152" s="1405"/>
      <c r="BS152" s="1392">
        <f t="shared" si="267"/>
        <v>45753</v>
      </c>
      <c r="BT152" s="1406" t="str">
        <f t="shared" si="329"/>
        <v/>
      </c>
      <c r="BU152" s="1404"/>
      <c r="BV152" s="1404"/>
      <c r="BW152" s="1404"/>
      <c r="BX152" s="1404"/>
      <c r="BY152" s="1404"/>
      <c r="BZ152" s="1404"/>
      <c r="CA152" s="1404"/>
      <c r="CB152" s="1404"/>
      <c r="CD152" s="1408">
        <f t="shared" si="322"/>
        <v>0</v>
      </c>
      <c r="DC152" s="16" t="str">
        <f>Avril!FC25</f>
        <v>non</v>
      </c>
      <c r="DG152" s="333">
        <f t="shared" si="323"/>
        <v>1</v>
      </c>
      <c r="DH152" s="129">
        <f t="shared" si="301"/>
        <v>10</v>
      </c>
      <c r="DI152" s="129">
        <f t="shared" si="324"/>
        <v>1</v>
      </c>
      <c r="DK152" s="16">
        <f>+IF(AND(Avril!$DP$8&lt;&gt;52,AR152=S.CAL!$BJ$4),10,1)</f>
        <v>1</v>
      </c>
      <c r="DN152" s="16">
        <f t="shared" si="302"/>
        <v>1</v>
      </c>
      <c r="DU152" s="1296" t="str">
        <f t="shared" si="325"/>
        <v>Fiche infoA745753</v>
      </c>
      <c r="DV152" s="1384">
        <f t="shared" si="303"/>
        <v>0</v>
      </c>
      <c r="DW152" s="1385">
        <f t="shared" si="304"/>
        <v>0</v>
      </c>
      <c r="DX152" s="1385">
        <f t="shared" si="305"/>
        <v>0</v>
      </c>
      <c r="DY152" s="1385">
        <f t="shared" si="306"/>
        <v>0</v>
      </c>
      <c r="DZ152" s="1385">
        <f t="shared" si="307"/>
        <v>0</v>
      </c>
      <c r="EA152" s="1385">
        <f t="shared" si="308"/>
        <v>0</v>
      </c>
      <c r="EB152" s="1385">
        <f t="shared" si="309"/>
        <v>0</v>
      </c>
      <c r="EC152" s="1385">
        <f t="shared" si="310"/>
        <v>0</v>
      </c>
      <c r="ED152" s="1385">
        <f t="shared" si="326"/>
        <v>0</v>
      </c>
      <c r="EE152" s="1386">
        <f t="shared" si="327"/>
        <v>0</v>
      </c>
      <c r="EG152" s="16" t="str">
        <f t="shared" si="328"/>
        <v>142025</v>
      </c>
      <c r="EH152" s="16" t="str">
        <f t="shared" si="311"/>
        <v>Fiche infoA7</v>
      </c>
      <c r="EI152" s="16" t="str">
        <f t="shared" si="312"/>
        <v/>
      </c>
    </row>
    <row r="153" spans="1:139" x14ac:dyDescent="0.2">
      <c r="A153" s="24" t="str">
        <f>Avril!BJ26</f>
        <v>Fiche infoA1</v>
      </c>
      <c r="B153" s="829">
        <f>Avril!AB26</f>
        <v>45754</v>
      </c>
      <c r="C153" s="1393"/>
      <c r="D153" s="1001">
        <f t="shared" si="268"/>
        <v>0</v>
      </c>
      <c r="E153" s="452">
        <f t="shared" si="269"/>
        <v>0</v>
      </c>
      <c r="F153" s="452">
        <f t="shared" si="270"/>
        <v>0</v>
      </c>
      <c r="G153" s="452">
        <f t="shared" si="271"/>
        <v>0</v>
      </c>
      <c r="H153" s="452">
        <f t="shared" si="272"/>
        <v>0</v>
      </c>
      <c r="I153" s="452">
        <f t="shared" si="273"/>
        <v>0</v>
      </c>
      <c r="J153" s="452">
        <f t="shared" si="274"/>
        <v>0</v>
      </c>
      <c r="K153" s="452">
        <f t="shared" si="275"/>
        <v>0</v>
      </c>
      <c r="L153" s="452">
        <f t="shared" si="313"/>
        <v>0</v>
      </c>
      <c r="M153" s="1002">
        <f t="shared" si="314"/>
        <v>0</v>
      </c>
      <c r="O153" s="1001">
        <f t="shared" si="276"/>
        <v>0</v>
      </c>
      <c r="P153" s="452">
        <f t="shared" si="277"/>
        <v>0</v>
      </c>
      <c r="Q153" s="452">
        <f t="shared" si="278"/>
        <v>0</v>
      </c>
      <c r="R153" s="452">
        <f t="shared" si="279"/>
        <v>0</v>
      </c>
      <c r="S153" s="452">
        <f t="shared" si="280"/>
        <v>0</v>
      </c>
      <c r="T153" s="452">
        <f t="shared" si="281"/>
        <v>0</v>
      </c>
      <c r="U153" s="452">
        <f t="shared" si="282"/>
        <v>0</v>
      </c>
      <c r="V153" s="452">
        <f t="shared" si="283"/>
        <v>0</v>
      </c>
      <c r="W153" s="452">
        <f t="shared" si="284"/>
        <v>0</v>
      </c>
      <c r="X153" s="1002">
        <f t="shared" si="285"/>
        <v>0</v>
      </c>
      <c r="Y153" s="459"/>
      <c r="Z153" s="291">
        <f t="shared" si="286"/>
        <v>0</v>
      </c>
      <c r="AA153" s="291">
        <f t="shared" si="287"/>
        <v>0</v>
      </c>
      <c r="AB153" s="291">
        <f t="shared" si="288"/>
        <v>0</v>
      </c>
      <c r="AC153" s="291">
        <f t="shared" si="289"/>
        <v>0</v>
      </c>
      <c r="AD153" s="291">
        <f t="shared" si="290"/>
        <v>0</v>
      </c>
      <c r="AE153" s="291">
        <f t="shared" si="291"/>
        <v>0</v>
      </c>
      <c r="AF153" s="291">
        <f t="shared" si="292"/>
        <v>0</v>
      </c>
      <c r="AG153" s="291">
        <f t="shared" si="293"/>
        <v>0</v>
      </c>
      <c r="AI153" s="462">
        <f t="shared" si="294"/>
        <v>0</v>
      </c>
      <c r="AJ153" s="1112"/>
      <c r="AK153" s="507"/>
      <c r="AL153" s="829">
        <f t="shared" si="295"/>
        <v>45754</v>
      </c>
      <c r="AM153" s="684">
        <f>IFERROR(IF(AND(AT153="",AR153&lt;&gt;S.CAL!$BJ$3,AR153&lt;&gt;S.CAL!$BJ$4,$AR$140="NON"),M153-BD153,IF(AND(AT153="",AR153&lt;&gt;S.CAL!$BJ$3,AR153&lt;&gt;S.CAL!$BJ$4,$AR$140="OUI"),X153-AI153,IF(AT153&lt;&gt;0,AT153,IF(OR(AR153=S.CAL!$BJ$3,AR153=S.CAL!$BJ$4),AR153,"")))),"")</f>
        <v>0</v>
      </c>
      <c r="AN153" s="1115"/>
      <c r="AO153" s="1116"/>
      <c r="AP153" s="684">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516">
        <f t="shared" si="315"/>
        <v>0</v>
      </c>
      <c r="AR153" s="1120"/>
      <c r="AT153" s="1123"/>
      <c r="AU153" s="831"/>
      <c r="AV153" s="1392">
        <f t="shared" si="296"/>
        <v>45754</v>
      </c>
      <c r="AX153" s="529">
        <f t="shared" si="316"/>
        <v>45754</v>
      </c>
      <c r="AY153" s="541">
        <f t="shared" si="317"/>
        <v>0</v>
      </c>
      <c r="AZ153" s="538" t="s">
        <v>146</v>
      </c>
      <c r="BA153" s="534">
        <f t="shared" si="318"/>
        <v>0</v>
      </c>
      <c r="BB153" s="567" t="str">
        <f t="shared" si="297"/>
        <v/>
      </c>
      <c r="BC153" s="541">
        <f t="shared" si="319"/>
        <v>0</v>
      </c>
      <c r="BD153" s="541">
        <f t="shared" si="320"/>
        <v>0</v>
      </c>
      <c r="BE153" s="750"/>
      <c r="BF153" s="532" t="str">
        <f t="shared" si="298"/>
        <v/>
      </c>
      <c r="BG153" s="532" t="str">
        <f t="shared" si="321"/>
        <v>oui</v>
      </c>
      <c r="BH153" s="395" t="str">
        <f t="shared" si="299"/>
        <v/>
      </c>
      <c r="BI153" s="24" t="str">
        <f t="shared" si="300"/>
        <v/>
      </c>
      <c r="BJ153" s="1403"/>
      <c r="BK153" s="1403"/>
      <c r="BL153" s="1403"/>
      <c r="BM153" s="1403"/>
      <c r="BN153" s="1403"/>
      <c r="BO153" s="1403"/>
      <c r="BP153" s="1403"/>
      <c r="BQ153" s="1403"/>
      <c r="BS153" s="1392">
        <f t="shared" si="267"/>
        <v>45754</v>
      </c>
      <c r="BT153" s="27">
        <f t="shared" si="329"/>
        <v>15</v>
      </c>
      <c r="BU153" s="1402"/>
      <c r="BV153" s="1402"/>
      <c r="BW153" s="1402"/>
      <c r="BX153" s="1402"/>
      <c r="BY153" s="1402"/>
      <c r="BZ153" s="1402"/>
      <c r="CA153" s="1402"/>
      <c r="CB153" s="1402"/>
      <c r="CD153" s="1408">
        <f t="shared" si="322"/>
        <v>0</v>
      </c>
      <c r="DC153" s="16" t="str">
        <f>Avril!FC26</f>
        <v>non</v>
      </c>
      <c r="DG153" s="333">
        <f t="shared" si="323"/>
        <v>1</v>
      </c>
      <c r="DH153" s="129">
        <f t="shared" si="301"/>
        <v>10</v>
      </c>
      <c r="DI153" s="129">
        <f t="shared" si="324"/>
        <v>1</v>
      </c>
      <c r="DK153" s="16">
        <f>+IF(AND(Avril!$DP$8&lt;&gt;52,AR153=S.CAL!$BJ$4),10,1)</f>
        <v>1</v>
      </c>
      <c r="DN153" s="16">
        <f t="shared" si="302"/>
        <v>1</v>
      </c>
      <c r="DU153" s="1296" t="str">
        <f t="shared" si="325"/>
        <v>Fiche infoA145754</v>
      </c>
      <c r="DV153" s="1384">
        <f t="shared" si="303"/>
        <v>0</v>
      </c>
      <c r="DW153" s="1385">
        <f t="shared" si="304"/>
        <v>0</v>
      </c>
      <c r="DX153" s="1385">
        <f t="shared" si="305"/>
        <v>0</v>
      </c>
      <c r="DY153" s="1385">
        <f t="shared" si="306"/>
        <v>0</v>
      </c>
      <c r="DZ153" s="1385">
        <f t="shared" si="307"/>
        <v>0</v>
      </c>
      <c r="EA153" s="1385">
        <f t="shared" si="308"/>
        <v>0</v>
      </c>
      <c r="EB153" s="1385">
        <f t="shared" si="309"/>
        <v>0</v>
      </c>
      <c r="EC153" s="1385">
        <f t="shared" si="310"/>
        <v>0</v>
      </c>
      <c r="ED153" s="1385">
        <f t="shared" si="326"/>
        <v>0</v>
      </c>
      <c r="EE153" s="1386">
        <f t="shared" si="327"/>
        <v>0</v>
      </c>
      <c r="EG153" s="16" t="str">
        <f t="shared" si="328"/>
        <v>152025</v>
      </c>
      <c r="EH153" s="16" t="str">
        <f t="shared" si="311"/>
        <v>Fiche infoA1</v>
      </c>
      <c r="EI153" s="16" t="str">
        <f t="shared" si="312"/>
        <v/>
      </c>
    </row>
    <row r="154" spans="1:139" x14ac:dyDescent="0.2">
      <c r="A154" s="1395" t="str">
        <f>Avril!BJ27</f>
        <v>Fiche infoA2</v>
      </c>
      <c r="B154" s="829">
        <f>Avril!AB27</f>
        <v>45755</v>
      </c>
      <c r="C154" s="1394"/>
      <c r="D154" s="1001">
        <f t="shared" si="268"/>
        <v>0</v>
      </c>
      <c r="E154" s="452">
        <f t="shared" si="269"/>
        <v>0</v>
      </c>
      <c r="F154" s="452">
        <f t="shared" si="270"/>
        <v>0</v>
      </c>
      <c r="G154" s="452">
        <f t="shared" si="271"/>
        <v>0</v>
      </c>
      <c r="H154" s="452">
        <f t="shared" si="272"/>
        <v>0</v>
      </c>
      <c r="I154" s="452">
        <f t="shared" si="273"/>
        <v>0</v>
      </c>
      <c r="J154" s="452">
        <f t="shared" si="274"/>
        <v>0</v>
      </c>
      <c r="K154" s="452">
        <f t="shared" si="275"/>
        <v>0</v>
      </c>
      <c r="L154" s="452">
        <f t="shared" si="313"/>
        <v>0</v>
      </c>
      <c r="M154" s="1002">
        <f t="shared" si="314"/>
        <v>0</v>
      </c>
      <c r="N154" s="1396"/>
      <c r="O154" s="1001">
        <f t="shared" si="276"/>
        <v>0</v>
      </c>
      <c r="P154" s="452">
        <f t="shared" si="277"/>
        <v>0</v>
      </c>
      <c r="Q154" s="452">
        <f t="shared" si="278"/>
        <v>0</v>
      </c>
      <c r="R154" s="452">
        <f t="shared" si="279"/>
        <v>0</v>
      </c>
      <c r="S154" s="452">
        <f t="shared" si="280"/>
        <v>0</v>
      </c>
      <c r="T154" s="452">
        <f t="shared" si="281"/>
        <v>0</v>
      </c>
      <c r="U154" s="452">
        <f t="shared" si="282"/>
        <v>0</v>
      </c>
      <c r="V154" s="452">
        <f t="shared" si="283"/>
        <v>0</v>
      </c>
      <c r="W154" s="452">
        <f t="shared" si="284"/>
        <v>0</v>
      </c>
      <c r="X154" s="1002">
        <f t="shared" si="285"/>
        <v>0</v>
      </c>
      <c r="Y154" s="1397"/>
      <c r="Z154" s="1398">
        <f t="shared" si="286"/>
        <v>0</v>
      </c>
      <c r="AA154" s="1398">
        <f t="shared" si="287"/>
        <v>0</v>
      </c>
      <c r="AB154" s="1398">
        <f t="shared" si="288"/>
        <v>0</v>
      </c>
      <c r="AC154" s="1398">
        <f t="shared" si="289"/>
        <v>0</v>
      </c>
      <c r="AD154" s="1398">
        <f t="shared" si="290"/>
        <v>0</v>
      </c>
      <c r="AE154" s="1398">
        <f t="shared" si="291"/>
        <v>0</v>
      </c>
      <c r="AF154" s="1398">
        <f t="shared" si="292"/>
        <v>0</v>
      </c>
      <c r="AG154" s="1398">
        <f t="shared" si="293"/>
        <v>0</v>
      </c>
      <c r="AH154" s="1396"/>
      <c r="AI154" s="462">
        <f t="shared" si="294"/>
        <v>0</v>
      </c>
      <c r="AJ154" s="1112"/>
      <c r="AK154" s="1399"/>
      <c r="AL154" s="829">
        <f t="shared" si="295"/>
        <v>45755</v>
      </c>
      <c r="AM154" s="684">
        <f>IFERROR(IF(AND(AT154="",AR154&lt;&gt;S.CAL!$BJ$3,AR154&lt;&gt;S.CAL!$BJ$4,$AR$140="NON"),M154-BD154,IF(AND(AT154="",AR154&lt;&gt;S.CAL!$BJ$3,AR154&lt;&gt;S.CAL!$BJ$4,$AR$140="OUI"),X154-AI154,IF(AT154&lt;&gt;0,AT154,IF(OR(AR154=S.CAL!$BJ$3,AR154=S.CAL!$BJ$4),AR154,"")))),"")</f>
        <v>0</v>
      </c>
      <c r="AN154" s="1115"/>
      <c r="AO154" s="1116"/>
      <c r="AP154" s="684">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400">
        <f t="shared" si="315"/>
        <v>0</v>
      </c>
      <c r="AR154" s="1120"/>
      <c r="AS154" s="1396"/>
      <c r="AT154" s="1123"/>
      <c r="AU154" s="831"/>
      <c r="AV154" s="1392">
        <f t="shared" si="296"/>
        <v>45755</v>
      </c>
      <c r="AW154" s="1396"/>
      <c r="AX154" s="529">
        <f t="shared" si="316"/>
        <v>45755</v>
      </c>
      <c r="AY154" s="541">
        <f t="shared" si="317"/>
        <v>0</v>
      </c>
      <c r="AZ154" s="538" t="s">
        <v>146</v>
      </c>
      <c r="BA154" s="534">
        <f t="shared" si="318"/>
        <v>0</v>
      </c>
      <c r="BB154" s="567" t="str">
        <f t="shared" si="297"/>
        <v/>
      </c>
      <c r="BC154" s="541">
        <f t="shared" si="319"/>
        <v>0</v>
      </c>
      <c r="BD154" s="541">
        <f t="shared" si="320"/>
        <v>0</v>
      </c>
      <c r="BE154" s="750"/>
      <c r="BF154" s="532" t="str">
        <f t="shared" si="298"/>
        <v/>
      </c>
      <c r="BG154" s="532" t="str">
        <f t="shared" si="321"/>
        <v>oui</v>
      </c>
      <c r="BH154" s="395" t="str">
        <f t="shared" si="299"/>
        <v/>
      </c>
      <c r="BI154" s="24" t="str">
        <f t="shared" si="300"/>
        <v/>
      </c>
      <c r="BJ154" s="1404"/>
      <c r="BK154" s="1404"/>
      <c r="BL154" s="1404"/>
      <c r="BM154" s="1404"/>
      <c r="BN154" s="1404"/>
      <c r="BO154" s="1404"/>
      <c r="BP154" s="1404"/>
      <c r="BQ154" s="1404"/>
      <c r="BR154" s="1405"/>
      <c r="BS154" s="1392">
        <f t="shared" si="267"/>
        <v>45755</v>
      </c>
      <c r="BT154" s="1406" t="str">
        <f t="shared" si="329"/>
        <v/>
      </c>
      <c r="BU154" s="1404"/>
      <c r="BV154" s="1404"/>
      <c r="BW154" s="1404"/>
      <c r="BX154" s="1404"/>
      <c r="BY154" s="1404"/>
      <c r="BZ154" s="1404"/>
      <c r="CA154" s="1404"/>
      <c r="CB154" s="1404"/>
      <c r="CD154" s="1408">
        <f t="shared" si="322"/>
        <v>0</v>
      </c>
      <c r="DC154" s="16" t="str">
        <f>Avril!FC27</f>
        <v>non</v>
      </c>
      <c r="DG154" s="333">
        <f t="shared" si="323"/>
        <v>1</v>
      </c>
      <c r="DH154" s="129">
        <f t="shared" si="301"/>
        <v>10</v>
      </c>
      <c r="DI154" s="129">
        <f t="shared" si="324"/>
        <v>1</v>
      </c>
      <c r="DK154" s="16">
        <f>+IF(AND(Avril!$DP$8&lt;&gt;52,AR154=S.CAL!$BJ$4),10,1)</f>
        <v>1</v>
      </c>
      <c r="DN154" s="16">
        <f t="shared" si="302"/>
        <v>1</v>
      </c>
      <c r="DU154" s="1296" t="str">
        <f t="shared" si="325"/>
        <v>Fiche infoA245755</v>
      </c>
      <c r="DV154" s="1384">
        <f t="shared" si="303"/>
        <v>0</v>
      </c>
      <c r="DW154" s="1385">
        <f t="shared" si="304"/>
        <v>0</v>
      </c>
      <c r="DX154" s="1385">
        <f t="shared" si="305"/>
        <v>0</v>
      </c>
      <c r="DY154" s="1385">
        <f t="shared" si="306"/>
        <v>0</v>
      </c>
      <c r="DZ154" s="1385">
        <f t="shared" si="307"/>
        <v>0</v>
      </c>
      <c r="EA154" s="1385">
        <f t="shared" si="308"/>
        <v>0</v>
      </c>
      <c r="EB154" s="1385">
        <f t="shared" si="309"/>
        <v>0</v>
      </c>
      <c r="EC154" s="1385">
        <f t="shared" si="310"/>
        <v>0</v>
      </c>
      <c r="ED154" s="1385">
        <f t="shared" si="326"/>
        <v>0</v>
      </c>
      <c r="EE154" s="1386">
        <f t="shared" si="327"/>
        <v>0</v>
      </c>
      <c r="EG154" s="16" t="str">
        <f t="shared" si="328"/>
        <v>152025</v>
      </c>
      <c r="EH154" s="16" t="str">
        <f t="shared" si="311"/>
        <v>Fiche infoA2</v>
      </c>
      <c r="EI154" s="16" t="str">
        <f t="shared" si="312"/>
        <v/>
      </c>
    </row>
    <row r="155" spans="1:139" x14ac:dyDescent="0.2">
      <c r="A155" s="24" t="str">
        <f>Avril!BJ28</f>
        <v>Fiche infoA3</v>
      </c>
      <c r="B155" s="829">
        <f>Avril!AB28</f>
        <v>45756</v>
      </c>
      <c r="C155" s="1393"/>
      <c r="D155" s="1001">
        <f t="shared" si="268"/>
        <v>0</v>
      </c>
      <c r="E155" s="452">
        <f t="shared" si="269"/>
        <v>0</v>
      </c>
      <c r="F155" s="452">
        <f t="shared" si="270"/>
        <v>0</v>
      </c>
      <c r="G155" s="452">
        <f t="shared" si="271"/>
        <v>0</v>
      </c>
      <c r="H155" s="452">
        <f t="shared" si="272"/>
        <v>0</v>
      </c>
      <c r="I155" s="452">
        <f t="shared" si="273"/>
        <v>0</v>
      </c>
      <c r="J155" s="452">
        <f t="shared" si="274"/>
        <v>0</v>
      </c>
      <c r="K155" s="452">
        <f t="shared" si="275"/>
        <v>0</v>
      </c>
      <c r="L155" s="452">
        <f t="shared" si="313"/>
        <v>0</v>
      </c>
      <c r="M155" s="1002">
        <f t="shared" si="314"/>
        <v>0</v>
      </c>
      <c r="O155" s="1001">
        <f>IF(AR155&lt;&gt;"",0,IF(DC155="oui",0,IF(AND(ISTEXT(AT155)=TRUE,BJ155=""),0,IF(BJ155="",D155,BJ155))))</f>
        <v>0</v>
      </c>
      <c r="P155" s="452">
        <f>IF(AR155&lt;&gt;"",0,IF(DC155="oui",0,IF(AND(ISTEXT(AT155)=TRUE,BK155=""),0,IF(BK155="",E155,BK155))))</f>
        <v>0</v>
      </c>
      <c r="Q155" s="452">
        <f>IF(AR155&lt;&gt;"",0,IF(DC155="oui",0,IF(AND(ISTEXT(AT155)=TRUE,BL155=""),0,IF(BL155="",F155,BL155))))</f>
        <v>0</v>
      </c>
      <c r="R155" s="452">
        <f>IF(AR155&lt;&gt;"",0,IF(DC155="oui",0,IF(AND(ISTEXT(AT155)=TRUE,BM155=""),0,IF(BM155="",G155,BM155))))</f>
        <v>0</v>
      </c>
      <c r="S155" s="452">
        <f>IF(AR155&lt;&gt;"",0,IF(DC155="oui",0,IF(AND(ISTEXT(AT155)=TRUE,BN155=""),0,IF(BN155="",H155,BN155))))</f>
        <v>0</v>
      </c>
      <c r="T155" s="452">
        <f>IF(AR155&lt;&gt;"",0,IF(DC155="oui",0,IF(AND(ISTEXT(AT155)=TRUE,BO155=""),0,IF(BO155="",I155,BO155))))</f>
        <v>0</v>
      </c>
      <c r="U155" s="452">
        <f>IF(AR155&lt;&gt;"",0,IF(DC155="oui",0,IF(AND(ISTEXT(AT155)=TRUE,BP155=""),0,IF(BP155="",J155,BP155))))</f>
        <v>0</v>
      </c>
      <c r="V155" s="452">
        <f>IF(AR155&lt;&gt;"",0,IF(DC155="oui",0,IF(AND(ISTEXT(AT155)=TRUE,BQ155=""),0,IF(BQ155="",K155,BQ155))))</f>
        <v>0</v>
      </c>
      <c r="W155" s="452">
        <f t="shared" si="284"/>
        <v>0</v>
      </c>
      <c r="X155" s="1002">
        <f t="shared" si="285"/>
        <v>0</v>
      </c>
      <c r="Y155" s="459"/>
      <c r="Z155" s="291">
        <f t="shared" si="286"/>
        <v>0</v>
      </c>
      <c r="AA155" s="291">
        <f t="shared" si="287"/>
        <v>0</v>
      </c>
      <c r="AB155" s="291">
        <f t="shared" si="288"/>
        <v>0</v>
      </c>
      <c r="AC155" s="291">
        <f t="shared" si="289"/>
        <v>0</v>
      </c>
      <c r="AD155" s="291">
        <f t="shared" si="290"/>
        <v>0</v>
      </c>
      <c r="AE155" s="291">
        <f t="shared" si="291"/>
        <v>0</v>
      </c>
      <c r="AF155" s="291">
        <f t="shared" si="292"/>
        <v>0</v>
      </c>
      <c r="AG155" s="291">
        <f t="shared" si="293"/>
        <v>0</v>
      </c>
      <c r="AI155" s="462">
        <f>IF(DC155="oui",0,IF(AND(ISTEXT(AT155)=TRUE,OR(X155=0,X155="")),0,ROUND(((((AA155-Z155)-(E155-D155))+((AC155-AB155)-(G155-F155))+((AE155-AD155)-(I155-H155))+(AG155-AF155)-(K155-J155))*24),2)))</f>
        <v>0</v>
      </c>
      <c r="AJ155" s="1112"/>
      <c r="AK155" s="507"/>
      <c r="AL155" s="829">
        <f t="shared" si="295"/>
        <v>45756</v>
      </c>
      <c r="AM155" s="684">
        <f>IFERROR(IF(AND(AT155="",AR155&lt;&gt;S.CAL!$BJ$3,AR155&lt;&gt;S.CAL!$BJ$4,$AR$140="NON"),M155-BD155,IF(AND(AT155="",AR155&lt;&gt;S.CAL!$BJ$3,AR155&lt;&gt;S.CAL!$BJ$4,$AR$140="OUI"),X155-AI155,IF(AT155&lt;&gt;0,AT155,IF(OR(AR155=S.CAL!$BJ$3,AR155=S.CAL!$BJ$4),AR155,"")))),"")</f>
        <v>0</v>
      </c>
      <c r="AN155" s="1115"/>
      <c r="AO155" s="1116"/>
      <c r="AP155" s="684">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516">
        <f t="shared" si="315"/>
        <v>0</v>
      </c>
      <c r="AR155" s="1120"/>
      <c r="AT155" s="1123"/>
      <c r="AU155" s="831"/>
      <c r="AV155" s="1392">
        <f t="shared" si="296"/>
        <v>45756</v>
      </c>
      <c r="AX155" s="529">
        <f t="shared" si="316"/>
        <v>45756</v>
      </c>
      <c r="AY155" s="541">
        <f t="shared" si="317"/>
        <v>0</v>
      </c>
      <c r="AZ155" s="538" t="s">
        <v>146</v>
      </c>
      <c r="BA155" s="534">
        <f t="shared" si="318"/>
        <v>0</v>
      </c>
      <c r="BB155" s="567" t="str">
        <f t="shared" si="297"/>
        <v/>
      </c>
      <c r="BC155" s="541">
        <f t="shared" si="319"/>
        <v>0</v>
      </c>
      <c r="BD155" s="541">
        <f t="shared" si="320"/>
        <v>0</v>
      </c>
      <c r="BE155" s="750"/>
      <c r="BF155" s="532" t="str">
        <f t="shared" si="298"/>
        <v/>
      </c>
      <c r="BG155" s="532" t="str">
        <f t="shared" si="321"/>
        <v>oui</v>
      </c>
      <c r="BH155" s="395" t="str">
        <f t="shared" si="299"/>
        <v/>
      </c>
      <c r="BI155" s="24" t="str">
        <f t="shared" si="300"/>
        <v/>
      </c>
      <c r="BJ155" s="1403"/>
      <c r="BK155" s="1403"/>
      <c r="BL155" s="1403"/>
      <c r="BM155" s="1403"/>
      <c r="BN155" s="1403"/>
      <c r="BO155" s="1403"/>
      <c r="BP155" s="1403"/>
      <c r="BQ155" s="1403"/>
      <c r="BS155" s="1392">
        <f t="shared" si="267"/>
        <v>45756</v>
      </c>
      <c r="BT155" s="27" t="str">
        <f t="shared" si="329"/>
        <v/>
      </c>
      <c r="BU155" s="1402"/>
      <c r="BV155" s="1402"/>
      <c r="BW155" s="1402"/>
      <c r="BX155" s="1402"/>
      <c r="BY155" s="1402"/>
      <c r="BZ155" s="1402"/>
      <c r="CA155" s="1402"/>
      <c r="CB155" s="1402"/>
      <c r="CD155" s="1408">
        <f t="shared" si="322"/>
        <v>0</v>
      </c>
      <c r="DC155" s="16" t="str">
        <f>Avril!FC28</f>
        <v>non</v>
      </c>
      <c r="DG155" s="333">
        <f t="shared" si="323"/>
        <v>1</v>
      </c>
      <c r="DH155" s="129">
        <f t="shared" si="301"/>
        <v>10</v>
      </c>
      <c r="DI155" s="129">
        <f t="shared" si="324"/>
        <v>1</v>
      </c>
      <c r="DK155" s="16">
        <f>+IF(AND(Avril!$DP$8&lt;&gt;52,AR155=S.CAL!$BJ$4),10,1)</f>
        <v>1</v>
      </c>
      <c r="DN155" s="16">
        <f t="shared" si="302"/>
        <v>1</v>
      </c>
      <c r="DU155" s="1296" t="str">
        <f t="shared" si="325"/>
        <v>Fiche infoA345756</v>
      </c>
      <c r="DV155" s="1384">
        <f t="shared" si="303"/>
        <v>0</v>
      </c>
      <c r="DW155" s="1385">
        <f t="shared" si="304"/>
        <v>0</v>
      </c>
      <c r="DX155" s="1385">
        <f t="shared" si="305"/>
        <v>0</v>
      </c>
      <c r="DY155" s="1385">
        <f t="shared" si="306"/>
        <v>0</v>
      </c>
      <c r="DZ155" s="1385">
        <f t="shared" si="307"/>
        <v>0</v>
      </c>
      <c r="EA155" s="1385">
        <f t="shared" si="308"/>
        <v>0</v>
      </c>
      <c r="EB155" s="1385">
        <f t="shared" si="309"/>
        <v>0</v>
      </c>
      <c r="EC155" s="1385">
        <f t="shared" si="310"/>
        <v>0</v>
      </c>
      <c r="ED155" s="1385">
        <f t="shared" si="326"/>
        <v>0</v>
      </c>
      <c r="EE155" s="1386">
        <f t="shared" si="327"/>
        <v>0</v>
      </c>
      <c r="EG155" s="16" t="str">
        <f t="shared" si="328"/>
        <v>152025</v>
      </c>
      <c r="EH155" s="16" t="str">
        <f t="shared" si="311"/>
        <v>Fiche infoA3</v>
      </c>
      <c r="EI155" s="16" t="str">
        <f t="shared" si="312"/>
        <v/>
      </c>
    </row>
    <row r="156" spans="1:139" x14ac:dyDescent="0.2">
      <c r="A156" s="1395" t="str">
        <f>Avril!BJ29</f>
        <v>Fiche infoA4</v>
      </c>
      <c r="B156" s="829">
        <f>Avril!AB29</f>
        <v>45757</v>
      </c>
      <c r="C156" s="1394"/>
      <c r="D156" s="1001">
        <f t="shared" si="268"/>
        <v>0</v>
      </c>
      <c r="E156" s="452">
        <f t="shared" si="269"/>
        <v>0</v>
      </c>
      <c r="F156" s="452">
        <f t="shared" si="270"/>
        <v>0</v>
      </c>
      <c r="G156" s="452">
        <f t="shared" si="271"/>
        <v>0</v>
      </c>
      <c r="H156" s="452">
        <f t="shared" si="272"/>
        <v>0</v>
      </c>
      <c r="I156" s="452">
        <f t="shared" si="273"/>
        <v>0</v>
      </c>
      <c r="J156" s="452">
        <f t="shared" si="274"/>
        <v>0</v>
      </c>
      <c r="K156" s="452">
        <f t="shared" si="275"/>
        <v>0</v>
      </c>
      <c r="L156" s="452">
        <f t="shared" si="313"/>
        <v>0</v>
      </c>
      <c r="M156" s="1002">
        <f t="shared" si="314"/>
        <v>0</v>
      </c>
      <c r="N156" s="1396"/>
      <c r="O156" s="1001">
        <f t="shared" ref="O156:O177" si="330">IF(AR156&lt;&gt;"",0,IF(DC156="oui",0,IF(AND(ISTEXT(AT156)=TRUE,BJ156=""),0,IF(BJ156="",D156,BJ156))))</f>
        <v>0</v>
      </c>
      <c r="P156" s="452">
        <f t="shared" ref="P156:P177" si="331">IF(AR156&lt;&gt;"",0,IF(DC156="oui",0,IF(AND(ISTEXT(AT156)=TRUE,BK156=""),0,IF(BK156="",E156,BK156))))</f>
        <v>0</v>
      </c>
      <c r="Q156" s="452">
        <f t="shared" ref="Q156:Q177" si="332">IF(AR156&lt;&gt;"",0,IF(DC156="oui",0,IF(AND(ISTEXT(AT156)=TRUE,BL156=""),0,IF(BL156="",F156,BL156))))</f>
        <v>0</v>
      </c>
      <c r="R156" s="452">
        <f t="shared" ref="R156:R177" si="333">IF(AR156&lt;&gt;"",0,IF(DC156="oui",0,IF(AND(ISTEXT(AT156)=TRUE,BM156=""),0,IF(BM156="",G156,BM156))))</f>
        <v>0</v>
      </c>
      <c r="S156" s="452">
        <f t="shared" ref="S156:S177" si="334">IF(AR156&lt;&gt;"",0,IF(DC156="oui",0,IF(AND(ISTEXT(AT156)=TRUE,BN156=""),0,IF(BN156="",H156,BN156))))</f>
        <v>0</v>
      </c>
      <c r="T156" s="452">
        <f t="shared" ref="T156:T177" si="335">IF(AR156&lt;&gt;"",0,IF(DC156="oui",0,IF(AND(ISTEXT(AT156)=TRUE,BO156=""),0,IF(BO156="",I156,BO156))))</f>
        <v>0</v>
      </c>
      <c r="U156" s="452">
        <f t="shared" ref="U156:U177" si="336">IF(AR156&lt;&gt;"",0,IF(DC156="oui",0,IF(AND(ISTEXT(AT156)=TRUE,BP156=""),0,IF(BP156="",J156,BP156))))</f>
        <v>0</v>
      </c>
      <c r="V156" s="452">
        <f t="shared" ref="V156:V177" si="337">IF(AR156&lt;&gt;"",0,IF(DC156="oui",0,IF(AND(ISTEXT(AT156)=TRUE,BQ156=""),0,IF(BQ156="",K156,BQ156))))</f>
        <v>0</v>
      </c>
      <c r="W156" s="452">
        <f t="shared" si="284"/>
        <v>0</v>
      </c>
      <c r="X156" s="1002">
        <f t="shared" si="285"/>
        <v>0</v>
      </c>
      <c r="Y156" s="1397"/>
      <c r="Z156" s="1398">
        <f t="shared" si="286"/>
        <v>0</v>
      </c>
      <c r="AA156" s="1398">
        <f t="shared" si="287"/>
        <v>0</v>
      </c>
      <c r="AB156" s="1398">
        <f t="shared" si="288"/>
        <v>0</v>
      </c>
      <c r="AC156" s="1398">
        <f t="shared" si="289"/>
        <v>0</v>
      </c>
      <c r="AD156" s="1398">
        <f t="shared" si="290"/>
        <v>0</v>
      </c>
      <c r="AE156" s="1398">
        <f t="shared" si="291"/>
        <v>0</v>
      </c>
      <c r="AF156" s="1398">
        <f t="shared" si="292"/>
        <v>0</v>
      </c>
      <c r="AG156" s="1398">
        <f t="shared" si="293"/>
        <v>0</v>
      </c>
      <c r="AH156" s="1396"/>
      <c r="AI156" s="462">
        <f t="shared" ref="AI156:AI177" si="338">IF(DC156="oui",0,IF(AND(ISTEXT(AT156)=TRUE,OR(X156=0,X156="")),0,ROUND(((((AA156-Z156)-(E156-D156))+((AC156-AB156)-(G156-F156))+((AE156-AD156)-(I156-H156))+(AG156-AF156)-(K156-J156))*24),2)))</f>
        <v>0</v>
      </c>
      <c r="AJ156" s="1112"/>
      <c r="AK156" s="1399"/>
      <c r="AL156" s="829">
        <f t="shared" si="295"/>
        <v>45757</v>
      </c>
      <c r="AM156" s="684">
        <f>IFERROR(IF(AND(AT156="",AR156&lt;&gt;S.CAL!$BJ$3,AR156&lt;&gt;S.CAL!$BJ$4,$AR$140="NON"),M156-BD156,IF(AND(AT156="",AR156&lt;&gt;S.CAL!$BJ$3,AR156&lt;&gt;S.CAL!$BJ$4,$AR$140="OUI"),X156-AI156,IF(AT156&lt;&gt;0,AT156,IF(OR(AR156=S.CAL!$BJ$3,AR156=S.CAL!$BJ$4),AR156,"")))),"")</f>
        <v>0</v>
      </c>
      <c r="AN156" s="1115"/>
      <c r="AO156" s="1116"/>
      <c r="AP156" s="684">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400">
        <f t="shared" si="315"/>
        <v>0</v>
      </c>
      <c r="AR156" s="1120"/>
      <c r="AS156" s="1396"/>
      <c r="AT156" s="1123"/>
      <c r="AU156" s="831"/>
      <c r="AV156" s="1392">
        <f t="shared" si="296"/>
        <v>45757</v>
      </c>
      <c r="AW156" s="1396"/>
      <c r="AX156" s="529">
        <f t="shared" si="316"/>
        <v>45757</v>
      </c>
      <c r="AY156" s="541">
        <f t="shared" si="317"/>
        <v>0</v>
      </c>
      <c r="AZ156" s="538" t="s">
        <v>146</v>
      </c>
      <c r="BA156" s="534">
        <f t="shared" si="318"/>
        <v>0</v>
      </c>
      <c r="BB156" s="567" t="str">
        <f t="shared" si="297"/>
        <v/>
      </c>
      <c r="BC156" s="541">
        <f t="shared" si="319"/>
        <v>0</v>
      </c>
      <c r="BD156" s="541">
        <f t="shared" si="320"/>
        <v>0</v>
      </c>
      <c r="BE156" s="750"/>
      <c r="BF156" s="532" t="str">
        <f t="shared" si="298"/>
        <v/>
      </c>
      <c r="BG156" s="532" t="str">
        <f t="shared" si="321"/>
        <v>oui</v>
      </c>
      <c r="BH156" s="395" t="str">
        <f t="shared" si="299"/>
        <v/>
      </c>
      <c r="BI156" s="24" t="str">
        <f t="shared" si="300"/>
        <v/>
      </c>
      <c r="BJ156" s="1404"/>
      <c r="BK156" s="1404"/>
      <c r="BL156" s="1404"/>
      <c r="BM156" s="1404"/>
      <c r="BN156" s="1404"/>
      <c r="BO156" s="1404"/>
      <c r="BP156" s="1404"/>
      <c r="BQ156" s="1404"/>
      <c r="BR156" s="1405"/>
      <c r="BS156" s="1392">
        <f t="shared" si="267"/>
        <v>45757</v>
      </c>
      <c r="BT156" s="1406" t="str">
        <f t="shared" si="329"/>
        <v/>
      </c>
      <c r="BU156" s="1404"/>
      <c r="BV156" s="1404"/>
      <c r="BW156" s="1404"/>
      <c r="BX156" s="1404"/>
      <c r="BY156" s="1404"/>
      <c r="BZ156" s="1404"/>
      <c r="CA156" s="1404"/>
      <c r="CB156" s="1404"/>
      <c r="CD156" s="1408">
        <f t="shared" si="322"/>
        <v>0</v>
      </c>
      <c r="DC156" s="16" t="str">
        <f>Avril!FC29</f>
        <v>non</v>
      </c>
      <c r="DG156" s="333">
        <f t="shared" si="323"/>
        <v>1</v>
      </c>
      <c r="DH156" s="129">
        <f t="shared" si="301"/>
        <v>10</v>
      </c>
      <c r="DI156" s="129">
        <f t="shared" si="324"/>
        <v>1</v>
      </c>
      <c r="DK156" s="16">
        <f>+IF(AND(Avril!$DP$8&lt;&gt;52,AR156=S.CAL!$BJ$4),10,1)</f>
        <v>1</v>
      </c>
      <c r="DN156" s="16">
        <f t="shared" si="302"/>
        <v>1</v>
      </c>
      <c r="DU156" s="1296" t="str">
        <f t="shared" si="325"/>
        <v>Fiche infoA445757</v>
      </c>
      <c r="DV156" s="1384">
        <f t="shared" si="303"/>
        <v>0</v>
      </c>
      <c r="DW156" s="1385">
        <f t="shared" si="304"/>
        <v>0</v>
      </c>
      <c r="DX156" s="1385">
        <f t="shared" si="305"/>
        <v>0</v>
      </c>
      <c r="DY156" s="1385">
        <f t="shared" si="306"/>
        <v>0</v>
      </c>
      <c r="DZ156" s="1385">
        <f t="shared" si="307"/>
        <v>0</v>
      </c>
      <c r="EA156" s="1385">
        <f t="shared" si="308"/>
        <v>0</v>
      </c>
      <c r="EB156" s="1385">
        <f t="shared" si="309"/>
        <v>0</v>
      </c>
      <c r="EC156" s="1385">
        <f t="shared" si="310"/>
        <v>0</v>
      </c>
      <c r="ED156" s="1385">
        <f t="shared" si="326"/>
        <v>0</v>
      </c>
      <c r="EE156" s="1386">
        <f t="shared" si="327"/>
        <v>0</v>
      </c>
      <c r="EG156" s="16" t="str">
        <f t="shared" si="328"/>
        <v>152025</v>
      </c>
      <c r="EH156" s="16" t="str">
        <f t="shared" si="311"/>
        <v>Fiche infoA4</v>
      </c>
      <c r="EI156" s="16" t="str">
        <f t="shared" si="312"/>
        <v/>
      </c>
    </row>
    <row r="157" spans="1:139" x14ac:dyDescent="0.2">
      <c r="A157" s="24" t="str">
        <f>Avril!BJ30</f>
        <v>Fiche infoA5</v>
      </c>
      <c r="B157" s="829">
        <f>Avril!AB30</f>
        <v>45758</v>
      </c>
      <c r="C157" s="1393"/>
      <c r="D157" s="1001">
        <f t="shared" si="268"/>
        <v>0</v>
      </c>
      <c r="E157" s="452">
        <f t="shared" si="269"/>
        <v>0</v>
      </c>
      <c r="F157" s="452">
        <f t="shared" si="270"/>
        <v>0</v>
      </c>
      <c r="G157" s="452">
        <f t="shared" si="271"/>
        <v>0</v>
      </c>
      <c r="H157" s="452">
        <f t="shared" si="272"/>
        <v>0</v>
      </c>
      <c r="I157" s="452">
        <f t="shared" si="273"/>
        <v>0</v>
      </c>
      <c r="J157" s="452">
        <f t="shared" si="274"/>
        <v>0</v>
      </c>
      <c r="K157" s="452">
        <f t="shared" si="275"/>
        <v>0</v>
      </c>
      <c r="L157" s="452">
        <f t="shared" si="313"/>
        <v>0</v>
      </c>
      <c r="M157" s="1002">
        <f t="shared" si="314"/>
        <v>0</v>
      </c>
      <c r="O157" s="1001">
        <f t="shared" si="330"/>
        <v>0</v>
      </c>
      <c r="P157" s="452">
        <f t="shared" si="331"/>
        <v>0</v>
      </c>
      <c r="Q157" s="452">
        <f t="shared" si="332"/>
        <v>0</v>
      </c>
      <c r="R157" s="452">
        <f t="shared" si="333"/>
        <v>0</v>
      </c>
      <c r="S157" s="452">
        <f t="shared" si="334"/>
        <v>0</v>
      </c>
      <c r="T157" s="452">
        <f t="shared" si="335"/>
        <v>0</v>
      </c>
      <c r="U157" s="452">
        <f t="shared" si="336"/>
        <v>0</v>
      </c>
      <c r="V157" s="452">
        <f t="shared" si="337"/>
        <v>0</v>
      </c>
      <c r="W157" s="452">
        <f t="shared" si="284"/>
        <v>0</v>
      </c>
      <c r="X157" s="1002">
        <f t="shared" si="285"/>
        <v>0</v>
      </c>
      <c r="Y157" s="459"/>
      <c r="Z157" s="291">
        <f t="shared" si="286"/>
        <v>0</v>
      </c>
      <c r="AA157" s="291">
        <f t="shared" si="287"/>
        <v>0</v>
      </c>
      <c r="AB157" s="291">
        <f t="shared" si="288"/>
        <v>0</v>
      </c>
      <c r="AC157" s="291">
        <f t="shared" si="289"/>
        <v>0</v>
      </c>
      <c r="AD157" s="291">
        <f t="shared" si="290"/>
        <v>0</v>
      </c>
      <c r="AE157" s="291">
        <f t="shared" si="291"/>
        <v>0</v>
      </c>
      <c r="AF157" s="291">
        <f t="shared" si="292"/>
        <v>0</v>
      </c>
      <c r="AG157" s="291">
        <f t="shared" si="293"/>
        <v>0</v>
      </c>
      <c r="AI157" s="462">
        <f t="shared" si="338"/>
        <v>0</v>
      </c>
      <c r="AJ157" s="1112"/>
      <c r="AK157" s="507"/>
      <c r="AL157" s="829">
        <f t="shared" si="295"/>
        <v>45758</v>
      </c>
      <c r="AM157" s="684">
        <f>IFERROR(IF(AND(AT157="",AR157&lt;&gt;S.CAL!$BJ$3,AR157&lt;&gt;S.CAL!$BJ$4,$AR$140="NON"),M157-BD157,IF(AND(AT157="",AR157&lt;&gt;S.CAL!$BJ$3,AR157&lt;&gt;S.CAL!$BJ$4,$AR$140="OUI"),X157-AI157,IF(AT157&lt;&gt;0,AT157,IF(OR(AR157=S.CAL!$BJ$3,AR157=S.CAL!$BJ$4),AR157,"")))),"")</f>
        <v>0</v>
      </c>
      <c r="AN157" s="1115"/>
      <c r="AO157" s="1116"/>
      <c r="AP157" s="684">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516">
        <f t="shared" si="315"/>
        <v>0</v>
      </c>
      <c r="AR157" s="1120"/>
      <c r="AT157" s="1123"/>
      <c r="AU157" s="831"/>
      <c r="AV157" s="1392">
        <f t="shared" si="296"/>
        <v>45758</v>
      </c>
      <c r="AX157" s="529">
        <f t="shared" si="316"/>
        <v>45758</v>
      </c>
      <c r="AY157" s="541">
        <f t="shared" si="317"/>
        <v>0</v>
      </c>
      <c r="AZ157" s="538" t="s">
        <v>146</v>
      </c>
      <c r="BA157" s="534">
        <f t="shared" si="318"/>
        <v>0</v>
      </c>
      <c r="BB157" s="567" t="str">
        <f t="shared" si="297"/>
        <v/>
      </c>
      <c r="BC157" s="541">
        <f t="shared" si="319"/>
        <v>0</v>
      </c>
      <c r="BD157" s="541">
        <f t="shared" si="320"/>
        <v>0</v>
      </c>
      <c r="BE157" s="750"/>
      <c r="BF157" s="532" t="str">
        <f t="shared" si="298"/>
        <v/>
      </c>
      <c r="BG157" s="532" t="str">
        <f t="shared" si="321"/>
        <v>oui</v>
      </c>
      <c r="BH157" s="395" t="str">
        <f t="shared" si="299"/>
        <v/>
      </c>
      <c r="BI157" s="24" t="str">
        <f t="shared" si="300"/>
        <v/>
      </c>
      <c r="BJ157" s="1403"/>
      <c r="BK157" s="1403"/>
      <c r="BL157" s="1403"/>
      <c r="BM157" s="1403"/>
      <c r="BN157" s="1403"/>
      <c r="BO157" s="1403"/>
      <c r="BP157" s="1403"/>
      <c r="BQ157" s="1403"/>
      <c r="BS157" s="1392">
        <f t="shared" si="267"/>
        <v>45758</v>
      </c>
      <c r="BT157" s="27" t="str">
        <f t="shared" si="329"/>
        <v/>
      </c>
      <c r="BU157" s="1402"/>
      <c r="BV157" s="1402"/>
      <c r="BW157" s="1402"/>
      <c r="BX157" s="1402"/>
      <c r="BY157" s="1402"/>
      <c r="BZ157" s="1402"/>
      <c r="CA157" s="1402"/>
      <c r="CB157" s="1402"/>
      <c r="CD157" s="1408">
        <f t="shared" si="322"/>
        <v>0</v>
      </c>
      <c r="DC157" s="16" t="str">
        <f>Avril!FC30</f>
        <v>non</v>
      </c>
      <c r="DG157" s="333">
        <f t="shared" si="323"/>
        <v>1</v>
      </c>
      <c r="DH157" s="129">
        <f t="shared" si="301"/>
        <v>10</v>
      </c>
      <c r="DI157" s="129">
        <f t="shared" si="324"/>
        <v>1</v>
      </c>
      <c r="DK157" s="16">
        <f>+IF(AND(Avril!$DP$8&lt;&gt;52,AR157=S.CAL!$BJ$4),10,1)</f>
        <v>1</v>
      </c>
      <c r="DN157" s="16">
        <f t="shared" si="302"/>
        <v>1</v>
      </c>
      <c r="DU157" s="1296" t="str">
        <f t="shared" si="325"/>
        <v>Fiche infoA545758</v>
      </c>
      <c r="DV157" s="1384">
        <f t="shared" si="303"/>
        <v>0</v>
      </c>
      <c r="DW157" s="1385">
        <f t="shared" si="304"/>
        <v>0</v>
      </c>
      <c r="DX157" s="1385">
        <f t="shared" si="305"/>
        <v>0</v>
      </c>
      <c r="DY157" s="1385">
        <f t="shared" si="306"/>
        <v>0</v>
      </c>
      <c r="DZ157" s="1385">
        <f t="shared" si="307"/>
        <v>0</v>
      </c>
      <c r="EA157" s="1385">
        <f t="shared" si="308"/>
        <v>0</v>
      </c>
      <c r="EB157" s="1385">
        <f t="shared" si="309"/>
        <v>0</v>
      </c>
      <c r="EC157" s="1385">
        <f t="shared" si="310"/>
        <v>0</v>
      </c>
      <c r="ED157" s="1385">
        <f t="shared" si="326"/>
        <v>0</v>
      </c>
      <c r="EE157" s="1386">
        <f t="shared" si="327"/>
        <v>0</v>
      </c>
      <c r="EG157" s="16" t="str">
        <f t="shared" si="328"/>
        <v>152025</v>
      </c>
      <c r="EH157" s="16" t="str">
        <f t="shared" si="311"/>
        <v>Fiche infoA5</v>
      </c>
      <c r="EI157" s="16" t="str">
        <f t="shared" si="312"/>
        <v/>
      </c>
    </row>
    <row r="158" spans="1:139" x14ac:dyDescent="0.2">
      <c r="A158" s="1395" t="str">
        <f>Avril!BJ31</f>
        <v>Fiche infoA6</v>
      </c>
      <c r="B158" s="829">
        <f>Avril!AB31</f>
        <v>45759</v>
      </c>
      <c r="C158" s="1394"/>
      <c r="D158" s="1001">
        <f t="shared" si="268"/>
        <v>0</v>
      </c>
      <c r="E158" s="452">
        <f t="shared" si="269"/>
        <v>0</v>
      </c>
      <c r="F158" s="452">
        <f t="shared" si="270"/>
        <v>0</v>
      </c>
      <c r="G158" s="452">
        <f t="shared" si="271"/>
        <v>0</v>
      </c>
      <c r="H158" s="452">
        <f t="shared" si="272"/>
        <v>0</v>
      </c>
      <c r="I158" s="452">
        <f t="shared" si="273"/>
        <v>0</v>
      </c>
      <c r="J158" s="452">
        <f t="shared" si="274"/>
        <v>0</v>
      </c>
      <c r="K158" s="452">
        <f t="shared" si="275"/>
        <v>0</v>
      </c>
      <c r="L158" s="452">
        <f t="shared" si="313"/>
        <v>0</v>
      </c>
      <c r="M158" s="1002">
        <f t="shared" si="314"/>
        <v>0</v>
      </c>
      <c r="N158" s="1396"/>
      <c r="O158" s="1001">
        <f t="shared" si="330"/>
        <v>0</v>
      </c>
      <c r="P158" s="452">
        <f t="shared" si="331"/>
        <v>0</v>
      </c>
      <c r="Q158" s="452">
        <f t="shared" si="332"/>
        <v>0</v>
      </c>
      <c r="R158" s="452">
        <f t="shared" si="333"/>
        <v>0</v>
      </c>
      <c r="S158" s="452">
        <f t="shared" si="334"/>
        <v>0</v>
      </c>
      <c r="T158" s="452">
        <f t="shared" si="335"/>
        <v>0</v>
      </c>
      <c r="U158" s="452">
        <f t="shared" si="336"/>
        <v>0</v>
      </c>
      <c r="V158" s="452">
        <f t="shared" si="337"/>
        <v>0</v>
      </c>
      <c r="W158" s="452">
        <f t="shared" si="284"/>
        <v>0</v>
      </c>
      <c r="X158" s="1002">
        <f t="shared" si="285"/>
        <v>0</v>
      </c>
      <c r="Y158" s="1397"/>
      <c r="Z158" s="1398">
        <f t="shared" si="286"/>
        <v>0</v>
      </c>
      <c r="AA158" s="1398">
        <f t="shared" si="287"/>
        <v>0</v>
      </c>
      <c r="AB158" s="1398">
        <f t="shared" si="288"/>
        <v>0</v>
      </c>
      <c r="AC158" s="1398">
        <f t="shared" si="289"/>
        <v>0</v>
      </c>
      <c r="AD158" s="1398">
        <f t="shared" si="290"/>
        <v>0</v>
      </c>
      <c r="AE158" s="1398">
        <f t="shared" si="291"/>
        <v>0</v>
      </c>
      <c r="AF158" s="1398">
        <f t="shared" si="292"/>
        <v>0</v>
      </c>
      <c r="AG158" s="1398">
        <f t="shared" si="293"/>
        <v>0</v>
      </c>
      <c r="AH158" s="1396"/>
      <c r="AI158" s="462">
        <f t="shared" si="338"/>
        <v>0</v>
      </c>
      <c r="AJ158" s="1112"/>
      <c r="AK158" s="1399"/>
      <c r="AL158" s="829">
        <f t="shared" si="295"/>
        <v>45759</v>
      </c>
      <c r="AM158" s="684">
        <f>IFERROR(IF(AND(AT158="",AR158&lt;&gt;S.CAL!$BJ$3,AR158&lt;&gt;S.CAL!$BJ$4,$AR$140="NON"),M158-BD158,IF(AND(AT158="",AR158&lt;&gt;S.CAL!$BJ$3,AR158&lt;&gt;S.CAL!$BJ$4,$AR$140="OUI"),X158-AI158,IF(AT158&lt;&gt;0,AT158,IF(OR(AR158=S.CAL!$BJ$3,AR158=S.CAL!$BJ$4),AR158,"")))),"")</f>
        <v>0</v>
      </c>
      <c r="AN158" s="1115"/>
      <c r="AO158" s="1116"/>
      <c r="AP158" s="684">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400">
        <f t="shared" si="315"/>
        <v>0</v>
      </c>
      <c r="AR158" s="1120"/>
      <c r="AS158" s="1396"/>
      <c r="AT158" s="1123"/>
      <c r="AU158" s="831"/>
      <c r="AV158" s="1392">
        <f t="shared" si="296"/>
        <v>45759</v>
      </c>
      <c r="AW158" s="1396"/>
      <c r="AX158" s="529">
        <f t="shared" si="316"/>
        <v>45759</v>
      </c>
      <c r="AY158" s="541">
        <f t="shared" si="317"/>
        <v>0</v>
      </c>
      <c r="AZ158" s="538" t="s">
        <v>146</v>
      </c>
      <c r="BA158" s="534">
        <f t="shared" si="318"/>
        <v>0</v>
      </c>
      <c r="BB158" s="567" t="str">
        <f t="shared" si="297"/>
        <v/>
      </c>
      <c r="BC158" s="541">
        <f t="shared" si="319"/>
        <v>0</v>
      </c>
      <c r="BD158" s="541">
        <f t="shared" si="320"/>
        <v>0</v>
      </c>
      <c r="BE158" s="750"/>
      <c r="BF158" s="532" t="str">
        <f t="shared" si="298"/>
        <v/>
      </c>
      <c r="BG158" s="532" t="str">
        <f t="shared" si="321"/>
        <v>oui</v>
      </c>
      <c r="BH158" s="395" t="str">
        <f t="shared" si="299"/>
        <v/>
      </c>
      <c r="BI158" s="24" t="str">
        <f t="shared" si="300"/>
        <v/>
      </c>
      <c r="BJ158" s="1404"/>
      <c r="BK158" s="1404"/>
      <c r="BL158" s="1404"/>
      <c r="BM158" s="1404"/>
      <c r="BN158" s="1404"/>
      <c r="BO158" s="1404"/>
      <c r="BP158" s="1404"/>
      <c r="BQ158" s="1404"/>
      <c r="BR158" s="1405"/>
      <c r="BS158" s="1392">
        <f t="shared" si="267"/>
        <v>45759</v>
      </c>
      <c r="BT158" s="1406" t="str">
        <f t="shared" si="329"/>
        <v/>
      </c>
      <c r="BU158" s="1404"/>
      <c r="BV158" s="1404"/>
      <c r="BW158" s="1404"/>
      <c r="BX158" s="1404"/>
      <c r="BY158" s="1404"/>
      <c r="BZ158" s="1404"/>
      <c r="CA158" s="1404"/>
      <c r="CB158" s="1404"/>
      <c r="CD158" s="1408">
        <f t="shared" si="322"/>
        <v>0</v>
      </c>
      <c r="DC158" s="16" t="str">
        <f>Avril!FC31</f>
        <v>non</v>
      </c>
      <c r="DG158" s="333">
        <f t="shared" si="323"/>
        <v>1</v>
      </c>
      <c r="DH158" s="129">
        <f t="shared" si="301"/>
        <v>10</v>
      </c>
      <c r="DI158" s="129">
        <f t="shared" si="324"/>
        <v>1</v>
      </c>
      <c r="DK158" s="16">
        <f>+IF(AND(Avril!$DP$8&lt;&gt;52,AR158=S.CAL!$BJ$4),10,1)</f>
        <v>1</v>
      </c>
      <c r="DN158" s="16">
        <f t="shared" si="302"/>
        <v>1</v>
      </c>
      <c r="DU158" s="1296" t="str">
        <f t="shared" si="325"/>
        <v>Fiche infoA645759</v>
      </c>
      <c r="DV158" s="1384">
        <f t="shared" si="303"/>
        <v>0</v>
      </c>
      <c r="DW158" s="1385">
        <f t="shared" si="304"/>
        <v>0</v>
      </c>
      <c r="DX158" s="1385">
        <f t="shared" si="305"/>
        <v>0</v>
      </c>
      <c r="DY158" s="1385">
        <f t="shared" si="306"/>
        <v>0</v>
      </c>
      <c r="DZ158" s="1385">
        <f t="shared" si="307"/>
        <v>0</v>
      </c>
      <c r="EA158" s="1385">
        <f t="shared" si="308"/>
        <v>0</v>
      </c>
      <c r="EB158" s="1385">
        <f t="shared" si="309"/>
        <v>0</v>
      </c>
      <c r="EC158" s="1385">
        <f t="shared" si="310"/>
        <v>0</v>
      </c>
      <c r="ED158" s="1385">
        <f t="shared" si="326"/>
        <v>0</v>
      </c>
      <c r="EE158" s="1386">
        <f t="shared" si="327"/>
        <v>0</v>
      </c>
      <c r="EG158" s="16" t="str">
        <f t="shared" si="328"/>
        <v>152025</v>
      </c>
      <c r="EH158" s="16" t="str">
        <f t="shared" si="311"/>
        <v>Fiche infoA6</v>
      </c>
      <c r="EI158" s="16" t="str">
        <f t="shared" si="312"/>
        <v/>
      </c>
    </row>
    <row r="159" spans="1:139" x14ac:dyDescent="0.2">
      <c r="A159" s="24" t="str">
        <f>Avril!BJ32</f>
        <v>Fiche infoA7</v>
      </c>
      <c r="B159" s="829">
        <f>Avril!AB32</f>
        <v>45760</v>
      </c>
      <c r="C159" s="1393"/>
      <c r="D159" s="1001">
        <f t="shared" si="268"/>
        <v>0</v>
      </c>
      <c r="E159" s="452">
        <f t="shared" si="269"/>
        <v>0</v>
      </c>
      <c r="F159" s="452">
        <f t="shared" si="270"/>
        <v>0</v>
      </c>
      <c r="G159" s="452">
        <f t="shared" si="271"/>
        <v>0</v>
      </c>
      <c r="H159" s="452">
        <f t="shared" si="272"/>
        <v>0</v>
      </c>
      <c r="I159" s="452">
        <f t="shared" si="273"/>
        <v>0</v>
      </c>
      <c r="J159" s="452">
        <f t="shared" si="274"/>
        <v>0</v>
      </c>
      <c r="K159" s="452">
        <f t="shared" si="275"/>
        <v>0</v>
      </c>
      <c r="L159" s="452">
        <f t="shared" si="313"/>
        <v>0</v>
      </c>
      <c r="M159" s="1002">
        <f t="shared" si="314"/>
        <v>0</v>
      </c>
      <c r="O159" s="1001">
        <f t="shared" si="330"/>
        <v>0</v>
      </c>
      <c r="P159" s="452">
        <f t="shared" si="331"/>
        <v>0</v>
      </c>
      <c r="Q159" s="452">
        <f t="shared" si="332"/>
        <v>0</v>
      </c>
      <c r="R159" s="452">
        <f t="shared" si="333"/>
        <v>0</v>
      </c>
      <c r="S159" s="452">
        <f t="shared" si="334"/>
        <v>0</v>
      </c>
      <c r="T159" s="452">
        <f t="shared" si="335"/>
        <v>0</v>
      </c>
      <c r="U159" s="452">
        <f t="shared" si="336"/>
        <v>0</v>
      </c>
      <c r="V159" s="452">
        <f t="shared" si="337"/>
        <v>0</v>
      </c>
      <c r="W159" s="452">
        <f t="shared" si="284"/>
        <v>0</v>
      </c>
      <c r="X159" s="1002">
        <f t="shared" si="285"/>
        <v>0</v>
      </c>
      <c r="Y159" s="459"/>
      <c r="Z159" s="291">
        <f t="shared" si="286"/>
        <v>0</v>
      </c>
      <c r="AA159" s="291">
        <f t="shared" si="287"/>
        <v>0</v>
      </c>
      <c r="AB159" s="291">
        <f t="shared" si="288"/>
        <v>0</v>
      </c>
      <c r="AC159" s="291">
        <f t="shared" si="289"/>
        <v>0</v>
      </c>
      <c r="AD159" s="291">
        <f t="shared" si="290"/>
        <v>0</v>
      </c>
      <c r="AE159" s="291">
        <f t="shared" si="291"/>
        <v>0</v>
      </c>
      <c r="AF159" s="291">
        <f t="shared" si="292"/>
        <v>0</v>
      </c>
      <c r="AG159" s="291">
        <f t="shared" si="293"/>
        <v>0</v>
      </c>
      <c r="AI159" s="462">
        <f t="shared" si="338"/>
        <v>0</v>
      </c>
      <c r="AJ159" s="1112"/>
      <c r="AK159" s="507"/>
      <c r="AL159" s="829">
        <f t="shared" si="295"/>
        <v>45760</v>
      </c>
      <c r="AM159" s="684">
        <f>IFERROR(IF(AND(AT159="",AR159&lt;&gt;S.CAL!$BJ$3,AR159&lt;&gt;S.CAL!$BJ$4,$AR$140="NON"),M159-BD159,IF(AND(AT159="",AR159&lt;&gt;S.CAL!$BJ$3,AR159&lt;&gt;S.CAL!$BJ$4,$AR$140="OUI"),X159-AI159,IF(AT159&lt;&gt;0,AT159,IF(OR(AR159=S.CAL!$BJ$3,AR159=S.CAL!$BJ$4),AR159,"")))),"")</f>
        <v>0</v>
      </c>
      <c r="AN159" s="1115"/>
      <c r="AO159" s="1116"/>
      <c r="AP159" s="684">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516">
        <f t="shared" si="315"/>
        <v>0</v>
      </c>
      <c r="AR159" s="1120"/>
      <c r="AT159" s="1123"/>
      <c r="AU159" s="831"/>
      <c r="AV159" s="1392">
        <f t="shared" si="296"/>
        <v>45760</v>
      </c>
      <c r="AX159" s="529">
        <f t="shared" si="316"/>
        <v>45760</v>
      </c>
      <c r="AY159" s="541">
        <f t="shared" si="317"/>
        <v>0</v>
      </c>
      <c r="AZ159" s="538" t="s">
        <v>146</v>
      </c>
      <c r="BA159" s="534">
        <f t="shared" si="318"/>
        <v>0</v>
      </c>
      <c r="BB159" s="567" t="str">
        <f t="shared" si="297"/>
        <v/>
      </c>
      <c r="BC159" s="541">
        <f t="shared" si="319"/>
        <v>0</v>
      </c>
      <c r="BD159" s="541">
        <f t="shared" si="320"/>
        <v>0</v>
      </c>
      <c r="BE159" s="750"/>
      <c r="BF159" s="532" t="str">
        <f t="shared" si="298"/>
        <v/>
      </c>
      <c r="BG159" s="532" t="str">
        <f t="shared" si="321"/>
        <v>oui</v>
      </c>
      <c r="BH159" s="395" t="str">
        <f t="shared" si="299"/>
        <v/>
      </c>
      <c r="BI159" s="24" t="str">
        <f t="shared" si="300"/>
        <v/>
      </c>
      <c r="BJ159" s="1403"/>
      <c r="BK159" s="1403"/>
      <c r="BL159" s="1403"/>
      <c r="BM159" s="1403"/>
      <c r="BN159" s="1403"/>
      <c r="BO159" s="1403"/>
      <c r="BP159" s="1403"/>
      <c r="BQ159" s="1403"/>
      <c r="BS159" s="1392">
        <f t="shared" si="267"/>
        <v>45760</v>
      </c>
      <c r="BT159" s="27" t="str">
        <f t="shared" si="329"/>
        <v/>
      </c>
      <c r="BU159" s="1402"/>
      <c r="BV159" s="1402"/>
      <c r="BW159" s="1402"/>
      <c r="BX159" s="1402"/>
      <c r="BY159" s="1402"/>
      <c r="BZ159" s="1402"/>
      <c r="CA159" s="1402"/>
      <c r="CB159" s="1402"/>
      <c r="CD159" s="1408">
        <f t="shared" si="322"/>
        <v>0</v>
      </c>
      <c r="DC159" s="16" t="str">
        <f>Avril!FC32</f>
        <v>non</v>
      </c>
      <c r="DG159" s="333">
        <f t="shared" si="323"/>
        <v>1</v>
      </c>
      <c r="DH159" s="129">
        <f t="shared" si="301"/>
        <v>10</v>
      </c>
      <c r="DI159" s="129">
        <f t="shared" si="324"/>
        <v>1</v>
      </c>
      <c r="DK159" s="16">
        <f>+IF(AND(Avril!$DP$8&lt;&gt;52,AR159=S.CAL!$BJ$4),10,1)</f>
        <v>1</v>
      </c>
      <c r="DN159" s="16">
        <f t="shared" si="302"/>
        <v>1</v>
      </c>
      <c r="DU159" s="1296" t="str">
        <f t="shared" si="325"/>
        <v>Fiche infoA745760</v>
      </c>
      <c r="DV159" s="1384">
        <f t="shared" si="303"/>
        <v>0</v>
      </c>
      <c r="DW159" s="1385">
        <f t="shared" si="304"/>
        <v>0</v>
      </c>
      <c r="DX159" s="1385">
        <f t="shared" si="305"/>
        <v>0</v>
      </c>
      <c r="DY159" s="1385">
        <f t="shared" si="306"/>
        <v>0</v>
      </c>
      <c r="DZ159" s="1385">
        <f t="shared" si="307"/>
        <v>0</v>
      </c>
      <c r="EA159" s="1385">
        <f t="shared" si="308"/>
        <v>0</v>
      </c>
      <c r="EB159" s="1385">
        <f t="shared" si="309"/>
        <v>0</v>
      </c>
      <c r="EC159" s="1385">
        <f t="shared" si="310"/>
        <v>0</v>
      </c>
      <c r="ED159" s="1385">
        <f t="shared" si="326"/>
        <v>0</v>
      </c>
      <c r="EE159" s="1386">
        <f t="shared" si="327"/>
        <v>0</v>
      </c>
      <c r="EG159" s="16" t="str">
        <f t="shared" si="328"/>
        <v>152025</v>
      </c>
      <c r="EH159" s="16" t="str">
        <f t="shared" si="311"/>
        <v>Fiche infoA7</v>
      </c>
      <c r="EI159" s="16" t="str">
        <f t="shared" si="312"/>
        <v/>
      </c>
    </row>
    <row r="160" spans="1:139" x14ac:dyDescent="0.2">
      <c r="A160" s="1395" t="str">
        <f>Avril!BJ33</f>
        <v>Fiche infoA1</v>
      </c>
      <c r="B160" s="829">
        <f>Avril!AB33</f>
        <v>45761</v>
      </c>
      <c r="C160" s="1394"/>
      <c r="D160" s="1001">
        <f t="shared" si="268"/>
        <v>0</v>
      </c>
      <c r="E160" s="452">
        <f t="shared" si="269"/>
        <v>0</v>
      </c>
      <c r="F160" s="452">
        <f t="shared" si="270"/>
        <v>0</v>
      </c>
      <c r="G160" s="452">
        <f t="shared" si="271"/>
        <v>0</v>
      </c>
      <c r="H160" s="452">
        <f t="shared" si="272"/>
        <v>0</v>
      </c>
      <c r="I160" s="452">
        <f t="shared" si="273"/>
        <v>0</v>
      </c>
      <c r="J160" s="452">
        <f t="shared" si="274"/>
        <v>0</v>
      </c>
      <c r="K160" s="452">
        <f t="shared" si="275"/>
        <v>0</v>
      </c>
      <c r="L160" s="452">
        <f t="shared" si="313"/>
        <v>0</v>
      </c>
      <c r="M160" s="1002">
        <f t="shared" si="314"/>
        <v>0</v>
      </c>
      <c r="N160" s="1396"/>
      <c r="O160" s="1001">
        <f t="shared" si="330"/>
        <v>0</v>
      </c>
      <c r="P160" s="452">
        <f t="shared" si="331"/>
        <v>0</v>
      </c>
      <c r="Q160" s="452">
        <f t="shared" si="332"/>
        <v>0</v>
      </c>
      <c r="R160" s="452">
        <f t="shared" si="333"/>
        <v>0</v>
      </c>
      <c r="S160" s="452">
        <f t="shared" si="334"/>
        <v>0</v>
      </c>
      <c r="T160" s="452">
        <f t="shared" si="335"/>
        <v>0</v>
      </c>
      <c r="U160" s="452">
        <f t="shared" si="336"/>
        <v>0</v>
      </c>
      <c r="V160" s="452">
        <f t="shared" si="337"/>
        <v>0</v>
      </c>
      <c r="W160" s="452">
        <f t="shared" si="284"/>
        <v>0</v>
      </c>
      <c r="X160" s="1002">
        <f t="shared" si="285"/>
        <v>0</v>
      </c>
      <c r="Y160" s="1397"/>
      <c r="Z160" s="1398">
        <f t="shared" si="286"/>
        <v>0</v>
      </c>
      <c r="AA160" s="1398">
        <f t="shared" si="287"/>
        <v>0</v>
      </c>
      <c r="AB160" s="1398">
        <f t="shared" si="288"/>
        <v>0</v>
      </c>
      <c r="AC160" s="1398">
        <f t="shared" si="289"/>
        <v>0</v>
      </c>
      <c r="AD160" s="1398">
        <f t="shared" si="290"/>
        <v>0</v>
      </c>
      <c r="AE160" s="1398">
        <f t="shared" si="291"/>
        <v>0</v>
      </c>
      <c r="AF160" s="1398">
        <f t="shared" si="292"/>
        <v>0</v>
      </c>
      <c r="AG160" s="1398">
        <f t="shared" si="293"/>
        <v>0</v>
      </c>
      <c r="AH160" s="1396"/>
      <c r="AI160" s="462">
        <f t="shared" si="338"/>
        <v>0</v>
      </c>
      <c r="AJ160" s="1112"/>
      <c r="AK160" s="1399"/>
      <c r="AL160" s="829">
        <f t="shared" si="295"/>
        <v>45761</v>
      </c>
      <c r="AM160" s="684">
        <f>IFERROR(IF(AND(AT160="",AR160&lt;&gt;S.CAL!$BJ$3,AR160&lt;&gt;S.CAL!$BJ$4,$AR$140="NON"),M160-BD160,IF(AND(AT160="",AR160&lt;&gt;S.CAL!$BJ$3,AR160&lt;&gt;S.CAL!$BJ$4,$AR$140="OUI"),X160-AI160,IF(AT160&lt;&gt;0,AT160,IF(OR(AR160=S.CAL!$BJ$3,AR160=S.CAL!$BJ$4),AR160,"")))),"")</f>
        <v>0</v>
      </c>
      <c r="AN160" s="1115"/>
      <c r="AO160" s="1116"/>
      <c r="AP160" s="684">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400">
        <f t="shared" si="315"/>
        <v>0</v>
      </c>
      <c r="AR160" s="1120"/>
      <c r="AS160" s="1396"/>
      <c r="AT160" s="1123"/>
      <c r="AU160" s="831"/>
      <c r="AV160" s="1392">
        <f t="shared" si="296"/>
        <v>45761</v>
      </c>
      <c r="AW160" s="1396"/>
      <c r="AX160" s="529">
        <f t="shared" si="316"/>
        <v>45761</v>
      </c>
      <c r="AY160" s="541">
        <f t="shared" si="317"/>
        <v>0</v>
      </c>
      <c r="AZ160" s="538" t="s">
        <v>146</v>
      </c>
      <c r="BA160" s="534">
        <f t="shared" si="318"/>
        <v>0</v>
      </c>
      <c r="BB160" s="567" t="str">
        <f t="shared" si="297"/>
        <v/>
      </c>
      <c r="BC160" s="541">
        <f t="shared" si="319"/>
        <v>0</v>
      </c>
      <c r="BD160" s="541">
        <f t="shared" si="320"/>
        <v>0</v>
      </c>
      <c r="BE160" s="750"/>
      <c r="BF160" s="532" t="str">
        <f t="shared" si="298"/>
        <v/>
      </c>
      <c r="BG160" s="532" t="str">
        <f t="shared" si="321"/>
        <v>oui</v>
      </c>
      <c r="BH160" s="395" t="str">
        <f t="shared" si="299"/>
        <v/>
      </c>
      <c r="BI160" s="24" t="str">
        <f t="shared" si="300"/>
        <v/>
      </c>
      <c r="BJ160" s="1404"/>
      <c r="BK160" s="1404"/>
      <c r="BL160" s="1404"/>
      <c r="BM160" s="1404"/>
      <c r="BN160" s="1404"/>
      <c r="BO160" s="1404"/>
      <c r="BP160" s="1404"/>
      <c r="BQ160" s="1404"/>
      <c r="BR160" s="1405"/>
      <c r="BS160" s="1392">
        <f t="shared" si="267"/>
        <v>45761</v>
      </c>
      <c r="BT160" s="1406">
        <f t="shared" si="329"/>
        <v>16</v>
      </c>
      <c r="BU160" s="1404"/>
      <c r="BV160" s="1404"/>
      <c r="BW160" s="1404"/>
      <c r="BX160" s="1404"/>
      <c r="BY160" s="1404"/>
      <c r="BZ160" s="1404"/>
      <c r="CA160" s="1404"/>
      <c r="CB160" s="1404"/>
      <c r="CD160" s="1408">
        <f t="shared" si="322"/>
        <v>0</v>
      </c>
      <c r="DC160" s="16" t="str">
        <f>Avril!FC33</f>
        <v>non</v>
      </c>
      <c r="DG160" s="333">
        <f t="shared" si="323"/>
        <v>1</v>
      </c>
      <c r="DH160" s="129">
        <f t="shared" si="301"/>
        <v>10</v>
      </c>
      <c r="DI160" s="129">
        <f t="shared" si="324"/>
        <v>1</v>
      </c>
      <c r="DK160" s="16">
        <f>+IF(AND(Avril!$DP$8&lt;&gt;52,AR160=S.CAL!$BJ$4),10,1)</f>
        <v>1</v>
      </c>
      <c r="DN160" s="16">
        <f t="shared" si="302"/>
        <v>1</v>
      </c>
      <c r="DU160" s="1296" t="str">
        <f t="shared" si="325"/>
        <v>Fiche infoA145761</v>
      </c>
      <c r="DV160" s="1384">
        <f t="shared" si="303"/>
        <v>0</v>
      </c>
      <c r="DW160" s="1385">
        <f t="shared" si="304"/>
        <v>0</v>
      </c>
      <c r="DX160" s="1385">
        <f t="shared" si="305"/>
        <v>0</v>
      </c>
      <c r="DY160" s="1385">
        <f t="shared" si="306"/>
        <v>0</v>
      </c>
      <c r="DZ160" s="1385">
        <f t="shared" si="307"/>
        <v>0</v>
      </c>
      <c r="EA160" s="1385">
        <f t="shared" si="308"/>
        <v>0</v>
      </c>
      <c r="EB160" s="1385">
        <f t="shared" si="309"/>
        <v>0</v>
      </c>
      <c r="EC160" s="1385">
        <f t="shared" si="310"/>
        <v>0</v>
      </c>
      <c r="ED160" s="1385">
        <f t="shared" si="326"/>
        <v>0</v>
      </c>
      <c r="EE160" s="1386">
        <f t="shared" si="327"/>
        <v>0</v>
      </c>
      <c r="EG160" s="16" t="str">
        <f t="shared" si="328"/>
        <v>162025</v>
      </c>
      <c r="EH160" s="16" t="str">
        <f t="shared" si="311"/>
        <v>Fiche infoA1</v>
      </c>
      <c r="EI160" s="16" t="str">
        <f t="shared" si="312"/>
        <v/>
      </c>
    </row>
    <row r="161" spans="1:139" x14ac:dyDescent="0.2">
      <c r="A161" s="24" t="str">
        <f>Avril!BJ34</f>
        <v>Fiche infoA2</v>
      </c>
      <c r="B161" s="829">
        <f>Avril!AB34</f>
        <v>45762</v>
      </c>
      <c r="C161" s="1393"/>
      <c r="D161" s="1001">
        <f t="shared" si="268"/>
        <v>0</v>
      </c>
      <c r="E161" s="452">
        <f t="shared" si="269"/>
        <v>0</v>
      </c>
      <c r="F161" s="452">
        <f t="shared" si="270"/>
        <v>0</v>
      </c>
      <c r="G161" s="452">
        <f t="shared" si="271"/>
        <v>0</v>
      </c>
      <c r="H161" s="452">
        <f t="shared" si="272"/>
        <v>0</v>
      </c>
      <c r="I161" s="452">
        <f t="shared" si="273"/>
        <v>0</v>
      </c>
      <c r="J161" s="452">
        <f t="shared" si="274"/>
        <v>0</v>
      </c>
      <c r="K161" s="452">
        <f t="shared" si="275"/>
        <v>0</v>
      </c>
      <c r="L161" s="452">
        <f t="shared" si="313"/>
        <v>0</v>
      </c>
      <c r="M161" s="1002">
        <f t="shared" si="314"/>
        <v>0</v>
      </c>
      <c r="O161" s="1001">
        <f t="shared" si="330"/>
        <v>0</v>
      </c>
      <c r="P161" s="452">
        <f t="shared" si="331"/>
        <v>0</v>
      </c>
      <c r="Q161" s="452">
        <f t="shared" si="332"/>
        <v>0</v>
      </c>
      <c r="R161" s="452">
        <f t="shared" si="333"/>
        <v>0</v>
      </c>
      <c r="S161" s="452">
        <f t="shared" si="334"/>
        <v>0</v>
      </c>
      <c r="T161" s="452">
        <f t="shared" si="335"/>
        <v>0</v>
      </c>
      <c r="U161" s="452">
        <f t="shared" si="336"/>
        <v>0</v>
      </c>
      <c r="V161" s="452">
        <f t="shared" si="337"/>
        <v>0</v>
      </c>
      <c r="W161" s="452">
        <f t="shared" si="284"/>
        <v>0</v>
      </c>
      <c r="X161" s="1002">
        <f t="shared" si="285"/>
        <v>0</v>
      </c>
      <c r="Y161" s="459"/>
      <c r="Z161" s="291">
        <f t="shared" si="286"/>
        <v>0</v>
      </c>
      <c r="AA161" s="291">
        <f t="shared" si="287"/>
        <v>0</v>
      </c>
      <c r="AB161" s="291">
        <f t="shared" si="288"/>
        <v>0</v>
      </c>
      <c r="AC161" s="291">
        <f t="shared" si="289"/>
        <v>0</v>
      </c>
      <c r="AD161" s="291">
        <f t="shared" si="290"/>
        <v>0</v>
      </c>
      <c r="AE161" s="291">
        <f t="shared" si="291"/>
        <v>0</v>
      </c>
      <c r="AF161" s="291">
        <f t="shared" si="292"/>
        <v>0</v>
      </c>
      <c r="AG161" s="291">
        <f t="shared" si="293"/>
        <v>0</v>
      </c>
      <c r="AI161" s="462">
        <f t="shared" si="338"/>
        <v>0</v>
      </c>
      <c r="AJ161" s="1112"/>
      <c r="AK161" s="507"/>
      <c r="AL161" s="829">
        <f t="shared" si="295"/>
        <v>45762</v>
      </c>
      <c r="AM161" s="684">
        <f>IFERROR(IF(AND(AT161="",AR161&lt;&gt;S.CAL!$BJ$3,AR161&lt;&gt;S.CAL!$BJ$4,$AR$140="NON"),M161-BD161,IF(AND(AT161="",AR161&lt;&gt;S.CAL!$BJ$3,AR161&lt;&gt;S.CAL!$BJ$4,$AR$140="OUI"),X161-AI161,IF(AT161&lt;&gt;0,AT161,IF(OR(AR161=S.CAL!$BJ$3,AR161=S.CAL!$BJ$4),AR161,"")))),"")</f>
        <v>0</v>
      </c>
      <c r="AN161" s="1115"/>
      <c r="AO161" s="1116"/>
      <c r="AP161" s="684">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516">
        <f t="shared" si="315"/>
        <v>0</v>
      </c>
      <c r="AR161" s="1120"/>
      <c r="AT161" s="1123"/>
      <c r="AU161" s="831"/>
      <c r="AV161" s="1392">
        <f t="shared" si="296"/>
        <v>45762</v>
      </c>
      <c r="AX161" s="529">
        <f t="shared" si="316"/>
        <v>45762</v>
      </c>
      <c r="AY161" s="541">
        <f t="shared" si="317"/>
        <v>0</v>
      </c>
      <c r="AZ161" s="538" t="s">
        <v>146</v>
      </c>
      <c r="BA161" s="534">
        <f t="shared" si="318"/>
        <v>0</v>
      </c>
      <c r="BB161" s="567" t="str">
        <f t="shared" si="297"/>
        <v/>
      </c>
      <c r="BC161" s="541">
        <f t="shared" si="319"/>
        <v>0</v>
      </c>
      <c r="BD161" s="541">
        <f t="shared" si="320"/>
        <v>0</v>
      </c>
      <c r="BE161" s="750"/>
      <c r="BF161" s="532" t="str">
        <f t="shared" si="298"/>
        <v/>
      </c>
      <c r="BG161" s="532" t="str">
        <f t="shared" si="321"/>
        <v>oui</v>
      </c>
      <c r="BH161" s="395" t="str">
        <f t="shared" si="299"/>
        <v/>
      </c>
      <c r="BI161" s="24" t="str">
        <f t="shared" si="300"/>
        <v/>
      </c>
      <c r="BJ161" s="1403"/>
      <c r="BK161" s="1403"/>
      <c r="BL161" s="1403"/>
      <c r="BM161" s="1403"/>
      <c r="BN161" s="1403"/>
      <c r="BO161" s="1403"/>
      <c r="BP161" s="1403"/>
      <c r="BQ161" s="1403"/>
      <c r="BS161" s="1392">
        <f t="shared" si="267"/>
        <v>45762</v>
      </c>
      <c r="BT161" s="27" t="str">
        <f t="shared" si="329"/>
        <v/>
      </c>
      <c r="BU161" s="1402"/>
      <c r="BV161" s="1402"/>
      <c r="BW161" s="1402"/>
      <c r="BX161" s="1402"/>
      <c r="BY161" s="1402"/>
      <c r="BZ161" s="1402"/>
      <c r="CA161" s="1402"/>
      <c r="CB161" s="1402"/>
      <c r="CD161" s="1408">
        <f t="shared" si="322"/>
        <v>0</v>
      </c>
      <c r="DC161" s="16" t="str">
        <f>Avril!FC34</f>
        <v>non</v>
      </c>
      <c r="DG161" s="333">
        <f t="shared" si="323"/>
        <v>1</v>
      </c>
      <c r="DH161" s="129">
        <f t="shared" si="301"/>
        <v>10</v>
      </c>
      <c r="DI161" s="129">
        <f t="shared" si="324"/>
        <v>1</v>
      </c>
      <c r="DK161" s="16">
        <f>+IF(AND(Avril!$DP$8&lt;&gt;52,AR161=S.CAL!$BJ$4),10,1)</f>
        <v>1</v>
      </c>
      <c r="DN161" s="16">
        <f t="shared" si="302"/>
        <v>1</v>
      </c>
      <c r="DU161" s="1296" t="str">
        <f t="shared" si="325"/>
        <v>Fiche infoA245762</v>
      </c>
      <c r="DV161" s="1384">
        <f t="shared" si="303"/>
        <v>0</v>
      </c>
      <c r="DW161" s="1385">
        <f t="shared" si="304"/>
        <v>0</v>
      </c>
      <c r="DX161" s="1385">
        <f t="shared" si="305"/>
        <v>0</v>
      </c>
      <c r="DY161" s="1385">
        <f t="shared" si="306"/>
        <v>0</v>
      </c>
      <c r="DZ161" s="1385">
        <f t="shared" si="307"/>
        <v>0</v>
      </c>
      <c r="EA161" s="1385">
        <f t="shared" si="308"/>
        <v>0</v>
      </c>
      <c r="EB161" s="1385">
        <f t="shared" si="309"/>
        <v>0</v>
      </c>
      <c r="EC161" s="1385">
        <f t="shared" si="310"/>
        <v>0</v>
      </c>
      <c r="ED161" s="1385">
        <f t="shared" si="326"/>
        <v>0</v>
      </c>
      <c r="EE161" s="1386">
        <f t="shared" si="327"/>
        <v>0</v>
      </c>
      <c r="EG161" s="16" t="str">
        <f t="shared" si="328"/>
        <v>162025</v>
      </c>
      <c r="EH161" s="16" t="str">
        <f t="shared" si="311"/>
        <v>Fiche infoA2</v>
      </c>
      <c r="EI161" s="16" t="str">
        <f t="shared" si="312"/>
        <v/>
      </c>
    </row>
    <row r="162" spans="1:139" x14ac:dyDescent="0.2">
      <c r="A162" s="1395" t="str">
        <f>Avril!BJ35</f>
        <v>Fiche infoA3</v>
      </c>
      <c r="B162" s="829">
        <f>Avril!AB35</f>
        <v>45763</v>
      </c>
      <c r="C162" s="1394"/>
      <c r="D162" s="1001">
        <f t="shared" si="268"/>
        <v>0</v>
      </c>
      <c r="E162" s="452">
        <f t="shared" si="269"/>
        <v>0</v>
      </c>
      <c r="F162" s="452">
        <f t="shared" si="270"/>
        <v>0</v>
      </c>
      <c r="G162" s="452">
        <f t="shared" si="271"/>
        <v>0</v>
      </c>
      <c r="H162" s="452">
        <f t="shared" si="272"/>
        <v>0</v>
      </c>
      <c r="I162" s="452">
        <f t="shared" si="273"/>
        <v>0</v>
      </c>
      <c r="J162" s="452">
        <f t="shared" si="274"/>
        <v>0</v>
      </c>
      <c r="K162" s="452">
        <f t="shared" si="275"/>
        <v>0</v>
      </c>
      <c r="L162" s="452">
        <f t="shared" si="313"/>
        <v>0</v>
      </c>
      <c r="M162" s="1002">
        <f t="shared" si="314"/>
        <v>0</v>
      </c>
      <c r="N162" s="1396"/>
      <c r="O162" s="1001">
        <f t="shared" si="330"/>
        <v>0</v>
      </c>
      <c r="P162" s="452">
        <f t="shared" si="331"/>
        <v>0</v>
      </c>
      <c r="Q162" s="452">
        <f t="shared" si="332"/>
        <v>0</v>
      </c>
      <c r="R162" s="452">
        <f t="shared" si="333"/>
        <v>0</v>
      </c>
      <c r="S162" s="452">
        <f t="shared" si="334"/>
        <v>0</v>
      </c>
      <c r="T162" s="452">
        <f t="shared" si="335"/>
        <v>0</v>
      </c>
      <c r="U162" s="452">
        <f t="shared" si="336"/>
        <v>0</v>
      </c>
      <c r="V162" s="452">
        <f t="shared" si="337"/>
        <v>0</v>
      </c>
      <c r="W162" s="452">
        <f t="shared" si="284"/>
        <v>0</v>
      </c>
      <c r="X162" s="1002">
        <f t="shared" si="285"/>
        <v>0</v>
      </c>
      <c r="Y162" s="1397"/>
      <c r="Z162" s="1398">
        <f t="shared" si="286"/>
        <v>0</v>
      </c>
      <c r="AA162" s="1398">
        <f t="shared" si="287"/>
        <v>0</v>
      </c>
      <c r="AB162" s="1398">
        <f t="shared" si="288"/>
        <v>0</v>
      </c>
      <c r="AC162" s="1398">
        <f t="shared" si="289"/>
        <v>0</v>
      </c>
      <c r="AD162" s="1398">
        <f t="shared" si="290"/>
        <v>0</v>
      </c>
      <c r="AE162" s="1398">
        <f t="shared" si="291"/>
        <v>0</v>
      </c>
      <c r="AF162" s="1398">
        <f t="shared" si="292"/>
        <v>0</v>
      </c>
      <c r="AG162" s="1398">
        <f t="shared" si="293"/>
        <v>0</v>
      </c>
      <c r="AH162" s="1396"/>
      <c r="AI162" s="462">
        <f t="shared" si="338"/>
        <v>0</v>
      </c>
      <c r="AJ162" s="1112"/>
      <c r="AK162" s="1399"/>
      <c r="AL162" s="829">
        <f t="shared" si="295"/>
        <v>45763</v>
      </c>
      <c r="AM162" s="684">
        <f>IFERROR(IF(AND(AT162="",AR162&lt;&gt;S.CAL!$BJ$3,AR162&lt;&gt;S.CAL!$BJ$4,$AR$140="NON"),M162-BD162,IF(AND(AT162="",AR162&lt;&gt;S.CAL!$BJ$3,AR162&lt;&gt;S.CAL!$BJ$4,$AR$140="OUI"),X162-AI162,IF(AT162&lt;&gt;0,AT162,IF(OR(AR162=S.CAL!$BJ$3,AR162=S.CAL!$BJ$4),AR162,"")))),"")</f>
        <v>0</v>
      </c>
      <c r="AN162" s="1115"/>
      <c r="AO162" s="1116"/>
      <c r="AP162" s="684">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400">
        <f t="shared" si="315"/>
        <v>0</v>
      </c>
      <c r="AR162" s="1120"/>
      <c r="AS162" s="1396"/>
      <c r="AT162" s="1123"/>
      <c r="AU162" s="831"/>
      <c r="AV162" s="1392">
        <f t="shared" si="296"/>
        <v>45763</v>
      </c>
      <c r="AW162" s="1396"/>
      <c r="AX162" s="529">
        <f t="shared" si="316"/>
        <v>45763</v>
      </c>
      <c r="AY162" s="541">
        <f t="shared" si="317"/>
        <v>0</v>
      </c>
      <c r="AZ162" s="538" t="s">
        <v>146</v>
      </c>
      <c r="BA162" s="534">
        <f t="shared" si="318"/>
        <v>0</v>
      </c>
      <c r="BB162" s="567" t="str">
        <f t="shared" si="297"/>
        <v/>
      </c>
      <c r="BC162" s="541">
        <f t="shared" si="319"/>
        <v>0</v>
      </c>
      <c r="BD162" s="541">
        <f t="shared" si="320"/>
        <v>0</v>
      </c>
      <c r="BE162" s="750"/>
      <c r="BF162" s="532" t="str">
        <f t="shared" si="298"/>
        <v/>
      </c>
      <c r="BG162" s="532" t="str">
        <f t="shared" si="321"/>
        <v>oui</v>
      </c>
      <c r="BH162" s="395" t="str">
        <f t="shared" si="299"/>
        <v/>
      </c>
      <c r="BI162" s="24" t="str">
        <f t="shared" si="300"/>
        <v/>
      </c>
      <c r="BJ162" s="1404"/>
      <c r="BK162" s="1404"/>
      <c r="BL162" s="1404"/>
      <c r="BM162" s="1404"/>
      <c r="BN162" s="1404"/>
      <c r="BO162" s="1404"/>
      <c r="BP162" s="1404"/>
      <c r="BQ162" s="1404"/>
      <c r="BR162" s="1405"/>
      <c r="BS162" s="1392">
        <f t="shared" si="267"/>
        <v>45763</v>
      </c>
      <c r="BT162" s="1406" t="str">
        <f t="shared" si="329"/>
        <v/>
      </c>
      <c r="BU162" s="1404"/>
      <c r="BV162" s="1404"/>
      <c r="BW162" s="1404"/>
      <c r="BX162" s="1404"/>
      <c r="BY162" s="1404"/>
      <c r="BZ162" s="1404"/>
      <c r="CA162" s="1404"/>
      <c r="CB162" s="1404"/>
      <c r="CD162" s="1408">
        <f t="shared" si="322"/>
        <v>0</v>
      </c>
      <c r="DC162" s="16" t="str">
        <f>Avril!FC35</f>
        <v>non</v>
      </c>
      <c r="DG162" s="333">
        <f t="shared" si="323"/>
        <v>1</v>
      </c>
      <c r="DH162" s="129">
        <f t="shared" si="301"/>
        <v>10</v>
      </c>
      <c r="DI162" s="129">
        <f t="shared" si="324"/>
        <v>1</v>
      </c>
      <c r="DK162" s="16">
        <f>+IF(AND(Avril!$DP$8&lt;&gt;52,AR162=S.CAL!$BJ$4),10,1)</f>
        <v>1</v>
      </c>
      <c r="DN162" s="16">
        <f t="shared" si="302"/>
        <v>1</v>
      </c>
      <c r="DU162" s="1296" t="str">
        <f t="shared" si="325"/>
        <v>Fiche infoA345763</v>
      </c>
      <c r="DV162" s="1384">
        <f t="shared" si="303"/>
        <v>0</v>
      </c>
      <c r="DW162" s="1385">
        <f t="shared" si="304"/>
        <v>0</v>
      </c>
      <c r="DX162" s="1385">
        <f t="shared" si="305"/>
        <v>0</v>
      </c>
      <c r="DY162" s="1385">
        <f t="shared" si="306"/>
        <v>0</v>
      </c>
      <c r="DZ162" s="1385">
        <f t="shared" si="307"/>
        <v>0</v>
      </c>
      <c r="EA162" s="1385">
        <f t="shared" si="308"/>
        <v>0</v>
      </c>
      <c r="EB162" s="1385">
        <f t="shared" si="309"/>
        <v>0</v>
      </c>
      <c r="EC162" s="1385">
        <f t="shared" si="310"/>
        <v>0</v>
      </c>
      <c r="ED162" s="1385">
        <f t="shared" si="326"/>
        <v>0</v>
      </c>
      <c r="EE162" s="1386">
        <f t="shared" si="327"/>
        <v>0</v>
      </c>
      <c r="EG162" s="16" t="str">
        <f t="shared" si="328"/>
        <v>162025</v>
      </c>
      <c r="EH162" s="16" t="str">
        <f t="shared" si="311"/>
        <v>Fiche infoA3</v>
      </c>
      <c r="EI162" s="16" t="str">
        <f t="shared" si="312"/>
        <v/>
      </c>
    </row>
    <row r="163" spans="1:139" x14ac:dyDescent="0.2">
      <c r="A163" s="24" t="str">
        <f>Avril!BJ36</f>
        <v>Fiche infoA4</v>
      </c>
      <c r="B163" s="829">
        <f>Avril!AB36</f>
        <v>45764</v>
      </c>
      <c r="C163" s="1393"/>
      <c r="D163" s="1001">
        <f t="shared" si="268"/>
        <v>0</v>
      </c>
      <c r="E163" s="452">
        <f t="shared" si="269"/>
        <v>0</v>
      </c>
      <c r="F163" s="452">
        <f t="shared" si="270"/>
        <v>0</v>
      </c>
      <c r="G163" s="452">
        <f t="shared" si="271"/>
        <v>0</v>
      </c>
      <c r="H163" s="452">
        <f t="shared" si="272"/>
        <v>0</v>
      </c>
      <c r="I163" s="452">
        <f t="shared" si="273"/>
        <v>0</v>
      </c>
      <c r="J163" s="452">
        <f t="shared" si="274"/>
        <v>0</v>
      </c>
      <c r="K163" s="452">
        <f t="shared" si="275"/>
        <v>0</v>
      </c>
      <c r="L163" s="452">
        <f t="shared" si="313"/>
        <v>0</v>
      </c>
      <c r="M163" s="1002">
        <f t="shared" si="314"/>
        <v>0</v>
      </c>
      <c r="O163" s="1001">
        <f t="shared" si="330"/>
        <v>0</v>
      </c>
      <c r="P163" s="452">
        <f t="shared" si="331"/>
        <v>0</v>
      </c>
      <c r="Q163" s="452">
        <f t="shared" si="332"/>
        <v>0</v>
      </c>
      <c r="R163" s="452">
        <f t="shared" si="333"/>
        <v>0</v>
      </c>
      <c r="S163" s="452">
        <f t="shared" si="334"/>
        <v>0</v>
      </c>
      <c r="T163" s="452">
        <f t="shared" si="335"/>
        <v>0</v>
      </c>
      <c r="U163" s="452">
        <f t="shared" si="336"/>
        <v>0</v>
      </c>
      <c r="V163" s="452">
        <f t="shared" si="337"/>
        <v>0</v>
      </c>
      <c r="W163" s="452">
        <f t="shared" si="284"/>
        <v>0</v>
      </c>
      <c r="X163" s="1002">
        <f t="shared" si="285"/>
        <v>0</v>
      </c>
      <c r="Y163" s="459"/>
      <c r="Z163" s="291">
        <f t="shared" si="286"/>
        <v>0</v>
      </c>
      <c r="AA163" s="291">
        <f t="shared" si="287"/>
        <v>0</v>
      </c>
      <c r="AB163" s="291">
        <f t="shared" si="288"/>
        <v>0</v>
      </c>
      <c r="AC163" s="291">
        <f t="shared" si="289"/>
        <v>0</v>
      </c>
      <c r="AD163" s="291">
        <f t="shared" si="290"/>
        <v>0</v>
      </c>
      <c r="AE163" s="291">
        <f t="shared" si="291"/>
        <v>0</v>
      </c>
      <c r="AF163" s="291">
        <f t="shared" si="292"/>
        <v>0</v>
      </c>
      <c r="AG163" s="291">
        <f t="shared" si="293"/>
        <v>0</v>
      </c>
      <c r="AI163" s="462">
        <f t="shared" si="338"/>
        <v>0</v>
      </c>
      <c r="AJ163" s="1112"/>
      <c r="AK163" s="507"/>
      <c r="AL163" s="829">
        <f t="shared" si="295"/>
        <v>45764</v>
      </c>
      <c r="AM163" s="684">
        <f>IFERROR(IF(AND(AT163="",AR163&lt;&gt;S.CAL!$BJ$3,AR163&lt;&gt;S.CAL!$BJ$4,$AR$140="NON"),M163-BD163,IF(AND(AT163="",AR163&lt;&gt;S.CAL!$BJ$3,AR163&lt;&gt;S.CAL!$BJ$4,$AR$140="OUI"),X163-AI163,IF(AT163&lt;&gt;0,AT163,IF(OR(AR163=S.CAL!$BJ$3,AR163=S.CAL!$BJ$4),AR163,"")))),"")</f>
        <v>0</v>
      </c>
      <c r="AN163" s="1115"/>
      <c r="AO163" s="1116"/>
      <c r="AP163" s="684">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516">
        <f t="shared" si="315"/>
        <v>0</v>
      </c>
      <c r="AR163" s="1120"/>
      <c r="AT163" s="1123"/>
      <c r="AU163" s="831"/>
      <c r="AV163" s="1392">
        <f t="shared" si="296"/>
        <v>45764</v>
      </c>
      <c r="AX163" s="529">
        <f t="shared" si="316"/>
        <v>45764</v>
      </c>
      <c r="AY163" s="541">
        <f t="shared" si="317"/>
        <v>0</v>
      </c>
      <c r="AZ163" s="538" t="s">
        <v>146</v>
      </c>
      <c r="BA163" s="534">
        <f t="shared" si="318"/>
        <v>0</v>
      </c>
      <c r="BB163" s="567" t="str">
        <f t="shared" si="297"/>
        <v/>
      </c>
      <c r="BC163" s="541">
        <f t="shared" si="319"/>
        <v>0</v>
      </c>
      <c r="BD163" s="541">
        <f t="shared" si="320"/>
        <v>0</v>
      </c>
      <c r="BE163" s="750"/>
      <c r="BF163" s="532" t="str">
        <f t="shared" si="298"/>
        <v/>
      </c>
      <c r="BG163" s="532" t="str">
        <f t="shared" si="321"/>
        <v>oui</v>
      </c>
      <c r="BH163" s="395" t="str">
        <f t="shared" si="299"/>
        <v/>
      </c>
      <c r="BI163" s="24" t="str">
        <f t="shared" si="300"/>
        <v/>
      </c>
      <c r="BJ163" s="1403"/>
      <c r="BK163" s="1403"/>
      <c r="BL163" s="1403"/>
      <c r="BM163" s="1403"/>
      <c r="BN163" s="1403"/>
      <c r="BO163" s="1403"/>
      <c r="BP163" s="1403"/>
      <c r="BQ163" s="1403"/>
      <c r="BS163" s="1392">
        <f t="shared" si="267"/>
        <v>45764</v>
      </c>
      <c r="BT163" s="27" t="str">
        <f t="shared" si="329"/>
        <v/>
      </c>
      <c r="BU163" s="1402"/>
      <c r="BV163" s="1402"/>
      <c r="BW163" s="1402"/>
      <c r="BX163" s="1402"/>
      <c r="BY163" s="1402"/>
      <c r="BZ163" s="1402"/>
      <c r="CA163" s="1402"/>
      <c r="CB163" s="1402"/>
      <c r="CD163" s="1408">
        <f t="shared" si="322"/>
        <v>0</v>
      </c>
      <c r="DC163" s="16" t="str">
        <f>Avril!FC36</f>
        <v>non</v>
      </c>
      <c r="DG163" s="333">
        <f t="shared" si="323"/>
        <v>1</v>
      </c>
      <c r="DH163" s="129">
        <f t="shared" si="301"/>
        <v>10</v>
      </c>
      <c r="DI163" s="129">
        <f t="shared" si="324"/>
        <v>1</v>
      </c>
      <c r="DK163" s="16">
        <f>+IF(AND(Avril!$DP$8&lt;&gt;52,AR163=S.CAL!$BJ$4),10,1)</f>
        <v>1</v>
      </c>
      <c r="DN163" s="16">
        <f t="shared" si="302"/>
        <v>1</v>
      </c>
      <c r="DU163" s="1296" t="str">
        <f t="shared" si="325"/>
        <v>Fiche infoA445764</v>
      </c>
      <c r="DV163" s="1384">
        <f t="shared" si="303"/>
        <v>0</v>
      </c>
      <c r="DW163" s="1385">
        <f t="shared" si="304"/>
        <v>0</v>
      </c>
      <c r="DX163" s="1385">
        <f t="shared" si="305"/>
        <v>0</v>
      </c>
      <c r="DY163" s="1385">
        <f t="shared" si="306"/>
        <v>0</v>
      </c>
      <c r="DZ163" s="1385">
        <f t="shared" si="307"/>
        <v>0</v>
      </c>
      <c r="EA163" s="1385">
        <f t="shared" si="308"/>
        <v>0</v>
      </c>
      <c r="EB163" s="1385">
        <f t="shared" si="309"/>
        <v>0</v>
      </c>
      <c r="EC163" s="1385">
        <f t="shared" si="310"/>
        <v>0</v>
      </c>
      <c r="ED163" s="1385">
        <f t="shared" si="326"/>
        <v>0</v>
      </c>
      <c r="EE163" s="1386">
        <f t="shared" si="327"/>
        <v>0</v>
      </c>
      <c r="EG163" s="16" t="str">
        <f t="shared" si="328"/>
        <v>162025</v>
      </c>
      <c r="EH163" s="16" t="str">
        <f t="shared" si="311"/>
        <v>Fiche infoA4</v>
      </c>
      <c r="EI163" s="16" t="str">
        <f t="shared" si="312"/>
        <v/>
      </c>
    </row>
    <row r="164" spans="1:139" x14ac:dyDescent="0.2">
      <c r="A164" s="1395" t="str">
        <f>Avril!BJ37</f>
        <v>Fiche infoA5</v>
      </c>
      <c r="B164" s="829">
        <f>Avril!AB37</f>
        <v>45765</v>
      </c>
      <c r="C164" s="1394"/>
      <c r="D164" s="1001">
        <f t="shared" si="268"/>
        <v>0</v>
      </c>
      <c r="E164" s="452">
        <f t="shared" si="269"/>
        <v>0</v>
      </c>
      <c r="F164" s="452">
        <f t="shared" si="270"/>
        <v>0</v>
      </c>
      <c r="G164" s="452">
        <f t="shared" si="271"/>
        <v>0</v>
      </c>
      <c r="H164" s="452">
        <f t="shared" si="272"/>
        <v>0</v>
      </c>
      <c r="I164" s="452">
        <f t="shared" si="273"/>
        <v>0</v>
      </c>
      <c r="J164" s="452">
        <f t="shared" si="274"/>
        <v>0</v>
      </c>
      <c r="K164" s="452">
        <f t="shared" si="275"/>
        <v>0</v>
      </c>
      <c r="L164" s="452">
        <f t="shared" si="313"/>
        <v>0</v>
      </c>
      <c r="M164" s="1002">
        <f t="shared" si="314"/>
        <v>0</v>
      </c>
      <c r="N164" s="1396"/>
      <c r="O164" s="1001">
        <f t="shared" si="330"/>
        <v>0</v>
      </c>
      <c r="P164" s="452">
        <f t="shared" si="331"/>
        <v>0</v>
      </c>
      <c r="Q164" s="452">
        <f t="shared" si="332"/>
        <v>0</v>
      </c>
      <c r="R164" s="452">
        <f t="shared" si="333"/>
        <v>0</v>
      </c>
      <c r="S164" s="452">
        <f t="shared" si="334"/>
        <v>0</v>
      </c>
      <c r="T164" s="452">
        <f t="shared" si="335"/>
        <v>0</v>
      </c>
      <c r="U164" s="452">
        <f t="shared" si="336"/>
        <v>0</v>
      </c>
      <c r="V164" s="452">
        <f t="shared" si="337"/>
        <v>0</v>
      </c>
      <c r="W164" s="452">
        <f t="shared" si="284"/>
        <v>0</v>
      </c>
      <c r="X164" s="1002">
        <f t="shared" si="285"/>
        <v>0</v>
      </c>
      <c r="Y164" s="1397"/>
      <c r="Z164" s="1398">
        <f t="shared" si="286"/>
        <v>0</v>
      </c>
      <c r="AA164" s="1398">
        <f t="shared" si="287"/>
        <v>0</v>
      </c>
      <c r="AB164" s="1398">
        <f t="shared" si="288"/>
        <v>0</v>
      </c>
      <c r="AC164" s="1398">
        <f t="shared" si="289"/>
        <v>0</v>
      </c>
      <c r="AD164" s="1398">
        <f t="shared" si="290"/>
        <v>0</v>
      </c>
      <c r="AE164" s="1398">
        <f t="shared" si="291"/>
        <v>0</v>
      </c>
      <c r="AF164" s="1398">
        <f t="shared" si="292"/>
        <v>0</v>
      </c>
      <c r="AG164" s="1398">
        <f t="shared" si="293"/>
        <v>0</v>
      </c>
      <c r="AH164" s="1396"/>
      <c r="AI164" s="462">
        <f t="shared" si="338"/>
        <v>0</v>
      </c>
      <c r="AJ164" s="1112"/>
      <c r="AK164" s="1399"/>
      <c r="AL164" s="829">
        <f t="shared" si="295"/>
        <v>45765</v>
      </c>
      <c r="AM164" s="684">
        <f>IFERROR(IF(AND(AT164="",AR164&lt;&gt;S.CAL!$BJ$3,AR164&lt;&gt;S.CAL!$BJ$4,$AR$140="NON"),M164-BD164,IF(AND(AT164="",AR164&lt;&gt;S.CAL!$BJ$3,AR164&lt;&gt;S.CAL!$BJ$4,$AR$140="OUI"),X164-AI164,IF(AT164&lt;&gt;0,AT164,IF(OR(AR164=S.CAL!$BJ$3,AR164=S.CAL!$BJ$4),AR164,"")))),"")</f>
        <v>0</v>
      </c>
      <c r="AN164" s="1115"/>
      <c r="AO164" s="1116"/>
      <c r="AP164" s="684">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400">
        <f t="shared" si="315"/>
        <v>0</v>
      </c>
      <c r="AR164" s="1120"/>
      <c r="AS164" s="1396"/>
      <c r="AT164" s="1123"/>
      <c r="AU164" s="831"/>
      <c r="AV164" s="1392">
        <f t="shared" si="296"/>
        <v>45765</v>
      </c>
      <c r="AW164" s="1396"/>
      <c r="AX164" s="529">
        <f t="shared" si="316"/>
        <v>45765</v>
      </c>
      <c r="AY164" s="541">
        <f t="shared" si="317"/>
        <v>0</v>
      </c>
      <c r="AZ164" s="538" t="s">
        <v>146</v>
      </c>
      <c r="BA164" s="534">
        <f t="shared" si="318"/>
        <v>0</v>
      </c>
      <c r="BB164" s="567" t="str">
        <f t="shared" si="297"/>
        <v/>
      </c>
      <c r="BC164" s="541">
        <f t="shared" si="319"/>
        <v>0</v>
      </c>
      <c r="BD164" s="541">
        <f t="shared" si="320"/>
        <v>0</v>
      </c>
      <c r="BE164" s="750"/>
      <c r="BF164" s="532" t="str">
        <f t="shared" si="298"/>
        <v/>
      </c>
      <c r="BG164" s="532" t="str">
        <f t="shared" si="321"/>
        <v>oui</v>
      </c>
      <c r="BH164" s="395" t="str">
        <f t="shared" si="299"/>
        <v/>
      </c>
      <c r="BI164" s="24" t="str">
        <f t="shared" si="300"/>
        <v/>
      </c>
      <c r="BJ164" s="1404"/>
      <c r="BK164" s="1404"/>
      <c r="BL164" s="1404"/>
      <c r="BM164" s="1404"/>
      <c r="BN164" s="1404"/>
      <c r="BO164" s="1404"/>
      <c r="BP164" s="1404"/>
      <c r="BQ164" s="1404"/>
      <c r="BR164" s="1405"/>
      <c r="BS164" s="1392">
        <f t="shared" si="267"/>
        <v>45765</v>
      </c>
      <c r="BT164" s="1406" t="str">
        <f t="shared" si="329"/>
        <v/>
      </c>
      <c r="BU164" s="1404"/>
      <c r="BV164" s="1404"/>
      <c r="BW164" s="1404"/>
      <c r="BX164" s="1404"/>
      <c r="BY164" s="1404"/>
      <c r="BZ164" s="1404"/>
      <c r="CA164" s="1404"/>
      <c r="CB164" s="1404"/>
      <c r="CD164" s="1408">
        <f t="shared" si="322"/>
        <v>0</v>
      </c>
      <c r="DC164" s="16" t="str">
        <f>Avril!FC37</f>
        <v>non</v>
      </c>
      <c r="DG164" s="333">
        <f t="shared" si="323"/>
        <v>1</v>
      </c>
      <c r="DH164" s="129">
        <f t="shared" si="301"/>
        <v>10</v>
      </c>
      <c r="DI164" s="129">
        <f t="shared" si="324"/>
        <v>1</v>
      </c>
      <c r="DK164" s="16">
        <f>+IF(AND(Avril!$DP$8&lt;&gt;52,AR164=S.CAL!$BJ$4),10,1)</f>
        <v>1</v>
      </c>
      <c r="DN164" s="16">
        <f t="shared" si="302"/>
        <v>1</v>
      </c>
      <c r="DU164" s="1296" t="str">
        <f t="shared" si="325"/>
        <v>Fiche infoA545765</v>
      </c>
      <c r="DV164" s="1384">
        <f t="shared" si="303"/>
        <v>0</v>
      </c>
      <c r="DW164" s="1385">
        <f t="shared" si="304"/>
        <v>0</v>
      </c>
      <c r="DX164" s="1385">
        <f t="shared" si="305"/>
        <v>0</v>
      </c>
      <c r="DY164" s="1385">
        <f t="shared" si="306"/>
        <v>0</v>
      </c>
      <c r="DZ164" s="1385">
        <f t="shared" si="307"/>
        <v>0</v>
      </c>
      <c r="EA164" s="1385">
        <f t="shared" si="308"/>
        <v>0</v>
      </c>
      <c r="EB164" s="1385">
        <f t="shared" si="309"/>
        <v>0</v>
      </c>
      <c r="EC164" s="1385">
        <f t="shared" si="310"/>
        <v>0</v>
      </c>
      <c r="ED164" s="1385">
        <f t="shared" si="326"/>
        <v>0</v>
      </c>
      <c r="EE164" s="1386">
        <f t="shared" si="327"/>
        <v>0</v>
      </c>
      <c r="EG164" s="16" t="str">
        <f t="shared" si="328"/>
        <v>162025</v>
      </c>
      <c r="EH164" s="16" t="str">
        <f t="shared" si="311"/>
        <v>Fiche infoA5</v>
      </c>
      <c r="EI164" s="16" t="str">
        <f t="shared" si="312"/>
        <v/>
      </c>
    </row>
    <row r="165" spans="1:139" x14ac:dyDescent="0.2">
      <c r="A165" s="24" t="str">
        <f>Avril!BJ38</f>
        <v>Fiche infoA6</v>
      </c>
      <c r="B165" s="829">
        <f>Avril!AB38</f>
        <v>45766</v>
      </c>
      <c r="C165" s="1393"/>
      <c r="D165" s="1001">
        <f t="shared" si="268"/>
        <v>0</v>
      </c>
      <c r="E165" s="452">
        <f t="shared" si="269"/>
        <v>0</v>
      </c>
      <c r="F165" s="452">
        <f t="shared" si="270"/>
        <v>0</v>
      </c>
      <c r="G165" s="452">
        <f t="shared" si="271"/>
        <v>0</v>
      </c>
      <c r="H165" s="452">
        <f t="shared" si="272"/>
        <v>0</v>
      </c>
      <c r="I165" s="452">
        <f t="shared" si="273"/>
        <v>0</v>
      </c>
      <c r="J165" s="452">
        <f t="shared" si="274"/>
        <v>0</v>
      </c>
      <c r="K165" s="452">
        <f t="shared" si="275"/>
        <v>0</v>
      </c>
      <c r="L165" s="452">
        <f t="shared" si="313"/>
        <v>0</v>
      </c>
      <c r="M165" s="1002">
        <f t="shared" si="314"/>
        <v>0</v>
      </c>
      <c r="O165" s="1001">
        <f t="shared" si="330"/>
        <v>0</v>
      </c>
      <c r="P165" s="452">
        <f t="shared" si="331"/>
        <v>0</v>
      </c>
      <c r="Q165" s="452">
        <f t="shared" si="332"/>
        <v>0</v>
      </c>
      <c r="R165" s="452">
        <f t="shared" si="333"/>
        <v>0</v>
      </c>
      <c r="S165" s="452">
        <f t="shared" si="334"/>
        <v>0</v>
      </c>
      <c r="T165" s="452">
        <f t="shared" si="335"/>
        <v>0</v>
      </c>
      <c r="U165" s="452">
        <f t="shared" si="336"/>
        <v>0</v>
      </c>
      <c r="V165" s="452">
        <f t="shared" si="337"/>
        <v>0</v>
      </c>
      <c r="W165" s="452">
        <f t="shared" si="284"/>
        <v>0</v>
      </c>
      <c r="X165" s="1002">
        <f t="shared" si="285"/>
        <v>0</v>
      </c>
      <c r="Y165" s="459"/>
      <c r="Z165" s="291">
        <f t="shared" si="286"/>
        <v>0</v>
      </c>
      <c r="AA165" s="291">
        <f t="shared" si="287"/>
        <v>0</v>
      </c>
      <c r="AB165" s="291">
        <f t="shared" si="288"/>
        <v>0</v>
      </c>
      <c r="AC165" s="291">
        <f t="shared" si="289"/>
        <v>0</v>
      </c>
      <c r="AD165" s="291">
        <f t="shared" si="290"/>
        <v>0</v>
      </c>
      <c r="AE165" s="291">
        <f t="shared" si="291"/>
        <v>0</v>
      </c>
      <c r="AF165" s="291">
        <f t="shared" si="292"/>
        <v>0</v>
      </c>
      <c r="AG165" s="291">
        <f t="shared" si="293"/>
        <v>0</v>
      </c>
      <c r="AI165" s="462">
        <f t="shared" si="338"/>
        <v>0</v>
      </c>
      <c r="AJ165" s="1112"/>
      <c r="AK165" s="507"/>
      <c r="AL165" s="829">
        <f t="shared" si="295"/>
        <v>45766</v>
      </c>
      <c r="AM165" s="684">
        <f>IFERROR(IF(AND(AT165="",AR165&lt;&gt;S.CAL!$BJ$3,AR165&lt;&gt;S.CAL!$BJ$4,$AR$140="NON"),M165-BD165,IF(AND(AT165="",AR165&lt;&gt;S.CAL!$BJ$3,AR165&lt;&gt;S.CAL!$BJ$4,$AR$140="OUI"),X165-AI165,IF(AT165&lt;&gt;0,AT165,IF(OR(AR165=S.CAL!$BJ$3,AR165=S.CAL!$BJ$4),AR165,"")))),"")</f>
        <v>0</v>
      </c>
      <c r="AN165" s="1115"/>
      <c r="AO165" s="1116"/>
      <c r="AP165" s="684">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516">
        <f t="shared" si="315"/>
        <v>0</v>
      </c>
      <c r="AR165" s="1120"/>
      <c r="AT165" s="1123"/>
      <c r="AU165" s="831"/>
      <c r="AV165" s="1392">
        <f t="shared" si="296"/>
        <v>45766</v>
      </c>
      <c r="AX165" s="529">
        <f t="shared" si="316"/>
        <v>45766</v>
      </c>
      <c r="AY165" s="541">
        <f t="shared" si="317"/>
        <v>0</v>
      </c>
      <c r="AZ165" s="538" t="s">
        <v>146</v>
      </c>
      <c r="BA165" s="534">
        <f t="shared" si="318"/>
        <v>0</v>
      </c>
      <c r="BB165" s="567" t="str">
        <f t="shared" si="297"/>
        <v/>
      </c>
      <c r="BC165" s="541">
        <f t="shared" si="319"/>
        <v>0</v>
      </c>
      <c r="BD165" s="541">
        <f t="shared" si="320"/>
        <v>0</v>
      </c>
      <c r="BE165" s="750"/>
      <c r="BF165" s="532" t="str">
        <f t="shared" si="298"/>
        <v/>
      </c>
      <c r="BG165" s="532" t="str">
        <f t="shared" si="321"/>
        <v>oui</v>
      </c>
      <c r="BH165" s="395" t="str">
        <f t="shared" si="299"/>
        <v/>
      </c>
      <c r="BI165" s="24" t="str">
        <f t="shared" si="300"/>
        <v/>
      </c>
      <c r="BJ165" s="1403"/>
      <c r="BK165" s="1403"/>
      <c r="BL165" s="1403"/>
      <c r="BM165" s="1403"/>
      <c r="BN165" s="1403"/>
      <c r="BO165" s="1403"/>
      <c r="BP165" s="1403"/>
      <c r="BQ165" s="1403"/>
      <c r="BS165" s="1392">
        <f t="shared" si="267"/>
        <v>45766</v>
      </c>
      <c r="BT165" s="27" t="str">
        <f t="shared" si="329"/>
        <v/>
      </c>
      <c r="BU165" s="1402"/>
      <c r="BV165" s="1402"/>
      <c r="BW165" s="1402"/>
      <c r="BX165" s="1402"/>
      <c r="BY165" s="1402"/>
      <c r="BZ165" s="1402"/>
      <c r="CA165" s="1402"/>
      <c r="CB165" s="1402"/>
      <c r="CD165" s="1408">
        <f t="shared" si="322"/>
        <v>0</v>
      </c>
      <c r="DC165" s="16" t="str">
        <f>Avril!FC38</f>
        <v>non</v>
      </c>
      <c r="DG165" s="333">
        <f t="shared" si="323"/>
        <v>1</v>
      </c>
      <c r="DH165" s="129">
        <f t="shared" si="301"/>
        <v>10</v>
      </c>
      <c r="DI165" s="129">
        <f t="shared" si="324"/>
        <v>1</v>
      </c>
      <c r="DK165" s="16">
        <f>+IF(AND(Avril!$DP$8&lt;&gt;52,AR165=S.CAL!$BJ$4),10,1)</f>
        <v>1</v>
      </c>
      <c r="DN165" s="16">
        <f t="shared" si="302"/>
        <v>1</v>
      </c>
      <c r="DU165" s="1296" t="str">
        <f t="shared" si="325"/>
        <v>Fiche infoA645766</v>
      </c>
      <c r="DV165" s="1384">
        <f t="shared" si="303"/>
        <v>0</v>
      </c>
      <c r="DW165" s="1385">
        <f t="shared" si="304"/>
        <v>0</v>
      </c>
      <c r="DX165" s="1385">
        <f t="shared" si="305"/>
        <v>0</v>
      </c>
      <c r="DY165" s="1385">
        <f t="shared" si="306"/>
        <v>0</v>
      </c>
      <c r="DZ165" s="1385">
        <f t="shared" si="307"/>
        <v>0</v>
      </c>
      <c r="EA165" s="1385">
        <f t="shared" si="308"/>
        <v>0</v>
      </c>
      <c r="EB165" s="1385">
        <f t="shared" si="309"/>
        <v>0</v>
      </c>
      <c r="EC165" s="1385">
        <f t="shared" si="310"/>
        <v>0</v>
      </c>
      <c r="ED165" s="1385">
        <f t="shared" si="326"/>
        <v>0</v>
      </c>
      <c r="EE165" s="1386">
        <f t="shared" si="327"/>
        <v>0</v>
      </c>
      <c r="EG165" s="16" t="str">
        <f t="shared" si="328"/>
        <v>162025</v>
      </c>
      <c r="EH165" s="16" t="str">
        <f t="shared" si="311"/>
        <v>Fiche infoA6</v>
      </c>
      <c r="EI165" s="16" t="str">
        <f t="shared" si="312"/>
        <v/>
      </c>
    </row>
    <row r="166" spans="1:139" x14ac:dyDescent="0.2">
      <c r="A166" s="1395" t="str">
        <f>Avril!BJ39</f>
        <v>Fiche infoA7</v>
      </c>
      <c r="B166" s="829">
        <f>Avril!AB39</f>
        <v>45767</v>
      </c>
      <c r="C166" s="1394"/>
      <c r="D166" s="1001">
        <f t="shared" si="268"/>
        <v>0</v>
      </c>
      <c r="E166" s="452">
        <f t="shared" si="269"/>
        <v>0</v>
      </c>
      <c r="F166" s="452">
        <f t="shared" si="270"/>
        <v>0</v>
      </c>
      <c r="G166" s="452">
        <f t="shared" si="271"/>
        <v>0</v>
      </c>
      <c r="H166" s="452">
        <f t="shared" si="272"/>
        <v>0</v>
      </c>
      <c r="I166" s="452">
        <f t="shared" si="273"/>
        <v>0</v>
      </c>
      <c r="J166" s="452">
        <f t="shared" si="274"/>
        <v>0</v>
      </c>
      <c r="K166" s="452">
        <f t="shared" si="275"/>
        <v>0</v>
      </c>
      <c r="L166" s="452">
        <f t="shared" si="313"/>
        <v>0</v>
      </c>
      <c r="M166" s="1002">
        <f t="shared" si="314"/>
        <v>0</v>
      </c>
      <c r="N166" s="1396"/>
      <c r="O166" s="1001">
        <f t="shared" si="330"/>
        <v>0</v>
      </c>
      <c r="P166" s="452">
        <f t="shared" si="331"/>
        <v>0</v>
      </c>
      <c r="Q166" s="452">
        <f t="shared" si="332"/>
        <v>0</v>
      </c>
      <c r="R166" s="452">
        <f t="shared" si="333"/>
        <v>0</v>
      </c>
      <c r="S166" s="452">
        <f t="shared" si="334"/>
        <v>0</v>
      </c>
      <c r="T166" s="452">
        <f t="shared" si="335"/>
        <v>0</v>
      </c>
      <c r="U166" s="452">
        <f t="shared" si="336"/>
        <v>0</v>
      </c>
      <c r="V166" s="452">
        <f t="shared" si="337"/>
        <v>0</v>
      </c>
      <c r="W166" s="452">
        <f t="shared" si="284"/>
        <v>0</v>
      </c>
      <c r="X166" s="1002">
        <f t="shared" si="285"/>
        <v>0</v>
      </c>
      <c r="Y166" s="1397"/>
      <c r="Z166" s="1398">
        <f t="shared" si="286"/>
        <v>0</v>
      </c>
      <c r="AA166" s="1398">
        <f t="shared" si="287"/>
        <v>0</v>
      </c>
      <c r="AB166" s="1398">
        <f t="shared" si="288"/>
        <v>0</v>
      </c>
      <c r="AC166" s="1398">
        <f t="shared" si="289"/>
        <v>0</v>
      </c>
      <c r="AD166" s="1398">
        <f t="shared" si="290"/>
        <v>0</v>
      </c>
      <c r="AE166" s="1398">
        <f t="shared" si="291"/>
        <v>0</v>
      </c>
      <c r="AF166" s="1398">
        <f t="shared" si="292"/>
        <v>0</v>
      </c>
      <c r="AG166" s="1398">
        <f t="shared" si="293"/>
        <v>0</v>
      </c>
      <c r="AH166" s="1396"/>
      <c r="AI166" s="462">
        <f t="shared" si="338"/>
        <v>0</v>
      </c>
      <c r="AJ166" s="1112"/>
      <c r="AK166" s="1399"/>
      <c r="AL166" s="829">
        <f t="shared" si="295"/>
        <v>45767</v>
      </c>
      <c r="AM166" s="684">
        <f>IFERROR(IF(AND(AT166="",AR166&lt;&gt;S.CAL!$BJ$3,AR166&lt;&gt;S.CAL!$BJ$4,$AR$140="NON"),M166-BD166,IF(AND(AT166="",AR166&lt;&gt;S.CAL!$BJ$3,AR166&lt;&gt;S.CAL!$BJ$4,$AR$140="OUI"),X166-AI166,IF(AT166&lt;&gt;0,AT166,IF(OR(AR166=S.CAL!$BJ$3,AR166=S.CAL!$BJ$4),AR166,"")))),"")</f>
        <v>0</v>
      </c>
      <c r="AN166" s="1115"/>
      <c r="AO166" s="1116"/>
      <c r="AP166" s="684">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400">
        <f t="shared" si="315"/>
        <v>0</v>
      </c>
      <c r="AR166" s="1120"/>
      <c r="AS166" s="1396"/>
      <c r="AT166" s="1123"/>
      <c r="AU166" s="831"/>
      <c r="AV166" s="1392">
        <f t="shared" si="296"/>
        <v>45767</v>
      </c>
      <c r="AW166" s="1396"/>
      <c r="AX166" s="529">
        <f t="shared" si="316"/>
        <v>45767</v>
      </c>
      <c r="AY166" s="541">
        <f t="shared" si="317"/>
        <v>0</v>
      </c>
      <c r="AZ166" s="538" t="s">
        <v>146</v>
      </c>
      <c r="BA166" s="534">
        <f t="shared" si="318"/>
        <v>0</v>
      </c>
      <c r="BB166" s="567" t="str">
        <f t="shared" si="297"/>
        <v/>
      </c>
      <c r="BC166" s="541">
        <f t="shared" si="319"/>
        <v>0</v>
      </c>
      <c r="BD166" s="541">
        <f t="shared" si="320"/>
        <v>0</v>
      </c>
      <c r="BE166" s="750"/>
      <c r="BF166" s="532" t="str">
        <f t="shared" si="298"/>
        <v/>
      </c>
      <c r="BG166" s="532" t="str">
        <f t="shared" si="321"/>
        <v>oui</v>
      </c>
      <c r="BH166" s="395" t="str">
        <f t="shared" si="299"/>
        <v/>
      </c>
      <c r="BI166" s="24" t="str">
        <f t="shared" si="300"/>
        <v/>
      </c>
      <c r="BJ166" s="1404"/>
      <c r="BK166" s="1404"/>
      <c r="BL166" s="1404"/>
      <c r="BM166" s="1404"/>
      <c r="BN166" s="1404"/>
      <c r="BO166" s="1404"/>
      <c r="BP166" s="1404"/>
      <c r="BQ166" s="1404"/>
      <c r="BR166" s="1405"/>
      <c r="BS166" s="1392">
        <f t="shared" si="267"/>
        <v>45767</v>
      </c>
      <c r="BT166" s="1406" t="str">
        <f t="shared" si="329"/>
        <v/>
      </c>
      <c r="BU166" s="1404"/>
      <c r="BV166" s="1404"/>
      <c r="BW166" s="1404"/>
      <c r="BX166" s="1404"/>
      <c r="BY166" s="1404"/>
      <c r="BZ166" s="1404"/>
      <c r="CA166" s="1404"/>
      <c r="CB166" s="1404"/>
      <c r="CD166" s="1408">
        <f t="shared" si="322"/>
        <v>0</v>
      </c>
      <c r="DC166" s="16" t="str">
        <f>Avril!FC39</f>
        <v>non</v>
      </c>
      <c r="DG166" s="333">
        <f t="shared" si="323"/>
        <v>1</v>
      </c>
      <c r="DH166" s="129">
        <f t="shared" si="301"/>
        <v>10</v>
      </c>
      <c r="DI166" s="129">
        <f t="shared" si="324"/>
        <v>1</v>
      </c>
      <c r="DK166" s="16">
        <f>+IF(AND(Avril!$DP$8&lt;&gt;52,AR166=S.CAL!$BJ$4),10,1)</f>
        <v>1</v>
      </c>
      <c r="DN166" s="16">
        <f t="shared" si="302"/>
        <v>1</v>
      </c>
      <c r="DU166" s="1296" t="str">
        <f t="shared" si="325"/>
        <v>Fiche infoA745767</v>
      </c>
      <c r="DV166" s="1384">
        <f t="shared" si="303"/>
        <v>0</v>
      </c>
      <c r="DW166" s="1385">
        <f t="shared" si="304"/>
        <v>0</v>
      </c>
      <c r="DX166" s="1385">
        <f t="shared" si="305"/>
        <v>0</v>
      </c>
      <c r="DY166" s="1385">
        <f t="shared" si="306"/>
        <v>0</v>
      </c>
      <c r="DZ166" s="1385">
        <f t="shared" si="307"/>
        <v>0</v>
      </c>
      <c r="EA166" s="1385">
        <f t="shared" si="308"/>
        <v>0</v>
      </c>
      <c r="EB166" s="1385">
        <f t="shared" si="309"/>
        <v>0</v>
      </c>
      <c r="EC166" s="1385">
        <f t="shared" si="310"/>
        <v>0</v>
      </c>
      <c r="ED166" s="1385">
        <f t="shared" si="326"/>
        <v>0</v>
      </c>
      <c r="EE166" s="1386">
        <f t="shared" si="327"/>
        <v>0</v>
      </c>
      <c r="EG166" s="16" t="str">
        <f t="shared" si="328"/>
        <v>162025</v>
      </c>
      <c r="EH166" s="16" t="str">
        <f t="shared" si="311"/>
        <v>Fiche infoA7</v>
      </c>
      <c r="EI166" s="16" t="str">
        <f t="shared" si="312"/>
        <v/>
      </c>
    </row>
    <row r="167" spans="1:139" x14ac:dyDescent="0.2">
      <c r="A167" s="24" t="str">
        <f>Avril!BJ40</f>
        <v>Fiche infoA1</v>
      </c>
      <c r="B167" s="829">
        <f>Avril!AB40</f>
        <v>45768</v>
      </c>
      <c r="C167" s="1393"/>
      <c r="D167" s="1001">
        <f t="shared" si="268"/>
        <v>0</v>
      </c>
      <c r="E167" s="452">
        <f t="shared" si="269"/>
        <v>0</v>
      </c>
      <c r="F167" s="452">
        <f t="shared" si="270"/>
        <v>0</v>
      </c>
      <c r="G167" s="452">
        <f t="shared" si="271"/>
        <v>0</v>
      </c>
      <c r="H167" s="452">
        <f t="shared" si="272"/>
        <v>0</v>
      </c>
      <c r="I167" s="452">
        <f t="shared" si="273"/>
        <v>0</v>
      </c>
      <c r="J167" s="452">
        <f t="shared" si="274"/>
        <v>0</v>
      </c>
      <c r="K167" s="452">
        <f t="shared" si="275"/>
        <v>0</v>
      </c>
      <c r="L167" s="452">
        <f t="shared" si="313"/>
        <v>0</v>
      </c>
      <c r="M167" s="1002">
        <f t="shared" si="314"/>
        <v>0</v>
      </c>
      <c r="O167" s="1001">
        <f t="shared" si="330"/>
        <v>0</v>
      </c>
      <c r="P167" s="452">
        <f t="shared" si="331"/>
        <v>0</v>
      </c>
      <c r="Q167" s="452">
        <f t="shared" si="332"/>
        <v>0</v>
      </c>
      <c r="R167" s="452">
        <f t="shared" si="333"/>
        <v>0</v>
      </c>
      <c r="S167" s="452">
        <f t="shared" si="334"/>
        <v>0</v>
      </c>
      <c r="T167" s="452">
        <f t="shared" si="335"/>
        <v>0</v>
      </c>
      <c r="U167" s="452">
        <f t="shared" si="336"/>
        <v>0</v>
      </c>
      <c r="V167" s="452">
        <f t="shared" si="337"/>
        <v>0</v>
      </c>
      <c r="W167" s="452">
        <f t="shared" si="284"/>
        <v>0</v>
      </c>
      <c r="X167" s="1002">
        <f t="shared" si="285"/>
        <v>0</v>
      </c>
      <c r="Y167" s="459"/>
      <c r="Z167" s="291">
        <f t="shared" si="286"/>
        <v>0</v>
      </c>
      <c r="AA167" s="291">
        <f t="shared" si="287"/>
        <v>0</v>
      </c>
      <c r="AB167" s="291">
        <f t="shared" si="288"/>
        <v>0</v>
      </c>
      <c r="AC167" s="291">
        <f t="shared" si="289"/>
        <v>0</v>
      </c>
      <c r="AD167" s="291">
        <f t="shared" si="290"/>
        <v>0</v>
      </c>
      <c r="AE167" s="291">
        <f t="shared" si="291"/>
        <v>0</v>
      </c>
      <c r="AF167" s="291">
        <f t="shared" si="292"/>
        <v>0</v>
      </c>
      <c r="AG167" s="291">
        <f t="shared" si="293"/>
        <v>0</v>
      </c>
      <c r="AI167" s="462">
        <f t="shared" si="338"/>
        <v>0</v>
      </c>
      <c r="AJ167" s="1112"/>
      <c r="AK167" s="507"/>
      <c r="AL167" s="829">
        <f t="shared" si="295"/>
        <v>45768</v>
      </c>
      <c r="AM167" s="684">
        <f>IFERROR(IF(AND(AT167="",AR167&lt;&gt;S.CAL!$BJ$3,AR167&lt;&gt;S.CAL!$BJ$4,$AR$140="NON"),M167-BD167,IF(AND(AT167="",AR167&lt;&gt;S.CAL!$BJ$3,AR167&lt;&gt;S.CAL!$BJ$4,$AR$140="OUI"),X167-AI167,IF(AT167&lt;&gt;0,AT167,IF(OR(AR167=S.CAL!$BJ$3,AR167=S.CAL!$BJ$4),AR167,"")))),"")</f>
        <v>0</v>
      </c>
      <c r="AN167" s="1115"/>
      <c r="AO167" s="1116"/>
      <c r="AP167" s="684">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516">
        <f t="shared" si="315"/>
        <v>0</v>
      </c>
      <c r="AR167" s="1120"/>
      <c r="AT167" s="1123"/>
      <c r="AU167" s="831"/>
      <c r="AV167" s="1392">
        <f t="shared" si="296"/>
        <v>45768</v>
      </c>
      <c r="AX167" s="529">
        <f t="shared" si="316"/>
        <v>45768</v>
      </c>
      <c r="AY167" s="541">
        <f t="shared" si="317"/>
        <v>0</v>
      </c>
      <c r="AZ167" s="538" t="s">
        <v>146</v>
      </c>
      <c r="BA167" s="534">
        <f t="shared" si="318"/>
        <v>0</v>
      </c>
      <c r="BB167" s="567" t="str">
        <f t="shared" si="297"/>
        <v/>
      </c>
      <c r="BC167" s="541">
        <f t="shared" si="319"/>
        <v>0</v>
      </c>
      <c r="BD167" s="541">
        <f t="shared" si="320"/>
        <v>0</v>
      </c>
      <c r="BE167" s="750"/>
      <c r="BF167" s="532" t="str">
        <f t="shared" si="298"/>
        <v/>
      </c>
      <c r="BG167" s="532" t="str">
        <f t="shared" si="321"/>
        <v>oui</v>
      </c>
      <c r="BH167" s="395" t="str">
        <f t="shared" si="299"/>
        <v/>
      </c>
      <c r="BI167" s="24" t="str">
        <f t="shared" si="300"/>
        <v/>
      </c>
      <c r="BJ167" s="1403"/>
      <c r="BK167" s="1403"/>
      <c r="BL167" s="1403"/>
      <c r="BM167" s="1403"/>
      <c r="BN167" s="1403"/>
      <c r="BO167" s="1403"/>
      <c r="BP167" s="1403"/>
      <c r="BQ167" s="1403"/>
      <c r="BS167" s="1392">
        <f t="shared" si="267"/>
        <v>45768</v>
      </c>
      <c r="BT167" s="27">
        <f t="shared" si="329"/>
        <v>17</v>
      </c>
      <c r="BU167" s="1402"/>
      <c r="BV167" s="1402"/>
      <c r="BW167" s="1402"/>
      <c r="BX167" s="1402"/>
      <c r="BY167" s="1402"/>
      <c r="BZ167" s="1402"/>
      <c r="CA167" s="1402"/>
      <c r="CB167" s="1402"/>
      <c r="CD167" s="1408">
        <f t="shared" si="322"/>
        <v>0</v>
      </c>
      <c r="DC167" s="16" t="str">
        <f>Avril!FC40</f>
        <v>non</v>
      </c>
      <c r="DG167" s="333">
        <f t="shared" si="323"/>
        <v>1</v>
      </c>
      <c r="DH167" s="129">
        <f t="shared" si="301"/>
        <v>10</v>
      </c>
      <c r="DI167" s="129">
        <f t="shared" si="324"/>
        <v>1</v>
      </c>
      <c r="DK167" s="16">
        <f>+IF(AND(Avril!$DP$8&lt;&gt;52,AR167=S.CAL!$BJ$4),10,1)</f>
        <v>1</v>
      </c>
      <c r="DN167" s="16">
        <f t="shared" si="302"/>
        <v>1</v>
      </c>
      <c r="DU167" s="1296" t="str">
        <f t="shared" si="325"/>
        <v>Fiche infoA145768</v>
      </c>
      <c r="DV167" s="1384">
        <f t="shared" si="303"/>
        <v>0</v>
      </c>
      <c r="DW167" s="1385">
        <f t="shared" si="304"/>
        <v>0</v>
      </c>
      <c r="DX167" s="1385">
        <f t="shared" si="305"/>
        <v>0</v>
      </c>
      <c r="DY167" s="1385">
        <f t="shared" si="306"/>
        <v>0</v>
      </c>
      <c r="DZ167" s="1385">
        <f t="shared" si="307"/>
        <v>0</v>
      </c>
      <c r="EA167" s="1385">
        <f t="shared" si="308"/>
        <v>0</v>
      </c>
      <c r="EB167" s="1385">
        <f t="shared" si="309"/>
        <v>0</v>
      </c>
      <c r="EC167" s="1385">
        <f t="shared" si="310"/>
        <v>0</v>
      </c>
      <c r="ED167" s="1385">
        <f t="shared" si="326"/>
        <v>0</v>
      </c>
      <c r="EE167" s="1386">
        <f t="shared" si="327"/>
        <v>0</v>
      </c>
      <c r="EG167" s="16" t="str">
        <f t="shared" si="328"/>
        <v>172025</v>
      </c>
      <c r="EH167" s="16" t="str">
        <f t="shared" si="311"/>
        <v>Fiche infoA1</v>
      </c>
      <c r="EI167" s="16" t="str">
        <f t="shared" si="312"/>
        <v/>
      </c>
    </row>
    <row r="168" spans="1:139" x14ac:dyDescent="0.2">
      <c r="A168" s="1395" t="str">
        <f>Avril!BJ41</f>
        <v>Fiche infoA2</v>
      </c>
      <c r="B168" s="829">
        <f>Avril!AB41</f>
        <v>45769</v>
      </c>
      <c r="C168" s="1394"/>
      <c r="D168" s="1001">
        <f t="shared" si="268"/>
        <v>0</v>
      </c>
      <c r="E168" s="452">
        <f t="shared" si="269"/>
        <v>0</v>
      </c>
      <c r="F168" s="452">
        <f t="shared" si="270"/>
        <v>0</v>
      </c>
      <c r="G168" s="452">
        <f t="shared" si="271"/>
        <v>0</v>
      </c>
      <c r="H168" s="452">
        <f t="shared" si="272"/>
        <v>0</v>
      </c>
      <c r="I168" s="452">
        <f t="shared" si="273"/>
        <v>0</v>
      </c>
      <c r="J168" s="452">
        <f t="shared" si="274"/>
        <v>0</v>
      </c>
      <c r="K168" s="452">
        <f t="shared" si="275"/>
        <v>0</v>
      </c>
      <c r="L168" s="452">
        <f t="shared" si="313"/>
        <v>0</v>
      </c>
      <c r="M168" s="1002">
        <f t="shared" si="314"/>
        <v>0</v>
      </c>
      <c r="N168" s="1396"/>
      <c r="O168" s="1001">
        <f t="shared" si="330"/>
        <v>0</v>
      </c>
      <c r="P168" s="452">
        <f t="shared" si="331"/>
        <v>0</v>
      </c>
      <c r="Q168" s="452">
        <f t="shared" si="332"/>
        <v>0</v>
      </c>
      <c r="R168" s="452">
        <f t="shared" si="333"/>
        <v>0</v>
      </c>
      <c r="S168" s="452">
        <f t="shared" si="334"/>
        <v>0</v>
      </c>
      <c r="T168" s="452">
        <f t="shared" si="335"/>
        <v>0</v>
      </c>
      <c r="U168" s="452">
        <f t="shared" si="336"/>
        <v>0</v>
      </c>
      <c r="V168" s="452">
        <f t="shared" si="337"/>
        <v>0</v>
      </c>
      <c r="W168" s="452">
        <f t="shared" si="284"/>
        <v>0</v>
      </c>
      <c r="X168" s="1002">
        <f t="shared" si="285"/>
        <v>0</v>
      </c>
      <c r="Y168" s="1397"/>
      <c r="Z168" s="1398">
        <f t="shared" si="286"/>
        <v>0</v>
      </c>
      <c r="AA168" s="1398">
        <f t="shared" si="287"/>
        <v>0</v>
      </c>
      <c r="AB168" s="1398">
        <f t="shared" si="288"/>
        <v>0</v>
      </c>
      <c r="AC168" s="1398">
        <f t="shared" si="289"/>
        <v>0</v>
      </c>
      <c r="AD168" s="1398">
        <f t="shared" si="290"/>
        <v>0</v>
      </c>
      <c r="AE168" s="1398">
        <f t="shared" si="291"/>
        <v>0</v>
      </c>
      <c r="AF168" s="1398">
        <f t="shared" si="292"/>
        <v>0</v>
      </c>
      <c r="AG168" s="1398">
        <f t="shared" si="293"/>
        <v>0</v>
      </c>
      <c r="AH168" s="1396"/>
      <c r="AI168" s="462">
        <f t="shared" si="338"/>
        <v>0</v>
      </c>
      <c r="AJ168" s="1112"/>
      <c r="AK168" s="1399"/>
      <c r="AL168" s="829">
        <f t="shared" si="295"/>
        <v>45769</v>
      </c>
      <c r="AM168" s="684">
        <f>IFERROR(IF(AND(AT168="",AR168&lt;&gt;S.CAL!$BJ$3,AR168&lt;&gt;S.CAL!$BJ$4,$AR$140="NON"),M168-BD168,IF(AND(AT168="",AR168&lt;&gt;S.CAL!$BJ$3,AR168&lt;&gt;S.CAL!$BJ$4,$AR$140="OUI"),X168-AI168,IF(AT168&lt;&gt;0,AT168,IF(OR(AR168=S.CAL!$BJ$3,AR168=S.CAL!$BJ$4),AR168,"")))),"")</f>
        <v>0</v>
      </c>
      <c r="AN168" s="1115"/>
      <c r="AO168" s="1116"/>
      <c r="AP168" s="684">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400">
        <f t="shared" si="315"/>
        <v>0</v>
      </c>
      <c r="AR168" s="1120"/>
      <c r="AS168" s="1396"/>
      <c r="AT168" s="1123"/>
      <c r="AU168" s="831"/>
      <c r="AV168" s="1392">
        <f t="shared" si="296"/>
        <v>45769</v>
      </c>
      <c r="AW168" s="1396"/>
      <c r="AX168" s="529">
        <f t="shared" si="316"/>
        <v>45769</v>
      </c>
      <c r="AY168" s="541">
        <f t="shared" si="317"/>
        <v>0</v>
      </c>
      <c r="AZ168" s="538" t="s">
        <v>146</v>
      </c>
      <c r="BA168" s="534">
        <f t="shared" si="318"/>
        <v>0</v>
      </c>
      <c r="BB168" s="567" t="str">
        <f t="shared" si="297"/>
        <v/>
      </c>
      <c r="BC168" s="541">
        <f t="shared" si="319"/>
        <v>0</v>
      </c>
      <c r="BD168" s="541">
        <f t="shared" si="320"/>
        <v>0</v>
      </c>
      <c r="BE168" s="750"/>
      <c r="BF168" s="532" t="str">
        <f t="shared" si="298"/>
        <v/>
      </c>
      <c r="BG168" s="532" t="str">
        <f t="shared" si="321"/>
        <v>oui</v>
      </c>
      <c r="BH168" s="395" t="str">
        <f t="shared" si="299"/>
        <v/>
      </c>
      <c r="BI168" s="24" t="str">
        <f t="shared" si="300"/>
        <v/>
      </c>
      <c r="BJ168" s="1404"/>
      <c r="BK168" s="1404"/>
      <c r="BL168" s="1404"/>
      <c r="BM168" s="1404"/>
      <c r="BN168" s="1404"/>
      <c r="BO168" s="1404"/>
      <c r="BP168" s="1404"/>
      <c r="BQ168" s="1404"/>
      <c r="BR168" s="1405"/>
      <c r="BS168" s="1392">
        <f t="shared" si="267"/>
        <v>45769</v>
      </c>
      <c r="BT168" s="1406" t="str">
        <f t="shared" si="329"/>
        <v/>
      </c>
      <c r="BU168" s="1404"/>
      <c r="BV168" s="1404"/>
      <c r="BW168" s="1404"/>
      <c r="BX168" s="1404"/>
      <c r="BY168" s="1404"/>
      <c r="BZ168" s="1404"/>
      <c r="CA168" s="1404"/>
      <c r="CB168" s="1404"/>
      <c r="CD168" s="1408">
        <f t="shared" si="322"/>
        <v>0</v>
      </c>
      <c r="DC168" s="16" t="str">
        <f>Avril!FC41</f>
        <v>non</v>
      </c>
      <c r="DG168" s="333">
        <f t="shared" si="323"/>
        <v>1</v>
      </c>
      <c r="DH168" s="129">
        <f t="shared" si="301"/>
        <v>10</v>
      </c>
      <c r="DI168" s="129">
        <f t="shared" si="324"/>
        <v>1</v>
      </c>
      <c r="DK168" s="16">
        <f>+IF(AND(Avril!$DP$8&lt;&gt;52,AR168=S.CAL!$BJ$4),10,1)</f>
        <v>1</v>
      </c>
      <c r="DN168" s="16">
        <f t="shared" si="302"/>
        <v>1</v>
      </c>
      <c r="DU168" s="1296" t="str">
        <f t="shared" si="325"/>
        <v>Fiche infoA245769</v>
      </c>
      <c r="DV168" s="1384">
        <f t="shared" si="303"/>
        <v>0</v>
      </c>
      <c r="DW168" s="1385">
        <f t="shared" si="304"/>
        <v>0</v>
      </c>
      <c r="DX168" s="1385">
        <f t="shared" si="305"/>
        <v>0</v>
      </c>
      <c r="DY168" s="1385">
        <f t="shared" si="306"/>
        <v>0</v>
      </c>
      <c r="DZ168" s="1385">
        <f t="shared" si="307"/>
        <v>0</v>
      </c>
      <c r="EA168" s="1385">
        <f t="shared" si="308"/>
        <v>0</v>
      </c>
      <c r="EB168" s="1385">
        <f t="shared" si="309"/>
        <v>0</v>
      </c>
      <c r="EC168" s="1385">
        <f t="shared" si="310"/>
        <v>0</v>
      </c>
      <c r="ED168" s="1385">
        <f t="shared" si="326"/>
        <v>0</v>
      </c>
      <c r="EE168" s="1386">
        <f t="shared" si="327"/>
        <v>0</v>
      </c>
      <c r="EG168" s="16" t="str">
        <f t="shared" si="328"/>
        <v>172025</v>
      </c>
      <c r="EH168" s="16" t="str">
        <f t="shared" si="311"/>
        <v>Fiche infoA2</v>
      </c>
      <c r="EI168" s="16" t="str">
        <f t="shared" si="312"/>
        <v/>
      </c>
    </row>
    <row r="169" spans="1:139" x14ac:dyDescent="0.2">
      <c r="A169" s="24" t="str">
        <f>Avril!BJ42</f>
        <v>Fiche infoA3</v>
      </c>
      <c r="B169" s="829">
        <f>Avril!AB42</f>
        <v>45770</v>
      </c>
      <c r="C169" s="1393"/>
      <c r="D169" s="1001">
        <f t="shared" si="268"/>
        <v>0</v>
      </c>
      <c r="E169" s="452">
        <f t="shared" si="269"/>
        <v>0</v>
      </c>
      <c r="F169" s="452">
        <f t="shared" si="270"/>
        <v>0</v>
      </c>
      <c r="G169" s="452">
        <f t="shared" si="271"/>
        <v>0</v>
      </c>
      <c r="H169" s="452">
        <f t="shared" si="272"/>
        <v>0</v>
      </c>
      <c r="I169" s="452">
        <f t="shared" si="273"/>
        <v>0</v>
      </c>
      <c r="J169" s="452">
        <f t="shared" si="274"/>
        <v>0</v>
      </c>
      <c r="K169" s="452">
        <f t="shared" si="275"/>
        <v>0</v>
      </c>
      <c r="L169" s="452">
        <f t="shared" si="313"/>
        <v>0</v>
      </c>
      <c r="M169" s="1002">
        <f t="shared" si="314"/>
        <v>0</v>
      </c>
      <c r="O169" s="1001">
        <f t="shared" si="330"/>
        <v>0</v>
      </c>
      <c r="P169" s="452">
        <f t="shared" si="331"/>
        <v>0</v>
      </c>
      <c r="Q169" s="452">
        <f t="shared" si="332"/>
        <v>0</v>
      </c>
      <c r="R169" s="452">
        <f t="shared" si="333"/>
        <v>0</v>
      </c>
      <c r="S169" s="452">
        <f t="shared" si="334"/>
        <v>0</v>
      </c>
      <c r="T169" s="452">
        <f t="shared" si="335"/>
        <v>0</v>
      </c>
      <c r="U169" s="452">
        <f t="shared" si="336"/>
        <v>0</v>
      </c>
      <c r="V169" s="452">
        <f t="shared" si="337"/>
        <v>0</v>
      </c>
      <c r="W169" s="452">
        <f t="shared" si="284"/>
        <v>0</v>
      </c>
      <c r="X169" s="1002">
        <f t="shared" si="285"/>
        <v>0</v>
      </c>
      <c r="Y169" s="459"/>
      <c r="Z169" s="291">
        <f t="shared" si="286"/>
        <v>0</v>
      </c>
      <c r="AA169" s="291">
        <f t="shared" si="287"/>
        <v>0</v>
      </c>
      <c r="AB169" s="291">
        <f t="shared" si="288"/>
        <v>0</v>
      </c>
      <c r="AC169" s="291">
        <f t="shared" si="289"/>
        <v>0</v>
      </c>
      <c r="AD169" s="291">
        <f t="shared" si="290"/>
        <v>0</v>
      </c>
      <c r="AE169" s="291">
        <f t="shared" si="291"/>
        <v>0</v>
      </c>
      <c r="AF169" s="291">
        <f t="shared" si="292"/>
        <v>0</v>
      </c>
      <c r="AG169" s="291">
        <f t="shared" si="293"/>
        <v>0</v>
      </c>
      <c r="AI169" s="462">
        <f t="shared" si="338"/>
        <v>0</v>
      </c>
      <c r="AJ169" s="1112"/>
      <c r="AK169" s="507"/>
      <c r="AL169" s="829">
        <f t="shared" si="295"/>
        <v>45770</v>
      </c>
      <c r="AM169" s="684">
        <f>IFERROR(IF(AND(AT169="",AR169&lt;&gt;S.CAL!$BJ$3,AR169&lt;&gt;S.CAL!$BJ$4,$AR$140="NON"),M169-BD169,IF(AND(AT169="",AR169&lt;&gt;S.CAL!$BJ$3,AR169&lt;&gt;S.CAL!$BJ$4,$AR$140="OUI"),X169-AI169,IF(AT169&lt;&gt;0,AT169,IF(OR(AR169=S.CAL!$BJ$3,AR169=S.CAL!$BJ$4),AR169,"")))),"")</f>
        <v>0</v>
      </c>
      <c r="AN169" s="1115"/>
      <c r="AO169" s="1116"/>
      <c r="AP169" s="684">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516">
        <f t="shared" si="315"/>
        <v>0</v>
      </c>
      <c r="AR169" s="1120"/>
      <c r="AT169" s="1123"/>
      <c r="AU169" s="831"/>
      <c r="AV169" s="1392">
        <f t="shared" si="296"/>
        <v>45770</v>
      </c>
      <c r="AX169" s="529">
        <f t="shared" si="316"/>
        <v>45770</v>
      </c>
      <c r="AY169" s="541">
        <f t="shared" si="317"/>
        <v>0</v>
      </c>
      <c r="AZ169" s="538" t="s">
        <v>146</v>
      </c>
      <c r="BA169" s="534">
        <f t="shared" si="318"/>
        <v>0</v>
      </c>
      <c r="BB169" s="567" t="str">
        <f t="shared" si="297"/>
        <v/>
      </c>
      <c r="BC169" s="541">
        <f t="shared" si="319"/>
        <v>0</v>
      </c>
      <c r="BD169" s="541">
        <f t="shared" si="320"/>
        <v>0</v>
      </c>
      <c r="BE169" s="750"/>
      <c r="BF169" s="532" t="str">
        <f t="shared" si="298"/>
        <v/>
      </c>
      <c r="BG169" s="532" t="str">
        <f t="shared" si="321"/>
        <v>oui</v>
      </c>
      <c r="BH169" s="395" t="str">
        <f t="shared" si="299"/>
        <v/>
      </c>
      <c r="BI169" s="24" t="str">
        <f t="shared" si="300"/>
        <v/>
      </c>
      <c r="BJ169" s="1403"/>
      <c r="BK169" s="1403"/>
      <c r="BL169" s="1403"/>
      <c r="BM169" s="1403"/>
      <c r="BN169" s="1403"/>
      <c r="BO169" s="1403"/>
      <c r="BP169" s="1403"/>
      <c r="BQ169" s="1403"/>
      <c r="BS169" s="1392">
        <f t="shared" si="267"/>
        <v>45770</v>
      </c>
      <c r="BT169" s="27" t="str">
        <f t="shared" si="329"/>
        <v/>
      </c>
      <c r="BU169" s="1402"/>
      <c r="BV169" s="1402"/>
      <c r="BW169" s="1402"/>
      <c r="BX169" s="1402"/>
      <c r="BY169" s="1402"/>
      <c r="BZ169" s="1402"/>
      <c r="CA169" s="1402"/>
      <c r="CB169" s="1402"/>
      <c r="CD169" s="1408">
        <f t="shared" si="322"/>
        <v>0</v>
      </c>
      <c r="DC169" s="16" t="str">
        <f>Avril!FC42</f>
        <v>non</v>
      </c>
      <c r="DG169" s="333">
        <f t="shared" si="323"/>
        <v>1</v>
      </c>
      <c r="DH169" s="129">
        <f t="shared" si="301"/>
        <v>10</v>
      </c>
      <c r="DI169" s="129">
        <f t="shared" si="324"/>
        <v>1</v>
      </c>
      <c r="DK169" s="16">
        <f>+IF(AND(Avril!$DP$8&lt;&gt;52,AR169=S.CAL!$BJ$4),10,1)</f>
        <v>1</v>
      </c>
      <c r="DN169" s="16">
        <f t="shared" si="302"/>
        <v>1</v>
      </c>
      <c r="DU169" s="1296" t="str">
        <f t="shared" si="325"/>
        <v>Fiche infoA345770</v>
      </c>
      <c r="DV169" s="1384">
        <f t="shared" si="303"/>
        <v>0</v>
      </c>
      <c r="DW169" s="1385">
        <f t="shared" si="304"/>
        <v>0</v>
      </c>
      <c r="DX169" s="1385">
        <f t="shared" si="305"/>
        <v>0</v>
      </c>
      <c r="DY169" s="1385">
        <f t="shared" si="306"/>
        <v>0</v>
      </c>
      <c r="DZ169" s="1385">
        <f t="shared" si="307"/>
        <v>0</v>
      </c>
      <c r="EA169" s="1385">
        <f t="shared" si="308"/>
        <v>0</v>
      </c>
      <c r="EB169" s="1385">
        <f t="shared" si="309"/>
        <v>0</v>
      </c>
      <c r="EC169" s="1385">
        <f t="shared" si="310"/>
        <v>0</v>
      </c>
      <c r="ED169" s="1385">
        <f t="shared" si="326"/>
        <v>0</v>
      </c>
      <c r="EE169" s="1386">
        <f t="shared" si="327"/>
        <v>0</v>
      </c>
      <c r="EG169" s="16" t="str">
        <f t="shared" si="328"/>
        <v>172025</v>
      </c>
      <c r="EH169" s="16" t="str">
        <f t="shared" si="311"/>
        <v>Fiche infoA3</v>
      </c>
      <c r="EI169" s="16" t="str">
        <f t="shared" si="312"/>
        <v/>
      </c>
    </row>
    <row r="170" spans="1:139" x14ac:dyDescent="0.2">
      <c r="A170" s="1395" t="str">
        <f>Avril!BJ43</f>
        <v>Fiche infoA4</v>
      </c>
      <c r="B170" s="829">
        <f>Avril!AB43</f>
        <v>45771</v>
      </c>
      <c r="C170" s="1394"/>
      <c r="D170" s="1001">
        <f t="shared" si="268"/>
        <v>0</v>
      </c>
      <c r="E170" s="452">
        <f t="shared" si="269"/>
        <v>0</v>
      </c>
      <c r="F170" s="452">
        <f t="shared" si="270"/>
        <v>0</v>
      </c>
      <c r="G170" s="452">
        <f t="shared" si="271"/>
        <v>0</v>
      </c>
      <c r="H170" s="452">
        <f t="shared" si="272"/>
        <v>0</v>
      </c>
      <c r="I170" s="452">
        <f t="shared" si="273"/>
        <v>0</v>
      </c>
      <c r="J170" s="452">
        <f t="shared" si="274"/>
        <v>0</v>
      </c>
      <c r="K170" s="452">
        <f t="shared" si="275"/>
        <v>0</v>
      </c>
      <c r="L170" s="452">
        <f t="shared" si="313"/>
        <v>0</v>
      </c>
      <c r="M170" s="1002">
        <f t="shared" si="314"/>
        <v>0</v>
      </c>
      <c r="N170" s="1396"/>
      <c r="O170" s="1001">
        <f t="shared" si="330"/>
        <v>0</v>
      </c>
      <c r="P170" s="452">
        <f t="shared" si="331"/>
        <v>0</v>
      </c>
      <c r="Q170" s="452">
        <f t="shared" si="332"/>
        <v>0</v>
      </c>
      <c r="R170" s="452">
        <f t="shared" si="333"/>
        <v>0</v>
      </c>
      <c r="S170" s="452">
        <f t="shared" si="334"/>
        <v>0</v>
      </c>
      <c r="T170" s="452">
        <f t="shared" si="335"/>
        <v>0</v>
      </c>
      <c r="U170" s="452">
        <f t="shared" si="336"/>
        <v>0</v>
      </c>
      <c r="V170" s="452">
        <f t="shared" si="337"/>
        <v>0</v>
      </c>
      <c r="W170" s="452">
        <f t="shared" si="284"/>
        <v>0</v>
      </c>
      <c r="X170" s="1002">
        <f t="shared" si="285"/>
        <v>0</v>
      </c>
      <c r="Y170" s="1397"/>
      <c r="Z170" s="1398">
        <f t="shared" si="286"/>
        <v>0</v>
      </c>
      <c r="AA170" s="1398">
        <f t="shared" si="287"/>
        <v>0</v>
      </c>
      <c r="AB170" s="1398">
        <f t="shared" si="288"/>
        <v>0</v>
      </c>
      <c r="AC170" s="1398">
        <f t="shared" si="289"/>
        <v>0</v>
      </c>
      <c r="AD170" s="1398">
        <f t="shared" si="290"/>
        <v>0</v>
      </c>
      <c r="AE170" s="1398">
        <f t="shared" si="291"/>
        <v>0</v>
      </c>
      <c r="AF170" s="1398">
        <f t="shared" si="292"/>
        <v>0</v>
      </c>
      <c r="AG170" s="1398">
        <f t="shared" si="293"/>
        <v>0</v>
      </c>
      <c r="AH170" s="1396"/>
      <c r="AI170" s="462">
        <f t="shared" si="338"/>
        <v>0</v>
      </c>
      <c r="AJ170" s="1112"/>
      <c r="AK170" s="1399"/>
      <c r="AL170" s="829">
        <f t="shared" si="295"/>
        <v>45771</v>
      </c>
      <c r="AM170" s="684">
        <f>IFERROR(IF(AND(AT170="",AR170&lt;&gt;S.CAL!$BJ$3,AR170&lt;&gt;S.CAL!$BJ$4,$AR$140="NON"),M170-BD170,IF(AND(AT170="",AR170&lt;&gt;S.CAL!$BJ$3,AR170&lt;&gt;S.CAL!$BJ$4,$AR$140="OUI"),X170-AI170,IF(AT170&lt;&gt;0,AT170,IF(OR(AR170=S.CAL!$BJ$3,AR170=S.CAL!$BJ$4),AR170,"")))),"")</f>
        <v>0</v>
      </c>
      <c r="AN170" s="1115"/>
      <c r="AO170" s="1116"/>
      <c r="AP170" s="684">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400">
        <f t="shared" si="315"/>
        <v>0</v>
      </c>
      <c r="AR170" s="1120"/>
      <c r="AS170" s="1396"/>
      <c r="AT170" s="1123"/>
      <c r="AU170" s="831"/>
      <c r="AV170" s="1392">
        <f t="shared" si="296"/>
        <v>45771</v>
      </c>
      <c r="AW170" s="1396"/>
      <c r="AX170" s="529">
        <f t="shared" si="316"/>
        <v>45771</v>
      </c>
      <c r="AY170" s="541">
        <f t="shared" si="317"/>
        <v>0</v>
      </c>
      <c r="AZ170" s="538" t="s">
        <v>146</v>
      </c>
      <c r="BA170" s="534">
        <f t="shared" si="318"/>
        <v>0</v>
      </c>
      <c r="BB170" s="567" t="str">
        <f t="shared" si="297"/>
        <v/>
      </c>
      <c r="BC170" s="541">
        <f t="shared" si="319"/>
        <v>0</v>
      </c>
      <c r="BD170" s="541">
        <f t="shared" si="320"/>
        <v>0</v>
      </c>
      <c r="BE170" s="750"/>
      <c r="BF170" s="532" t="str">
        <f t="shared" si="298"/>
        <v/>
      </c>
      <c r="BG170" s="532" t="str">
        <f t="shared" si="321"/>
        <v>oui</v>
      </c>
      <c r="BH170" s="395" t="str">
        <f t="shared" si="299"/>
        <v/>
      </c>
      <c r="BI170" s="24" t="str">
        <f t="shared" si="300"/>
        <v/>
      </c>
      <c r="BJ170" s="1404"/>
      <c r="BK170" s="1404"/>
      <c r="BL170" s="1404"/>
      <c r="BM170" s="1404"/>
      <c r="BN170" s="1404"/>
      <c r="BO170" s="1404"/>
      <c r="BP170" s="1404"/>
      <c r="BQ170" s="1404"/>
      <c r="BR170" s="1405"/>
      <c r="BS170" s="1392">
        <f t="shared" si="267"/>
        <v>45771</v>
      </c>
      <c r="BT170" s="1406" t="str">
        <f t="shared" si="329"/>
        <v/>
      </c>
      <c r="BU170" s="1404"/>
      <c r="BV170" s="1404"/>
      <c r="BW170" s="1404"/>
      <c r="BX170" s="1404"/>
      <c r="BY170" s="1404"/>
      <c r="BZ170" s="1404"/>
      <c r="CA170" s="1404"/>
      <c r="CB170" s="1404"/>
      <c r="CD170" s="1408">
        <f t="shared" si="322"/>
        <v>0</v>
      </c>
      <c r="DC170" s="16" t="str">
        <f>Avril!FC43</f>
        <v>non</v>
      </c>
      <c r="DG170" s="333">
        <f t="shared" si="323"/>
        <v>1</v>
      </c>
      <c r="DH170" s="129">
        <f t="shared" si="301"/>
        <v>10</v>
      </c>
      <c r="DI170" s="129">
        <f t="shared" si="324"/>
        <v>1</v>
      </c>
      <c r="DK170" s="16">
        <f>+IF(AND(Avril!$DP$8&lt;&gt;52,AR170=S.CAL!$BJ$4),10,1)</f>
        <v>1</v>
      </c>
      <c r="DN170" s="16">
        <f t="shared" si="302"/>
        <v>1</v>
      </c>
      <c r="DU170" s="1296" t="str">
        <f t="shared" si="325"/>
        <v>Fiche infoA445771</v>
      </c>
      <c r="DV170" s="1384">
        <f t="shared" si="303"/>
        <v>0</v>
      </c>
      <c r="DW170" s="1385">
        <f t="shared" si="304"/>
        <v>0</v>
      </c>
      <c r="DX170" s="1385">
        <f t="shared" si="305"/>
        <v>0</v>
      </c>
      <c r="DY170" s="1385">
        <f t="shared" si="306"/>
        <v>0</v>
      </c>
      <c r="DZ170" s="1385">
        <f t="shared" si="307"/>
        <v>0</v>
      </c>
      <c r="EA170" s="1385">
        <f t="shared" si="308"/>
        <v>0</v>
      </c>
      <c r="EB170" s="1385">
        <f t="shared" si="309"/>
        <v>0</v>
      </c>
      <c r="EC170" s="1385">
        <f t="shared" si="310"/>
        <v>0</v>
      </c>
      <c r="ED170" s="1385">
        <f t="shared" si="326"/>
        <v>0</v>
      </c>
      <c r="EE170" s="1386">
        <f t="shared" si="327"/>
        <v>0</v>
      </c>
      <c r="EG170" s="16" t="str">
        <f t="shared" si="328"/>
        <v>172025</v>
      </c>
      <c r="EH170" s="16" t="str">
        <f t="shared" si="311"/>
        <v>Fiche infoA4</v>
      </c>
      <c r="EI170" s="16" t="str">
        <f t="shared" si="312"/>
        <v/>
      </c>
    </row>
    <row r="171" spans="1:139" x14ac:dyDescent="0.2">
      <c r="A171" s="24" t="str">
        <f>Avril!BJ44</f>
        <v>Fiche infoA5</v>
      </c>
      <c r="B171" s="829">
        <f>Avril!AB44</f>
        <v>45772</v>
      </c>
      <c r="C171" s="1393"/>
      <c r="D171" s="1001">
        <f t="shared" si="268"/>
        <v>0</v>
      </c>
      <c r="E171" s="452">
        <f t="shared" si="269"/>
        <v>0</v>
      </c>
      <c r="F171" s="452">
        <f t="shared" si="270"/>
        <v>0</v>
      </c>
      <c r="G171" s="452">
        <f t="shared" si="271"/>
        <v>0</v>
      </c>
      <c r="H171" s="452">
        <f t="shared" si="272"/>
        <v>0</v>
      </c>
      <c r="I171" s="452">
        <f t="shared" si="273"/>
        <v>0</v>
      </c>
      <c r="J171" s="452">
        <f t="shared" si="274"/>
        <v>0</v>
      </c>
      <c r="K171" s="452">
        <f t="shared" si="275"/>
        <v>0</v>
      </c>
      <c r="L171" s="452">
        <f t="shared" si="313"/>
        <v>0</v>
      </c>
      <c r="M171" s="1002">
        <f t="shared" si="314"/>
        <v>0</v>
      </c>
      <c r="O171" s="1001">
        <f t="shared" si="330"/>
        <v>0</v>
      </c>
      <c r="P171" s="452">
        <f t="shared" si="331"/>
        <v>0</v>
      </c>
      <c r="Q171" s="452">
        <f t="shared" si="332"/>
        <v>0</v>
      </c>
      <c r="R171" s="452">
        <f t="shared" si="333"/>
        <v>0</v>
      </c>
      <c r="S171" s="452">
        <f t="shared" si="334"/>
        <v>0</v>
      </c>
      <c r="T171" s="452">
        <f t="shared" si="335"/>
        <v>0</v>
      </c>
      <c r="U171" s="452">
        <f t="shared" si="336"/>
        <v>0</v>
      </c>
      <c r="V171" s="452">
        <f t="shared" si="337"/>
        <v>0</v>
      </c>
      <c r="W171" s="452">
        <f t="shared" si="284"/>
        <v>0</v>
      </c>
      <c r="X171" s="1002">
        <f t="shared" si="285"/>
        <v>0</v>
      </c>
      <c r="Y171" s="459"/>
      <c r="Z171" s="291">
        <f t="shared" si="286"/>
        <v>0</v>
      </c>
      <c r="AA171" s="291">
        <f t="shared" si="287"/>
        <v>0</v>
      </c>
      <c r="AB171" s="291">
        <f t="shared" si="288"/>
        <v>0</v>
      </c>
      <c r="AC171" s="291">
        <f t="shared" si="289"/>
        <v>0</v>
      </c>
      <c r="AD171" s="291">
        <f t="shared" si="290"/>
        <v>0</v>
      </c>
      <c r="AE171" s="291">
        <f t="shared" si="291"/>
        <v>0</v>
      </c>
      <c r="AF171" s="291">
        <f t="shared" si="292"/>
        <v>0</v>
      </c>
      <c r="AG171" s="291">
        <f t="shared" si="293"/>
        <v>0</v>
      </c>
      <c r="AI171" s="462">
        <f t="shared" si="338"/>
        <v>0</v>
      </c>
      <c r="AJ171" s="1112"/>
      <c r="AK171" s="507"/>
      <c r="AL171" s="829">
        <f t="shared" si="295"/>
        <v>45772</v>
      </c>
      <c r="AM171" s="684">
        <f>IFERROR(IF(AND(AT171="",AR171&lt;&gt;S.CAL!$BJ$3,AR171&lt;&gt;S.CAL!$BJ$4,$AR$140="NON"),M171-BD171,IF(AND(AT171="",AR171&lt;&gt;S.CAL!$BJ$3,AR171&lt;&gt;S.CAL!$BJ$4,$AR$140="OUI"),X171-AI171,IF(AT171&lt;&gt;0,AT171,IF(OR(AR171=S.CAL!$BJ$3,AR171=S.CAL!$BJ$4),AR171,"")))),"")</f>
        <v>0</v>
      </c>
      <c r="AN171" s="1115"/>
      <c r="AO171" s="1116"/>
      <c r="AP171" s="684">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516">
        <f t="shared" si="315"/>
        <v>0</v>
      </c>
      <c r="AR171" s="1120"/>
      <c r="AT171" s="1123"/>
      <c r="AU171" s="831"/>
      <c r="AV171" s="1392">
        <f t="shared" si="296"/>
        <v>45772</v>
      </c>
      <c r="AX171" s="529">
        <f t="shared" si="316"/>
        <v>45772</v>
      </c>
      <c r="AY171" s="541">
        <f t="shared" si="317"/>
        <v>0</v>
      </c>
      <c r="AZ171" s="538" t="s">
        <v>146</v>
      </c>
      <c r="BA171" s="534">
        <f t="shared" si="318"/>
        <v>0</v>
      </c>
      <c r="BB171" s="567" t="str">
        <f t="shared" si="297"/>
        <v/>
      </c>
      <c r="BC171" s="541">
        <f t="shared" si="319"/>
        <v>0</v>
      </c>
      <c r="BD171" s="541">
        <f t="shared" si="320"/>
        <v>0</v>
      </c>
      <c r="BE171" s="750"/>
      <c r="BF171" s="532" t="str">
        <f t="shared" si="298"/>
        <v/>
      </c>
      <c r="BG171" s="532" t="str">
        <f t="shared" si="321"/>
        <v>oui</v>
      </c>
      <c r="BH171" s="395" t="str">
        <f t="shared" si="299"/>
        <v/>
      </c>
      <c r="BI171" s="24" t="str">
        <f t="shared" si="300"/>
        <v/>
      </c>
      <c r="BJ171" s="1403"/>
      <c r="BK171" s="1403"/>
      <c r="BL171" s="1403"/>
      <c r="BM171" s="1403"/>
      <c r="BN171" s="1403"/>
      <c r="BO171" s="1403"/>
      <c r="BP171" s="1403"/>
      <c r="BQ171" s="1403"/>
      <c r="BS171" s="1392">
        <f t="shared" si="267"/>
        <v>45772</v>
      </c>
      <c r="BT171" s="27" t="str">
        <f t="shared" si="329"/>
        <v/>
      </c>
      <c r="BU171" s="1402"/>
      <c r="BV171" s="1402"/>
      <c r="BW171" s="1402"/>
      <c r="BX171" s="1402"/>
      <c r="BY171" s="1402"/>
      <c r="BZ171" s="1402"/>
      <c r="CA171" s="1402"/>
      <c r="CB171" s="1402"/>
      <c r="CD171" s="1408">
        <f t="shared" si="322"/>
        <v>0</v>
      </c>
      <c r="DC171" s="16" t="str">
        <f>Avril!FC44</f>
        <v>non</v>
      </c>
      <c r="DG171" s="333">
        <f t="shared" si="323"/>
        <v>1</v>
      </c>
      <c r="DH171" s="129">
        <f t="shared" si="301"/>
        <v>10</v>
      </c>
      <c r="DI171" s="129">
        <f t="shared" si="324"/>
        <v>1</v>
      </c>
      <c r="DK171" s="16">
        <f>+IF(AND(Avril!$DP$8&lt;&gt;52,AR171=S.CAL!$BJ$4),10,1)</f>
        <v>1</v>
      </c>
      <c r="DN171" s="16">
        <f t="shared" si="302"/>
        <v>1</v>
      </c>
      <c r="DU171" s="1296" t="str">
        <f t="shared" si="325"/>
        <v>Fiche infoA545772</v>
      </c>
      <c r="DV171" s="1384">
        <f t="shared" si="303"/>
        <v>0</v>
      </c>
      <c r="DW171" s="1385">
        <f t="shared" si="304"/>
        <v>0</v>
      </c>
      <c r="DX171" s="1385">
        <f t="shared" si="305"/>
        <v>0</v>
      </c>
      <c r="DY171" s="1385">
        <f t="shared" si="306"/>
        <v>0</v>
      </c>
      <c r="DZ171" s="1385">
        <f t="shared" si="307"/>
        <v>0</v>
      </c>
      <c r="EA171" s="1385">
        <f t="shared" si="308"/>
        <v>0</v>
      </c>
      <c r="EB171" s="1385">
        <f t="shared" si="309"/>
        <v>0</v>
      </c>
      <c r="EC171" s="1385">
        <f t="shared" si="310"/>
        <v>0</v>
      </c>
      <c r="ED171" s="1385">
        <f t="shared" si="326"/>
        <v>0</v>
      </c>
      <c r="EE171" s="1386">
        <f t="shared" si="327"/>
        <v>0</v>
      </c>
      <c r="EG171" s="16" t="str">
        <f t="shared" si="328"/>
        <v>172025</v>
      </c>
      <c r="EH171" s="16" t="str">
        <f t="shared" si="311"/>
        <v>Fiche infoA5</v>
      </c>
      <c r="EI171" s="16" t="str">
        <f t="shared" si="312"/>
        <v/>
      </c>
    </row>
    <row r="172" spans="1:139" x14ac:dyDescent="0.2">
      <c r="A172" s="1395" t="str">
        <f>Avril!BJ45</f>
        <v>Fiche infoA6</v>
      </c>
      <c r="B172" s="829">
        <f>Avril!AB45</f>
        <v>45773</v>
      </c>
      <c r="C172" s="1394"/>
      <c r="D172" s="1001">
        <f t="shared" si="268"/>
        <v>0</v>
      </c>
      <c r="E172" s="452">
        <f t="shared" si="269"/>
        <v>0</v>
      </c>
      <c r="F172" s="452">
        <f t="shared" si="270"/>
        <v>0</v>
      </c>
      <c r="G172" s="452">
        <f t="shared" si="271"/>
        <v>0</v>
      </c>
      <c r="H172" s="452">
        <f t="shared" si="272"/>
        <v>0</v>
      </c>
      <c r="I172" s="452">
        <f t="shared" si="273"/>
        <v>0</v>
      </c>
      <c r="J172" s="452">
        <f t="shared" si="274"/>
        <v>0</v>
      </c>
      <c r="K172" s="452">
        <f t="shared" si="275"/>
        <v>0</v>
      </c>
      <c r="L172" s="452">
        <f t="shared" si="313"/>
        <v>0</v>
      </c>
      <c r="M172" s="1002">
        <f t="shared" si="314"/>
        <v>0</v>
      </c>
      <c r="N172" s="1396"/>
      <c r="O172" s="1001">
        <f t="shared" si="330"/>
        <v>0</v>
      </c>
      <c r="P172" s="452">
        <f t="shared" si="331"/>
        <v>0</v>
      </c>
      <c r="Q172" s="452">
        <f t="shared" si="332"/>
        <v>0</v>
      </c>
      <c r="R172" s="452">
        <f t="shared" si="333"/>
        <v>0</v>
      </c>
      <c r="S172" s="452">
        <f t="shared" si="334"/>
        <v>0</v>
      </c>
      <c r="T172" s="452">
        <f t="shared" si="335"/>
        <v>0</v>
      </c>
      <c r="U172" s="452">
        <f t="shared" si="336"/>
        <v>0</v>
      </c>
      <c r="V172" s="452">
        <f t="shared" si="337"/>
        <v>0</v>
      </c>
      <c r="W172" s="452">
        <f t="shared" si="284"/>
        <v>0</v>
      </c>
      <c r="X172" s="1002">
        <f t="shared" si="285"/>
        <v>0</v>
      </c>
      <c r="Y172" s="1397"/>
      <c r="Z172" s="1398">
        <f t="shared" si="286"/>
        <v>0</v>
      </c>
      <c r="AA172" s="1398">
        <f t="shared" si="287"/>
        <v>0</v>
      </c>
      <c r="AB172" s="1398">
        <f t="shared" si="288"/>
        <v>0</v>
      </c>
      <c r="AC172" s="1398">
        <f t="shared" si="289"/>
        <v>0</v>
      </c>
      <c r="AD172" s="1398">
        <f t="shared" si="290"/>
        <v>0</v>
      </c>
      <c r="AE172" s="1398">
        <f t="shared" si="291"/>
        <v>0</v>
      </c>
      <c r="AF172" s="1398">
        <f t="shared" si="292"/>
        <v>0</v>
      </c>
      <c r="AG172" s="1398">
        <f t="shared" si="293"/>
        <v>0</v>
      </c>
      <c r="AH172" s="1396"/>
      <c r="AI172" s="462">
        <f t="shared" si="338"/>
        <v>0</v>
      </c>
      <c r="AJ172" s="1112"/>
      <c r="AK172" s="1399"/>
      <c r="AL172" s="829">
        <f t="shared" si="295"/>
        <v>45773</v>
      </c>
      <c r="AM172" s="684">
        <f>IFERROR(IF(AND(AT172="",AR172&lt;&gt;S.CAL!$BJ$3,AR172&lt;&gt;S.CAL!$BJ$4,$AR$140="NON"),M172-BD172,IF(AND(AT172="",AR172&lt;&gt;S.CAL!$BJ$3,AR172&lt;&gt;S.CAL!$BJ$4,$AR$140="OUI"),X172-AI172,IF(AT172&lt;&gt;0,AT172,IF(OR(AR172=S.CAL!$BJ$3,AR172=S.CAL!$BJ$4),AR172,"")))),"")</f>
        <v>0</v>
      </c>
      <c r="AN172" s="1115"/>
      <c r="AO172" s="1116"/>
      <c r="AP172" s="684">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400">
        <f t="shared" si="315"/>
        <v>0</v>
      </c>
      <c r="AR172" s="1120"/>
      <c r="AS172" s="1396"/>
      <c r="AT172" s="1123"/>
      <c r="AU172" s="831"/>
      <c r="AV172" s="1392">
        <f t="shared" si="296"/>
        <v>45773</v>
      </c>
      <c r="AW172" s="1396"/>
      <c r="AX172" s="529">
        <f t="shared" si="316"/>
        <v>45773</v>
      </c>
      <c r="AY172" s="541">
        <f t="shared" si="317"/>
        <v>0</v>
      </c>
      <c r="AZ172" s="538" t="s">
        <v>146</v>
      </c>
      <c r="BA172" s="534">
        <f t="shared" si="318"/>
        <v>0</v>
      </c>
      <c r="BB172" s="567" t="str">
        <f t="shared" si="297"/>
        <v/>
      </c>
      <c r="BC172" s="541">
        <f t="shared" si="319"/>
        <v>0</v>
      </c>
      <c r="BD172" s="541">
        <f t="shared" si="320"/>
        <v>0</v>
      </c>
      <c r="BE172" s="750"/>
      <c r="BF172" s="532" t="str">
        <f t="shared" si="298"/>
        <v/>
      </c>
      <c r="BG172" s="532" t="str">
        <f t="shared" si="321"/>
        <v>oui</v>
      </c>
      <c r="BH172" s="395" t="str">
        <f t="shared" si="299"/>
        <v/>
      </c>
      <c r="BI172" s="24" t="str">
        <f t="shared" si="300"/>
        <v/>
      </c>
      <c r="BJ172" s="1404"/>
      <c r="BK172" s="1404"/>
      <c r="BL172" s="1404"/>
      <c r="BM172" s="1404"/>
      <c r="BN172" s="1404"/>
      <c r="BO172" s="1404"/>
      <c r="BP172" s="1404"/>
      <c r="BQ172" s="1404"/>
      <c r="BR172" s="1405"/>
      <c r="BS172" s="1392">
        <f t="shared" si="267"/>
        <v>45773</v>
      </c>
      <c r="BT172" s="1406" t="str">
        <f t="shared" si="329"/>
        <v/>
      </c>
      <c r="BU172" s="1404"/>
      <c r="BV172" s="1404"/>
      <c r="BW172" s="1404"/>
      <c r="BX172" s="1404"/>
      <c r="BY172" s="1404"/>
      <c r="BZ172" s="1404"/>
      <c r="CA172" s="1404"/>
      <c r="CB172" s="1404"/>
      <c r="CD172" s="1408">
        <f t="shared" si="322"/>
        <v>0</v>
      </c>
      <c r="DC172" s="16" t="str">
        <f>Avril!FC45</f>
        <v>non</v>
      </c>
      <c r="DG172" s="333">
        <f t="shared" si="323"/>
        <v>1</v>
      </c>
      <c r="DH172" s="129">
        <f t="shared" si="301"/>
        <v>10</v>
      </c>
      <c r="DI172" s="129">
        <f t="shared" si="324"/>
        <v>1</v>
      </c>
      <c r="DK172" s="16">
        <f>+IF(AND(Avril!$DP$8&lt;&gt;52,AR172=S.CAL!$BJ$4),10,1)</f>
        <v>1</v>
      </c>
      <c r="DN172" s="16">
        <f t="shared" si="302"/>
        <v>1</v>
      </c>
      <c r="DU172" s="1296" t="str">
        <f t="shared" si="325"/>
        <v>Fiche infoA645773</v>
      </c>
      <c r="DV172" s="1384">
        <f t="shared" si="303"/>
        <v>0</v>
      </c>
      <c r="DW172" s="1385">
        <f t="shared" si="304"/>
        <v>0</v>
      </c>
      <c r="DX172" s="1385">
        <f t="shared" si="305"/>
        <v>0</v>
      </c>
      <c r="DY172" s="1385">
        <f t="shared" si="306"/>
        <v>0</v>
      </c>
      <c r="DZ172" s="1385">
        <f t="shared" si="307"/>
        <v>0</v>
      </c>
      <c r="EA172" s="1385">
        <f t="shared" si="308"/>
        <v>0</v>
      </c>
      <c r="EB172" s="1385">
        <f t="shared" si="309"/>
        <v>0</v>
      </c>
      <c r="EC172" s="1385">
        <f t="shared" si="310"/>
        <v>0</v>
      </c>
      <c r="ED172" s="1385">
        <f t="shared" si="326"/>
        <v>0</v>
      </c>
      <c r="EE172" s="1386">
        <f t="shared" si="327"/>
        <v>0</v>
      </c>
      <c r="EG172" s="16" t="str">
        <f t="shared" si="328"/>
        <v>172025</v>
      </c>
      <c r="EH172" s="16" t="str">
        <f t="shared" si="311"/>
        <v>Fiche infoA6</v>
      </c>
      <c r="EI172" s="16" t="str">
        <f t="shared" si="312"/>
        <v/>
      </c>
    </row>
    <row r="173" spans="1:139" x14ac:dyDescent="0.2">
      <c r="A173" s="24" t="str">
        <f>Avril!BJ46</f>
        <v>Fiche infoA7</v>
      </c>
      <c r="B173" s="829">
        <f>Avril!AB46</f>
        <v>45774</v>
      </c>
      <c r="C173" s="1393"/>
      <c r="D173" s="1001">
        <f t="shared" si="268"/>
        <v>0</v>
      </c>
      <c r="E173" s="452">
        <f t="shared" si="269"/>
        <v>0</v>
      </c>
      <c r="F173" s="452">
        <f t="shared" si="270"/>
        <v>0</v>
      </c>
      <c r="G173" s="452">
        <f t="shared" si="271"/>
        <v>0</v>
      </c>
      <c r="H173" s="452">
        <f t="shared" si="272"/>
        <v>0</v>
      </c>
      <c r="I173" s="452">
        <f t="shared" si="273"/>
        <v>0</v>
      </c>
      <c r="J173" s="452">
        <f t="shared" si="274"/>
        <v>0</v>
      </c>
      <c r="K173" s="452">
        <f t="shared" si="275"/>
        <v>0</v>
      </c>
      <c r="L173" s="452">
        <f t="shared" si="313"/>
        <v>0</v>
      </c>
      <c r="M173" s="1002">
        <f t="shared" si="314"/>
        <v>0</v>
      </c>
      <c r="O173" s="1001">
        <f t="shared" si="330"/>
        <v>0</v>
      </c>
      <c r="P173" s="452">
        <f t="shared" si="331"/>
        <v>0</v>
      </c>
      <c r="Q173" s="452">
        <f t="shared" si="332"/>
        <v>0</v>
      </c>
      <c r="R173" s="452">
        <f t="shared" si="333"/>
        <v>0</v>
      </c>
      <c r="S173" s="452">
        <f t="shared" si="334"/>
        <v>0</v>
      </c>
      <c r="T173" s="452">
        <f t="shared" si="335"/>
        <v>0</v>
      </c>
      <c r="U173" s="452">
        <f t="shared" si="336"/>
        <v>0</v>
      </c>
      <c r="V173" s="452">
        <f t="shared" si="337"/>
        <v>0</v>
      </c>
      <c r="W173" s="452">
        <f t="shared" si="284"/>
        <v>0</v>
      </c>
      <c r="X173" s="1002">
        <f t="shared" si="285"/>
        <v>0</v>
      </c>
      <c r="Y173" s="459"/>
      <c r="Z173" s="291">
        <f t="shared" si="286"/>
        <v>0</v>
      </c>
      <c r="AA173" s="291">
        <f t="shared" si="287"/>
        <v>0</v>
      </c>
      <c r="AB173" s="291">
        <f t="shared" si="288"/>
        <v>0</v>
      </c>
      <c r="AC173" s="291">
        <f t="shared" si="289"/>
        <v>0</v>
      </c>
      <c r="AD173" s="291">
        <f t="shared" si="290"/>
        <v>0</v>
      </c>
      <c r="AE173" s="291">
        <f t="shared" si="291"/>
        <v>0</v>
      </c>
      <c r="AF173" s="291">
        <f t="shared" si="292"/>
        <v>0</v>
      </c>
      <c r="AG173" s="291">
        <f t="shared" si="293"/>
        <v>0</v>
      </c>
      <c r="AI173" s="462">
        <f t="shared" si="338"/>
        <v>0</v>
      </c>
      <c r="AJ173" s="1112"/>
      <c r="AK173" s="507"/>
      <c r="AL173" s="829">
        <f t="shared" si="295"/>
        <v>45774</v>
      </c>
      <c r="AM173" s="684">
        <f>IFERROR(IF(AND(AT173="",AR173&lt;&gt;S.CAL!$BJ$3,AR173&lt;&gt;S.CAL!$BJ$4,$AR$140="NON"),M173-BD173,IF(AND(AT173="",AR173&lt;&gt;S.CAL!$BJ$3,AR173&lt;&gt;S.CAL!$BJ$4,$AR$140="OUI"),X173-AI173,IF(AT173&lt;&gt;0,AT173,IF(OR(AR173=S.CAL!$BJ$3,AR173=S.CAL!$BJ$4),AR173,"")))),"")</f>
        <v>0</v>
      </c>
      <c r="AN173" s="1115"/>
      <c r="AO173" s="1116"/>
      <c r="AP173" s="684">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516">
        <f t="shared" si="315"/>
        <v>0</v>
      </c>
      <c r="AR173" s="1120"/>
      <c r="AT173" s="1123"/>
      <c r="AU173" s="831"/>
      <c r="AV173" s="1392">
        <f t="shared" si="296"/>
        <v>45774</v>
      </c>
      <c r="AX173" s="529">
        <f t="shared" si="316"/>
        <v>45774</v>
      </c>
      <c r="AY173" s="541">
        <f t="shared" si="317"/>
        <v>0</v>
      </c>
      <c r="AZ173" s="538" t="s">
        <v>146</v>
      </c>
      <c r="BA173" s="534">
        <f t="shared" si="318"/>
        <v>0</v>
      </c>
      <c r="BB173" s="567" t="str">
        <f t="shared" si="297"/>
        <v/>
      </c>
      <c r="BC173" s="541">
        <f t="shared" si="319"/>
        <v>0</v>
      </c>
      <c r="BD173" s="541">
        <f t="shared" si="320"/>
        <v>0</v>
      </c>
      <c r="BE173" s="750"/>
      <c r="BF173" s="532" t="str">
        <f t="shared" si="298"/>
        <v/>
      </c>
      <c r="BG173" s="532" t="str">
        <f t="shared" si="321"/>
        <v>oui</v>
      </c>
      <c r="BH173" s="395" t="str">
        <f t="shared" si="299"/>
        <v/>
      </c>
      <c r="BI173" s="24" t="str">
        <f t="shared" si="300"/>
        <v/>
      </c>
      <c r="BJ173" s="1403"/>
      <c r="BK173" s="1403"/>
      <c r="BL173" s="1403"/>
      <c r="BM173" s="1403"/>
      <c r="BN173" s="1403"/>
      <c r="BO173" s="1403"/>
      <c r="BP173" s="1403"/>
      <c r="BQ173" s="1403"/>
      <c r="BS173" s="1392">
        <f t="shared" si="267"/>
        <v>45774</v>
      </c>
      <c r="BT173" s="27" t="str">
        <f t="shared" si="329"/>
        <v/>
      </c>
      <c r="BU173" s="1402"/>
      <c r="BV173" s="1402"/>
      <c r="BW173" s="1402"/>
      <c r="BX173" s="1402"/>
      <c r="BY173" s="1402"/>
      <c r="BZ173" s="1402"/>
      <c r="CA173" s="1402"/>
      <c r="CB173" s="1402"/>
      <c r="CD173" s="1408">
        <f t="shared" si="322"/>
        <v>0</v>
      </c>
      <c r="DC173" s="16" t="str">
        <f>Avril!FC46</f>
        <v>non</v>
      </c>
      <c r="DG173" s="333">
        <f t="shared" si="323"/>
        <v>1</v>
      </c>
      <c r="DH173" s="129">
        <f t="shared" si="301"/>
        <v>10</v>
      </c>
      <c r="DI173" s="129">
        <f t="shared" si="324"/>
        <v>1</v>
      </c>
      <c r="DK173" s="16">
        <f>+IF(AND(Avril!$DP$8&lt;&gt;52,AR173=S.CAL!$BJ$4),10,1)</f>
        <v>1</v>
      </c>
      <c r="DN173" s="16">
        <f t="shared" si="302"/>
        <v>1</v>
      </c>
      <c r="DU173" s="1296" t="str">
        <f t="shared" si="325"/>
        <v>Fiche infoA745774</v>
      </c>
      <c r="DV173" s="1384">
        <f t="shared" si="303"/>
        <v>0</v>
      </c>
      <c r="DW173" s="1385">
        <f t="shared" si="304"/>
        <v>0</v>
      </c>
      <c r="DX173" s="1385">
        <f t="shared" si="305"/>
        <v>0</v>
      </c>
      <c r="DY173" s="1385">
        <f t="shared" si="306"/>
        <v>0</v>
      </c>
      <c r="DZ173" s="1385">
        <f t="shared" si="307"/>
        <v>0</v>
      </c>
      <c r="EA173" s="1385">
        <f t="shared" si="308"/>
        <v>0</v>
      </c>
      <c r="EB173" s="1385">
        <f t="shared" si="309"/>
        <v>0</v>
      </c>
      <c r="EC173" s="1385">
        <f t="shared" si="310"/>
        <v>0</v>
      </c>
      <c r="ED173" s="1385">
        <f t="shared" si="326"/>
        <v>0</v>
      </c>
      <c r="EE173" s="1386">
        <f t="shared" si="327"/>
        <v>0</v>
      </c>
      <c r="EG173" s="16" t="str">
        <f t="shared" si="328"/>
        <v>172025</v>
      </c>
      <c r="EH173" s="16" t="str">
        <f t="shared" si="311"/>
        <v>Fiche infoA7</v>
      </c>
      <c r="EI173" s="16" t="str">
        <f t="shared" si="312"/>
        <v/>
      </c>
    </row>
    <row r="174" spans="1:139" x14ac:dyDescent="0.2">
      <c r="A174" s="1395" t="str">
        <f>Avril!BJ47</f>
        <v>Fiche infoA1</v>
      </c>
      <c r="B174" s="829">
        <f>Avril!AB47</f>
        <v>45775</v>
      </c>
      <c r="C174" s="1394"/>
      <c r="D174" s="1001">
        <f t="shared" si="268"/>
        <v>0</v>
      </c>
      <c r="E174" s="452">
        <f t="shared" si="269"/>
        <v>0</v>
      </c>
      <c r="F174" s="452">
        <f t="shared" si="270"/>
        <v>0</v>
      </c>
      <c r="G174" s="452">
        <f t="shared" si="271"/>
        <v>0</v>
      </c>
      <c r="H174" s="452">
        <f t="shared" si="272"/>
        <v>0</v>
      </c>
      <c r="I174" s="452">
        <f t="shared" si="273"/>
        <v>0</v>
      </c>
      <c r="J174" s="452">
        <f t="shared" si="274"/>
        <v>0</v>
      </c>
      <c r="K174" s="452">
        <f t="shared" si="275"/>
        <v>0</v>
      </c>
      <c r="L174" s="452">
        <f t="shared" si="313"/>
        <v>0</v>
      </c>
      <c r="M174" s="1002">
        <f t="shared" si="314"/>
        <v>0</v>
      </c>
      <c r="N174" s="1396"/>
      <c r="O174" s="1001">
        <f t="shared" si="330"/>
        <v>0</v>
      </c>
      <c r="P174" s="452">
        <f t="shared" si="331"/>
        <v>0</v>
      </c>
      <c r="Q174" s="452">
        <f t="shared" si="332"/>
        <v>0</v>
      </c>
      <c r="R174" s="452">
        <f t="shared" si="333"/>
        <v>0</v>
      </c>
      <c r="S174" s="452">
        <f t="shared" si="334"/>
        <v>0</v>
      </c>
      <c r="T174" s="452">
        <f t="shared" si="335"/>
        <v>0</v>
      </c>
      <c r="U174" s="452">
        <f t="shared" si="336"/>
        <v>0</v>
      </c>
      <c r="V174" s="452">
        <f t="shared" si="337"/>
        <v>0</v>
      </c>
      <c r="W174" s="452">
        <f t="shared" si="284"/>
        <v>0</v>
      </c>
      <c r="X174" s="1002">
        <f t="shared" si="285"/>
        <v>0</v>
      </c>
      <c r="Y174" s="1397"/>
      <c r="Z174" s="1398">
        <f t="shared" si="286"/>
        <v>0</v>
      </c>
      <c r="AA174" s="1398">
        <f t="shared" si="287"/>
        <v>0</v>
      </c>
      <c r="AB174" s="1398">
        <f t="shared" si="288"/>
        <v>0</v>
      </c>
      <c r="AC174" s="1398">
        <f t="shared" si="289"/>
        <v>0</v>
      </c>
      <c r="AD174" s="1398">
        <f t="shared" si="290"/>
        <v>0</v>
      </c>
      <c r="AE174" s="1398">
        <f t="shared" si="291"/>
        <v>0</v>
      </c>
      <c r="AF174" s="1398">
        <f t="shared" si="292"/>
        <v>0</v>
      </c>
      <c r="AG174" s="1398">
        <f t="shared" si="293"/>
        <v>0</v>
      </c>
      <c r="AH174" s="1396"/>
      <c r="AI174" s="462">
        <f t="shared" si="338"/>
        <v>0</v>
      </c>
      <c r="AJ174" s="1112"/>
      <c r="AK174" s="1399"/>
      <c r="AL174" s="829">
        <f t="shared" si="295"/>
        <v>45775</v>
      </c>
      <c r="AM174" s="684">
        <f>IFERROR(IF(AND(AT174="",AR174&lt;&gt;S.CAL!$BJ$3,AR174&lt;&gt;S.CAL!$BJ$4,$AR$140="NON"),M174-BD174,IF(AND(AT174="",AR174&lt;&gt;S.CAL!$BJ$3,AR174&lt;&gt;S.CAL!$BJ$4,$AR$140="OUI"),X174-AI174,IF(AT174&lt;&gt;0,AT174,IF(OR(AR174=S.CAL!$BJ$3,AR174=S.CAL!$BJ$4),AR174,"")))),"")</f>
        <v>0</v>
      </c>
      <c r="AN174" s="1115"/>
      <c r="AO174" s="1116"/>
      <c r="AP174" s="684">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400">
        <f t="shared" si="315"/>
        <v>0</v>
      </c>
      <c r="AR174" s="1120"/>
      <c r="AS174" s="1396"/>
      <c r="AT174" s="1123"/>
      <c r="AU174" s="831"/>
      <c r="AV174" s="1392">
        <f t="shared" si="296"/>
        <v>45775</v>
      </c>
      <c r="AW174" s="1396"/>
      <c r="AX174" s="529">
        <f t="shared" si="316"/>
        <v>45775</v>
      </c>
      <c r="AY174" s="541">
        <f t="shared" si="317"/>
        <v>0</v>
      </c>
      <c r="AZ174" s="538" t="s">
        <v>146</v>
      </c>
      <c r="BA174" s="534">
        <f t="shared" si="318"/>
        <v>0</v>
      </c>
      <c r="BB174" s="567" t="str">
        <f t="shared" si="297"/>
        <v/>
      </c>
      <c r="BC174" s="541">
        <f t="shared" si="319"/>
        <v>0</v>
      </c>
      <c r="BD174" s="541">
        <f t="shared" si="320"/>
        <v>0</v>
      </c>
      <c r="BE174" s="750"/>
      <c r="BF174" s="532" t="str">
        <f t="shared" si="298"/>
        <v/>
      </c>
      <c r="BG174" s="532" t="str">
        <f t="shared" si="321"/>
        <v>oui</v>
      </c>
      <c r="BH174" s="395" t="str">
        <f t="shared" si="299"/>
        <v/>
      </c>
      <c r="BI174" s="24" t="str">
        <f t="shared" si="300"/>
        <v/>
      </c>
      <c r="BJ174" s="1404"/>
      <c r="BK174" s="1404"/>
      <c r="BL174" s="1404"/>
      <c r="BM174" s="1404"/>
      <c r="BN174" s="1404"/>
      <c r="BO174" s="1404"/>
      <c r="BP174" s="1404"/>
      <c r="BQ174" s="1404"/>
      <c r="BR174" s="1405"/>
      <c r="BS174" s="1392">
        <f t="shared" si="267"/>
        <v>45775</v>
      </c>
      <c r="BT174" s="1406">
        <f t="shared" si="329"/>
        <v>18</v>
      </c>
      <c r="BU174" s="1404"/>
      <c r="BV174" s="1404"/>
      <c r="BW174" s="1404"/>
      <c r="BX174" s="1404"/>
      <c r="BY174" s="1404"/>
      <c r="BZ174" s="1404"/>
      <c r="CA174" s="1404"/>
      <c r="CB174" s="1404"/>
      <c r="CD174" s="1408">
        <f t="shared" si="322"/>
        <v>0</v>
      </c>
      <c r="DC174" s="16" t="str">
        <f>Avril!FC47</f>
        <v>non</v>
      </c>
      <c r="DG174" s="333">
        <f t="shared" si="323"/>
        <v>1</v>
      </c>
      <c r="DH174" s="129">
        <f t="shared" si="301"/>
        <v>10</v>
      </c>
      <c r="DI174" s="129">
        <f t="shared" si="324"/>
        <v>1</v>
      </c>
      <c r="DK174" s="16">
        <f>+IF(AND(Avril!$DP$8&lt;&gt;52,AR174=S.CAL!$BJ$4),10,1)</f>
        <v>1</v>
      </c>
      <c r="DN174" s="16">
        <f t="shared" si="302"/>
        <v>1</v>
      </c>
      <c r="DU174" s="1296" t="str">
        <f t="shared" si="325"/>
        <v>Fiche infoA145775</v>
      </c>
      <c r="DV174" s="1384">
        <f t="shared" si="303"/>
        <v>0</v>
      </c>
      <c r="DW174" s="1385">
        <f t="shared" si="304"/>
        <v>0</v>
      </c>
      <c r="DX174" s="1385">
        <f t="shared" si="305"/>
        <v>0</v>
      </c>
      <c r="DY174" s="1385">
        <f t="shared" si="306"/>
        <v>0</v>
      </c>
      <c r="DZ174" s="1385">
        <f t="shared" si="307"/>
        <v>0</v>
      </c>
      <c r="EA174" s="1385">
        <f t="shared" si="308"/>
        <v>0</v>
      </c>
      <c r="EB174" s="1385">
        <f t="shared" si="309"/>
        <v>0</v>
      </c>
      <c r="EC174" s="1385">
        <f t="shared" si="310"/>
        <v>0</v>
      </c>
      <c r="ED174" s="1385">
        <f t="shared" si="326"/>
        <v>0</v>
      </c>
      <c r="EE174" s="1386">
        <f t="shared" si="327"/>
        <v>0</v>
      </c>
      <c r="EG174" s="16" t="str">
        <f t="shared" si="328"/>
        <v>182025</v>
      </c>
      <c r="EH174" s="16" t="str">
        <f t="shared" si="311"/>
        <v>Fiche infoA1</v>
      </c>
      <c r="EI174" s="16" t="str">
        <f t="shared" si="312"/>
        <v/>
      </c>
    </row>
    <row r="175" spans="1:139" x14ac:dyDescent="0.2">
      <c r="A175" s="24" t="str">
        <f>Avril!BJ48</f>
        <v>Fiche infoA2</v>
      </c>
      <c r="B175" s="829">
        <f>Avril!AB48</f>
        <v>45776</v>
      </c>
      <c r="C175" s="1393"/>
      <c r="D175" s="1001">
        <f t="shared" si="268"/>
        <v>0</v>
      </c>
      <c r="E175" s="452">
        <f t="shared" si="269"/>
        <v>0</v>
      </c>
      <c r="F175" s="452">
        <f t="shared" si="270"/>
        <v>0</v>
      </c>
      <c r="G175" s="452">
        <f t="shared" si="271"/>
        <v>0</v>
      </c>
      <c r="H175" s="452">
        <f t="shared" si="272"/>
        <v>0</v>
      </c>
      <c r="I175" s="452">
        <f t="shared" si="273"/>
        <v>0</v>
      </c>
      <c r="J175" s="452">
        <f t="shared" si="274"/>
        <v>0</v>
      </c>
      <c r="K175" s="452">
        <f t="shared" si="275"/>
        <v>0</v>
      </c>
      <c r="L175" s="452">
        <f t="shared" si="313"/>
        <v>0</v>
      </c>
      <c r="M175" s="1002">
        <f t="shared" si="314"/>
        <v>0</v>
      </c>
      <c r="O175" s="1001">
        <f t="shared" si="330"/>
        <v>0</v>
      </c>
      <c r="P175" s="452">
        <f t="shared" si="331"/>
        <v>0</v>
      </c>
      <c r="Q175" s="452">
        <f t="shared" si="332"/>
        <v>0</v>
      </c>
      <c r="R175" s="452">
        <f t="shared" si="333"/>
        <v>0</v>
      </c>
      <c r="S175" s="452">
        <f t="shared" si="334"/>
        <v>0</v>
      </c>
      <c r="T175" s="452">
        <f t="shared" si="335"/>
        <v>0</v>
      </c>
      <c r="U175" s="452">
        <f t="shared" si="336"/>
        <v>0</v>
      </c>
      <c r="V175" s="452">
        <f t="shared" si="337"/>
        <v>0</v>
      </c>
      <c r="W175" s="452">
        <f t="shared" si="284"/>
        <v>0</v>
      </c>
      <c r="X175" s="1002">
        <f t="shared" si="285"/>
        <v>0</v>
      </c>
      <c r="Y175" s="459"/>
      <c r="Z175" s="291">
        <f t="shared" si="286"/>
        <v>0</v>
      </c>
      <c r="AA175" s="291">
        <f t="shared" si="287"/>
        <v>0</v>
      </c>
      <c r="AB175" s="291">
        <f t="shared" si="288"/>
        <v>0</v>
      </c>
      <c r="AC175" s="291">
        <f t="shared" si="289"/>
        <v>0</v>
      </c>
      <c r="AD175" s="291">
        <f t="shared" si="290"/>
        <v>0</v>
      </c>
      <c r="AE175" s="291">
        <f t="shared" si="291"/>
        <v>0</v>
      </c>
      <c r="AF175" s="291">
        <f t="shared" si="292"/>
        <v>0</v>
      </c>
      <c r="AG175" s="291">
        <f t="shared" si="293"/>
        <v>0</v>
      </c>
      <c r="AI175" s="462">
        <f t="shared" si="338"/>
        <v>0</v>
      </c>
      <c r="AJ175" s="1112"/>
      <c r="AK175" s="507"/>
      <c r="AL175" s="829">
        <f t="shared" si="295"/>
        <v>45776</v>
      </c>
      <c r="AM175" s="684">
        <f>IFERROR(IF(AND(AT175="",AR175&lt;&gt;S.CAL!$BJ$3,AR175&lt;&gt;S.CAL!$BJ$4,$AR$140="NON"),M175-BD175,IF(AND(AT175="",AR175&lt;&gt;S.CAL!$BJ$3,AR175&lt;&gt;S.CAL!$BJ$4,$AR$140="OUI"),X175-AI175,IF(AT175&lt;&gt;0,AT175,IF(OR(AR175=S.CAL!$BJ$3,AR175=S.CAL!$BJ$4),AR175,"")))),"")</f>
        <v>0</v>
      </c>
      <c r="AN175" s="1115"/>
      <c r="AO175" s="1116"/>
      <c r="AP175" s="684">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516">
        <f t="shared" si="315"/>
        <v>0</v>
      </c>
      <c r="AR175" s="1120"/>
      <c r="AT175" s="1123"/>
      <c r="AU175" s="831"/>
      <c r="AV175" s="1392">
        <f t="shared" si="296"/>
        <v>45776</v>
      </c>
      <c r="AX175" s="529">
        <f t="shared" si="316"/>
        <v>45776</v>
      </c>
      <c r="AY175" s="541">
        <f t="shared" si="317"/>
        <v>0</v>
      </c>
      <c r="AZ175" s="538" t="s">
        <v>146</v>
      </c>
      <c r="BA175" s="534">
        <f t="shared" si="318"/>
        <v>0</v>
      </c>
      <c r="BB175" s="567" t="str">
        <f t="shared" si="297"/>
        <v/>
      </c>
      <c r="BC175" s="541">
        <f t="shared" si="319"/>
        <v>0</v>
      </c>
      <c r="BD175" s="541">
        <f t="shared" si="320"/>
        <v>0</v>
      </c>
      <c r="BE175" s="750"/>
      <c r="BF175" s="532" t="str">
        <f t="shared" si="298"/>
        <v/>
      </c>
      <c r="BG175" s="532" t="str">
        <f t="shared" si="321"/>
        <v>oui</v>
      </c>
      <c r="BH175" s="395" t="str">
        <f t="shared" si="299"/>
        <v/>
      </c>
      <c r="BI175" s="24" t="str">
        <f t="shared" si="300"/>
        <v/>
      </c>
      <c r="BJ175" s="1403"/>
      <c r="BK175" s="1403"/>
      <c r="BL175" s="1403"/>
      <c r="BM175" s="1403"/>
      <c r="BN175" s="1403"/>
      <c r="BO175" s="1403"/>
      <c r="BP175" s="1403"/>
      <c r="BQ175" s="1403"/>
      <c r="BS175" s="1392">
        <f t="shared" si="267"/>
        <v>45776</v>
      </c>
      <c r="BT175" s="27" t="str">
        <f t="shared" si="329"/>
        <v/>
      </c>
      <c r="BU175" s="1402"/>
      <c r="BV175" s="1402"/>
      <c r="BW175" s="1402"/>
      <c r="BX175" s="1402"/>
      <c r="BY175" s="1402"/>
      <c r="BZ175" s="1402"/>
      <c r="CA175" s="1402"/>
      <c r="CB175" s="1402"/>
      <c r="CD175" s="1408">
        <f t="shared" si="322"/>
        <v>0</v>
      </c>
      <c r="DC175" s="16" t="str">
        <f>Avril!FC48</f>
        <v>non</v>
      </c>
      <c r="DG175" s="333">
        <f t="shared" si="323"/>
        <v>1</v>
      </c>
      <c r="DH175" s="129">
        <f t="shared" si="301"/>
        <v>10</v>
      </c>
      <c r="DI175" s="129">
        <f t="shared" si="324"/>
        <v>1</v>
      </c>
      <c r="DK175" s="16">
        <f>+IF(AND(Avril!$DP$8&lt;&gt;52,AR175=S.CAL!$BJ$4),10,1)</f>
        <v>1</v>
      </c>
      <c r="DN175" s="16">
        <f t="shared" si="302"/>
        <v>1</v>
      </c>
      <c r="DU175" s="1296" t="str">
        <f t="shared" si="325"/>
        <v>Fiche infoA245776</v>
      </c>
      <c r="DV175" s="1384">
        <f t="shared" si="303"/>
        <v>0</v>
      </c>
      <c r="DW175" s="1385">
        <f t="shared" si="304"/>
        <v>0</v>
      </c>
      <c r="DX175" s="1385">
        <f t="shared" si="305"/>
        <v>0</v>
      </c>
      <c r="DY175" s="1385">
        <f t="shared" si="306"/>
        <v>0</v>
      </c>
      <c r="DZ175" s="1385">
        <f t="shared" si="307"/>
        <v>0</v>
      </c>
      <c r="EA175" s="1385">
        <f t="shared" si="308"/>
        <v>0</v>
      </c>
      <c r="EB175" s="1385">
        <f t="shared" si="309"/>
        <v>0</v>
      </c>
      <c r="EC175" s="1385">
        <f t="shared" si="310"/>
        <v>0</v>
      </c>
      <c r="ED175" s="1385">
        <f t="shared" si="326"/>
        <v>0</v>
      </c>
      <c r="EE175" s="1386">
        <f t="shared" si="327"/>
        <v>0</v>
      </c>
      <c r="EG175" s="16" t="str">
        <f t="shared" si="328"/>
        <v>182025</v>
      </c>
      <c r="EH175" s="16" t="str">
        <f t="shared" si="311"/>
        <v>Fiche infoA2</v>
      </c>
      <c r="EI175" s="16" t="str">
        <f t="shared" si="312"/>
        <v/>
      </c>
    </row>
    <row r="176" spans="1:139" x14ac:dyDescent="0.2">
      <c r="A176" s="1395" t="str">
        <f>Avril!BJ49</f>
        <v>Fiche infoA3</v>
      </c>
      <c r="B176" s="829">
        <f>Avril!AB49</f>
        <v>45777</v>
      </c>
      <c r="C176" s="1394"/>
      <c r="D176" s="1001">
        <f t="shared" si="268"/>
        <v>0</v>
      </c>
      <c r="E176" s="452">
        <f t="shared" si="269"/>
        <v>0</v>
      </c>
      <c r="F176" s="452">
        <f t="shared" si="270"/>
        <v>0</v>
      </c>
      <c r="G176" s="452">
        <f t="shared" si="271"/>
        <v>0</v>
      </c>
      <c r="H176" s="452">
        <f t="shared" si="272"/>
        <v>0</v>
      </c>
      <c r="I176" s="452">
        <f t="shared" si="273"/>
        <v>0</v>
      </c>
      <c r="J176" s="452">
        <f t="shared" si="274"/>
        <v>0</v>
      </c>
      <c r="K176" s="452">
        <f t="shared" si="275"/>
        <v>0</v>
      </c>
      <c r="L176" s="452">
        <f t="shared" si="313"/>
        <v>0</v>
      </c>
      <c r="M176" s="1002">
        <f t="shared" si="314"/>
        <v>0</v>
      </c>
      <c r="N176" s="1396"/>
      <c r="O176" s="1001">
        <f t="shared" si="330"/>
        <v>0</v>
      </c>
      <c r="P176" s="452">
        <f t="shared" si="331"/>
        <v>0</v>
      </c>
      <c r="Q176" s="452">
        <f t="shared" si="332"/>
        <v>0</v>
      </c>
      <c r="R176" s="452">
        <f t="shared" si="333"/>
        <v>0</v>
      </c>
      <c r="S176" s="452">
        <f t="shared" si="334"/>
        <v>0</v>
      </c>
      <c r="T176" s="452">
        <f t="shared" si="335"/>
        <v>0</v>
      </c>
      <c r="U176" s="452">
        <f t="shared" si="336"/>
        <v>0</v>
      </c>
      <c r="V176" s="452">
        <f t="shared" si="337"/>
        <v>0</v>
      </c>
      <c r="W176" s="452">
        <f t="shared" si="284"/>
        <v>0</v>
      </c>
      <c r="X176" s="1002">
        <f t="shared" si="285"/>
        <v>0</v>
      </c>
      <c r="Y176" s="1397"/>
      <c r="Z176" s="1398">
        <f t="shared" si="286"/>
        <v>0</v>
      </c>
      <c r="AA176" s="1398">
        <f t="shared" si="287"/>
        <v>0</v>
      </c>
      <c r="AB176" s="1398">
        <f t="shared" si="288"/>
        <v>0</v>
      </c>
      <c r="AC176" s="1398">
        <f t="shared" si="289"/>
        <v>0</v>
      </c>
      <c r="AD176" s="1398">
        <f t="shared" si="290"/>
        <v>0</v>
      </c>
      <c r="AE176" s="1398">
        <f t="shared" si="291"/>
        <v>0</v>
      </c>
      <c r="AF176" s="1398">
        <f t="shared" si="292"/>
        <v>0</v>
      </c>
      <c r="AG176" s="1398">
        <f t="shared" si="293"/>
        <v>0</v>
      </c>
      <c r="AH176" s="1396"/>
      <c r="AI176" s="462">
        <f t="shared" si="338"/>
        <v>0</v>
      </c>
      <c r="AJ176" s="1112"/>
      <c r="AK176" s="1399"/>
      <c r="AL176" s="829">
        <f t="shared" si="295"/>
        <v>45777</v>
      </c>
      <c r="AM176" s="684">
        <f>IFERROR(IF(AND(AT176="",AR176&lt;&gt;S.CAL!$BJ$3,AR176&lt;&gt;S.CAL!$BJ$4,$AR$140="NON"),M176-BD176,IF(AND(AT176="",AR176&lt;&gt;S.CAL!$BJ$3,AR176&lt;&gt;S.CAL!$BJ$4,$AR$140="OUI"),X176-AI176,IF(AT176&lt;&gt;0,AT176,IF(OR(AR176=S.CAL!$BJ$3,AR176=S.CAL!$BJ$4),AR176,"")))),"")</f>
        <v>0</v>
      </c>
      <c r="AN176" s="1115"/>
      <c r="AO176" s="1116"/>
      <c r="AP176" s="684">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400">
        <f t="shared" si="315"/>
        <v>0</v>
      </c>
      <c r="AR176" s="1120"/>
      <c r="AS176" s="1396"/>
      <c r="AT176" s="1123"/>
      <c r="AU176" s="831"/>
      <c r="AV176" s="1392">
        <f t="shared" si="296"/>
        <v>45777</v>
      </c>
      <c r="AW176" s="1396"/>
      <c r="AX176" s="529">
        <f t="shared" si="316"/>
        <v>45777</v>
      </c>
      <c r="AY176" s="541">
        <f t="shared" si="317"/>
        <v>0</v>
      </c>
      <c r="AZ176" s="538" t="s">
        <v>146</v>
      </c>
      <c r="BA176" s="534">
        <f t="shared" si="318"/>
        <v>0</v>
      </c>
      <c r="BB176" s="567" t="str">
        <f t="shared" si="297"/>
        <v/>
      </c>
      <c r="BC176" s="541">
        <f t="shared" si="319"/>
        <v>0</v>
      </c>
      <c r="BD176" s="541">
        <f t="shared" si="320"/>
        <v>0</v>
      </c>
      <c r="BE176" s="750"/>
      <c r="BF176" s="532" t="str">
        <f t="shared" si="298"/>
        <v/>
      </c>
      <c r="BG176" s="532" t="str">
        <f t="shared" si="321"/>
        <v>oui</v>
      </c>
      <c r="BH176" s="395" t="str">
        <f t="shared" si="299"/>
        <v/>
      </c>
      <c r="BI176" s="24" t="str">
        <f t="shared" si="300"/>
        <v/>
      </c>
      <c r="BJ176" s="1404"/>
      <c r="BK176" s="1404"/>
      <c r="BL176" s="1404"/>
      <c r="BM176" s="1404"/>
      <c r="BN176" s="1404"/>
      <c r="BO176" s="1404"/>
      <c r="BP176" s="1404"/>
      <c r="BQ176" s="1404"/>
      <c r="BR176" s="1405"/>
      <c r="BS176" s="1392">
        <f t="shared" si="267"/>
        <v>45777</v>
      </c>
      <c r="BT176" s="1406" t="str">
        <f t="shared" si="329"/>
        <v/>
      </c>
      <c r="BU176" s="1404"/>
      <c r="BV176" s="1404"/>
      <c r="BW176" s="1404"/>
      <c r="BX176" s="1404"/>
      <c r="BY176" s="1404"/>
      <c r="BZ176" s="1404"/>
      <c r="CA176" s="1404"/>
      <c r="CB176" s="1404"/>
      <c r="CD176" s="1408">
        <f t="shared" si="322"/>
        <v>0</v>
      </c>
      <c r="DC176" s="16" t="str">
        <f>Avril!FC49</f>
        <v>non</v>
      </c>
      <c r="DG176" s="333">
        <f t="shared" si="323"/>
        <v>1</v>
      </c>
      <c r="DH176" s="129">
        <f t="shared" si="301"/>
        <v>10</v>
      </c>
      <c r="DI176" s="129">
        <f t="shared" si="324"/>
        <v>1</v>
      </c>
      <c r="DK176" s="16">
        <f>+IF(AND(Avril!$DP$8&lt;&gt;52,AR176=S.CAL!$BJ$4),10,1)</f>
        <v>1</v>
      </c>
      <c r="DN176" s="16">
        <f t="shared" si="302"/>
        <v>1</v>
      </c>
      <c r="DU176" s="1296" t="str">
        <f t="shared" si="325"/>
        <v>Fiche infoA345777</v>
      </c>
      <c r="DV176" s="1384">
        <f t="shared" si="303"/>
        <v>0</v>
      </c>
      <c r="DW176" s="1385">
        <f t="shared" si="304"/>
        <v>0</v>
      </c>
      <c r="DX176" s="1385">
        <f t="shared" si="305"/>
        <v>0</v>
      </c>
      <c r="DY176" s="1385">
        <f t="shared" si="306"/>
        <v>0</v>
      </c>
      <c r="DZ176" s="1385">
        <f t="shared" si="307"/>
        <v>0</v>
      </c>
      <c r="EA176" s="1385">
        <f t="shared" si="308"/>
        <v>0</v>
      </c>
      <c r="EB176" s="1385">
        <f t="shared" si="309"/>
        <v>0</v>
      </c>
      <c r="EC176" s="1385">
        <f t="shared" si="310"/>
        <v>0</v>
      </c>
      <c r="ED176" s="1385">
        <f t="shared" si="326"/>
        <v>0</v>
      </c>
      <c r="EE176" s="1386">
        <f t="shared" si="327"/>
        <v>0</v>
      </c>
      <c r="EG176" s="16" t="str">
        <f t="shared" si="328"/>
        <v>182025</v>
      </c>
      <c r="EH176" s="16" t="str">
        <f t="shared" si="311"/>
        <v>Fiche infoA3</v>
      </c>
      <c r="EI176" s="16" t="str">
        <f t="shared" si="312"/>
        <v/>
      </c>
    </row>
    <row r="177" spans="1:145" x14ac:dyDescent="0.2">
      <c r="A177" s="24" t="str">
        <f>Avril!BJ50</f>
        <v>Fiche infoA0</v>
      </c>
      <c r="B177" s="830" t="str">
        <f>Avril!AB50</f>
        <v/>
      </c>
      <c r="C177" s="1393"/>
      <c r="D177" s="1003">
        <f t="shared" si="268"/>
        <v>0</v>
      </c>
      <c r="E177" s="1004">
        <f t="shared" si="269"/>
        <v>0</v>
      </c>
      <c r="F177" s="1004">
        <f t="shared" si="270"/>
        <v>0</v>
      </c>
      <c r="G177" s="1004">
        <f t="shared" si="271"/>
        <v>0</v>
      </c>
      <c r="H177" s="1004">
        <f t="shared" si="272"/>
        <v>0</v>
      </c>
      <c r="I177" s="1004">
        <f t="shared" si="273"/>
        <v>0</v>
      </c>
      <c r="J177" s="1004">
        <f t="shared" si="274"/>
        <v>0</v>
      </c>
      <c r="K177" s="1004">
        <f t="shared" si="275"/>
        <v>0</v>
      </c>
      <c r="L177" s="1004">
        <f t="shared" si="313"/>
        <v>0</v>
      </c>
      <c r="M177" s="1005">
        <f t="shared" si="314"/>
        <v>0</v>
      </c>
      <c r="O177" s="1003">
        <f t="shared" si="330"/>
        <v>0</v>
      </c>
      <c r="P177" s="1004">
        <f t="shared" si="331"/>
        <v>0</v>
      </c>
      <c r="Q177" s="1004">
        <f t="shared" si="332"/>
        <v>0</v>
      </c>
      <c r="R177" s="1004">
        <f t="shared" si="333"/>
        <v>0</v>
      </c>
      <c r="S177" s="1004">
        <f t="shared" si="334"/>
        <v>0</v>
      </c>
      <c r="T177" s="1004">
        <f t="shared" si="335"/>
        <v>0</v>
      </c>
      <c r="U177" s="1004">
        <f t="shared" si="336"/>
        <v>0</v>
      </c>
      <c r="V177" s="1004">
        <f t="shared" si="337"/>
        <v>0</v>
      </c>
      <c r="W177" s="1004">
        <f t="shared" si="284"/>
        <v>0</v>
      </c>
      <c r="X177" s="1005">
        <f t="shared" si="285"/>
        <v>0</v>
      </c>
      <c r="Y177" s="459"/>
      <c r="Z177" s="291">
        <f t="shared" si="286"/>
        <v>0</v>
      </c>
      <c r="AA177" s="291">
        <f t="shared" si="287"/>
        <v>0</v>
      </c>
      <c r="AB177" s="291">
        <f t="shared" si="288"/>
        <v>0</v>
      </c>
      <c r="AC177" s="291">
        <f t="shared" si="289"/>
        <v>0</v>
      </c>
      <c r="AD177" s="291">
        <f t="shared" si="290"/>
        <v>0</v>
      </c>
      <c r="AE177" s="291">
        <f t="shared" si="291"/>
        <v>0</v>
      </c>
      <c r="AF177" s="291">
        <f t="shared" si="292"/>
        <v>0</v>
      </c>
      <c r="AG177" s="291">
        <f t="shared" si="293"/>
        <v>0</v>
      </c>
      <c r="AI177" s="462">
        <f t="shared" si="338"/>
        <v>0</v>
      </c>
      <c r="AJ177" s="1112"/>
      <c r="AK177" s="507"/>
      <c r="AL177" s="830" t="str">
        <f t="shared" si="295"/>
        <v/>
      </c>
      <c r="AM177" s="517">
        <f>IFERROR(IF(AND(AT177="",AR177&lt;&gt;S.CAL!$BJ$3,AR177&lt;&gt;S.CAL!$BJ$4,$AR$140="NON"),M177-BD177,IF(AND(AT177="",AR177&lt;&gt;S.CAL!$BJ$3,AR177&lt;&gt;S.CAL!$BJ$4,$AR$140="OUI"),X177-AI177,IF(AT177&lt;&gt;0,AT177,IF(OR(AR177=S.CAL!$BJ$3,AR177=S.CAL!$BJ$4),AR177,"")))),"")</f>
        <v>0</v>
      </c>
      <c r="AN177" s="1117"/>
      <c r="AO177" s="1118"/>
      <c r="AP177" s="517">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516">
        <f t="shared" si="315"/>
        <v>0</v>
      </c>
      <c r="AR177" s="523"/>
      <c r="AT177" s="997"/>
      <c r="AU177" s="832"/>
      <c r="AV177" s="830" t="str">
        <f t="shared" si="296"/>
        <v/>
      </c>
      <c r="AX177" s="529" t="str">
        <f t="shared" si="316"/>
        <v/>
      </c>
      <c r="AY177" s="542">
        <f t="shared" si="317"/>
        <v>0</v>
      </c>
      <c r="AZ177" s="539" t="s">
        <v>146</v>
      </c>
      <c r="BA177" s="552">
        <f t="shared" si="318"/>
        <v>0</v>
      </c>
      <c r="BB177" s="540" t="str">
        <f t="shared" si="297"/>
        <v/>
      </c>
      <c r="BC177" s="542">
        <f t="shared" si="319"/>
        <v>0</v>
      </c>
      <c r="BD177" s="542">
        <f t="shared" si="320"/>
        <v>0</v>
      </c>
      <c r="BE177" s="509"/>
      <c r="BF177" s="532" t="str">
        <f t="shared" si="298"/>
        <v/>
      </c>
      <c r="BG177" s="532" t="str">
        <f t="shared" si="321"/>
        <v>oui</v>
      </c>
      <c r="BH177" s="395" t="str">
        <f t="shared" si="299"/>
        <v/>
      </c>
      <c r="BI177" s="24" t="str">
        <f t="shared" si="300"/>
        <v/>
      </c>
      <c r="BJ177" s="1403"/>
      <c r="BK177" s="1403"/>
      <c r="BL177" s="1403"/>
      <c r="BM177" s="1403"/>
      <c r="BN177" s="1403"/>
      <c r="BO177" s="1403"/>
      <c r="BP177" s="1403"/>
      <c r="BQ177" s="1403"/>
      <c r="BS177" s="830" t="str">
        <f t="shared" si="267"/>
        <v/>
      </c>
      <c r="BT177" s="27" t="str">
        <f t="shared" si="329"/>
        <v/>
      </c>
      <c r="BU177" s="1402"/>
      <c r="BV177" s="1402"/>
      <c r="BW177" s="1402"/>
      <c r="BX177" s="1402"/>
      <c r="BY177" s="1402"/>
      <c r="BZ177" s="1402"/>
      <c r="CA177" s="1402"/>
      <c r="CB177" s="1402"/>
      <c r="CD177" s="1409">
        <f t="shared" si="322"/>
        <v>0</v>
      </c>
      <c r="DC177" s="16" t="str">
        <f>Avril!FC50</f>
        <v/>
      </c>
      <c r="DG177" s="333">
        <f t="shared" si="323"/>
        <v>1</v>
      </c>
      <c r="DH177" s="129">
        <f t="shared" si="301"/>
        <v>10</v>
      </c>
      <c r="DI177" s="129">
        <f t="shared" si="324"/>
        <v>1</v>
      </c>
      <c r="DK177" s="16">
        <f>+IF(AND(Avril!$DP$8&lt;&gt;52,AR177=S.CAL!$BJ$4),10,1)</f>
        <v>1</v>
      </c>
      <c r="DN177" s="16">
        <f t="shared" si="302"/>
        <v>1</v>
      </c>
      <c r="DU177" s="1296" t="str">
        <f t="shared" si="325"/>
        <v>Fiche infoA0</v>
      </c>
      <c r="DV177" s="1384">
        <f t="shared" si="303"/>
        <v>0</v>
      </c>
      <c r="DW177" s="1385">
        <f t="shared" si="304"/>
        <v>0</v>
      </c>
      <c r="DX177" s="1385">
        <f t="shared" si="305"/>
        <v>0</v>
      </c>
      <c r="DY177" s="1385">
        <f t="shared" si="306"/>
        <v>0</v>
      </c>
      <c r="DZ177" s="1385">
        <f t="shared" si="307"/>
        <v>0</v>
      </c>
      <c r="EA177" s="1385">
        <f t="shared" si="308"/>
        <v>0</v>
      </c>
      <c r="EB177" s="1385">
        <f t="shared" si="309"/>
        <v>0</v>
      </c>
      <c r="EC177" s="1385">
        <f t="shared" si="310"/>
        <v>0</v>
      </c>
      <c r="ED177" s="1385">
        <f t="shared" si="326"/>
        <v>0</v>
      </c>
      <c r="EE177" s="1386">
        <f t="shared" si="327"/>
        <v>0</v>
      </c>
      <c r="EG177" s="16" t="e">
        <f t="shared" si="328"/>
        <v>#VALUE!</v>
      </c>
      <c r="EH177" s="16" t="str">
        <f t="shared" si="311"/>
        <v>Fiche infoA0</v>
      </c>
      <c r="EI177" s="16" t="e">
        <f t="shared" si="312"/>
        <v>#N/A</v>
      </c>
    </row>
    <row r="178" spans="1:145" x14ac:dyDescent="0.2">
      <c r="AM178" s="554">
        <f>SUM(AM147:AM177)</f>
        <v>0</v>
      </c>
      <c r="AN178" s="518">
        <f>SUM(AN147:AN177)</f>
        <v>0</v>
      </c>
      <c r="AO178" s="518">
        <f>SUM(AO147:AO177)</f>
        <v>0</v>
      </c>
      <c r="AP178" s="519">
        <f>SUM(AP147:AP177)</f>
        <v>0</v>
      </c>
      <c r="BD178" s="555">
        <f>SUM(BD147:BD177)</f>
        <v>0</v>
      </c>
      <c r="EE178" s="1386"/>
    </row>
    <row r="179" spans="1:145" x14ac:dyDescent="0.2">
      <c r="X179" s="29" t="s">
        <v>450</v>
      </c>
      <c r="Y179" s="29"/>
      <c r="Z179" s="29"/>
      <c r="AA179" s="29"/>
      <c r="AB179" s="29"/>
      <c r="AC179" s="29"/>
      <c r="AD179" s="29"/>
      <c r="AE179" s="29"/>
      <c r="AF179" s="29"/>
      <c r="AG179" s="29"/>
      <c r="AI179" s="463">
        <f>SUM(AI147:AI177)</f>
        <v>0</v>
      </c>
      <c r="AJ179" s="19"/>
      <c r="AK179" s="19"/>
      <c r="AL179" s="19"/>
      <c r="AM179" s="19"/>
      <c r="AN179" s="19"/>
      <c r="AO179" s="19"/>
      <c r="AP179" s="19"/>
      <c r="AQ179" s="512"/>
    </row>
    <row r="181" spans="1:145" ht="23.25" x14ac:dyDescent="0.35">
      <c r="B181" s="453" t="s">
        <v>806</v>
      </c>
      <c r="C181" s="453"/>
      <c r="D181" s="453"/>
      <c r="BS181" s="19" t="s">
        <v>1552</v>
      </c>
      <c r="EK181" s="16" t="str">
        <f>+EG191</f>
        <v>numero sem</v>
      </c>
      <c r="EL181" s="27" t="s">
        <v>1546</v>
      </c>
      <c r="EM181" s="27" t="s">
        <v>1547</v>
      </c>
      <c r="EN181" s="16" t="s">
        <v>1548</v>
      </c>
    </row>
    <row r="182" spans="1:145" ht="13.5" thickBot="1" x14ac:dyDescent="0.25">
      <c r="AR182" s="1713" t="s">
        <v>1003</v>
      </c>
      <c r="AS182" s="1714"/>
      <c r="AT182" s="1715"/>
      <c r="BT182" s="29" t="s">
        <v>1555</v>
      </c>
      <c r="BU182" s="27" t="str">
        <f>+IFERROR(EJ182,"")</f>
        <v>18</v>
      </c>
      <c r="BV182" s="53" t="str">
        <f>IF(BU182="","",+EN182)</f>
        <v>non</v>
      </c>
      <c r="BW182" s="1711" t="str">
        <f>+IF(BV182="oui", "Ecart "&amp;EO182&amp;" hrs","")</f>
        <v/>
      </c>
      <c r="BX182" s="1711"/>
      <c r="EJ182" s="16" t="str">
        <f>LEFT(EK182,LEN(EK182)-4)</f>
        <v>18</v>
      </c>
      <c r="EK182" s="16" t="str" cm="1">
        <f t="array" ref="EK182">IFERROR(INDEX(EG192:EG222,MATCH(0,INDEX(COUNTIF(EK181:EK181,EG192:EG222),0,0),0)),"")</f>
        <v>182025</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805</v>
      </c>
      <c r="D183" s="1710">
        <f>+Identification!$B$7</f>
        <v>0</v>
      </c>
      <c r="E183" s="1710"/>
      <c r="F183" s="1710"/>
      <c r="G183" s="1710"/>
      <c r="O183" s="454" t="s">
        <v>84</v>
      </c>
      <c r="P183" s="32"/>
      <c r="Q183" s="33"/>
      <c r="R183" s="454" t="s">
        <v>149</v>
      </c>
      <c r="S183" s="32"/>
      <c r="T183" s="32"/>
      <c r="U183" s="32"/>
      <c r="V183" s="32"/>
      <c r="W183" s="32"/>
      <c r="X183" s="33"/>
      <c r="AR183" s="1716"/>
      <c r="AS183" s="1717"/>
      <c r="AT183" s="1718"/>
      <c r="BU183" s="27" t="str">
        <f t="shared" ref="BU183:BU187" si="340">+IFERROR(EJ183,"")</f>
        <v>19</v>
      </c>
      <c r="BV183" s="53" t="str">
        <f t="shared" ref="BV183:BV187" si="341">IF(BU183="","",+EN183)</f>
        <v>non</v>
      </c>
      <c r="BW183" s="1711" t="str">
        <f t="shared" ref="BW183:BW187" si="342">+IF(BV183="oui", "Ecart "&amp;EO183&amp;" hrs","")</f>
        <v/>
      </c>
      <c r="BX183" s="1711"/>
      <c r="EJ183" s="16" t="str">
        <f t="shared" ref="EJ183:EJ188" si="343">LEFT(EK183,LEN(EK183)-4)</f>
        <v>19</v>
      </c>
      <c r="EK183" s="16" t="str" cm="1">
        <f t="array" ref="EK183">IFERROR(INDEX(EG192:EG222,MATCH(0,INDEX(COUNTIF(EK181:EK182,EG192:EG222),0,0),0)),"")</f>
        <v>192025</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21"/>
      <c r="S184" s="1722"/>
      <c r="T184" s="1722"/>
      <c r="U184" s="1722"/>
      <c r="V184" s="1722"/>
      <c r="W184" s="1722"/>
      <c r="X184" s="1723"/>
      <c r="Y184" s="460"/>
      <c r="Z184" s="460"/>
      <c r="AA184" s="460"/>
      <c r="AB184" s="460"/>
      <c r="AC184" s="460"/>
      <c r="AD184" s="460"/>
      <c r="AE184" s="460"/>
      <c r="AF184" s="460"/>
      <c r="AG184" s="460"/>
      <c r="AR184" s="1716"/>
      <c r="AS184" s="1717"/>
      <c r="AT184" s="1718"/>
      <c r="BU184" s="27" t="str">
        <f t="shared" si="340"/>
        <v>20</v>
      </c>
      <c r="BV184" s="53" t="str">
        <f t="shared" si="341"/>
        <v>non</v>
      </c>
      <c r="BW184" s="1711" t="str">
        <f t="shared" si="342"/>
        <v/>
      </c>
      <c r="BX184" s="1711"/>
      <c r="EJ184" s="16" t="str">
        <f t="shared" si="343"/>
        <v>20</v>
      </c>
      <c r="EK184" s="16" t="str">
        <f t="array" ref="EK184">IFERROR(INDEX(EG192:EG222,MATCH(0,INDEX(COUNTIF(EK181:EK183,EG192:EG222),0,0),0)),"")</f>
        <v>202025</v>
      </c>
      <c r="EL184" s="27">
        <f t="shared" si="344"/>
        <v>0</v>
      </c>
      <c r="EM184" s="27">
        <f t="shared" si="345"/>
        <v>0</v>
      </c>
      <c r="EN184" s="16" t="str">
        <f t="shared" si="339"/>
        <v>non</v>
      </c>
      <c r="EO184" s="16">
        <f t="shared" si="346"/>
        <v>0</v>
      </c>
    </row>
    <row r="185" spans="1:145" x14ac:dyDescent="0.2">
      <c r="C185" s="39" t="s">
        <v>29</v>
      </c>
      <c r="D185" s="1710">
        <f>+Identification!$B$25</f>
        <v>0</v>
      </c>
      <c r="E185" s="1710"/>
      <c r="O185" s="35"/>
      <c r="Q185" s="36"/>
      <c r="R185" s="1721"/>
      <c r="S185" s="1722"/>
      <c r="T185" s="1722"/>
      <c r="U185" s="1722"/>
      <c r="V185" s="1722"/>
      <c r="W185" s="1722"/>
      <c r="X185" s="1723"/>
      <c r="Y185" s="460"/>
      <c r="Z185" s="460"/>
      <c r="AA185" s="460"/>
      <c r="AB185" s="460"/>
      <c r="AC185" s="460"/>
      <c r="AD185" s="460"/>
      <c r="AE185" s="460"/>
      <c r="AF185" s="460"/>
      <c r="AG185" s="460"/>
      <c r="AL185" s="16" t="str">
        <f t="shared" ref="AL185" si="347">C188</f>
        <v>Mois :</v>
      </c>
      <c r="AM185" s="1712">
        <f t="shared" ref="AM185" si="348">D188</f>
        <v>45778</v>
      </c>
      <c r="AN185" s="1712">
        <f t="shared" ref="AN185" si="349">E188</f>
        <v>0</v>
      </c>
      <c r="AR185" s="557" t="str">
        <f>IF(AT185="",AR140,AT185)</f>
        <v>NON</v>
      </c>
      <c r="AS185" s="556" t="s">
        <v>503</v>
      </c>
      <c r="AT185" s="1105"/>
      <c r="BJ185" s="16" t="str">
        <f t="shared" ref="BJ185" si="350">AL185</f>
        <v>Mois :</v>
      </c>
      <c r="BK185" s="1712">
        <f t="shared" ref="BK185" si="351">AM185</f>
        <v>45778</v>
      </c>
      <c r="BL185" s="1712"/>
      <c r="BU185" s="27" t="str">
        <f t="shared" si="340"/>
        <v>21</v>
      </c>
      <c r="BV185" s="53" t="str">
        <f t="shared" si="341"/>
        <v>non</v>
      </c>
      <c r="BW185" s="1711" t="str">
        <f t="shared" si="342"/>
        <v/>
      </c>
      <c r="BX185" s="1711"/>
      <c r="EJ185" s="16" t="str">
        <f t="shared" si="343"/>
        <v>21</v>
      </c>
      <c r="EK185" s="16" t="str">
        <f t="array" ref="EK185">IFERROR(INDEX(EG192:EG222,MATCH(0,INDEX(COUNTIF(EK181:EK184,EG192:EG222),0,0),0)),"")</f>
        <v>212025</v>
      </c>
      <c r="EL185" s="27">
        <f t="shared" si="344"/>
        <v>0</v>
      </c>
      <c r="EM185" s="27">
        <f t="shared" si="345"/>
        <v>0</v>
      </c>
      <c r="EN185" s="16" t="str">
        <f t="shared" si="339"/>
        <v>non</v>
      </c>
      <c r="EO185" s="16">
        <f t="shared" si="346"/>
        <v>0</v>
      </c>
    </row>
    <row r="186" spans="1:145" ht="13.5" thickBot="1" x14ac:dyDescent="0.25">
      <c r="O186" s="42"/>
      <c r="P186" s="43"/>
      <c r="Q186" s="44"/>
      <c r="R186" s="1724"/>
      <c r="S186" s="1725"/>
      <c r="T186" s="1725"/>
      <c r="U186" s="1725"/>
      <c r="V186" s="1725"/>
      <c r="W186" s="1725"/>
      <c r="X186" s="1726"/>
      <c r="Y186" s="460"/>
      <c r="Z186" s="460"/>
      <c r="AA186" s="460"/>
      <c r="AB186" s="460"/>
      <c r="AC186" s="460"/>
      <c r="AD186" s="460"/>
      <c r="AE186" s="460"/>
      <c r="AF186" s="460"/>
      <c r="AG186" s="460"/>
      <c r="BU186" s="27" t="str">
        <f t="shared" si="340"/>
        <v>22</v>
      </c>
      <c r="BV186" s="53" t="str">
        <f t="shared" si="341"/>
        <v>non</v>
      </c>
      <c r="BW186" s="1711" t="str">
        <f t="shared" si="342"/>
        <v/>
      </c>
      <c r="BX186" s="1711"/>
      <c r="EJ186" s="16" t="str">
        <f t="shared" si="343"/>
        <v>22</v>
      </c>
      <c r="EK186" s="16" t="str">
        <f t="array" ref="EK186">IFERROR(INDEX(EG192:EG222,MATCH(0,INDEX(COUNTIF(EK181:EK185,EG192:EG222),0,0),0)),"")</f>
        <v>222025</v>
      </c>
      <c r="EL186" s="27">
        <f t="shared" si="344"/>
        <v>0</v>
      </c>
      <c r="EM186" s="27">
        <f t="shared" si="345"/>
        <v>0</v>
      </c>
      <c r="EN186" s="16" t="str">
        <f t="shared" si="339"/>
        <v>non</v>
      </c>
      <c r="EO186" s="16">
        <f t="shared" si="346"/>
        <v>0</v>
      </c>
    </row>
    <row r="187" spans="1:145" ht="13.5" thickTop="1" x14ac:dyDescent="0.2">
      <c r="AI187" s="553" t="s">
        <v>1000</v>
      </c>
      <c r="BU187" s="27" t="str">
        <f t="shared" si="340"/>
        <v/>
      </c>
      <c r="BV187" s="53" t="str">
        <f t="shared" si="341"/>
        <v/>
      </c>
      <c r="BW187" s="1711" t="str">
        <f t="shared" si="342"/>
        <v/>
      </c>
      <c r="BX187" s="1711"/>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32</v>
      </c>
      <c r="D188" s="1712">
        <f>+Mai!X3</f>
        <v>45778</v>
      </c>
      <c r="E188" s="1712"/>
      <c r="F188" s="39" t="s">
        <v>12</v>
      </c>
      <c r="G188" s="63">
        <f>+Mai!X4</f>
        <v>2025</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20" t="s">
        <v>974</v>
      </c>
      <c r="AM189" s="1720"/>
      <c r="AN189" s="1720"/>
      <c r="AO189" s="1720"/>
      <c r="AP189" s="1720"/>
      <c r="AQ189" s="510"/>
      <c r="AT189" s="1719" t="s">
        <v>761</v>
      </c>
      <c r="AU189" s="1719"/>
      <c r="AV189" s="1719"/>
      <c r="AW189" s="63"/>
      <c r="AX189" s="63"/>
      <c r="AY189" s="535" t="s">
        <v>989</v>
      </c>
      <c r="AZ189" s="536"/>
      <c r="BA189" s="536"/>
      <c r="BB189" s="536"/>
      <c r="BC189" s="537"/>
      <c r="BD189" s="537"/>
      <c r="BE189" s="537"/>
      <c r="BF189" s="530"/>
      <c r="BG189" s="530"/>
      <c r="BJ189" s="455"/>
      <c r="BK189" s="455"/>
      <c r="BL189" s="455"/>
      <c r="BM189" s="455"/>
      <c r="BN189" s="455"/>
      <c r="BO189" s="455"/>
      <c r="BP189" s="455"/>
      <c r="BQ189" s="455"/>
      <c r="BU189" s="456"/>
      <c r="BV189" s="456"/>
      <c r="BW189" s="456"/>
      <c r="BX189" s="456"/>
      <c r="BY189" s="456"/>
      <c r="BZ189" s="456"/>
      <c r="CA189" s="456"/>
      <c r="CB189" s="456"/>
    </row>
    <row r="190" spans="1:145" ht="15" customHeight="1" x14ac:dyDescent="0.2">
      <c r="D190" s="457" t="s">
        <v>803</v>
      </c>
      <c r="E190" s="456"/>
      <c r="F190" s="456"/>
      <c r="G190" s="456"/>
      <c r="H190" s="456"/>
      <c r="I190" s="456"/>
      <c r="J190" s="456"/>
      <c r="K190" s="456"/>
      <c r="L190" s="456"/>
      <c r="M190" s="456"/>
      <c r="O190" s="458" t="s">
        <v>802</v>
      </c>
      <c r="P190" s="455"/>
      <c r="Q190" s="455"/>
      <c r="R190" s="455"/>
      <c r="S190" s="455"/>
      <c r="T190" s="455"/>
      <c r="U190" s="455"/>
      <c r="V190" s="455"/>
      <c r="W190" s="455"/>
      <c r="X190" s="455"/>
      <c r="BJ190" s="1109" t="s">
        <v>804</v>
      </c>
      <c r="BK190" s="1110"/>
      <c r="BL190" s="1110"/>
      <c r="BM190" s="1110"/>
      <c r="BN190" s="1110"/>
      <c r="BO190" s="1110"/>
      <c r="BP190" s="1110"/>
      <c r="BQ190" s="1110"/>
      <c r="BU190" s="1109" t="s">
        <v>1394</v>
      </c>
      <c r="BV190" s="1110"/>
      <c r="BW190" s="1110"/>
      <c r="BX190" s="1110"/>
      <c r="BY190" s="1110"/>
      <c r="BZ190" s="1110"/>
      <c r="CA190" s="1110"/>
      <c r="CB190" s="1110"/>
      <c r="DG190" s="333" t="s">
        <v>1349</v>
      </c>
      <c r="DH190" s="129"/>
      <c r="DI190" s="129"/>
      <c r="DK190" s="129" t="s">
        <v>1354</v>
      </c>
      <c r="DN190" s="16" t="s">
        <v>1357</v>
      </c>
      <c r="DV190" s="843" t="s">
        <v>1549</v>
      </c>
      <c r="DW190" s="843"/>
      <c r="DX190" s="843"/>
      <c r="DY190" s="843"/>
      <c r="DZ190" s="843"/>
      <c r="EA190" s="843"/>
      <c r="EB190" s="843"/>
      <c r="EC190" s="843"/>
      <c r="ED190" s="843"/>
      <c r="EE190" s="843"/>
    </row>
    <row r="191" spans="1:145" ht="56.25" customHeight="1" x14ac:dyDescent="0.2">
      <c r="A191" s="24" t="s">
        <v>801</v>
      </c>
      <c r="B191" s="450" t="s">
        <v>16</v>
      </c>
      <c r="C191" s="451"/>
      <c r="D191" s="450" t="s">
        <v>228</v>
      </c>
      <c r="E191" s="450" t="s">
        <v>229</v>
      </c>
      <c r="F191" s="450" t="s">
        <v>230</v>
      </c>
      <c r="G191" s="450" t="s">
        <v>231</v>
      </c>
      <c r="H191" s="450" t="s">
        <v>533</v>
      </c>
      <c r="I191" s="450" t="s">
        <v>534</v>
      </c>
      <c r="J191" s="450" t="s">
        <v>535</v>
      </c>
      <c r="K191" s="450" t="s">
        <v>536</v>
      </c>
      <c r="L191" s="450" t="s">
        <v>191</v>
      </c>
      <c r="M191" s="450" t="s">
        <v>192</v>
      </c>
      <c r="N191" s="451"/>
      <c r="O191" s="450" t="s">
        <v>228</v>
      </c>
      <c r="P191" s="450" t="s">
        <v>229</v>
      </c>
      <c r="Q191" s="450" t="s">
        <v>230</v>
      </c>
      <c r="R191" s="450" t="s">
        <v>231</v>
      </c>
      <c r="S191" s="450" t="s">
        <v>533</v>
      </c>
      <c r="T191" s="450" t="s">
        <v>534</v>
      </c>
      <c r="U191" s="450" t="s">
        <v>535</v>
      </c>
      <c r="V191" s="450" t="s">
        <v>536</v>
      </c>
      <c r="W191" s="450" t="s">
        <v>191</v>
      </c>
      <c r="X191" s="450" t="s">
        <v>192</v>
      </c>
      <c r="Y191" s="451"/>
      <c r="Z191" s="450" t="s">
        <v>808</v>
      </c>
      <c r="AA191" s="450" t="s">
        <v>809</v>
      </c>
      <c r="AB191" s="450" t="s">
        <v>810</v>
      </c>
      <c r="AC191" s="450" t="s">
        <v>811</v>
      </c>
      <c r="AD191" s="450" t="s">
        <v>812</v>
      </c>
      <c r="AE191" s="450" t="s">
        <v>813</v>
      </c>
      <c r="AF191" s="450" t="s">
        <v>814</v>
      </c>
      <c r="AG191" s="450" t="s">
        <v>815</v>
      </c>
      <c r="AI191" s="450" t="s">
        <v>816</v>
      </c>
      <c r="AJ191" s="450" t="s">
        <v>807</v>
      </c>
      <c r="AK191" s="451"/>
      <c r="AL191" s="513" t="s">
        <v>16</v>
      </c>
      <c r="AM191" s="548" t="s">
        <v>1017</v>
      </c>
      <c r="AN191" s="1106" t="s">
        <v>972</v>
      </c>
      <c r="AO191" s="1107" t="s">
        <v>973</v>
      </c>
      <c r="AP191" s="514" t="s">
        <v>1018</v>
      </c>
      <c r="AQ191" s="511"/>
      <c r="AR191" s="1108" t="s">
        <v>696</v>
      </c>
      <c r="AT191" s="1108" t="s">
        <v>1356</v>
      </c>
      <c r="AU191" s="1107" t="s">
        <v>1019</v>
      </c>
      <c r="AV191" s="450" t="s">
        <v>16</v>
      </c>
      <c r="AW191" s="451"/>
      <c r="AX191" s="451"/>
      <c r="AY191" s="547" t="s">
        <v>986</v>
      </c>
      <c r="AZ191" s="548" t="s">
        <v>992</v>
      </c>
      <c r="BA191" s="531" t="s">
        <v>990</v>
      </c>
      <c r="BB191" s="568" t="s">
        <v>991</v>
      </c>
      <c r="BC191" s="569" t="s">
        <v>1021</v>
      </c>
      <c r="BD191" s="568" t="s">
        <v>993</v>
      </c>
      <c r="BE191" s="570" t="s">
        <v>1020</v>
      </c>
      <c r="BF191" s="531" t="s">
        <v>994</v>
      </c>
      <c r="BG191" s="531" t="s">
        <v>999</v>
      </c>
      <c r="BI191" s="24" t="s">
        <v>1027</v>
      </c>
      <c r="BJ191" s="450" t="s">
        <v>228</v>
      </c>
      <c r="BK191" s="450" t="s">
        <v>229</v>
      </c>
      <c r="BL191" s="450" t="s">
        <v>230</v>
      </c>
      <c r="BM191" s="450" t="s">
        <v>231</v>
      </c>
      <c r="BN191" s="450" t="s">
        <v>533</v>
      </c>
      <c r="BO191" s="450" t="s">
        <v>534</v>
      </c>
      <c r="BP191" s="450" t="s">
        <v>535</v>
      </c>
      <c r="BQ191" s="450" t="s">
        <v>536</v>
      </c>
      <c r="BS191" s="1383" t="str">
        <f t="shared" ref="BS191:BS222" si="352">AV191</f>
        <v>Jours</v>
      </c>
      <c r="BU191" s="450" t="s">
        <v>228</v>
      </c>
      <c r="BV191" s="450" t="s">
        <v>229</v>
      </c>
      <c r="BW191" s="450" t="s">
        <v>230</v>
      </c>
      <c r="BX191" s="450" t="s">
        <v>231</v>
      </c>
      <c r="BY191" s="450" t="s">
        <v>533</v>
      </c>
      <c r="BZ191" s="450" t="s">
        <v>534</v>
      </c>
      <c r="CA191" s="450" t="s">
        <v>535</v>
      </c>
      <c r="CB191" s="450" t="s">
        <v>536</v>
      </c>
      <c r="CD191" s="1383" t="s">
        <v>1554</v>
      </c>
      <c r="CS191" s="506"/>
      <c r="CT191" s="506"/>
      <c r="CU191" s="506"/>
      <c r="CV191" s="506"/>
      <c r="DG191" s="333" t="s">
        <v>1350</v>
      </c>
      <c r="DH191" s="129" t="s">
        <v>1351</v>
      </c>
      <c r="DI191" s="129" t="s">
        <v>1353</v>
      </c>
      <c r="DK191" s="129" t="s">
        <v>1355</v>
      </c>
      <c r="DU191" s="1383" t="s">
        <v>247</v>
      </c>
      <c r="DV191" s="1383" t="s">
        <v>228</v>
      </c>
      <c r="DW191" s="1383" t="s">
        <v>229</v>
      </c>
      <c r="DX191" s="1383" t="s">
        <v>230</v>
      </c>
      <c r="DY191" s="1383" t="s">
        <v>231</v>
      </c>
      <c r="DZ191" s="1383" t="s">
        <v>533</v>
      </c>
      <c r="EA191" s="1383" t="s">
        <v>534</v>
      </c>
      <c r="EB191" s="1383" t="s">
        <v>535</v>
      </c>
      <c r="EC191" s="1383" t="s">
        <v>536</v>
      </c>
      <c r="ED191" s="1383" t="s">
        <v>191</v>
      </c>
      <c r="EE191" s="1383" t="s">
        <v>192</v>
      </c>
      <c r="EG191" s="1383" t="s">
        <v>1244</v>
      </c>
      <c r="EH191" s="1383" t="s">
        <v>1550</v>
      </c>
      <c r="EI191" s="1383" t="s">
        <v>1551</v>
      </c>
    </row>
    <row r="192" spans="1:145" x14ac:dyDescent="0.2">
      <c r="A192" s="24" t="str">
        <f>Mai!BJ20</f>
        <v>Fiche infoA4</v>
      </c>
      <c r="B192" s="828">
        <f>Mai!AB20</f>
        <v>45778</v>
      </c>
      <c r="C192" s="1393"/>
      <c r="D192" s="998">
        <f t="shared" ref="D192:D222" si="353">IF(AR192&lt;&gt;"",0,IF(DN192=10,0,IFERROR(+IF(BU192="",VLOOKUP(A192,base_horaire,2,FALSE),BU192),0)))</f>
        <v>0</v>
      </c>
      <c r="E192" s="999">
        <f t="shared" ref="E192:E222" si="354">IF(AR192&lt;&gt;"",0,IF(DN192=10,0,IFERROR(+IF(BV192="",VLOOKUP(A192,base_horaire,3,FALSE),BV192),0)))</f>
        <v>0</v>
      </c>
      <c r="F192" s="999">
        <f t="shared" ref="F192:F222" si="355">IF(AR192&lt;&gt;"",0,IF(DN192=10,0,IFERROR(+IF(BW192="",VLOOKUP(A192,base_horaire,4,FALSE),BW192),0)))</f>
        <v>0</v>
      </c>
      <c r="G192" s="999">
        <f t="shared" ref="G192:G222" si="356">IF(AR192&lt;&gt;"",0,IF(DN192=10,0,IFERROR(+IF(BX192="",VLOOKUP(A192,base_horaire,5,FALSE),BX192),0)))</f>
        <v>0</v>
      </c>
      <c r="H192" s="999">
        <f t="shared" ref="H192:H222" si="357">IF(AR192&lt;&gt;"",0,IF(DN192=10,0,IFERROR(+IF(BY192="",VLOOKUP(A192,base_horaire,6,FALSE),BY192),0)))</f>
        <v>0</v>
      </c>
      <c r="I192" s="999">
        <f t="shared" ref="I192:I222" si="358">IF(AR192&lt;&gt;"",0,IF(DN192=10,0,IFERROR(+IF(BZ192="",VLOOKUP(A192,base_horaire,7,FALSE),BZ192),0)))</f>
        <v>0</v>
      </c>
      <c r="J192" s="999">
        <f t="shared" ref="J192:J222" si="359">IF(AR192&lt;&gt;"",0,IF(DN192=10,0,IFERROR(+IF(CA192="",VLOOKUP(A192,base_horaire,8,FALSE),CA192),0)))</f>
        <v>0</v>
      </c>
      <c r="K192" s="999">
        <f t="shared" ref="K192:K222" si="360">IF(AR192&lt;&gt;"",0,IF(DN192=10,0,IFERROR(+IF(CB192="",VLOOKUP(A192,base_horaire,9,FALSE),CB192),0)))</f>
        <v>0</v>
      </c>
      <c r="L192" s="999">
        <f>+E192-D192+G192-F192+I192-H192+K192-J192</f>
        <v>0</v>
      </c>
      <c r="M192" s="1000">
        <f>ROUND(+L192*24,2)</f>
        <v>0</v>
      </c>
      <c r="O192" s="998">
        <f t="shared" ref="O192:O199" si="361">IF(AR192&lt;&gt;"",0,IF(DC192="oui",0,IF(AND(ISTEXT(AT192)=TRUE,BJ192=""),0,IF(BJ192="",D192,BJ192))))</f>
        <v>0</v>
      </c>
      <c r="P192" s="999">
        <f t="shared" ref="P192:P199" si="362">IF(AR192&lt;&gt;"",0,IF(DC192="oui",0,IF(AND(ISTEXT(AT192)=TRUE,BK192=""),0,IF(BK192="",E192,BK192))))</f>
        <v>0</v>
      </c>
      <c r="Q192" s="999">
        <f t="shared" ref="Q192:Q199" si="363">IF(AR192&lt;&gt;"",0,IF(DC192="oui",0,IF(AND(ISTEXT(AT192)=TRUE,BL192=""),0,IF(BL192="",F192,BL192))))</f>
        <v>0</v>
      </c>
      <c r="R192" s="999">
        <f t="shared" ref="R192:R199" si="364">IF(AR192&lt;&gt;"",0,IF(DC192="oui",0,IF(AND(ISTEXT(AT192)=TRUE,BM192=""),0,IF(BM192="",G192,BM192))))</f>
        <v>0</v>
      </c>
      <c r="S192" s="999">
        <f t="shared" ref="S192:S199" si="365">IF(AR192&lt;&gt;"",0,IF(DC192="oui",0,IF(AND(ISTEXT(AT192)=TRUE,BN192=""),0,IF(BN192="",H192,BN192))))</f>
        <v>0</v>
      </c>
      <c r="T192" s="999">
        <f t="shared" ref="T192:T199" si="366">IF(AR192&lt;&gt;"",0,IF(DC192="oui",0,IF(AND(ISTEXT(AT192)=TRUE,BO192=""),0,IF(BO192="",I192,BO192))))</f>
        <v>0</v>
      </c>
      <c r="U192" s="999">
        <f t="shared" ref="U192:U199" si="367">IF(AR192&lt;&gt;"",0,IF(DC192="oui",0,IF(AND(ISTEXT(AT192)=TRUE,BP192=""),0,IF(BP192="",J192,BP192))))</f>
        <v>0</v>
      </c>
      <c r="V192" s="999">
        <f t="shared" ref="V192:V199" si="368">IF(AR192&lt;&gt;"",0,IF(DC192="oui",0,IF(AND(ISTEXT(AT192)=TRUE,BQ192=""),0,IF(BQ192="",K192,BQ192))))</f>
        <v>0</v>
      </c>
      <c r="W192" s="999">
        <f t="shared" ref="W192:W222" si="369">+P192-O192+R192-Q192+T192-S192+V192-U192</f>
        <v>0</v>
      </c>
      <c r="X192" s="1000">
        <f t="shared" ref="X192:X222" si="370">ROUND(+W192*24,2)</f>
        <v>0</v>
      </c>
      <c r="Y192" s="459"/>
      <c r="Z192" s="291">
        <f t="shared" ref="Z192:Z222" si="371">+IF(AND(O192&gt;D192,D192&gt;0),D192,O192)</f>
        <v>0</v>
      </c>
      <c r="AA192" s="291">
        <f t="shared" ref="AA192:AA222" si="372">+IF(P192&gt;E192,P192,E192)</f>
        <v>0</v>
      </c>
      <c r="AB192" s="291">
        <f t="shared" ref="AB192:AB222" si="373">+IF(AND(Q192&gt;F192,F192&gt;0),F192,Q192)</f>
        <v>0</v>
      </c>
      <c r="AC192" s="291">
        <f t="shared" ref="AC192:AC222" si="374">+IF(R192&gt;G192,R192,G192)</f>
        <v>0</v>
      </c>
      <c r="AD192" s="291">
        <f t="shared" ref="AD192:AD222" si="375">+IF(AND(S192&gt;H192,H192&gt;0),H192,S192)</f>
        <v>0</v>
      </c>
      <c r="AE192" s="291">
        <f t="shared" ref="AE192:AE222" si="376">+IF(T192&gt;I192,T192,I192)</f>
        <v>0</v>
      </c>
      <c r="AF192" s="291">
        <f t="shared" ref="AF192:AF222" si="377">+IF(AND(U192&gt;J192,J192&gt;0),J192,U192)</f>
        <v>0</v>
      </c>
      <c r="AG192" s="291">
        <f t="shared" ref="AG192:AG222" si="378">+IF(V192&gt;K192,V192,K192)</f>
        <v>0</v>
      </c>
      <c r="AI192" s="461">
        <f t="shared" ref="AI192:AI199" si="379">IF(DC192="oui",0,IF(AND(ISTEXT(AT192)=TRUE,OR(X192=0,X192="")),0,ROUND(((((AA192-Z192)-(E192-D192))+((AC192-AB192)-(G192-F192))+((AE192-AD192)-(I192-H192))+(AG192-AF192)-(K192-J192))*24),2)))</f>
        <v>0</v>
      </c>
      <c r="AJ192" s="1111"/>
      <c r="AK192" s="507"/>
      <c r="AL192" s="828">
        <f t="shared" ref="AL192:AL222" si="380">B192</f>
        <v>45778</v>
      </c>
      <c r="AM192" s="515">
        <f>IFERROR(IF(AND(AT192="",AR192&lt;&gt;S.CAL!$BJ$3,AR192&lt;&gt;S.CAL!$BJ$4,$AR$185="NON"),M192-BD192,IF(AND(AT192="",AR192&lt;&gt;S.CAL!$BJ$3,AR192&lt;&gt;S.CAL!$BJ$4,$AR$185="OUI"),X192-AI192,IF(AT192&lt;&gt;0,AT192,IF(OR(AR192=S.CAL!$BJ$3,AR192=S.CAL!$BJ$4),AR192,"")))),"")</f>
        <v>0</v>
      </c>
      <c r="AN192" s="1113"/>
      <c r="AO192" s="1114"/>
      <c r="AP192" s="515">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516">
        <f>AI192-SUM(AN192:AO192)</f>
        <v>0</v>
      </c>
      <c r="AR192" s="1119"/>
      <c r="AT192" s="1122"/>
      <c r="AU192" s="831"/>
      <c r="AV192" s="1391">
        <f t="shared" ref="AV192:AV222" si="381">B192</f>
        <v>45778</v>
      </c>
      <c r="AX192" s="529">
        <f>+AV192</f>
        <v>45778</v>
      </c>
      <c r="AY192" s="546">
        <f>+IF(M192-X192&lt;0,0,M192-X192)</f>
        <v>0</v>
      </c>
      <c r="AZ192" s="549" t="s">
        <v>146</v>
      </c>
      <c r="BA192" s="550">
        <f>+IF(AZ192="OUI",AY192,0)</f>
        <v>0</v>
      </c>
      <c r="BB192" s="551" t="str">
        <f t="shared" ref="BB192:BB222" si="382">IF(AND(BE192="",+IFERROR(VLOOKUP(AT192,Liste_motif_formule,5,FALSE),0)="OUI"),"OUI",IF(AND(BE192="",IFERROR(VLOOKUP(AT192,Liste_motif_formule,5,FALSE),0)="NON"),"NON",IF(AND(BE192="",IFERROR(M192-AT192&gt;=0,0),AT192&lt;&gt;""),"OUI",IF(AND(BE192="",DC192="oui"),"OUI",IF(BE192&lt;&gt;"",BE192,"")))))</f>
        <v/>
      </c>
      <c r="BC192" s="546">
        <f>+IF(BB192="OUI",IFERROR(M192-AT192,M192),0)</f>
        <v>0</v>
      </c>
      <c r="BD192" s="546">
        <f>+BC192+BA192</f>
        <v>0</v>
      </c>
      <c r="BE192" s="508"/>
      <c r="BF192" s="532" t="str">
        <f t="shared" ref="BF192:BF222" si="383">+IF(AND(AZ192="OUI",BB192="OUI"),"ERREUR","")</f>
        <v/>
      </c>
      <c r="BG192" s="532" t="str">
        <f>+IF(AND(M192=0,AT192=""),"oui","non")</f>
        <v>oui</v>
      </c>
      <c r="BH192" s="395" t="str">
        <f t="shared" ref="BH192:BH222" si="384">IFERROR(+VLOOKUP(AT192,Liste_motif_formule,4,FALSE),"")</f>
        <v/>
      </c>
      <c r="BI192" s="24" t="str">
        <f t="shared" ref="BI192:BI222" si="385">IFERROR(+VLOOKUP(AT192,Liste_motif_formule,5,FALSE),"")</f>
        <v/>
      </c>
      <c r="BJ192" s="1403"/>
      <c r="BK192" s="1403"/>
      <c r="BL192" s="1403"/>
      <c r="BM192" s="1403"/>
      <c r="BN192" s="1403"/>
      <c r="BO192" s="1403"/>
      <c r="BP192" s="1403"/>
      <c r="BQ192" s="1403"/>
      <c r="BS192" s="1391">
        <f t="shared" si="352"/>
        <v>45778</v>
      </c>
      <c r="BT192" s="27">
        <f>IFERROR(WEEKNUM(BS192,21),"")</f>
        <v>18</v>
      </c>
      <c r="BU192" s="1401"/>
      <c r="BV192" s="1401"/>
      <c r="BW192" s="1401"/>
      <c r="BX192" s="1401"/>
      <c r="BY192" s="1401"/>
      <c r="BZ192" s="1401"/>
      <c r="CA192" s="1401"/>
      <c r="CB192" s="1401"/>
      <c r="CD192" s="1407">
        <f>+M192</f>
        <v>0</v>
      </c>
      <c r="DC192" s="16" t="str">
        <f>Mai!FC20</f>
        <v>non</v>
      </c>
      <c r="DG192" s="333">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96" t="str">
        <f>+A192&amp;B192</f>
        <v>Fiche infoA445778</v>
      </c>
      <c r="DV192" s="1384">
        <f t="shared" ref="DV192:DV222" si="388">+IFERROR(+IF(BU192="",VLOOKUP(A192,base_horaire,2,FALSE),BU192),0)</f>
        <v>0</v>
      </c>
      <c r="DW192" s="1385">
        <f t="shared" ref="DW192:DW222" si="389">+IFERROR(+IF(BV192="",VLOOKUP(A192,base_horaire,3,FALSE),BV192),0)</f>
        <v>0</v>
      </c>
      <c r="DX192" s="1385">
        <f t="shared" ref="DX192:DX222" si="390">+IFERROR(+IF(BW192="",VLOOKUP(A192,base_horaire,4,FALSE),BW192),0)</f>
        <v>0</v>
      </c>
      <c r="DY192" s="1385">
        <f t="shared" ref="DY192:DY222" si="391">+IFERROR(+IF(BX192="",VLOOKUP(A192,base_horaire,5,FALSE),BX192),0)</f>
        <v>0</v>
      </c>
      <c r="DZ192" s="1385">
        <f t="shared" ref="DZ192:DZ222" si="392">+IFERROR(+IF(BY192="",VLOOKUP(A192,base_horaire,6,FALSE),BY192),0)</f>
        <v>0</v>
      </c>
      <c r="EA192" s="1385">
        <f t="shared" ref="EA192:EA222" si="393">IFERROR(+IF(BZ192="",VLOOKUP(A192,base_horaire,7,FALSE),BZ192),0)</f>
        <v>0</v>
      </c>
      <c r="EB192" s="1385">
        <f t="shared" ref="EB192:EB222" si="394">IFERROR(+IF(CA192="",VLOOKUP(A192,base_horaire,8,FALSE),CA192),0)</f>
        <v>0</v>
      </c>
      <c r="EC192" s="1385">
        <f t="shared" ref="EC192:EC222" si="395">IFERROR(+IF(CB192="",VLOOKUP(A192,base_horaire,9,FALSE),CB192),0)</f>
        <v>0</v>
      </c>
      <c r="ED192" s="1385">
        <f>+DW192-DV192+DY192-DX192+EA192-DZ192+EC192-EB192</f>
        <v>0</v>
      </c>
      <c r="EE192" s="1386">
        <f>ROUND(+ED192*24,2)</f>
        <v>0</v>
      </c>
      <c r="EG192" s="16" t="str">
        <f>+WEEKNUM(B192,21)&amp;YEAR(B192)</f>
        <v>182025</v>
      </c>
      <c r="EH192" s="16" t="str">
        <f t="shared" ref="EH192:EH222" si="396">+A192</f>
        <v>Fiche infoA4</v>
      </c>
      <c r="EI192" s="16" t="str">
        <f t="shared" ref="EI192:EI222" si="397">+VLOOKUP(EH192,Base_heures,6,FALSE)</f>
        <v/>
      </c>
    </row>
    <row r="193" spans="1:139" x14ac:dyDescent="0.2">
      <c r="A193" s="1395" t="str">
        <f>Mai!BJ21</f>
        <v>Fiche infoA5</v>
      </c>
      <c r="B193" s="829">
        <f>Mai!AB21</f>
        <v>45779</v>
      </c>
      <c r="C193" s="1394"/>
      <c r="D193" s="1001">
        <f t="shared" si="353"/>
        <v>0</v>
      </c>
      <c r="E193" s="452">
        <f t="shared" si="354"/>
        <v>0</v>
      </c>
      <c r="F193" s="452">
        <f t="shared" si="355"/>
        <v>0</v>
      </c>
      <c r="G193" s="452">
        <f t="shared" si="356"/>
        <v>0</v>
      </c>
      <c r="H193" s="452">
        <f t="shared" si="357"/>
        <v>0</v>
      </c>
      <c r="I193" s="452">
        <f t="shared" si="358"/>
        <v>0</v>
      </c>
      <c r="J193" s="452">
        <f t="shared" si="359"/>
        <v>0</v>
      </c>
      <c r="K193" s="452">
        <f t="shared" si="360"/>
        <v>0</v>
      </c>
      <c r="L193" s="452">
        <f t="shared" ref="L193:L222" si="398">+E193-D193+G193-F193+I193-H193+K193-J193</f>
        <v>0</v>
      </c>
      <c r="M193" s="1002">
        <f t="shared" ref="M193:M222" si="399">ROUND(+L193*24,2)</f>
        <v>0</v>
      </c>
      <c r="N193" s="1396"/>
      <c r="O193" s="1001">
        <f t="shared" si="361"/>
        <v>0</v>
      </c>
      <c r="P193" s="452">
        <f t="shared" si="362"/>
        <v>0</v>
      </c>
      <c r="Q193" s="452">
        <f t="shared" si="363"/>
        <v>0</v>
      </c>
      <c r="R193" s="452">
        <f t="shared" si="364"/>
        <v>0</v>
      </c>
      <c r="S193" s="452">
        <f t="shared" si="365"/>
        <v>0</v>
      </c>
      <c r="T193" s="452">
        <f t="shared" si="366"/>
        <v>0</v>
      </c>
      <c r="U193" s="452">
        <f t="shared" si="367"/>
        <v>0</v>
      </c>
      <c r="V193" s="452">
        <f t="shared" si="368"/>
        <v>0</v>
      </c>
      <c r="W193" s="452">
        <f t="shared" si="369"/>
        <v>0</v>
      </c>
      <c r="X193" s="1002">
        <f t="shared" si="370"/>
        <v>0</v>
      </c>
      <c r="Y193" s="1397"/>
      <c r="Z193" s="1398">
        <f t="shared" si="371"/>
        <v>0</v>
      </c>
      <c r="AA193" s="1398">
        <f t="shared" si="372"/>
        <v>0</v>
      </c>
      <c r="AB193" s="1398">
        <f t="shared" si="373"/>
        <v>0</v>
      </c>
      <c r="AC193" s="1398">
        <f t="shared" si="374"/>
        <v>0</v>
      </c>
      <c r="AD193" s="1398">
        <f t="shared" si="375"/>
        <v>0</v>
      </c>
      <c r="AE193" s="1398">
        <f t="shared" si="376"/>
        <v>0</v>
      </c>
      <c r="AF193" s="1398">
        <f t="shared" si="377"/>
        <v>0</v>
      </c>
      <c r="AG193" s="1398">
        <f t="shared" si="378"/>
        <v>0</v>
      </c>
      <c r="AH193" s="1396"/>
      <c r="AI193" s="462">
        <f t="shared" si="379"/>
        <v>0</v>
      </c>
      <c r="AJ193" s="1112"/>
      <c r="AK193" s="1399"/>
      <c r="AL193" s="829">
        <f t="shared" si="380"/>
        <v>45779</v>
      </c>
      <c r="AM193" s="684">
        <f>IFERROR(IF(AND(AT193="",AR193&lt;&gt;S.CAL!$BJ$3,AR193&lt;&gt;S.CAL!$BJ$4,$AR$185="NON"),M193-BD193,IF(AND(AT193="",AR193&lt;&gt;S.CAL!$BJ$3,AR193&lt;&gt;S.CAL!$BJ$4,$AR$185="OUI"),X193-AI193,IF(AT193&lt;&gt;0,AT193,IF(OR(AR193=S.CAL!$BJ$3,AR193=S.CAL!$BJ$4),AR193,"")))),"")</f>
        <v>0</v>
      </c>
      <c r="AN193" s="1115"/>
      <c r="AO193" s="1116"/>
      <c r="AP193" s="684">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400">
        <f t="shared" ref="AQ193:AQ222" si="400">AI193-SUM(AN193:AO193)</f>
        <v>0</v>
      </c>
      <c r="AR193" s="1120"/>
      <c r="AS193" s="1396"/>
      <c r="AT193" s="1123"/>
      <c r="AU193" s="831"/>
      <c r="AV193" s="1392">
        <f t="shared" si="381"/>
        <v>45779</v>
      </c>
      <c r="AW193" s="1396"/>
      <c r="AX193" s="529">
        <f t="shared" ref="AX193:AX222" si="401">+AV193</f>
        <v>45779</v>
      </c>
      <c r="AY193" s="541">
        <f t="shared" ref="AY193:AY222" si="402">+IF(M193-X193&lt;0,0,M193-X193)</f>
        <v>0</v>
      </c>
      <c r="AZ193" s="538" t="s">
        <v>146</v>
      </c>
      <c r="BA193" s="534">
        <f t="shared" ref="BA193:BA222" si="403">+IF(AZ193="OUI",AY193,0)</f>
        <v>0</v>
      </c>
      <c r="BB193" s="567" t="str">
        <f t="shared" si="382"/>
        <v/>
      </c>
      <c r="BC193" s="541">
        <f t="shared" ref="BC193:BC222" si="404">+IF(BB193="OUI",IFERROR(M193-AT193,M193),0)</f>
        <v>0</v>
      </c>
      <c r="BD193" s="541">
        <f t="shared" ref="BD193:BD222" si="405">+BC193+BA193</f>
        <v>0</v>
      </c>
      <c r="BE193" s="750"/>
      <c r="BF193" s="532" t="str">
        <f t="shared" si="383"/>
        <v/>
      </c>
      <c r="BG193" s="532" t="str">
        <f t="shared" ref="BG193:BG222" si="406">+IF(AND(M193=0,AT193=""),"oui","non")</f>
        <v>oui</v>
      </c>
      <c r="BH193" s="395" t="str">
        <f t="shared" si="384"/>
        <v/>
      </c>
      <c r="BI193" s="24" t="str">
        <f t="shared" si="385"/>
        <v/>
      </c>
      <c r="BJ193" s="1404"/>
      <c r="BK193" s="1404"/>
      <c r="BL193" s="1404"/>
      <c r="BM193" s="1404"/>
      <c r="BN193" s="1404"/>
      <c r="BO193" s="1404"/>
      <c r="BP193" s="1404"/>
      <c r="BQ193" s="1404"/>
      <c r="BR193" s="1405"/>
      <c r="BS193" s="1392">
        <f t="shared" si="352"/>
        <v>45779</v>
      </c>
      <c r="BT193" s="1406" t="str">
        <f>IFERROR(IF(WEEKDAY(BS193,11)=1,WEEKNUM(BS193,21),""),"")</f>
        <v/>
      </c>
      <c r="BU193" s="1404"/>
      <c r="BV193" s="1404"/>
      <c r="BW193" s="1404"/>
      <c r="BX193" s="1404"/>
      <c r="BY193" s="1404"/>
      <c r="BZ193" s="1404"/>
      <c r="CA193" s="1404"/>
      <c r="CB193" s="1404"/>
      <c r="CD193" s="1408">
        <f t="shared" ref="CD193:CD222" si="407">+M193</f>
        <v>0</v>
      </c>
      <c r="DC193" s="16" t="str">
        <f>Mai!FC21</f>
        <v>non</v>
      </c>
      <c r="DG193" s="333">
        <f t="shared" ref="DG193:DG222" si="408">IF(OR(AT193=0,AT193=""),1,10)</f>
        <v>1</v>
      </c>
      <c r="DH193" s="129">
        <f t="shared" si="386"/>
        <v>10</v>
      </c>
      <c r="DI193" s="129">
        <f t="shared" ref="DI193:DI222" si="409">+IF(OR(DG193=1,DH193=1),1,10)</f>
        <v>1</v>
      </c>
      <c r="DK193" s="16">
        <f>+IF(AND(Mai!$DP$8&lt;&gt;52,AR193=S.CAL!$BJ$4),10,1)</f>
        <v>1</v>
      </c>
      <c r="DN193" s="16">
        <f t="shared" si="387"/>
        <v>1</v>
      </c>
      <c r="DU193" s="1296" t="str">
        <f t="shared" ref="DU193:DU222" si="410">+A193&amp;B193</f>
        <v>Fiche infoA545779</v>
      </c>
      <c r="DV193" s="1384">
        <f t="shared" si="388"/>
        <v>0</v>
      </c>
      <c r="DW193" s="1385">
        <f t="shared" si="389"/>
        <v>0</v>
      </c>
      <c r="DX193" s="1385">
        <f t="shared" si="390"/>
        <v>0</v>
      </c>
      <c r="DY193" s="1385">
        <f t="shared" si="391"/>
        <v>0</v>
      </c>
      <c r="DZ193" s="1385">
        <f t="shared" si="392"/>
        <v>0</v>
      </c>
      <c r="EA193" s="1385">
        <f t="shared" si="393"/>
        <v>0</v>
      </c>
      <c r="EB193" s="1385">
        <f t="shared" si="394"/>
        <v>0</v>
      </c>
      <c r="EC193" s="1385">
        <f t="shared" si="395"/>
        <v>0</v>
      </c>
      <c r="ED193" s="1385">
        <f t="shared" ref="ED193:ED222" si="411">+DW193-DV193+DY193-DX193+EA193-DZ193+EC193-EB193</f>
        <v>0</v>
      </c>
      <c r="EE193" s="1386">
        <f t="shared" ref="EE193:EE222" si="412">ROUND(+ED193*24,2)</f>
        <v>0</v>
      </c>
      <c r="EG193" s="16" t="str">
        <f t="shared" ref="EG193:EG222" si="413">+WEEKNUM(B193,21)&amp;YEAR(B193)</f>
        <v>182025</v>
      </c>
      <c r="EH193" s="16" t="str">
        <f t="shared" si="396"/>
        <v>Fiche infoA5</v>
      </c>
      <c r="EI193" s="16" t="str">
        <f t="shared" si="397"/>
        <v/>
      </c>
    </row>
    <row r="194" spans="1:139" x14ac:dyDescent="0.2">
      <c r="A194" s="24" t="str">
        <f>Mai!BJ22</f>
        <v>Fiche infoA6</v>
      </c>
      <c r="B194" s="829">
        <f>Mai!AB22</f>
        <v>45780</v>
      </c>
      <c r="C194" s="1393"/>
      <c r="D194" s="1001">
        <f t="shared" si="353"/>
        <v>0</v>
      </c>
      <c r="E194" s="452">
        <f t="shared" si="354"/>
        <v>0</v>
      </c>
      <c r="F194" s="452">
        <f t="shared" si="355"/>
        <v>0</v>
      </c>
      <c r="G194" s="452">
        <f t="shared" si="356"/>
        <v>0</v>
      </c>
      <c r="H194" s="452">
        <f t="shared" si="357"/>
        <v>0</v>
      </c>
      <c r="I194" s="452">
        <f t="shared" si="358"/>
        <v>0</v>
      </c>
      <c r="J194" s="452">
        <f t="shared" si="359"/>
        <v>0</v>
      </c>
      <c r="K194" s="452">
        <f t="shared" si="360"/>
        <v>0</v>
      </c>
      <c r="L194" s="452">
        <f t="shared" si="398"/>
        <v>0</v>
      </c>
      <c r="M194" s="1002">
        <f t="shared" si="399"/>
        <v>0</v>
      </c>
      <c r="O194" s="1001">
        <f t="shared" si="361"/>
        <v>0</v>
      </c>
      <c r="P194" s="452">
        <f t="shared" si="362"/>
        <v>0</v>
      </c>
      <c r="Q194" s="452">
        <f t="shared" si="363"/>
        <v>0</v>
      </c>
      <c r="R194" s="452">
        <f t="shared" si="364"/>
        <v>0</v>
      </c>
      <c r="S194" s="452">
        <f t="shared" si="365"/>
        <v>0</v>
      </c>
      <c r="T194" s="452">
        <f t="shared" si="366"/>
        <v>0</v>
      </c>
      <c r="U194" s="452">
        <f t="shared" si="367"/>
        <v>0</v>
      </c>
      <c r="V194" s="452">
        <f t="shared" si="368"/>
        <v>0</v>
      </c>
      <c r="W194" s="452">
        <f t="shared" si="369"/>
        <v>0</v>
      </c>
      <c r="X194" s="1002">
        <f t="shared" si="370"/>
        <v>0</v>
      </c>
      <c r="Y194" s="459"/>
      <c r="Z194" s="291">
        <f t="shared" si="371"/>
        <v>0</v>
      </c>
      <c r="AA194" s="291">
        <f t="shared" si="372"/>
        <v>0</v>
      </c>
      <c r="AB194" s="291">
        <f t="shared" si="373"/>
        <v>0</v>
      </c>
      <c r="AC194" s="291">
        <f t="shared" si="374"/>
        <v>0</v>
      </c>
      <c r="AD194" s="291">
        <f t="shared" si="375"/>
        <v>0</v>
      </c>
      <c r="AE194" s="291">
        <f t="shared" si="376"/>
        <v>0</v>
      </c>
      <c r="AF194" s="291">
        <f t="shared" si="377"/>
        <v>0</v>
      </c>
      <c r="AG194" s="291">
        <f t="shared" si="378"/>
        <v>0</v>
      </c>
      <c r="AI194" s="462">
        <f t="shared" si="379"/>
        <v>0</v>
      </c>
      <c r="AJ194" s="1112"/>
      <c r="AK194" s="507"/>
      <c r="AL194" s="829">
        <f t="shared" si="380"/>
        <v>45780</v>
      </c>
      <c r="AM194" s="684">
        <f>IFERROR(IF(AND(AT194="",AR194&lt;&gt;S.CAL!$BJ$3,AR194&lt;&gt;S.CAL!$BJ$4,$AR$185="NON"),M194-BD194,IF(AND(AT194="",AR194&lt;&gt;S.CAL!$BJ$3,AR194&lt;&gt;S.CAL!$BJ$4,$AR$185="OUI"),X194-AI194,IF(AT194&lt;&gt;0,AT194,IF(OR(AR194=S.CAL!$BJ$3,AR194=S.CAL!$BJ$4),AR194,"")))),"")</f>
        <v>0</v>
      </c>
      <c r="AN194" s="1115"/>
      <c r="AO194" s="1116"/>
      <c r="AP194" s="684">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516">
        <f t="shared" si="400"/>
        <v>0</v>
      </c>
      <c r="AR194" s="1120"/>
      <c r="AT194" s="1123"/>
      <c r="AU194" s="831"/>
      <c r="AV194" s="1392">
        <f t="shared" si="381"/>
        <v>45780</v>
      </c>
      <c r="AX194" s="529">
        <f t="shared" si="401"/>
        <v>45780</v>
      </c>
      <c r="AY194" s="541">
        <f t="shared" si="402"/>
        <v>0</v>
      </c>
      <c r="AZ194" s="538" t="s">
        <v>146</v>
      </c>
      <c r="BA194" s="534">
        <f t="shared" si="403"/>
        <v>0</v>
      </c>
      <c r="BB194" s="567" t="str">
        <f t="shared" si="382"/>
        <v/>
      </c>
      <c r="BC194" s="541">
        <f t="shared" si="404"/>
        <v>0</v>
      </c>
      <c r="BD194" s="541">
        <f t="shared" si="405"/>
        <v>0</v>
      </c>
      <c r="BE194" s="750"/>
      <c r="BF194" s="532" t="str">
        <f t="shared" si="383"/>
        <v/>
      </c>
      <c r="BG194" s="532" t="str">
        <f t="shared" si="406"/>
        <v>oui</v>
      </c>
      <c r="BH194" s="395" t="str">
        <f t="shared" si="384"/>
        <v/>
      </c>
      <c r="BI194" s="24" t="str">
        <f t="shared" si="385"/>
        <v/>
      </c>
      <c r="BJ194" s="1403"/>
      <c r="BK194" s="1403"/>
      <c r="BL194" s="1403"/>
      <c r="BM194" s="1403"/>
      <c r="BN194" s="1403"/>
      <c r="BO194" s="1403"/>
      <c r="BP194" s="1403"/>
      <c r="BQ194" s="1403"/>
      <c r="BS194" s="1392">
        <f t="shared" si="352"/>
        <v>45780</v>
      </c>
      <c r="BT194" s="27" t="str">
        <f t="shared" ref="BT194:BT222" si="414">IFERROR(IF(WEEKDAY(BS194,11)=1,WEEKNUM(BS194,21),""),"")</f>
        <v/>
      </c>
      <c r="BU194" s="1402"/>
      <c r="BV194" s="1402"/>
      <c r="BW194" s="1402"/>
      <c r="BX194" s="1402"/>
      <c r="BY194" s="1402"/>
      <c r="BZ194" s="1402"/>
      <c r="CA194" s="1402"/>
      <c r="CB194" s="1402"/>
      <c r="CD194" s="1408">
        <f t="shared" si="407"/>
        <v>0</v>
      </c>
      <c r="DC194" s="16" t="str">
        <f>Mai!FC22</f>
        <v>non</v>
      </c>
      <c r="DG194" s="333">
        <f t="shared" si="408"/>
        <v>1</v>
      </c>
      <c r="DH194" s="129">
        <f t="shared" si="386"/>
        <v>10</v>
      </c>
      <c r="DI194" s="129">
        <f t="shared" si="409"/>
        <v>1</v>
      </c>
      <c r="DK194" s="16">
        <f>+IF(AND(Mai!$DP$8&lt;&gt;52,AR194=S.CAL!$BJ$4),10,1)</f>
        <v>1</v>
      </c>
      <c r="DN194" s="16">
        <f t="shared" si="387"/>
        <v>1</v>
      </c>
      <c r="DU194" s="1296" t="str">
        <f t="shared" si="410"/>
        <v>Fiche infoA645780</v>
      </c>
      <c r="DV194" s="1384">
        <f t="shared" si="388"/>
        <v>0</v>
      </c>
      <c r="DW194" s="1385">
        <f t="shared" si="389"/>
        <v>0</v>
      </c>
      <c r="DX194" s="1385">
        <f t="shared" si="390"/>
        <v>0</v>
      </c>
      <c r="DY194" s="1385">
        <f t="shared" si="391"/>
        <v>0</v>
      </c>
      <c r="DZ194" s="1385">
        <f t="shared" si="392"/>
        <v>0</v>
      </c>
      <c r="EA194" s="1385">
        <f t="shared" si="393"/>
        <v>0</v>
      </c>
      <c r="EB194" s="1385">
        <f t="shared" si="394"/>
        <v>0</v>
      </c>
      <c r="EC194" s="1385">
        <f t="shared" si="395"/>
        <v>0</v>
      </c>
      <c r="ED194" s="1385">
        <f t="shared" si="411"/>
        <v>0</v>
      </c>
      <c r="EE194" s="1386">
        <f t="shared" si="412"/>
        <v>0</v>
      </c>
      <c r="EG194" s="16" t="str">
        <f t="shared" si="413"/>
        <v>182025</v>
      </c>
      <c r="EH194" s="16" t="str">
        <f t="shared" si="396"/>
        <v>Fiche infoA6</v>
      </c>
      <c r="EI194" s="16" t="str">
        <f t="shared" si="397"/>
        <v/>
      </c>
    </row>
    <row r="195" spans="1:139" x14ac:dyDescent="0.2">
      <c r="A195" s="1395" t="str">
        <f>Mai!BJ23</f>
        <v>Fiche infoA7</v>
      </c>
      <c r="B195" s="829">
        <f>Mai!AB23</f>
        <v>45781</v>
      </c>
      <c r="C195" s="1394"/>
      <c r="D195" s="1001">
        <f t="shared" si="353"/>
        <v>0</v>
      </c>
      <c r="E195" s="452">
        <f t="shared" si="354"/>
        <v>0</v>
      </c>
      <c r="F195" s="452">
        <f t="shared" si="355"/>
        <v>0</v>
      </c>
      <c r="G195" s="452">
        <f t="shared" si="356"/>
        <v>0</v>
      </c>
      <c r="H195" s="452">
        <f t="shared" si="357"/>
        <v>0</v>
      </c>
      <c r="I195" s="452">
        <f t="shared" si="358"/>
        <v>0</v>
      </c>
      <c r="J195" s="452">
        <f t="shared" si="359"/>
        <v>0</v>
      </c>
      <c r="K195" s="452">
        <f t="shared" si="360"/>
        <v>0</v>
      </c>
      <c r="L195" s="452">
        <f t="shared" si="398"/>
        <v>0</v>
      </c>
      <c r="M195" s="1002">
        <f t="shared" si="399"/>
        <v>0</v>
      </c>
      <c r="N195" s="1396"/>
      <c r="O195" s="1001">
        <f t="shared" si="361"/>
        <v>0</v>
      </c>
      <c r="P195" s="452">
        <f t="shared" si="362"/>
        <v>0</v>
      </c>
      <c r="Q195" s="452">
        <f t="shared" si="363"/>
        <v>0</v>
      </c>
      <c r="R195" s="452">
        <f t="shared" si="364"/>
        <v>0</v>
      </c>
      <c r="S195" s="452">
        <f t="shared" si="365"/>
        <v>0</v>
      </c>
      <c r="T195" s="452">
        <f t="shared" si="366"/>
        <v>0</v>
      </c>
      <c r="U195" s="452">
        <f t="shared" si="367"/>
        <v>0</v>
      </c>
      <c r="V195" s="452">
        <f t="shared" si="368"/>
        <v>0</v>
      </c>
      <c r="W195" s="452">
        <f t="shared" si="369"/>
        <v>0</v>
      </c>
      <c r="X195" s="1002">
        <f t="shared" si="370"/>
        <v>0</v>
      </c>
      <c r="Y195" s="1397"/>
      <c r="Z195" s="1398">
        <f t="shared" si="371"/>
        <v>0</v>
      </c>
      <c r="AA195" s="1398">
        <f t="shared" si="372"/>
        <v>0</v>
      </c>
      <c r="AB195" s="1398">
        <f t="shared" si="373"/>
        <v>0</v>
      </c>
      <c r="AC195" s="1398">
        <f t="shared" si="374"/>
        <v>0</v>
      </c>
      <c r="AD195" s="1398">
        <f t="shared" si="375"/>
        <v>0</v>
      </c>
      <c r="AE195" s="1398">
        <f t="shared" si="376"/>
        <v>0</v>
      </c>
      <c r="AF195" s="1398">
        <f t="shared" si="377"/>
        <v>0</v>
      </c>
      <c r="AG195" s="1398">
        <f t="shared" si="378"/>
        <v>0</v>
      </c>
      <c r="AH195" s="1396"/>
      <c r="AI195" s="462">
        <f t="shared" si="379"/>
        <v>0</v>
      </c>
      <c r="AJ195" s="1112"/>
      <c r="AK195" s="1399"/>
      <c r="AL195" s="829">
        <f t="shared" si="380"/>
        <v>45781</v>
      </c>
      <c r="AM195" s="684">
        <f>IFERROR(IF(AND(AT195="",AR195&lt;&gt;S.CAL!$BJ$3,AR195&lt;&gt;S.CAL!$BJ$4,$AR$185="NON"),M195-BD195,IF(AND(AT195="",AR195&lt;&gt;S.CAL!$BJ$3,AR195&lt;&gt;S.CAL!$BJ$4,$AR$185="OUI"),X195-AI195,IF(AT195&lt;&gt;0,AT195,IF(OR(AR195=S.CAL!$BJ$3,AR195=S.CAL!$BJ$4),AR195,"")))),"")</f>
        <v>0</v>
      </c>
      <c r="AN195" s="1115"/>
      <c r="AO195" s="1116"/>
      <c r="AP195" s="684">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400">
        <f t="shared" si="400"/>
        <v>0</v>
      </c>
      <c r="AR195" s="1120"/>
      <c r="AS195" s="1396"/>
      <c r="AT195" s="1123"/>
      <c r="AU195" s="831"/>
      <c r="AV195" s="1392">
        <f t="shared" si="381"/>
        <v>45781</v>
      </c>
      <c r="AW195" s="1396"/>
      <c r="AX195" s="529">
        <f t="shared" si="401"/>
        <v>45781</v>
      </c>
      <c r="AY195" s="541">
        <f t="shared" si="402"/>
        <v>0</v>
      </c>
      <c r="AZ195" s="538" t="s">
        <v>146</v>
      </c>
      <c r="BA195" s="534">
        <f t="shared" si="403"/>
        <v>0</v>
      </c>
      <c r="BB195" s="567" t="str">
        <f t="shared" si="382"/>
        <v/>
      </c>
      <c r="BC195" s="541">
        <f t="shared" si="404"/>
        <v>0</v>
      </c>
      <c r="BD195" s="541">
        <f t="shared" si="405"/>
        <v>0</v>
      </c>
      <c r="BE195" s="750"/>
      <c r="BF195" s="532" t="str">
        <f t="shared" si="383"/>
        <v/>
      </c>
      <c r="BG195" s="532" t="str">
        <f t="shared" si="406"/>
        <v>oui</v>
      </c>
      <c r="BH195" s="395" t="str">
        <f t="shared" si="384"/>
        <v/>
      </c>
      <c r="BI195" s="24" t="str">
        <f t="shared" si="385"/>
        <v/>
      </c>
      <c r="BJ195" s="1404"/>
      <c r="BK195" s="1404"/>
      <c r="BL195" s="1404"/>
      <c r="BM195" s="1404"/>
      <c r="BN195" s="1404"/>
      <c r="BO195" s="1404"/>
      <c r="BP195" s="1404"/>
      <c r="BQ195" s="1404"/>
      <c r="BR195" s="1405"/>
      <c r="BS195" s="1392">
        <f t="shared" si="352"/>
        <v>45781</v>
      </c>
      <c r="BT195" s="1406" t="str">
        <f t="shared" si="414"/>
        <v/>
      </c>
      <c r="BU195" s="1404"/>
      <c r="BV195" s="1404"/>
      <c r="BW195" s="1404"/>
      <c r="BX195" s="1404"/>
      <c r="BY195" s="1404"/>
      <c r="BZ195" s="1404"/>
      <c r="CA195" s="1404"/>
      <c r="CB195" s="1404"/>
      <c r="CD195" s="1408">
        <f t="shared" si="407"/>
        <v>0</v>
      </c>
      <c r="DC195" s="16" t="str">
        <f>Mai!FC23</f>
        <v>non</v>
      </c>
      <c r="DG195" s="333">
        <f t="shared" si="408"/>
        <v>1</v>
      </c>
      <c r="DH195" s="129">
        <f t="shared" si="386"/>
        <v>10</v>
      </c>
      <c r="DI195" s="129">
        <f t="shared" si="409"/>
        <v>1</v>
      </c>
      <c r="DK195" s="16">
        <f>+IF(AND(Mai!$DP$8&lt;&gt;52,AR195=S.CAL!$BJ$4),10,1)</f>
        <v>1</v>
      </c>
      <c r="DN195" s="16">
        <f t="shared" si="387"/>
        <v>1</v>
      </c>
      <c r="DU195" s="1296" t="str">
        <f t="shared" si="410"/>
        <v>Fiche infoA745781</v>
      </c>
      <c r="DV195" s="1384">
        <f t="shared" si="388"/>
        <v>0</v>
      </c>
      <c r="DW195" s="1385">
        <f t="shared" si="389"/>
        <v>0</v>
      </c>
      <c r="DX195" s="1385">
        <f t="shared" si="390"/>
        <v>0</v>
      </c>
      <c r="DY195" s="1385">
        <f t="shared" si="391"/>
        <v>0</v>
      </c>
      <c r="DZ195" s="1385">
        <f t="shared" si="392"/>
        <v>0</v>
      </c>
      <c r="EA195" s="1385">
        <f t="shared" si="393"/>
        <v>0</v>
      </c>
      <c r="EB195" s="1385">
        <f t="shared" si="394"/>
        <v>0</v>
      </c>
      <c r="EC195" s="1385">
        <f t="shared" si="395"/>
        <v>0</v>
      </c>
      <c r="ED195" s="1385">
        <f t="shared" si="411"/>
        <v>0</v>
      </c>
      <c r="EE195" s="1386">
        <f t="shared" si="412"/>
        <v>0</v>
      </c>
      <c r="EG195" s="16" t="str">
        <f t="shared" si="413"/>
        <v>182025</v>
      </c>
      <c r="EH195" s="16" t="str">
        <f t="shared" si="396"/>
        <v>Fiche infoA7</v>
      </c>
      <c r="EI195" s="16" t="str">
        <f t="shared" si="397"/>
        <v/>
      </c>
    </row>
    <row r="196" spans="1:139" x14ac:dyDescent="0.2">
      <c r="A196" s="24" t="str">
        <f>Mai!BJ24</f>
        <v>Fiche infoA1</v>
      </c>
      <c r="B196" s="829">
        <f>Mai!AB24</f>
        <v>45782</v>
      </c>
      <c r="C196" s="1393"/>
      <c r="D196" s="1001">
        <f t="shared" si="353"/>
        <v>0</v>
      </c>
      <c r="E196" s="452">
        <f t="shared" si="354"/>
        <v>0</v>
      </c>
      <c r="F196" s="452">
        <f t="shared" si="355"/>
        <v>0</v>
      </c>
      <c r="G196" s="452">
        <f t="shared" si="356"/>
        <v>0</v>
      </c>
      <c r="H196" s="452">
        <f t="shared" si="357"/>
        <v>0</v>
      </c>
      <c r="I196" s="452">
        <f t="shared" si="358"/>
        <v>0</v>
      </c>
      <c r="J196" s="452">
        <f t="shared" si="359"/>
        <v>0</v>
      </c>
      <c r="K196" s="452">
        <f t="shared" si="360"/>
        <v>0</v>
      </c>
      <c r="L196" s="452">
        <f t="shared" si="398"/>
        <v>0</v>
      </c>
      <c r="M196" s="1002">
        <f t="shared" si="399"/>
        <v>0</v>
      </c>
      <c r="O196" s="1001">
        <f t="shared" si="361"/>
        <v>0</v>
      </c>
      <c r="P196" s="452">
        <f t="shared" si="362"/>
        <v>0</v>
      </c>
      <c r="Q196" s="452">
        <f t="shared" si="363"/>
        <v>0</v>
      </c>
      <c r="R196" s="452">
        <f t="shared" si="364"/>
        <v>0</v>
      </c>
      <c r="S196" s="452">
        <f t="shared" si="365"/>
        <v>0</v>
      </c>
      <c r="T196" s="452">
        <f t="shared" si="366"/>
        <v>0</v>
      </c>
      <c r="U196" s="452">
        <f t="shared" si="367"/>
        <v>0</v>
      </c>
      <c r="V196" s="452">
        <f t="shared" si="368"/>
        <v>0</v>
      </c>
      <c r="W196" s="452">
        <f t="shared" si="369"/>
        <v>0</v>
      </c>
      <c r="X196" s="1002">
        <f t="shared" si="370"/>
        <v>0</v>
      </c>
      <c r="Y196" s="459"/>
      <c r="Z196" s="291">
        <f t="shared" si="371"/>
        <v>0</v>
      </c>
      <c r="AA196" s="291">
        <f t="shared" si="372"/>
        <v>0</v>
      </c>
      <c r="AB196" s="291">
        <f t="shared" si="373"/>
        <v>0</v>
      </c>
      <c r="AC196" s="291">
        <f t="shared" si="374"/>
        <v>0</v>
      </c>
      <c r="AD196" s="291">
        <f t="shared" si="375"/>
        <v>0</v>
      </c>
      <c r="AE196" s="291">
        <f t="shared" si="376"/>
        <v>0</v>
      </c>
      <c r="AF196" s="291">
        <f t="shared" si="377"/>
        <v>0</v>
      </c>
      <c r="AG196" s="291">
        <f t="shared" si="378"/>
        <v>0</v>
      </c>
      <c r="AI196" s="462">
        <f t="shared" si="379"/>
        <v>0</v>
      </c>
      <c r="AJ196" s="1112"/>
      <c r="AK196" s="507"/>
      <c r="AL196" s="829">
        <f t="shared" si="380"/>
        <v>45782</v>
      </c>
      <c r="AM196" s="684">
        <f>IFERROR(IF(AND(AT196="",AR196&lt;&gt;S.CAL!$BJ$3,AR196&lt;&gt;S.CAL!$BJ$4,$AR$185="NON"),M196-BD196,IF(AND(AT196="",AR196&lt;&gt;S.CAL!$BJ$3,AR196&lt;&gt;S.CAL!$BJ$4,$AR$185="OUI"),X196-AI196,IF(AT196&lt;&gt;0,AT196,IF(OR(AR196=S.CAL!$BJ$3,AR196=S.CAL!$BJ$4),AR196,"")))),"")</f>
        <v>0</v>
      </c>
      <c r="AN196" s="1115"/>
      <c r="AO196" s="1116"/>
      <c r="AP196" s="684">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516">
        <f t="shared" si="400"/>
        <v>0</v>
      </c>
      <c r="AR196" s="1120"/>
      <c r="AT196" s="1123"/>
      <c r="AU196" s="831"/>
      <c r="AV196" s="1392">
        <f t="shared" si="381"/>
        <v>45782</v>
      </c>
      <c r="AX196" s="529">
        <f t="shared" si="401"/>
        <v>45782</v>
      </c>
      <c r="AY196" s="541">
        <f t="shared" si="402"/>
        <v>0</v>
      </c>
      <c r="AZ196" s="538" t="s">
        <v>146</v>
      </c>
      <c r="BA196" s="534">
        <f t="shared" si="403"/>
        <v>0</v>
      </c>
      <c r="BB196" s="567" t="str">
        <f t="shared" si="382"/>
        <v/>
      </c>
      <c r="BC196" s="541">
        <f t="shared" si="404"/>
        <v>0</v>
      </c>
      <c r="BD196" s="541">
        <f t="shared" si="405"/>
        <v>0</v>
      </c>
      <c r="BE196" s="750"/>
      <c r="BF196" s="532" t="str">
        <f t="shared" si="383"/>
        <v/>
      </c>
      <c r="BG196" s="532" t="str">
        <f t="shared" si="406"/>
        <v>oui</v>
      </c>
      <c r="BH196" s="395" t="str">
        <f t="shared" si="384"/>
        <v/>
      </c>
      <c r="BI196" s="24" t="str">
        <f t="shared" si="385"/>
        <v/>
      </c>
      <c r="BJ196" s="1403"/>
      <c r="BK196" s="1403"/>
      <c r="BL196" s="1403"/>
      <c r="BM196" s="1403"/>
      <c r="BN196" s="1403"/>
      <c r="BO196" s="1403"/>
      <c r="BP196" s="1403"/>
      <c r="BQ196" s="1403"/>
      <c r="BS196" s="1392">
        <f t="shared" si="352"/>
        <v>45782</v>
      </c>
      <c r="BT196" s="27">
        <f t="shared" si="414"/>
        <v>19</v>
      </c>
      <c r="BU196" s="1402"/>
      <c r="BV196" s="1402"/>
      <c r="BW196" s="1402"/>
      <c r="BX196" s="1402"/>
      <c r="BY196" s="1402"/>
      <c r="BZ196" s="1402"/>
      <c r="CA196" s="1402"/>
      <c r="CB196" s="1402"/>
      <c r="CD196" s="1408">
        <f t="shared" si="407"/>
        <v>0</v>
      </c>
      <c r="DC196" s="16" t="str">
        <f>Mai!FC24</f>
        <v>non</v>
      </c>
      <c r="DG196" s="333">
        <f t="shared" si="408"/>
        <v>1</v>
      </c>
      <c r="DH196" s="129">
        <f t="shared" si="386"/>
        <v>10</v>
      </c>
      <c r="DI196" s="129">
        <f t="shared" si="409"/>
        <v>1</v>
      </c>
      <c r="DK196" s="16">
        <f>+IF(AND(Mai!$DP$8&lt;&gt;52,AR196=S.CAL!$BJ$4),10,1)</f>
        <v>1</v>
      </c>
      <c r="DN196" s="16">
        <f t="shared" si="387"/>
        <v>1</v>
      </c>
      <c r="DU196" s="1296" t="str">
        <f t="shared" si="410"/>
        <v>Fiche infoA145782</v>
      </c>
      <c r="DV196" s="1384">
        <f t="shared" si="388"/>
        <v>0</v>
      </c>
      <c r="DW196" s="1385">
        <f t="shared" si="389"/>
        <v>0</v>
      </c>
      <c r="DX196" s="1385">
        <f t="shared" si="390"/>
        <v>0</v>
      </c>
      <c r="DY196" s="1385">
        <f t="shared" si="391"/>
        <v>0</v>
      </c>
      <c r="DZ196" s="1385">
        <f t="shared" si="392"/>
        <v>0</v>
      </c>
      <c r="EA196" s="1385">
        <f t="shared" si="393"/>
        <v>0</v>
      </c>
      <c r="EB196" s="1385">
        <f t="shared" si="394"/>
        <v>0</v>
      </c>
      <c r="EC196" s="1385">
        <f t="shared" si="395"/>
        <v>0</v>
      </c>
      <c r="ED196" s="1385">
        <f t="shared" si="411"/>
        <v>0</v>
      </c>
      <c r="EE196" s="1386">
        <f t="shared" si="412"/>
        <v>0</v>
      </c>
      <c r="EG196" s="16" t="str">
        <f t="shared" si="413"/>
        <v>192025</v>
      </c>
      <c r="EH196" s="16" t="str">
        <f t="shared" si="396"/>
        <v>Fiche infoA1</v>
      </c>
      <c r="EI196" s="16" t="str">
        <f t="shared" si="397"/>
        <v/>
      </c>
    </row>
    <row r="197" spans="1:139" x14ac:dyDescent="0.2">
      <c r="A197" s="1395" t="str">
        <f>Mai!BJ25</f>
        <v>Fiche infoA2</v>
      </c>
      <c r="B197" s="829">
        <f>Mai!AB25</f>
        <v>45783</v>
      </c>
      <c r="C197" s="1394"/>
      <c r="D197" s="1001">
        <f t="shared" si="353"/>
        <v>0</v>
      </c>
      <c r="E197" s="452">
        <f t="shared" si="354"/>
        <v>0</v>
      </c>
      <c r="F197" s="452">
        <f t="shared" si="355"/>
        <v>0</v>
      </c>
      <c r="G197" s="452">
        <f t="shared" si="356"/>
        <v>0</v>
      </c>
      <c r="H197" s="452">
        <f t="shared" si="357"/>
        <v>0</v>
      </c>
      <c r="I197" s="452">
        <f t="shared" si="358"/>
        <v>0</v>
      </c>
      <c r="J197" s="452">
        <f t="shared" si="359"/>
        <v>0</v>
      </c>
      <c r="K197" s="452">
        <f t="shared" si="360"/>
        <v>0</v>
      </c>
      <c r="L197" s="452">
        <f t="shared" si="398"/>
        <v>0</v>
      </c>
      <c r="M197" s="1002">
        <f t="shared" si="399"/>
        <v>0</v>
      </c>
      <c r="N197" s="1396"/>
      <c r="O197" s="1001">
        <f t="shared" si="361"/>
        <v>0</v>
      </c>
      <c r="P197" s="452">
        <f t="shared" si="362"/>
        <v>0</v>
      </c>
      <c r="Q197" s="452">
        <f t="shared" si="363"/>
        <v>0</v>
      </c>
      <c r="R197" s="452">
        <f t="shared" si="364"/>
        <v>0</v>
      </c>
      <c r="S197" s="452">
        <f t="shared" si="365"/>
        <v>0</v>
      </c>
      <c r="T197" s="452">
        <f t="shared" si="366"/>
        <v>0</v>
      </c>
      <c r="U197" s="452">
        <f t="shared" si="367"/>
        <v>0</v>
      </c>
      <c r="V197" s="452">
        <f t="shared" si="368"/>
        <v>0</v>
      </c>
      <c r="W197" s="452">
        <f t="shared" si="369"/>
        <v>0</v>
      </c>
      <c r="X197" s="1002">
        <f t="shared" si="370"/>
        <v>0</v>
      </c>
      <c r="Y197" s="1397"/>
      <c r="Z197" s="1398">
        <f t="shared" si="371"/>
        <v>0</v>
      </c>
      <c r="AA197" s="1398">
        <f t="shared" si="372"/>
        <v>0</v>
      </c>
      <c r="AB197" s="1398">
        <f t="shared" si="373"/>
        <v>0</v>
      </c>
      <c r="AC197" s="1398">
        <f t="shared" si="374"/>
        <v>0</v>
      </c>
      <c r="AD197" s="1398">
        <f t="shared" si="375"/>
        <v>0</v>
      </c>
      <c r="AE197" s="1398">
        <f t="shared" si="376"/>
        <v>0</v>
      </c>
      <c r="AF197" s="1398">
        <f t="shared" si="377"/>
        <v>0</v>
      </c>
      <c r="AG197" s="1398">
        <f t="shared" si="378"/>
        <v>0</v>
      </c>
      <c r="AH197" s="1396"/>
      <c r="AI197" s="462">
        <f t="shared" si="379"/>
        <v>0</v>
      </c>
      <c r="AJ197" s="1112"/>
      <c r="AK197" s="1399"/>
      <c r="AL197" s="829">
        <f t="shared" si="380"/>
        <v>45783</v>
      </c>
      <c r="AM197" s="684">
        <f>IFERROR(IF(AND(AT197="",AR197&lt;&gt;S.CAL!$BJ$3,AR197&lt;&gt;S.CAL!$BJ$4,$AR$185="NON"),M197-BD197,IF(AND(AT197="",AR197&lt;&gt;S.CAL!$BJ$3,AR197&lt;&gt;S.CAL!$BJ$4,$AR$185="OUI"),X197-AI197,IF(AT197&lt;&gt;0,AT197,IF(OR(AR197=S.CAL!$BJ$3,AR197=S.CAL!$BJ$4),AR197,"")))),"")</f>
        <v>0</v>
      </c>
      <c r="AN197" s="1115"/>
      <c r="AO197" s="1116"/>
      <c r="AP197" s="684">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400">
        <f t="shared" si="400"/>
        <v>0</v>
      </c>
      <c r="AR197" s="1120"/>
      <c r="AS197" s="1396"/>
      <c r="AT197" s="1123"/>
      <c r="AU197" s="831"/>
      <c r="AV197" s="1392">
        <f t="shared" si="381"/>
        <v>45783</v>
      </c>
      <c r="AW197" s="1396"/>
      <c r="AX197" s="529">
        <f t="shared" si="401"/>
        <v>45783</v>
      </c>
      <c r="AY197" s="541">
        <f t="shared" si="402"/>
        <v>0</v>
      </c>
      <c r="AZ197" s="538" t="s">
        <v>146</v>
      </c>
      <c r="BA197" s="534">
        <f t="shared" si="403"/>
        <v>0</v>
      </c>
      <c r="BB197" s="567" t="str">
        <f t="shared" si="382"/>
        <v/>
      </c>
      <c r="BC197" s="541">
        <f t="shared" si="404"/>
        <v>0</v>
      </c>
      <c r="BD197" s="541">
        <f t="shared" si="405"/>
        <v>0</v>
      </c>
      <c r="BE197" s="750"/>
      <c r="BF197" s="532" t="str">
        <f t="shared" si="383"/>
        <v/>
      </c>
      <c r="BG197" s="532" t="str">
        <f t="shared" si="406"/>
        <v>oui</v>
      </c>
      <c r="BH197" s="395" t="str">
        <f t="shared" si="384"/>
        <v/>
      </c>
      <c r="BI197" s="24" t="str">
        <f t="shared" si="385"/>
        <v/>
      </c>
      <c r="BJ197" s="1404"/>
      <c r="BK197" s="1404"/>
      <c r="BL197" s="1404"/>
      <c r="BM197" s="1404"/>
      <c r="BN197" s="1404"/>
      <c r="BO197" s="1404"/>
      <c r="BP197" s="1404"/>
      <c r="BQ197" s="1404"/>
      <c r="BR197" s="1405"/>
      <c r="BS197" s="1392">
        <f t="shared" si="352"/>
        <v>45783</v>
      </c>
      <c r="BT197" s="1406" t="str">
        <f t="shared" si="414"/>
        <v/>
      </c>
      <c r="BU197" s="1404"/>
      <c r="BV197" s="1404"/>
      <c r="BW197" s="1404"/>
      <c r="BX197" s="1404"/>
      <c r="BY197" s="1404"/>
      <c r="BZ197" s="1404"/>
      <c r="CA197" s="1404"/>
      <c r="CB197" s="1404"/>
      <c r="CD197" s="1408">
        <f t="shared" si="407"/>
        <v>0</v>
      </c>
      <c r="DC197" s="16" t="str">
        <f>Mai!FC25</f>
        <v>non</v>
      </c>
      <c r="DG197" s="333">
        <f t="shared" si="408"/>
        <v>1</v>
      </c>
      <c r="DH197" s="129">
        <f t="shared" si="386"/>
        <v>10</v>
      </c>
      <c r="DI197" s="129">
        <f t="shared" si="409"/>
        <v>1</v>
      </c>
      <c r="DK197" s="16">
        <f>+IF(AND(Mai!$DP$8&lt;&gt;52,AR197=S.CAL!$BJ$4),10,1)</f>
        <v>1</v>
      </c>
      <c r="DN197" s="16">
        <f t="shared" si="387"/>
        <v>1</v>
      </c>
      <c r="DU197" s="1296" t="str">
        <f t="shared" si="410"/>
        <v>Fiche infoA245783</v>
      </c>
      <c r="DV197" s="1384">
        <f t="shared" si="388"/>
        <v>0</v>
      </c>
      <c r="DW197" s="1385">
        <f t="shared" si="389"/>
        <v>0</v>
      </c>
      <c r="DX197" s="1385">
        <f t="shared" si="390"/>
        <v>0</v>
      </c>
      <c r="DY197" s="1385">
        <f t="shared" si="391"/>
        <v>0</v>
      </c>
      <c r="DZ197" s="1385">
        <f t="shared" si="392"/>
        <v>0</v>
      </c>
      <c r="EA197" s="1385">
        <f t="shared" si="393"/>
        <v>0</v>
      </c>
      <c r="EB197" s="1385">
        <f t="shared" si="394"/>
        <v>0</v>
      </c>
      <c r="EC197" s="1385">
        <f t="shared" si="395"/>
        <v>0</v>
      </c>
      <c r="ED197" s="1385">
        <f t="shared" si="411"/>
        <v>0</v>
      </c>
      <c r="EE197" s="1386">
        <f t="shared" si="412"/>
        <v>0</v>
      </c>
      <c r="EG197" s="16" t="str">
        <f t="shared" si="413"/>
        <v>192025</v>
      </c>
      <c r="EH197" s="16" t="str">
        <f t="shared" si="396"/>
        <v>Fiche infoA2</v>
      </c>
      <c r="EI197" s="16" t="str">
        <f t="shared" si="397"/>
        <v/>
      </c>
    </row>
    <row r="198" spans="1:139" x14ac:dyDescent="0.2">
      <c r="A198" s="24" t="str">
        <f>Mai!BJ26</f>
        <v>Fiche infoA3</v>
      </c>
      <c r="B198" s="829">
        <f>Mai!AB26</f>
        <v>45784</v>
      </c>
      <c r="C198" s="1393"/>
      <c r="D198" s="1001">
        <f t="shared" si="353"/>
        <v>0</v>
      </c>
      <c r="E198" s="452">
        <f t="shared" si="354"/>
        <v>0</v>
      </c>
      <c r="F198" s="452">
        <f t="shared" si="355"/>
        <v>0</v>
      </c>
      <c r="G198" s="452">
        <f t="shared" si="356"/>
        <v>0</v>
      </c>
      <c r="H198" s="452">
        <f t="shared" si="357"/>
        <v>0</v>
      </c>
      <c r="I198" s="452">
        <f t="shared" si="358"/>
        <v>0</v>
      </c>
      <c r="J198" s="452">
        <f t="shared" si="359"/>
        <v>0</v>
      </c>
      <c r="K198" s="452">
        <f t="shared" si="360"/>
        <v>0</v>
      </c>
      <c r="L198" s="452">
        <f t="shared" si="398"/>
        <v>0</v>
      </c>
      <c r="M198" s="1002">
        <f t="shared" si="399"/>
        <v>0</v>
      </c>
      <c r="O198" s="1001">
        <f t="shared" si="361"/>
        <v>0</v>
      </c>
      <c r="P198" s="452">
        <f t="shared" si="362"/>
        <v>0</v>
      </c>
      <c r="Q198" s="452">
        <f t="shared" si="363"/>
        <v>0</v>
      </c>
      <c r="R198" s="452">
        <f t="shared" si="364"/>
        <v>0</v>
      </c>
      <c r="S198" s="452">
        <f t="shared" si="365"/>
        <v>0</v>
      </c>
      <c r="T198" s="452">
        <f t="shared" si="366"/>
        <v>0</v>
      </c>
      <c r="U198" s="452">
        <f t="shared" si="367"/>
        <v>0</v>
      </c>
      <c r="V198" s="452">
        <f t="shared" si="368"/>
        <v>0</v>
      </c>
      <c r="W198" s="452">
        <f t="shared" si="369"/>
        <v>0</v>
      </c>
      <c r="X198" s="1002">
        <f t="shared" si="370"/>
        <v>0</v>
      </c>
      <c r="Y198" s="459"/>
      <c r="Z198" s="291">
        <f t="shared" si="371"/>
        <v>0</v>
      </c>
      <c r="AA198" s="291">
        <f t="shared" si="372"/>
        <v>0</v>
      </c>
      <c r="AB198" s="291">
        <f t="shared" si="373"/>
        <v>0</v>
      </c>
      <c r="AC198" s="291">
        <f t="shared" si="374"/>
        <v>0</v>
      </c>
      <c r="AD198" s="291">
        <f t="shared" si="375"/>
        <v>0</v>
      </c>
      <c r="AE198" s="291">
        <f t="shared" si="376"/>
        <v>0</v>
      </c>
      <c r="AF198" s="291">
        <f t="shared" si="377"/>
        <v>0</v>
      </c>
      <c r="AG198" s="291">
        <f t="shared" si="378"/>
        <v>0</v>
      </c>
      <c r="AI198" s="462">
        <f t="shared" si="379"/>
        <v>0</v>
      </c>
      <c r="AJ198" s="1112"/>
      <c r="AK198" s="507"/>
      <c r="AL198" s="829">
        <f t="shared" si="380"/>
        <v>45784</v>
      </c>
      <c r="AM198" s="684">
        <f>IFERROR(IF(AND(AT198="",AR198&lt;&gt;S.CAL!$BJ$3,AR198&lt;&gt;S.CAL!$BJ$4,$AR$185="NON"),M198-BD198,IF(AND(AT198="",AR198&lt;&gt;S.CAL!$BJ$3,AR198&lt;&gt;S.CAL!$BJ$4,$AR$185="OUI"),X198-AI198,IF(AT198&lt;&gt;0,AT198,IF(OR(AR198=S.CAL!$BJ$3,AR198=S.CAL!$BJ$4),AR198,"")))),"")</f>
        <v>0</v>
      </c>
      <c r="AN198" s="1115"/>
      <c r="AO198" s="1116"/>
      <c r="AP198" s="684">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516">
        <f t="shared" si="400"/>
        <v>0</v>
      </c>
      <c r="AR198" s="1120"/>
      <c r="AT198" s="1123"/>
      <c r="AU198" s="831"/>
      <c r="AV198" s="1392">
        <f t="shared" si="381"/>
        <v>45784</v>
      </c>
      <c r="AX198" s="529">
        <f t="shared" si="401"/>
        <v>45784</v>
      </c>
      <c r="AY198" s="541">
        <f t="shared" si="402"/>
        <v>0</v>
      </c>
      <c r="AZ198" s="538" t="s">
        <v>146</v>
      </c>
      <c r="BA198" s="534">
        <f t="shared" si="403"/>
        <v>0</v>
      </c>
      <c r="BB198" s="567" t="str">
        <f t="shared" si="382"/>
        <v/>
      </c>
      <c r="BC198" s="541">
        <f t="shared" si="404"/>
        <v>0</v>
      </c>
      <c r="BD198" s="541">
        <f t="shared" si="405"/>
        <v>0</v>
      </c>
      <c r="BE198" s="750"/>
      <c r="BF198" s="532" t="str">
        <f t="shared" si="383"/>
        <v/>
      </c>
      <c r="BG198" s="532" t="str">
        <f t="shared" si="406"/>
        <v>oui</v>
      </c>
      <c r="BH198" s="395" t="str">
        <f t="shared" si="384"/>
        <v/>
      </c>
      <c r="BI198" s="24" t="str">
        <f t="shared" si="385"/>
        <v/>
      </c>
      <c r="BJ198" s="1403"/>
      <c r="BK198" s="1403"/>
      <c r="BL198" s="1403"/>
      <c r="BM198" s="1403"/>
      <c r="BN198" s="1403"/>
      <c r="BO198" s="1403"/>
      <c r="BP198" s="1403"/>
      <c r="BQ198" s="1403"/>
      <c r="BS198" s="1392">
        <f t="shared" si="352"/>
        <v>45784</v>
      </c>
      <c r="BT198" s="27" t="str">
        <f t="shared" si="414"/>
        <v/>
      </c>
      <c r="BU198" s="1402"/>
      <c r="BV198" s="1402"/>
      <c r="BW198" s="1402"/>
      <c r="BX198" s="1402"/>
      <c r="BY198" s="1402"/>
      <c r="BZ198" s="1402"/>
      <c r="CA198" s="1402"/>
      <c r="CB198" s="1402"/>
      <c r="CD198" s="1408">
        <f t="shared" si="407"/>
        <v>0</v>
      </c>
      <c r="DC198" s="16" t="str">
        <f>Mai!FC26</f>
        <v>non</v>
      </c>
      <c r="DG198" s="333">
        <f t="shared" si="408"/>
        <v>1</v>
      </c>
      <c r="DH198" s="129">
        <f t="shared" si="386"/>
        <v>10</v>
      </c>
      <c r="DI198" s="129">
        <f t="shared" si="409"/>
        <v>1</v>
      </c>
      <c r="DK198" s="16">
        <f>+IF(AND(Mai!$DP$8&lt;&gt;52,AR198=S.CAL!$BJ$4),10,1)</f>
        <v>1</v>
      </c>
      <c r="DN198" s="16">
        <f t="shared" si="387"/>
        <v>1</v>
      </c>
      <c r="DU198" s="1296" t="str">
        <f t="shared" si="410"/>
        <v>Fiche infoA345784</v>
      </c>
      <c r="DV198" s="1384">
        <f t="shared" si="388"/>
        <v>0</v>
      </c>
      <c r="DW198" s="1385">
        <f t="shared" si="389"/>
        <v>0</v>
      </c>
      <c r="DX198" s="1385">
        <f t="shared" si="390"/>
        <v>0</v>
      </c>
      <c r="DY198" s="1385">
        <f t="shared" si="391"/>
        <v>0</v>
      </c>
      <c r="DZ198" s="1385">
        <f t="shared" si="392"/>
        <v>0</v>
      </c>
      <c r="EA198" s="1385">
        <f t="shared" si="393"/>
        <v>0</v>
      </c>
      <c r="EB198" s="1385">
        <f t="shared" si="394"/>
        <v>0</v>
      </c>
      <c r="EC198" s="1385">
        <f t="shared" si="395"/>
        <v>0</v>
      </c>
      <c r="ED198" s="1385">
        <f t="shared" si="411"/>
        <v>0</v>
      </c>
      <c r="EE198" s="1386">
        <f t="shared" si="412"/>
        <v>0</v>
      </c>
      <c r="EG198" s="16" t="str">
        <f t="shared" si="413"/>
        <v>192025</v>
      </c>
      <c r="EH198" s="16" t="str">
        <f t="shared" si="396"/>
        <v>Fiche infoA3</v>
      </c>
      <c r="EI198" s="16" t="str">
        <f t="shared" si="397"/>
        <v/>
      </c>
    </row>
    <row r="199" spans="1:139" x14ac:dyDescent="0.2">
      <c r="A199" s="1395" t="str">
        <f>Mai!BJ27</f>
        <v>Fiche infoA4</v>
      </c>
      <c r="B199" s="829">
        <f>Mai!AB27</f>
        <v>45785</v>
      </c>
      <c r="C199" s="1394"/>
      <c r="D199" s="1001">
        <f t="shared" si="353"/>
        <v>0</v>
      </c>
      <c r="E199" s="452">
        <f t="shared" si="354"/>
        <v>0</v>
      </c>
      <c r="F199" s="452">
        <f t="shared" si="355"/>
        <v>0</v>
      </c>
      <c r="G199" s="452">
        <f t="shared" si="356"/>
        <v>0</v>
      </c>
      <c r="H199" s="452">
        <f t="shared" si="357"/>
        <v>0</v>
      </c>
      <c r="I199" s="452">
        <f t="shared" si="358"/>
        <v>0</v>
      </c>
      <c r="J199" s="452">
        <f t="shared" si="359"/>
        <v>0</v>
      </c>
      <c r="K199" s="452">
        <f t="shared" si="360"/>
        <v>0</v>
      </c>
      <c r="L199" s="452">
        <f t="shared" si="398"/>
        <v>0</v>
      </c>
      <c r="M199" s="1002">
        <f t="shared" si="399"/>
        <v>0</v>
      </c>
      <c r="N199" s="1396"/>
      <c r="O199" s="1001">
        <f t="shared" si="361"/>
        <v>0</v>
      </c>
      <c r="P199" s="452">
        <f t="shared" si="362"/>
        <v>0</v>
      </c>
      <c r="Q199" s="452">
        <f t="shared" si="363"/>
        <v>0</v>
      </c>
      <c r="R199" s="452">
        <f t="shared" si="364"/>
        <v>0</v>
      </c>
      <c r="S199" s="452">
        <f t="shared" si="365"/>
        <v>0</v>
      </c>
      <c r="T199" s="452">
        <f t="shared" si="366"/>
        <v>0</v>
      </c>
      <c r="U199" s="452">
        <f t="shared" si="367"/>
        <v>0</v>
      </c>
      <c r="V199" s="452">
        <f t="shared" si="368"/>
        <v>0</v>
      </c>
      <c r="W199" s="452">
        <f t="shared" si="369"/>
        <v>0</v>
      </c>
      <c r="X199" s="1002">
        <f t="shared" si="370"/>
        <v>0</v>
      </c>
      <c r="Y199" s="1397"/>
      <c r="Z199" s="1398">
        <f t="shared" si="371"/>
        <v>0</v>
      </c>
      <c r="AA199" s="1398">
        <f t="shared" si="372"/>
        <v>0</v>
      </c>
      <c r="AB199" s="1398">
        <f t="shared" si="373"/>
        <v>0</v>
      </c>
      <c r="AC199" s="1398">
        <f t="shared" si="374"/>
        <v>0</v>
      </c>
      <c r="AD199" s="1398">
        <f t="shared" si="375"/>
        <v>0</v>
      </c>
      <c r="AE199" s="1398">
        <f t="shared" si="376"/>
        <v>0</v>
      </c>
      <c r="AF199" s="1398">
        <f t="shared" si="377"/>
        <v>0</v>
      </c>
      <c r="AG199" s="1398">
        <f t="shared" si="378"/>
        <v>0</v>
      </c>
      <c r="AH199" s="1396"/>
      <c r="AI199" s="462">
        <f t="shared" si="379"/>
        <v>0</v>
      </c>
      <c r="AJ199" s="1112"/>
      <c r="AK199" s="1399"/>
      <c r="AL199" s="829">
        <f t="shared" si="380"/>
        <v>45785</v>
      </c>
      <c r="AM199" s="684">
        <f>IFERROR(IF(AND(AT199="",AR199&lt;&gt;S.CAL!$BJ$3,AR199&lt;&gt;S.CAL!$BJ$4,$AR$185="NON"),M199-BD199,IF(AND(AT199="",AR199&lt;&gt;S.CAL!$BJ$3,AR199&lt;&gt;S.CAL!$BJ$4,$AR$185="OUI"),X199-AI199,IF(AT199&lt;&gt;0,AT199,IF(OR(AR199=S.CAL!$BJ$3,AR199=S.CAL!$BJ$4),AR199,"")))),"")</f>
        <v>0</v>
      </c>
      <c r="AN199" s="1115"/>
      <c r="AO199" s="1116"/>
      <c r="AP199" s="684">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400">
        <f t="shared" si="400"/>
        <v>0</v>
      </c>
      <c r="AR199" s="1120"/>
      <c r="AS199" s="1396"/>
      <c r="AT199" s="1123"/>
      <c r="AU199" s="831"/>
      <c r="AV199" s="1392">
        <f t="shared" si="381"/>
        <v>45785</v>
      </c>
      <c r="AW199" s="1396"/>
      <c r="AX199" s="529">
        <f t="shared" si="401"/>
        <v>45785</v>
      </c>
      <c r="AY199" s="541">
        <f t="shared" si="402"/>
        <v>0</v>
      </c>
      <c r="AZ199" s="538" t="s">
        <v>146</v>
      </c>
      <c r="BA199" s="534">
        <f t="shared" si="403"/>
        <v>0</v>
      </c>
      <c r="BB199" s="567" t="str">
        <f t="shared" si="382"/>
        <v/>
      </c>
      <c r="BC199" s="541">
        <f t="shared" si="404"/>
        <v>0</v>
      </c>
      <c r="BD199" s="541">
        <f t="shared" si="405"/>
        <v>0</v>
      </c>
      <c r="BE199" s="750"/>
      <c r="BF199" s="532" t="str">
        <f t="shared" si="383"/>
        <v/>
      </c>
      <c r="BG199" s="532" t="str">
        <f t="shared" si="406"/>
        <v>oui</v>
      </c>
      <c r="BH199" s="395" t="str">
        <f t="shared" si="384"/>
        <v/>
      </c>
      <c r="BI199" s="24" t="str">
        <f t="shared" si="385"/>
        <v/>
      </c>
      <c r="BJ199" s="1404"/>
      <c r="BK199" s="1404"/>
      <c r="BL199" s="1404"/>
      <c r="BM199" s="1404"/>
      <c r="BN199" s="1404"/>
      <c r="BO199" s="1404"/>
      <c r="BP199" s="1404"/>
      <c r="BQ199" s="1404"/>
      <c r="BR199" s="1405"/>
      <c r="BS199" s="1392">
        <f t="shared" si="352"/>
        <v>45785</v>
      </c>
      <c r="BT199" s="1406" t="str">
        <f t="shared" si="414"/>
        <v/>
      </c>
      <c r="BU199" s="1404"/>
      <c r="BV199" s="1404"/>
      <c r="BW199" s="1404"/>
      <c r="BX199" s="1404"/>
      <c r="BY199" s="1404"/>
      <c r="BZ199" s="1404"/>
      <c r="CA199" s="1404"/>
      <c r="CB199" s="1404"/>
      <c r="CD199" s="1408">
        <f t="shared" si="407"/>
        <v>0</v>
      </c>
      <c r="DC199" s="16" t="str">
        <f>Mai!FC27</f>
        <v>non</v>
      </c>
      <c r="DG199" s="333">
        <f t="shared" si="408"/>
        <v>1</v>
      </c>
      <c r="DH199" s="129">
        <f t="shared" si="386"/>
        <v>10</v>
      </c>
      <c r="DI199" s="129">
        <f t="shared" si="409"/>
        <v>1</v>
      </c>
      <c r="DK199" s="16">
        <f>+IF(AND(Mai!$DP$8&lt;&gt;52,AR199=S.CAL!$BJ$4),10,1)</f>
        <v>1</v>
      </c>
      <c r="DN199" s="16">
        <f t="shared" si="387"/>
        <v>1</v>
      </c>
      <c r="DU199" s="1296" t="str">
        <f t="shared" si="410"/>
        <v>Fiche infoA445785</v>
      </c>
      <c r="DV199" s="1384">
        <f t="shared" si="388"/>
        <v>0</v>
      </c>
      <c r="DW199" s="1385">
        <f t="shared" si="389"/>
        <v>0</v>
      </c>
      <c r="DX199" s="1385">
        <f t="shared" si="390"/>
        <v>0</v>
      </c>
      <c r="DY199" s="1385">
        <f t="shared" si="391"/>
        <v>0</v>
      </c>
      <c r="DZ199" s="1385">
        <f t="shared" si="392"/>
        <v>0</v>
      </c>
      <c r="EA199" s="1385">
        <f t="shared" si="393"/>
        <v>0</v>
      </c>
      <c r="EB199" s="1385">
        <f t="shared" si="394"/>
        <v>0</v>
      </c>
      <c r="EC199" s="1385">
        <f t="shared" si="395"/>
        <v>0</v>
      </c>
      <c r="ED199" s="1385">
        <f t="shared" si="411"/>
        <v>0</v>
      </c>
      <c r="EE199" s="1386">
        <f t="shared" si="412"/>
        <v>0</v>
      </c>
      <c r="EG199" s="16" t="str">
        <f t="shared" si="413"/>
        <v>192025</v>
      </c>
      <c r="EH199" s="16" t="str">
        <f t="shared" si="396"/>
        <v>Fiche infoA4</v>
      </c>
      <c r="EI199" s="16" t="str">
        <f t="shared" si="397"/>
        <v/>
      </c>
    </row>
    <row r="200" spans="1:139" x14ac:dyDescent="0.2">
      <c r="A200" s="24" t="str">
        <f>Mai!BJ28</f>
        <v>Fiche infoA5</v>
      </c>
      <c r="B200" s="829">
        <f>Mai!AB28</f>
        <v>45786</v>
      </c>
      <c r="C200" s="1393"/>
      <c r="D200" s="1001">
        <f t="shared" si="353"/>
        <v>0</v>
      </c>
      <c r="E200" s="452">
        <f t="shared" si="354"/>
        <v>0</v>
      </c>
      <c r="F200" s="452">
        <f t="shared" si="355"/>
        <v>0</v>
      </c>
      <c r="G200" s="452">
        <f t="shared" si="356"/>
        <v>0</v>
      </c>
      <c r="H200" s="452">
        <f t="shared" si="357"/>
        <v>0</v>
      </c>
      <c r="I200" s="452">
        <f t="shared" si="358"/>
        <v>0</v>
      </c>
      <c r="J200" s="452">
        <f t="shared" si="359"/>
        <v>0</v>
      </c>
      <c r="K200" s="452">
        <f t="shared" si="360"/>
        <v>0</v>
      </c>
      <c r="L200" s="452">
        <f t="shared" si="398"/>
        <v>0</v>
      </c>
      <c r="M200" s="1002">
        <f t="shared" si="399"/>
        <v>0</v>
      </c>
      <c r="O200" s="1001">
        <f>IF(AR200&lt;&gt;"",0,IF(DC200="oui",0,IF(AND(ISTEXT(AT200)=TRUE,BJ200=""),0,IF(BJ200="",D200,BJ200))))</f>
        <v>0</v>
      </c>
      <c r="P200" s="452">
        <f>IF(AR200&lt;&gt;"",0,IF(DC200="oui",0,IF(AND(ISTEXT(AT200)=TRUE,BK200=""),0,IF(BK200="",E200,BK200))))</f>
        <v>0</v>
      </c>
      <c r="Q200" s="452">
        <f>IF(AR200&lt;&gt;"",0,IF(DC200="oui",0,IF(AND(ISTEXT(AT200)=TRUE,BL200=""),0,IF(BL200="",F200,BL200))))</f>
        <v>0</v>
      </c>
      <c r="R200" s="452">
        <f>IF(AR200&lt;&gt;"",0,IF(DC200="oui",0,IF(AND(ISTEXT(AT200)=TRUE,BM200=""),0,IF(BM200="",G200,BM200))))</f>
        <v>0</v>
      </c>
      <c r="S200" s="452">
        <f>IF(AR200&lt;&gt;"",0,IF(DC200="oui",0,IF(AND(ISTEXT(AT200)=TRUE,BN200=""),0,IF(BN200="",H200,BN200))))</f>
        <v>0</v>
      </c>
      <c r="T200" s="452">
        <f>IF(AR200&lt;&gt;"",0,IF(DC200="oui",0,IF(AND(ISTEXT(AT200)=TRUE,BO200=""),0,IF(BO200="",I200,BO200))))</f>
        <v>0</v>
      </c>
      <c r="U200" s="452">
        <f>IF(AR200&lt;&gt;"",0,IF(DC200="oui",0,IF(AND(ISTEXT(AT200)=TRUE,BP200=""),0,IF(BP200="",J200,BP200))))</f>
        <v>0</v>
      </c>
      <c r="V200" s="452">
        <f>IF(AR200&lt;&gt;"",0,IF(DC200="oui",0,IF(AND(ISTEXT(AT200)=TRUE,BQ200=""),0,IF(BQ200="",K200,BQ200))))</f>
        <v>0</v>
      </c>
      <c r="W200" s="452">
        <f t="shared" si="369"/>
        <v>0</v>
      </c>
      <c r="X200" s="1002">
        <f t="shared" si="370"/>
        <v>0</v>
      </c>
      <c r="Y200" s="459"/>
      <c r="Z200" s="291">
        <f t="shared" si="371"/>
        <v>0</v>
      </c>
      <c r="AA200" s="291">
        <f t="shared" si="372"/>
        <v>0</v>
      </c>
      <c r="AB200" s="291">
        <f t="shared" si="373"/>
        <v>0</v>
      </c>
      <c r="AC200" s="291">
        <f t="shared" si="374"/>
        <v>0</v>
      </c>
      <c r="AD200" s="291">
        <f t="shared" si="375"/>
        <v>0</v>
      </c>
      <c r="AE200" s="291">
        <f t="shared" si="376"/>
        <v>0</v>
      </c>
      <c r="AF200" s="291">
        <f t="shared" si="377"/>
        <v>0</v>
      </c>
      <c r="AG200" s="291">
        <f t="shared" si="378"/>
        <v>0</v>
      </c>
      <c r="AI200" s="462">
        <f>IF(DC200="oui",0,IF(AND(ISTEXT(AT200)=TRUE,OR(X200=0,X200="")),0,ROUND(((((AA200-Z200)-(E200-D200))+((AC200-AB200)-(G200-F200))+((AE200-AD200)-(I200-H200))+(AG200-AF200)-(K200-J200))*24),2)))</f>
        <v>0</v>
      </c>
      <c r="AJ200" s="1112"/>
      <c r="AK200" s="507"/>
      <c r="AL200" s="829">
        <f t="shared" si="380"/>
        <v>45786</v>
      </c>
      <c r="AM200" s="684">
        <f>IFERROR(IF(AND(AT200="",AR200&lt;&gt;S.CAL!$BJ$3,AR200&lt;&gt;S.CAL!$BJ$4,$AR$185="NON"),M200-BD200,IF(AND(AT200="",AR200&lt;&gt;S.CAL!$BJ$3,AR200&lt;&gt;S.CAL!$BJ$4,$AR$185="OUI"),X200-AI200,IF(AT200&lt;&gt;0,AT200,IF(OR(AR200=S.CAL!$BJ$3,AR200=S.CAL!$BJ$4),AR200,"")))),"")</f>
        <v>0</v>
      </c>
      <c r="AN200" s="1115"/>
      <c r="AO200" s="1116"/>
      <c r="AP200" s="684">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516">
        <f t="shared" si="400"/>
        <v>0</v>
      </c>
      <c r="AR200" s="1120"/>
      <c r="AT200" s="1123"/>
      <c r="AU200" s="831"/>
      <c r="AV200" s="1392">
        <f t="shared" si="381"/>
        <v>45786</v>
      </c>
      <c r="AX200" s="529">
        <f t="shared" si="401"/>
        <v>45786</v>
      </c>
      <c r="AY200" s="541">
        <f t="shared" si="402"/>
        <v>0</v>
      </c>
      <c r="AZ200" s="538" t="s">
        <v>146</v>
      </c>
      <c r="BA200" s="534">
        <f t="shared" si="403"/>
        <v>0</v>
      </c>
      <c r="BB200" s="567" t="str">
        <f t="shared" si="382"/>
        <v/>
      </c>
      <c r="BC200" s="541">
        <f t="shared" si="404"/>
        <v>0</v>
      </c>
      <c r="BD200" s="541">
        <f t="shared" si="405"/>
        <v>0</v>
      </c>
      <c r="BE200" s="750"/>
      <c r="BF200" s="532" t="str">
        <f t="shared" si="383"/>
        <v/>
      </c>
      <c r="BG200" s="532" t="str">
        <f t="shared" si="406"/>
        <v>oui</v>
      </c>
      <c r="BH200" s="395" t="str">
        <f t="shared" si="384"/>
        <v/>
      </c>
      <c r="BI200" s="24" t="str">
        <f t="shared" si="385"/>
        <v/>
      </c>
      <c r="BJ200" s="1403"/>
      <c r="BK200" s="1403"/>
      <c r="BL200" s="1403"/>
      <c r="BM200" s="1403"/>
      <c r="BN200" s="1403"/>
      <c r="BO200" s="1403"/>
      <c r="BP200" s="1403"/>
      <c r="BQ200" s="1403"/>
      <c r="BS200" s="1392">
        <f t="shared" si="352"/>
        <v>45786</v>
      </c>
      <c r="BT200" s="27" t="str">
        <f t="shared" si="414"/>
        <v/>
      </c>
      <c r="BU200" s="1402"/>
      <c r="BV200" s="1402"/>
      <c r="BW200" s="1402"/>
      <c r="BX200" s="1402"/>
      <c r="BY200" s="1402"/>
      <c r="BZ200" s="1402"/>
      <c r="CA200" s="1402"/>
      <c r="CB200" s="1402"/>
      <c r="CD200" s="1408">
        <f t="shared" si="407"/>
        <v>0</v>
      </c>
      <c r="DC200" s="16" t="str">
        <f>Mai!FC28</f>
        <v>non</v>
      </c>
      <c r="DG200" s="333">
        <f t="shared" si="408"/>
        <v>1</v>
      </c>
      <c r="DH200" s="129">
        <f t="shared" si="386"/>
        <v>10</v>
      </c>
      <c r="DI200" s="129">
        <f t="shared" si="409"/>
        <v>1</v>
      </c>
      <c r="DK200" s="16">
        <f>+IF(AND(Mai!$DP$8&lt;&gt;52,AR200=S.CAL!$BJ$4),10,1)</f>
        <v>1</v>
      </c>
      <c r="DN200" s="16">
        <f t="shared" si="387"/>
        <v>1</v>
      </c>
      <c r="DU200" s="1296" t="str">
        <f t="shared" si="410"/>
        <v>Fiche infoA545786</v>
      </c>
      <c r="DV200" s="1384">
        <f t="shared" si="388"/>
        <v>0</v>
      </c>
      <c r="DW200" s="1385">
        <f t="shared" si="389"/>
        <v>0</v>
      </c>
      <c r="DX200" s="1385">
        <f t="shared" si="390"/>
        <v>0</v>
      </c>
      <c r="DY200" s="1385">
        <f t="shared" si="391"/>
        <v>0</v>
      </c>
      <c r="DZ200" s="1385">
        <f t="shared" si="392"/>
        <v>0</v>
      </c>
      <c r="EA200" s="1385">
        <f t="shared" si="393"/>
        <v>0</v>
      </c>
      <c r="EB200" s="1385">
        <f t="shared" si="394"/>
        <v>0</v>
      </c>
      <c r="EC200" s="1385">
        <f t="shared" si="395"/>
        <v>0</v>
      </c>
      <c r="ED200" s="1385">
        <f t="shared" si="411"/>
        <v>0</v>
      </c>
      <c r="EE200" s="1386">
        <f t="shared" si="412"/>
        <v>0</v>
      </c>
      <c r="EG200" s="16" t="str">
        <f t="shared" si="413"/>
        <v>192025</v>
      </c>
      <c r="EH200" s="16" t="str">
        <f t="shared" si="396"/>
        <v>Fiche infoA5</v>
      </c>
      <c r="EI200" s="16" t="str">
        <f t="shared" si="397"/>
        <v/>
      </c>
    </row>
    <row r="201" spans="1:139" x14ac:dyDescent="0.2">
      <c r="A201" s="1395" t="str">
        <f>Mai!BJ29</f>
        <v>Fiche infoA6</v>
      </c>
      <c r="B201" s="829">
        <f>Mai!AB29</f>
        <v>45787</v>
      </c>
      <c r="C201" s="1394"/>
      <c r="D201" s="1001">
        <f t="shared" si="353"/>
        <v>0</v>
      </c>
      <c r="E201" s="452">
        <f t="shared" si="354"/>
        <v>0</v>
      </c>
      <c r="F201" s="452">
        <f t="shared" si="355"/>
        <v>0</v>
      </c>
      <c r="G201" s="452">
        <f t="shared" si="356"/>
        <v>0</v>
      </c>
      <c r="H201" s="452">
        <f t="shared" si="357"/>
        <v>0</v>
      </c>
      <c r="I201" s="452">
        <f t="shared" si="358"/>
        <v>0</v>
      </c>
      <c r="J201" s="452">
        <f t="shared" si="359"/>
        <v>0</v>
      </c>
      <c r="K201" s="452">
        <f t="shared" si="360"/>
        <v>0</v>
      </c>
      <c r="L201" s="452">
        <f t="shared" si="398"/>
        <v>0</v>
      </c>
      <c r="M201" s="1002">
        <f t="shared" si="399"/>
        <v>0</v>
      </c>
      <c r="N201" s="1396"/>
      <c r="O201" s="1001">
        <f t="shared" ref="O201:O222" si="415">IF(AR201&lt;&gt;"",0,IF(DC201="oui",0,IF(AND(ISTEXT(AT201)=TRUE,BJ201=""),0,IF(BJ201="",D201,BJ201))))</f>
        <v>0</v>
      </c>
      <c r="P201" s="452">
        <f t="shared" ref="P201:P222" si="416">IF(AR201&lt;&gt;"",0,IF(DC201="oui",0,IF(AND(ISTEXT(AT201)=TRUE,BK201=""),0,IF(BK201="",E201,BK201))))</f>
        <v>0</v>
      </c>
      <c r="Q201" s="452">
        <f t="shared" ref="Q201:Q222" si="417">IF(AR201&lt;&gt;"",0,IF(DC201="oui",0,IF(AND(ISTEXT(AT201)=TRUE,BL201=""),0,IF(BL201="",F201,BL201))))</f>
        <v>0</v>
      </c>
      <c r="R201" s="452">
        <f t="shared" ref="R201:R222" si="418">IF(AR201&lt;&gt;"",0,IF(DC201="oui",0,IF(AND(ISTEXT(AT201)=TRUE,BM201=""),0,IF(BM201="",G201,BM201))))</f>
        <v>0</v>
      </c>
      <c r="S201" s="452">
        <f t="shared" ref="S201:S222" si="419">IF(AR201&lt;&gt;"",0,IF(DC201="oui",0,IF(AND(ISTEXT(AT201)=TRUE,BN201=""),0,IF(BN201="",H201,BN201))))</f>
        <v>0</v>
      </c>
      <c r="T201" s="452">
        <f t="shared" ref="T201:T222" si="420">IF(AR201&lt;&gt;"",0,IF(DC201="oui",0,IF(AND(ISTEXT(AT201)=TRUE,BO201=""),0,IF(BO201="",I201,BO201))))</f>
        <v>0</v>
      </c>
      <c r="U201" s="452">
        <f t="shared" ref="U201:U222" si="421">IF(AR201&lt;&gt;"",0,IF(DC201="oui",0,IF(AND(ISTEXT(AT201)=TRUE,BP201=""),0,IF(BP201="",J201,BP201))))</f>
        <v>0</v>
      </c>
      <c r="V201" s="452">
        <f t="shared" ref="V201:V222" si="422">IF(AR201&lt;&gt;"",0,IF(DC201="oui",0,IF(AND(ISTEXT(AT201)=TRUE,BQ201=""),0,IF(BQ201="",K201,BQ201))))</f>
        <v>0</v>
      </c>
      <c r="W201" s="452">
        <f t="shared" si="369"/>
        <v>0</v>
      </c>
      <c r="X201" s="1002">
        <f t="shared" si="370"/>
        <v>0</v>
      </c>
      <c r="Y201" s="1397"/>
      <c r="Z201" s="1398">
        <f t="shared" si="371"/>
        <v>0</v>
      </c>
      <c r="AA201" s="1398">
        <f t="shared" si="372"/>
        <v>0</v>
      </c>
      <c r="AB201" s="1398">
        <f t="shared" si="373"/>
        <v>0</v>
      </c>
      <c r="AC201" s="1398">
        <f t="shared" si="374"/>
        <v>0</v>
      </c>
      <c r="AD201" s="1398">
        <f t="shared" si="375"/>
        <v>0</v>
      </c>
      <c r="AE201" s="1398">
        <f t="shared" si="376"/>
        <v>0</v>
      </c>
      <c r="AF201" s="1398">
        <f t="shared" si="377"/>
        <v>0</v>
      </c>
      <c r="AG201" s="1398">
        <f t="shared" si="378"/>
        <v>0</v>
      </c>
      <c r="AH201" s="1396"/>
      <c r="AI201" s="462">
        <f t="shared" ref="AI201:AI222" si="423">IF(DC201="oui",0,IF(AND(ISTEXT(AT201)=TRUE,OR(X201=0,X201="")),0,ROUND(((((AA201-Z201)-(E201-D201))+((AC201-AB201)-(G201-F201))+((AE201-AD201)-(I201-H201))+(AG201-AF201)-(K201-J201))*24),2)))</f>
        <v>0</v>
      </c>
      <c r="AJ201" s="1112"/>
      <c r="AK201" s="1399"/>
      <c r="AL201" s="829">
        <f t="shared" si="380"/>
        <v>45787</v>
      </c>
      <c r="AM201" s="684">
        <f>IFERROR(IF(AND(AT201="",AR201&lt;&gt;S.CAL!$BJ$3,AR201&lt;&gt;S.CAL!$BJ$4,$AR$185="NON"),M201-BD201,IF(AND(AT201="",AR201&lt;&gt;S.CAL!$BJ$3,AR201&lt;&gt;S.CAL!$BJ$4,$AR$185="OUI"),X201-AI201,IF(AT201&lt;&gt;0,AT201,IF(OR(AR201=S.CAL!$BJ$3,AR201=S.CAL!$BJ$4),AR201,"")))),"")</f>
        <v>0</v>
      </c>
      <c r="AN201" s="1115"/>
      <c r="AO201" s="1116"/>
      <c r="AP201" s="684">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400">
        <f t="shared" si="400"/>
        <v>0</v>
      </c>
      <c r="AR201" s="1120"/>
      <c r="AS201" s="1396"/>
      <c r="AT201" s="1123"/>
      <c r="AU201" s="831"/>
      <c r="AV201" s="1392">
        <f t="shared" si="381"/>
        <v>45787</v>
      </c>
      <c r="AW201" s="1396"/>
      <c r="AX201" s="529">
        <f t="shared" si="401"/>
        <v>45787</v>
      </c>
      <c r="AY201" s="541">
        <f t="shared" si="402"/>
        <v>0</v>
      </c>
      <c r="AZ201" s="538" t="s">
        <v>146</v>
      </c>
      <c r="BA201" s="534">
        <f t="shared" si="403"/>
        <v>0</v>
      </c>
      <c r="BB201" s="567" t="str">
        <f t="shared" si="382"/>
        <v/>
      </c>
      <c r="BC201" s="541">
        <f t="shared" si="404"/>
        <v>0</v>
      </c>
      <c r="BD201" s="541">
        <f t="shared" si="405"/>
        <v>0</v>
      </c>
      <c r="BE201" s="750"/>
      <c r="BF201" s="532" t="str">
        <f t="shared" si="383"/>
        <v/>
      </c>
      <c r="BG201" s="532" t="str">
        <f t="shared" si="406"/>
        <v>oui</v>
      </c>
      <c r="BH201" s="395" t="str">
        <f t="shared" si="384"/>
        <v/>
      </c>
      <c r="BI201" s="24" t="str">
        <f t="shared" si="385"/>
        <v/>
      </c>
      <c r="BJ201" s="1404"/>
      <c r="BK201" s="1404"/>
      <c r="BL201" s="1404"/>
      <c r="BM201" s="1404"/>
      <c r="BN201" s="1404"/>
      <c r="BO201" s="1404"/>
      <c r="BP201" s="1404"/>
      <c r="BQ201" s="1404"/>
      <c r="BR201" s="1405"/>
      <c r="BS201" s="1392">
        <f t="shared" si="352"/>
        <v>45787</v>
      </c>
      <c r="BT201" s="1406" t="str">
        <f t="shared" si="414"/>
        <v/>
      </c>
      <c r="BU201" s="1404"/>
      <c r="BV201" s="1404"/>
      <c r="BW201" s="1404"/>
      <c r="BX201" s="1404"/>
      <c r="BY201" s="1404"/>
      <c r="BZ201" s="1404"/>
      <c r="CA201" s="1404"/>
      <c r="CB201" s="1404"/>
      <c r="CD201" s="1408">
        <f t="shared" si="407"/>
        <v>0</v>
      </c>
      <c r="DC201" s="16" t="str">
        <f>Mai!FC29</f>
        <v>non</v>
      </c>
      <c r="DG201" s="333">
        <f t="shared" si="408"/>
        <v>1</v>
      </c>
      <c r="DH201" s="129">
        <f t="shared" si="386"/>
        <v>10</v>
      </c>
      <c r="DI201" s="129">
        <f t="shared" si="409"/>
        <v>1</v>
      </c>
      <c r="DK201" s="16">
        <f>+IF(AND(Mai!$DP$8&lt;&gt;52,AR201=S.CAL!$BJ$4),10,1)</f>
        <v>1</v>
      </c>
      <c r="DN201" s="16">
        <f t="shared" si="387"/>
        <v>1</v>
      </c>
      <c r="DU201" s="1296" t="str">
        <f t="shared" si="410"/>
        <v>Fiche infoA645787</v>
      </c>
      <c r="DV201" s="1384">
        <f t="shared" si="388"/>
        <v>0</v>
      </c>
      <c r="DW201" s="1385">
        <f t="shared" si="389"/>
        <v>0</v>
      </c>
      <c r="DX201" s="1385">
        <f t="shared" si="390"/>
        <v>0</v>
      </c>
      <c r="DY201" s="1385">
        <f t="shared" si="391"/>
        <v>0</v>
      </c>
      <c r="DZ201" s="1385">
        <f t="shared" si="392"/>
        <v>0</v>
      </c>
      <c r="EA201" s="1385">
        <f t="shared" si="393"/>
        <v>0</v>
      </c>
      <c r="EB201" s="1385">
        <f t="shared" si="394"/>
        <v>0</v>
      </c>
      <c r="EC201" s="1385">
        <f t="shared" si="395"/>
        <v>0</v>
      </c>
      <c r="ED201" s="1385">
        <f t="shared" si="411"/>
        <v>0</v>
      </c>
      <c r="EE201" s="1386">
        <f t="shared" si="412"/>
        <v>0</v>
      </c>
      <c r="EG201" s="16" t="str">
        <f t="shared" si="413"/>
        <v>192025</v>
      </c>
      <c r="EH201" s="16" t="str">
        <f t="shared" si="396"/>
        <v>Fiche infoA6</v>
      </c>
      <c r="EI201" s="16" t="str">
        <f t="shared" si="397"/>
        <v/>
      </c>
    </row>
    <row r="202" spans="1:139" x14ac:dyDescent="0.2">
      <c r="A202" s="24" t="str">
        <f>Mai!BJ30</f>
        <v>Fiche infoA7</v>
      </c>
      <c r="B202" s="829">
        <f>Mai!AB30</f>
        <v>45788</v>
      </c>
      <c r="C202" s="1393"/>
      <c r="D202" s="1001">
        <f t="shared" si="353"/>
        <v>0</v>
      </c>
      <c r="E202" s="452">
        <f t="shared" si="354"/>
        <v>0</v>
      </c>
      <c r="F202" s="452">
        <f t="shared" si="355"/>
        <v>0</v>
      </c>
      <c r="G202" s="452">
        <f t="shared" si="356"/>
        <v>0</v>
      </c>
      <c r="H202" s="452">
        <f t="shared" si="357"/>
        <v>0</v>
      </c>
      <c r="I202" s="452">
        <f t="shared" si="358"/>
        <v>0</v>
      </c>
      <c r="J202" s="452">
        <f t="shared" si="359"/>
        <v>0</v>
      </c>
      <c r="K202" s="452">
        <f t="shared" si="360"/>
        <v>0</v>
      </c>
      <c r="L202" s="452">
        <f t="shared" si="398"/>
        <v>0</v>
      </c>
      <c r="M202" s="1002">
        <f t="shared" si="399"/>
        <v>0</v>
      </c>
      <c r="O202" s="1001">
        <f t="shared" si="415"/>
        <v>0</v>
      </c>
      <c r="P202" s="452">
        <f t="shared" si="416"/>
        <v>0</v>
      </c>
      <c r="Q202" s="452">
        <f t="shared" si="417"/>
        <v>0</v>
      </c>
      <c r="R202" s="452">
        <f t="shared" si="418"/>
        <v>0</v>
      </c>
      <c r="S202" s="452">
        <f t="shared" si="419"/>
        <v>0</v>
      </c>
      <c r="T202" s="452">
        <f t="shared" si="420"/>
        <v>0</v>
      </c>
      <c r="U202" s="452">
        <f t="shared" si="421"/>
        <v>0</v>
      </c>
      <c r="V202" s="452">
        <f t="shared" si="422"/>
        <v>0</v>
      </c>
      <c r="W202" s="452">
        <f t="shared" si="369"/>
        <v>0</v>
      </c>
      <c r="X202" s="1002">
        <f t="shared" si="370"/>
        <v>0</v>
      </c>
      <c r="Y202" s="459"/>
      <c r="Z202" s="291">
        <f t="shared" si="371"/>
        <v>0</v>
      </c>
      <c r="AA202" s="291">
        <f t="shared" si="372"/>
        <v>0</v>
      </c>
      <c r="AB202" s="291">
        <f t="shared" si="373"/>
        <v>0</v>
      </c>
      <c r="AC202" s="291">
        <f t="shared" si="374"/>
        <v>0</v>
      </c>
      <c r="AD202" s="291">
        <f t="shared" si="375"/>
        <v>0</v>
      </c>
      <c r="AE202" s="291">
        <f t="shared" si="376"/>
        <v>0</v>
      </c>
      <c r="AF202" s="291">
        <f t="shared" si="377"/>
        <v>0</v>
      </c>
      <c r="AG202" s="291">
        <f t="shared" si="378"/>
        <v>0</v>
      </c>
      <c r="AI202" s="462">
        <f t="shared" si="423"/>
        <v>0</v>
      </c>
      <c r="AJ202" s="1112"/>
      <c r="AK202" s="507"/>
      <c r="AL202" s="829">
        <f t="shared" si="380"/>
        <v>45788</v>
      </c>
      <c r="AM202" s="684">
        <f>IFERROR(IF(AND(AT202="",AR202&lt;&gt;S.CAL!$BJ$3,AR202&lt;&gt;S.CAL!$BJ$4,$AR$185="NON"),M202-BD202,IF(AND(AT202="",AR202&lt;&gt;S.CAL!$BJ$3,AR202&lt;&gt;S.CAL!$BJ$4,$AR$185="OUI"),X202-AI202,IF(AT202&lt;&gt;0,AT202,IF(OR(AR202=S.CAL!$BJ$3,AR202=S.CAL!$BJ$4),AR202,"")))),"")</f>
        <v>0</v>
      </c>
      <c r="AN202" s="1115"/>
      <c r="AO202" s="1116"/>
      <c r="AP202" s="684">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516">
        <f t="shared" si="400"/>
        <v>0</v>
      </c>
      <c r="AR202" s="1120"/>
      <c r="AT202" s="1123"/>
      <c r="AU202" s="831"/>
      <c r="AV202" s="1392">
        <f t="shared" si="381"/>
        <v>45788</v>
      </c>
      <c r="AX202" s="529">
        <f t="shared" si="401"/>
        <v>45788</v>
      </c>
      <c r="AY202" s="541">
        <f t="shared" si="402"/>
        <v>0</v>
      </c>
      <c r="AZ202" s="538" t="s">
        <v>146</v>
      </c>
      <c r="BA202" s="534">
        <f t="shared" si="403"/>
        <v>0</v>
      </c>
      <c r="BB202" s="567" t="str">
        <f t="shared" si="382"/>
        <v/>
      </c>
      <c r="BC202" s="541">
        <f t="shared" si="404"/>
        <v>0</v>
      </c>
      <c r="BD202" s="541">
        <f t="shared" si="405"/>
        <v>0</v>
      </c>
      <c r="BE202" s="750"/>
      <c r="BF202" s="532" t="str">
        <f t="shared" si="383"/>
        <v/>
      </c>
      <c r="BG202" s="532" t="str">
        <f t="shared" si="406"/>
        <v>oui</v>
      </c>
      <c r="BH202" s="395" t="str">
        <f t="shared" si="384"/>
        <v/>
      </c>
      <c r="BI202" s="24" t="str">
        <f t="shared" si="385"/>
        <v/>
      </c>
      <c r="BJ202" s="1403"/>
      <c r="BK202" s="1403"/>
      <c r="BL202" s="1403"/>
      <c r="BM202" s="1403"/>
      <c r="BN202" s="1403"/>
      <c r="BO202" s="1403"/>
      <c r="BP202" s="1403"/>
      <c r="BQ202" s="1403"/>
      <c r="BS202" s="1392">
        <f t="shared" si="352"/>
        <v>45788</v>
      </c>
      <c r="BT202" s="27" t="str">
        <f t="shared" si="414"/>
        <v/>
      </c>
      <c r="BU202" s="1402"/>
      <c r="BV202" s="1402"/>
      <c r="BW202" s="1402"/>
      <c r="BX202" s="1402"/>
      <c r="BY202" s="1402"/>
      <c r="BZ202" s="1402"/>
      <c r="CA202" s="1402"/>
      <c r="CB202" s="1402"/>
      <c r="CD202" s="1408">
        <f t="shared" si="407"/>
        <v>0</v>
      </c>
      <c r="DC202" s="16" t="str">
        <f>Mai!FC30</f>
        <v>non</v>
      </c>
      <c r="DG202" s="333">
        <f t="shared" si="408"/>
        <v>1</v>
      </c>
      <c r="DH202" s="129">
        <f t="shared" si="386"/>
        <v>10</v>
      </c>
      <c r="DI202" s="129">
        <f t="shared" si="409"/>
        <v>1</v>
      </c>
      <c r="DK202" s="16">
        <f>+IF(AND(Mai!$DP$8&lt;&gt;52,AR202=S.CAL!$BJ$4),10,1)</f>
        <v>1</v>
      </c>
      <c r="DN202" s="16">
        <f t="shared" si="387"/>
        <v>1</v>
      </c>
      <c r="DU202" s="1296" t="str">
        <f t="shared" si="410"/>
        <v>Fiche infoA745788</v>
      </c>
      <c r="DV202" s="1384">
        <f t="shared" si="388"/>
        <v>0</v>
      </c>
      <c r="DW202" s="1385">
        <f t="shared" si="389"/>
        <v>0</v>
      </c>
      <c r="DX202" s="1385">
        <f t="shared" si="390"/>
        <v>0</v>
      </c>
      <c r="DY202" s="1385">
        <f t="shared" si="391"/>
        <v>0</v>
      </c>
      <c r="DZ202" s="1385">
        <f t="shared" si="392"/>
        <v>0</v>
      </c>
      <c r="EA202" s="1385">
        <f t="shared" si="393"/>
        <v>0</v>
      </c>
      <c r="EB202" s="1385">
        <f t="shared" si="394"/>
        <v>0</v>
      </c>
      <c r="EC202" s="1385">
        <f t="shared" si="395"/>
        <v>0</v>
      </c>
      <c r="ED202" s="1385">
        <f t="shared" si="411"/>
        <v>0</v>
      </c>
      <c r="EE202" s="1386">
        <f t="shared" si="412"/>
        <v>0</v>
      </c>
      <c r="EG202" s="16" t="str">
        <f t="shared" si="413"/>
        <v>192025</v>
      </c>
      <c r="EH202" s="16" t="str">
        <f t="shared" si="396"/>
        <v>Fiche infoA7</v>
      </c>
      <c r="EI202" s="16" t="str">
        <f t="shared" si="397"/>
        <v/>
      </c>
    </row>
    <row r="203" spans="1:139" x14ac:dyDescent="0.2">
      <c r="A203" s="1395" t="str">
        <f>Mai!BJ31</f>
        <v>Fiche infoA1</v>
      </c>
      <c r="B203" s="829">
        <f>Mai!AB31</f>
        <v>45789</v>
      </c>
      <c r="C203" s="1394"/>
      <c r="D203" s="1001">
        <f t="shared" si="353"/>
        <v>0</v>
      </c>
      <c r="E203" s="452">
        <f t="shared" si="354"/>
        <v>0</v>
      </c>
      <c r="F203" s="452">
        <f t="shared" si="355"/>
        <v>0</v>
      </c>
      <c r="G203" s="452">
        <f t="shared" si="356"/>
        <v>0</v>
      </c>
      <c r="H203" s="452">
        <f t="shared" si="357"/>
        <v>0</v>
      </c>
      <c r="I203" s="452">
        <f t="shared" si="358"/>
        <v>0</v>
      </c>
      <c r="J203" s="452">
        <f t="shared" si="359"/>
        <v>0</v>
      </c>
      <c r="K203" s="452">
        <f t="shared" si="360"/>
        <v>0</v>
      </c>
      <c r="L203" s="452">
        <f t="shared" si="398"/>
        <v>0</v>
      </c>
      <c r="M203" s="1002">
        <f t="shared" si="399"/>
        <v>0</v>
      </c>
      <c r="N203" s="1396"/>
      <c r="O203" s="1001">
        <f t="shared" si="415"/>
        <v>0</v>
      </c>
      <c r="P203" s="452">
        <f t="shared" si="416"/>
        <v>0</v>
      </c>
      <c r="Q203" s="452">
        <f t="shared" si="417"/>
        <v>0</v>
      </c>
      <c r="R203" s="452">
        <f t="shared" si="418"/>
        <v>0</v>
      </c>
      <c r="S203" s="452">
        <f t="shared" si="419"/>
        <v>0</v>
      </c>
      <c r="T203" s="452">
        <f t="shared" si="420"/>
        <v>0</v>
      </c>
      <c r="U203" s="452">
        <f t="shared" si="421"/>
        <v>0</v>
      </c>
      <c r="V203" s="452">
        <f t="shared" si="422"/>
        <v>0</v>
      </c>
      <c r="W203" s="452">
        <f t="shared" si="369"/>
        <v>0</v>
      </c>
      <c r="X203" s="1002">
        <f t="shared" si="370"/>
        <v>0</v>
      </c>
      <c r="Y203" s="1397"/>
      <c r="Z203" s="1398">
        <f t="shared" si="371"/>
        <v>0</v>
      </c>
      <c r="AA203" s="1398">
        <f t="shared" si="372"/>
        <v>0</v>
      </c>
      <c r="AB203" s="1398">
        <f t="shared" si="373"/>
        <v>0</v>
      </c>
      <c r="AC203" s="1398">
        <f t="shared" si="374"/>
        <v>0</v>
      </c>
      <c r="AD203" s="1398">
        <f t="shared" si="375"/>
        <v>0</v>
      </c>
      <c r="AE203" s="1398">
        <f t="shared" si="376"/>
        <v>0</v>
      </c>
      <c r="AF203" s="1398">
        <f t="shared" si="377"/>
        <v>0</v>
      </c>
      <c r="AG203" s="1398">
        <f t="shared" si="378"/>
        <v>0</v>
      </c>
      <c r="AH203" s="1396"/>
      <c r="AI203" s="462">
        <f t="shared" si="423"/>
        <v>0</v>
      </c>
      <c r="AJ203" s="1112"/>
      <c r="AK203" s="1399"/>
      <c r="AL203" s="829">
        <f t="shared" si="380"/>
        <v>45789</v>
      </c>
      <c r="AM203" s="684">
        <f>IFERROR(IF(AND(AT203="",AR203&lt;&gt;S.CAL!$BJ$3,AR203&lt;&gt;S.CAL!$BJ$4,$AR$185="NON"),M203-BD203,IF(AND(AT203="",AR203&lt;&gt;S.CAL!$BJ$3,AR203&lt;&gt;S.CAL!$BJ$4,$AR$185="OUI"),X203-AI203,IF(AT203&lt;&gt;0,AT203,IF(OR(AR203=S.CAL!$BJ$3,AR203=S.CAL!$BJ$4),AR203,"")))),"")</f>
        <v>0</v>
      </c>
      <c r="AN203" s="1115"/>
      <c r="AO203" s="1116"/>
      <c r="AP203" s="684">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400">
        <f t="shared" si="400"/>
        <v>0</v>
      </c>
      <c r="AR203" s="1120"/>
      <c r="AS203" s="1396"/>
      <c r="AT203" s="1123"/>
      <c r="AU203" s="831"/>
      <c r="AV203" s="1392">
        <f t="shared" si="381"/>
        <v>45789</v>
      </c>
      <c r="AW203" s="1396"/>
      <c r="AX203" s="529">
        <f t="shared" si="401"/>
        <v>45789</v>
      </c>
      <c r="AY203" s="541">
        <f t="shared" si="402"/>
        <v>0</v>
      </c>
      <c r="AZ203" s="538" t="s">
        <v>146</v>
      </c>
      <c r="BA203" s="534">
        <f t="shared" si="403"/>
        <v>0</v>
      </c>
      <c r="BB203" s="567" t="str">
        <f t="shared" si="382"/>
        <v/>
      </c>
      <c r="BC203" s="541">
        <f t="shared" si="404"/>
        <v>0</v>
      </c>
      <c r="BD203" s="541">
        <f t="shared" si="405"/>
        <v>0</v>
      </c>
      <c r="BE203" s="750"/>
      <c r="BF203" s="532" t="str">
        <f t="shared" si="383"/>
        <v/>
      </c>
      <c r="BG203" s="532" t="str">
        <f t="shared" si="406"/>
        <v>oui</v>
      </c>
      <c r="BH203" s="395" t="str">
        <f t="shared" si="384"/>
        <v/>
      </c>
      <c r="BI203" s="24" t="str">
        <f t="shared" si="385"/>
        <v/>
      </c>
      <c r="BJ203" s="1404"/>
      <c r="BK203" s="1404"/>
      <c r="BL203" s="1404"/>
      <c r="BM203" s="1404"/>
      <c r="BN203" s="1404"/>
      <c r="BO203" s="1404"/>
      <c r="BP203" s="1404"/>
      <c r="BQ203" s="1404"/>
      <c r="BR203" s="1405"/>
      <c r="BS203" s="1392">
        <f t="shared" si="352"/>
        <v>45789</v>
      </c>
      <c r="BT203" s="1406">
        <f t="shared" si="414"/>
        <v>20</v>
      </c>
      <c r="BU203" s="1404"/>
      <c r="BV203" s="1404"/>
      <c r="BW203" s="1404"/>
      <c r="BX203" s="1404"/>
      <c r="BY203" s="1404"/>
      <c r="BZ203" s="1404"/>
      <c r="CA203" s="1404"/>
      <c r="CB203" s="1404"/>
      <c r="CD203" s="1408">
        <f t="shared" si="407"/>
        <v>0</v>
      </c>
      <c r="DC203" s="16" t="str">
        <f>Mai!FC31</f>
        <v>non</v>
      </c>
      <c r="DG203" s="333">
        <f t="shared" si="408"/>
        <v>1</v>
      </c>
      <c r="DH203" s="129">
        <f t="shared" si="386"/>
        <v>10</v>
      </c>
      <c r="DI203" s="129">
        <f t="shared" si="409"/>
        <v>1</v>
      </c>
      <c r="DK203" s="16">
        <f>+IF(AND(Mai!$DP$8&lt;&gt;52,AR203=S.CAL!$BJ$4),10,1)</f>
        <v>1</v>
      </c>
      <c r="DN203" s="16">
        <f t="shared" si="387"/>
        <v>1</v>
      </c>
      <c r="DU203" s="1296" t="str">
        <f t="shared" si="410"/>
        <v>Fiche infoA145789</v>
      </c>
      <c r="DV203" s="1384">
        <f t="shared" si="388"/>
        <v>0</v>
      </c>
      <c r="DW203" s="1385">
        <f t="shared" si="389"/>
        <v>0</v>
      </c>
      <c r="DX203" s="1385">
        <f t="shared" si="390"/>
        <v>0</v>
      </c>
      <c r="DY203" s="1385">
        <f t="shared" si="391"/>
        <v>0</v>
      </c>
      <c r="DZ203" s="1385">
        <f t="shared" si="392"/>
        <v>0</v>
      </c>
      <c r="EA203" s="1385">
        <f t="shared" si="393"/>
        <v>0</v>
      </c>
      <c r="EB203" s="1385">
        <f t="shared" si="394"/>
        <v>0</v>
      </c>
      <c r="EC203" s="1385">
        <f t="shared" si="395"/>
        <v>0</v>
      </c>
      <c r="ED203" s="1385">
        <f t="shared" si="411"/>
        <v>0</v>
      </c>
      <c r="EE203" s="1386">
        <f t="shared" si="412"/>
        <v>0</v>
      </c>
      <c r="EG203" s="16" t="str">
        <f t="shared" si="413"/>
        <v>202025</v>
      </c>
      <c r="EH203" s="16" t="str">
        <f t="shared" si="396"/>
        <v>Fiche infoA1</v>
      </c>
      <c r="EI203" s="16" t="str">
        <f t="shared" si="397"/>
        <v/>
      </c>
    </row>
    <row r="204" spans="1:139" x14ac:dyDescent="0.2">
      <c r="A204" s="24" t="str">
        <f>Mai!BJ32</f>
        <v>Fiche infoA2</v>
      </c>
      <c r="B204" s="829">
        <f>Mai!AB32</f>
        <v>45790</v>
      </c>
      <c r="C204" s="1393"/>
      <c r="D204" s="1001">
        <f t="shared" si="353"/>
        <v>0</v>
      </c>
      <c r="E204" s="452">
        <f t="shared" si="354"/>
        <v>0</v>
      </c>
      <c r="F204" s="452">
        <f t="shared" si="355"/>
        <v>0</v>
      </c>
      <c r="G204" s="452">
        <f t="shared" si="356"/>
        <v>0</v>
      </c>
      <c r="H204" s="452">
        <f t="shared" si="357"/>
        <v>0</v>
      </c>
      <c r="I204" s="452">
        <f t="shared" si="358"/>
        <v>0</v>
      </c>
      <c r="J204" s="452">
        <f t="shared" si="359"/>
        <v>0</v>
      </c>
      <c r="K204" s="452">
        <f t="shared" si="360"/>
        <v>0</v>
      </c>
      <c r="L204" s="452">
        <f t="shared" si="398"/>
        <v>0</v>
      </c>
      <c r="M204" s="1002">
        <f t="shared" si="399"/>
        <v>0</v>
      </c>
      <c r="O204" s="1001">
        <f t="shared" si="415"/>
        <v>0</v>
      </c>
      <c r="P204" s="452">
        <f t="shared" si="416"/>
        <v>0</v>
      </c>
      <c r="Q204" s="452">
        <f t="shared" si="417"/>
        <v>0</v>
      </c>
      <c r="R204" s="452">
        <f t="shared" si="418"/>
        <v>0</v>
      </c>
      <c r="S204" s="452">
        <f t="shared" si="419"/>
        <v>0</v>
      </c>
      <c r="T204" s="452">
        <f t="shared" si="420"/>
        <v>0</v>
      </c>
      <c r="U204" s="452">
        <f t="shared" si="421"/>
        <v>0</v>
      </c>
      <c r="V204" s="452">
        <f t="shared" si="422"/>
        <v>0</v>
      </c>
      <c r="W204" s="452">
        <f t="shared" si="369"/>
        <v>0</v>
      </c>
      <c r="X204" s="1002">
        <f t="shared" si="370"/>
        <v>0</v>
      </c>
      <c r="Y204" s="459"/>
      <c r="Z204" s="291">
        <f t="shared" si="371"/>
        <v>0</v>
      </c>
      <c r="AA204" s="291">
        <f t="shared" si="372"/>
        <v>0</v>
      </c>
      <c r="AB204" s="291">
        <f t="shared" si="373"/>
        <v>0</v>
      </c>
      <c r="AC204" s="291">
        <f t="shared" si="374"/>
        <v>0</v>
      </c>
      <c r="AD204" s="291">
        <f t="shared" si="375"/>
        <v>0</v>
      </c>
      <c r="AE204" s="291">
        <f t="shared" si="376"/>
        <v>0</v>
      </c>
      <c r="AF204" s="291">
        <f t="shared" si="377"/>
        <v>0</v>
      </c>
      <c r="AG204" s="291">
        <f t="shared" si="378"/>
        <v>0</v>
      </c>
      <c r="AI204" s="462">
        <f t="shared" si="423"/>
        <v>0</v>
      </c>
      <c r="AJ204" s="1112"/>
      <c r="AK204" s="507"/>
      <c r="AL204" s="829">
        <f t="shared" si="380"/>
        <v>45790</v>
      </c>
      <c r="AM204" s="684">
        <f>IFERROR(IF(AND(AT204="",AR204&lt;&gt;S.CAL!$BJ$3,AR204&lt;&gt;S.CAL!$BJ$4,$AR$185="NON"),M204-BD204,IF(AND(AT204="",AR204&lt;&gt;S.CAL!$BJ$3,AR204&lt;&gt;S.CAL!$BJ$4,$AR$185="OUI"),X204-AI204,IF(AT204&lt;&gt;0,AT204,IF(OR(AR204=S.CAL!$BJ$3,AR204=S.CAL!$BJ$4),AR204,"")))),"")</f>
        <v>0</v>
      </c>
      <c r="AN204" s="1115"/>
      <c r="AO204" s="1116"/>
      <c r="AP204" s="684">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516">
        <f t="shared" si="400"/>
        <v>0</v>
      </c>
      <c r="AR204" s="1120"/>
      <c r="AT204" s="1123"/>
      <c r="AU204" s="831"/>
      <c r="AV204" s="1392">
        <f t="shared" si="381"/>
        <v>45790</v>
      </c>
      <c r="AX204" s="529">
        <f t="shared" si="401"/>
        <v>45790</v>
      </c>
      <c r="AY204" s="541">
        <f t="shared" si="402"/>
        <v>0</v>
      </c>
      <c r="AZ204" s="538" t="s">
        <v>146</v>
      </c>
      <c r="BA204" s="534">
        <f t="shared" si="403"/>
        <v>0</v>
      </c>
      <c r="BB204" s="567" t="str">
        <f t="shared" si="382"/>
        <v/>
      </c>
      <c r="BC204" s="541">
        <f t="shared" si="404"/>
        <v>0</v>
      </c>
      <c r="BD204" s="541">
        <f t="shared" si="405"/>
        <v>0</v>
      </c>
      <c r="BE204" s="750"/>
      <c r="BF204" s="532" t="str">
        <f t="shared" si="383"/>
        <v/>
      </c>
      <c r="BG204" s="532" t="str">
        <f t="shared" si="406"/>
        <v>oui</v>
      </c>
      <c r="BH204" s="395" t="str">
        <f t="shared" si="384"/>
        <v/>
      </c>
      <c r="BI204" s="24" t="str">
        <f t="shared" si="385"/>
        <v/>
      </c>
      <c r="BJ204" s="1403"/>
      <c r="BK204" s="1403"/>
      <c r="BL204" s="1403"/>
      <c r="BM204" s="1403"/>
      <c r="BN204" s="1403"/>
      <c r="BO204" s="1403"/>
      <c r="BP204" s="1403"/>
      <c r="BQ204" s="1403"/>
      <c r="BS204" s="1392">
        <f t="shared" si="352"/>
        <v>45790</v>
      </c>
      <c r="BT204" s="27" t="str">
        <f t="shared" si="414"/>
        <v/>
      </c>
      <c r="BU204" s="1402"/>
      <c r="BV204" s="1402"/>
      <c r="BW204" s="1402"/>
      <c r="BX204" s="1402"/>
      <c r="BY204" s="1402"/>
      <c r="BZ204" s="1402"/>
      <c r="CA204" s="1402"/>
      <c r="CB204" s="1402"/>
      <c r="CD204" s="1408">
        <f t="shared" si="407"/>
        <v>0</v>
      </c>
      <c r="DC204" s="16" t="str">
        <f>Mai!FC32</f>
        <v>non</v>
      </c>
      <c r="DG204" s="333">
        <f t="shared" si="408"/>
        <v>1</v>
      </c>
      <c r="DH204" s="129">
        <f t="shared" si="386"/>
        <v>10</v>
      </c>
      <c r="DI204" s="129">
        <f t="shared" si="409"/>
        <v>1</v>
      </c>
      <c r="DK204" s="16">
        <f>+IF(AND(Mai!$DP$8&lt;&gt;52,AR204=S.CAL!$BJ$4),10,1)</f>
        <v>1</v>
      </c>
      <c r="DN204" s="16">
        <f t="shared" si="387"/>
        <v>1</v>
      </c>
      <c r="DU204" s="1296" t="str">
        <f t="shared" si="410"/>
        <v>Fiche infoA245790</v>
      </c>
      <c r="DV204" s="1384">
        <f t="shared" si="388"/>
        <v>0</v>
      </c>
      <c r="DW204" s="1385">
        <f t="shared" si="389"/>
        <v>0</v>
      </c>
      <c r="DX204" s="1385">
        <f t="shared" si="390"/>
        <v>0</v>
      </c>
      <c r="DY204" s="1385">
        <f t="shared" si="391"/>
        <v>0</v>
      </c>
      <c r="DZ204" s="1385">
        <f t="shared" si="392"/>
        <v>0</v>
      </c>
      <c r="EA204" s="1385">
        <f t="shared" si="393"/>
        <v>0</v>
      </c>
      <c r="EB204" s="1385">
        <f t="shared" si="394"/>
        <v>0</v>
      </c>
      <c r="EC204" s="1385">
        <f t="shared" si="395"/>
        <v>0</v>
      </c>
      <c r="ED204" s="1385">
        <f t="shared" si="411"/>
        <v>0</v>
      </c>
      <c r="EE204" s="1386">
        <f t="shared" si="412"/>
        <v>0</v>
      </c>
      <c r="EG204" s="16" t="str">
        <f t="shared" si="413"/>
        <v>202025</v>
      </c>
      <c r="EH204" s="16" t="str">
        <f t="shared" si="396"/>
        <v>Fiche infoA2</v>
      </c>
      <c r="EI204" s="16" t="str">
        <f t="shared" si="397"/>
        <v/>
      </c>
    </row>
    <row r="205" spans="1:139" x14ac:dyDescent="0.2">
      <c r="A205" s="1395" t="str">
        <f>Mai!BJ33</f>
        <v>Fiche infoA3</v>
      </c>
      <c r="B205" s="829">
        <f>Mai!AB33</f>
        <v>45791</v>
      </c>
      <c r="C205" s="1394"/>
      <c r="D205" s="1001">
        <f t="shared" si="353"/>
        <v>0</v>
      </c>
      <c r="E205" s="452">
        <f t="shared" si="354"/>
        <v>0</v>
      </c>
      <c r="F205" s="452">
        <f t="shared" si="355"/>
        <v>0</v>
      </c>
      <c r="G205" s="452">
        <f t="shared" si="356"/>
        <v>0</v>
      </c>
      <c r="H205" s="452">
        <f t="shared" si="357"/>
        <v>0</v>
      </c>
      <c r="I205" s="452">
        <f t="shared" si="358"/>
        <v>0</v>
      </c>
      <c r="J205" s="452">
        <f t="shared" si="359"/>
        <v>0</v>
      </c>
      <c r="K205" s="452">
        <f t="shared" si="360"/>
        <v>0</v>
      </c>
      <c r="L205" s="452">
        <f t="shared" si="398"/>
        <v>0</v>
      </c>
      <c r="M205" s="1002">
        <f t="shared" si="399"/>
        <v>0</v>
      </c>
      <c r="N205" s="1396"/>
      <c r="O205" s="1001">
        <f t="shared" si="415"/>
        <v>0</v>
      </c>
      <c r="P205" s="452">
        <f t="shared" si="416"/>
        <v>0</v>
      </c>
      <c r="Q205" s="452">
        <f t="shared" si="417"/>
        <v>0</v>
      </c>
      <c r="R205" s="452">
        <f t="shared" si="418"/>
        <v>0</v>
      </c>
      <c r="S205" s="452">
        <f t="shared" si="419"/>
        <v>0</v>
      </c>
      <c r="T205" s="452">
        <f t="shared" si="420"/>
        <v>0</v>
      </c>
      <c r="U205" s="452">
        <f t="shared" si="421"/>
        <v>0</v>
      </c>
      <c r="V205" s="452">
        <f t="shared" si="422"/>
        <v>0</v>
      </c>
      <c r="W205" s="452">
        <f t="shared" si="369"/>
        <v>0</v>
      </c>
      <c r="X205" s="1002">
        <f t="shared" si="370"/>
        <v>0</v>
      </c>
      <c r="Y205" s="1397"/>
      <c r="Z205" s="1398">
        <f t="shared" si="371"/>
        <v>0</v>
      </c>
      <c r="AA205" s="1398">
        <f t="shared" si="372"/>
        <v>0</v>
      </c>
      <c r="AB205" s="1398">
        <f t="shared" si="373"/>
        <v>0</v>
      </c>
      <c r="AC205" s="1398">
        <f t="shared" si="374"/>
        <v>0</v>
      </c>
      <c r="AD205" s="1398">
        <f t="shared" si="375"/>
        <v>0</v>
      </c>
      <c r="AE205" s="1398">
        <f t="shared" si="376"/>
        <v>0</v>
      </c>
      <c r="AF205" s="1398">
        <f t="shared" si="377"/>
        <v>0</v>
      </c>
      <c r="AG205" s="1398">
        <f t="shared" si="378"/>
        <v>0</v>
      </c>
      <c r="AH205" s="1396"/>
      <c r="AI205" s="462">
        <f t="shared" si="423"/>
        <v>0</v>
      </c>
      <c r="AJ205" s="1112"/>
      <c r="AK205" s="1399"/>
      <c r="AL205" s="829">
        <f t="shared" si="380"/>
        <v>45791</v>
      </c>
      <c r="AM205" s="684">
        <f>IFERROR(IF(AND(AT205="",AR205&lt;&gt;S.CAL!$BJ$3,AR205&lt;&gt;S.CAL!$BJ$4,$AR$185="NON"),M205-BD205,IF(AND(AT205="",AR205&lt;&gt;S.CAL!$BJ$3,AR205&lt;&gt;S.CAL!$BJ$4,$AR$185="OUI"),X205-AI205,IF(AT205&lt;&gt;0,AT205,IF(OR(AR205=S.CAL!$BJ$3,AR205=S.CAL!$BJ$4),AR205,"")))),"")</f>
        <v>0</v>
      </c>
      <c r="AN205" s="1115"/>
      <c r="AO205" s="1116"/>
      <c r="AP205" s="684">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400">
        <f t="shared" si="400"/>
        <v>0</v>
      </c>
      <c r="AR205" s="1120"/>
      <c r="AS205" s="1396"/>
      <c r="AT205" s="1123"/>
      <c r="AU205" s="831"/>
      <c r="AV205" s="1392">
        <f t="shared" si="381"/>
        <v>45791</v>
      </c>
      <c r="AW205" s="1396"/>
      <c r="AX205" s="529">
        <f t="shared" si="401"/>
        <v>45791</v>
      </c>
      <c r="AY205" s="541">
        <f t="shared" si="402"/>
        <v>0</v>
      </c>
      <c r="AZ205" s="538" t="s">
        <v>146</v>
      </c>
      <c r="BA205" s="534">
        <f t="shared" si="403"/>
        <v>0</v>
      </c>
      <c r="BB205" s="567" t="str">
        <f t="shared" si="382"/>
        <v/>
      </c>
      <c r="BC205" s="541">
        <f t="shared" si="404"/>
        <v>0</v>
      </c>
      <c r="BD205" s="541">
        <f t="shared" si="405"/>
        <v>0</v>
      </c>
      <c r="BE205" s="750"/>
      <c r="BF205" s="532" t="str">
        <f t="shared" si="383"/>
        <v/>
      </c>
      <c r="BG205" s="532" t="str">
        <f t="shared" si="406"/>
        <v>oui</v>
      </c>
      <c r="BH205" s="395" t="str">
        <f t="shared" si="384"/>
        <v/>
      </c>
      <c r="BI205" s="24" t="str">
        <f t="shared" si="385"/>
        <v/>
      </c>
      <c r="BJ205" s="1404"/>
      <c r="BK205" s="1404"/>
      <c r="BL205" s="1404"/>
      <c r="BM205" s="1404"/>
      <c r="BN205" s="1404"/>
      <c r="BO205" s="1404"/>
      <c r="BP205" s="1404"/>
      <c r="BQ205" s="1404"/>
      <c r="BR205" s="1405"/>
      <c r="BS205" s="1392">
        <f t="shared" si="352"/>
        <v>45791</v>
      </c>
      <c r="BT205" s="1406" t="str">
        <f t="shared" si="414"/>
        <v/>
      </c>
      <c r="BU205" s="1404"/>
      <c r="BV205" s="1404"/>
      <c r="BW205" s="1404"/>
      <c r="BX205" s="1404"/>
      <c r="BY205" s="1404"/>
      <c r="BZ205" s="1404"/>
      <c r="CA205" s="1404"/>
      <c r="CB205" s="1404"/>
      <c r="CD205" s="1408">
        <f t="shared" si="407"/>
        <v>0</v>
      </c>
      <c r="DC205" s="16" t="str">
        <f>Mai!FC33</f>
        <v>non</v>
      </c>
      <c r="DG205" s="333">
        <f t="shared" si="408"/>
        <v>1</v>
      </c>
      <c r="DH205" s="129">
        <f t="shared" si="386"/>
        <v>10</v>
      </c>
      <c r="DI205" s="129">
        <f t="shared" si="409"/>
        <v>1</v>
      </c>
      <c r="DK205" s="16">
        <f>+IF(AND(Mai!$DP$8&lt;&gt;52,AR205=S.CAL!$BJ$4),10,1)</f>
        <v>1</v>
      </c>
      <c r="DN205" s="16">
        <f t="shared" si="387"/>
        <v>1</v>
      </c>
      <c r="DU205" s="1296" t="str">
        <f t="shared" si="410"/>
        <v>Fiche infoA345791</v>
      </c>
      <c r="DV205" s="1384">
        <f t="shared" si="388"/>
        <v>0</v>
      </c>
      <c r="DW205" s="1385">
        <f t="shared" si="389"/>
        <v>0</v>
      </c>
      <c r="DX205" s="1385">
        <f t="shared" si="390"/>
        <v>0</v>
      </c>
      <c r="DY205" s="1385">
        <f t="shared" si="391"/>
        <v>0</v>
      </c>
      <c r="DZ205" s="1385">
        <f t="shared" si="392"/>
        <v>0</v>
      </c>
      <c r="EA205" s="1385">
        <f t="shared" si="393"/>
        <v>0</v>
      </c>
      <c r="EB205" s="1385">
        <f t="shared" si="394"/>
        <v>0</v>
      </c>
      <c r="EC205" s="1385">
        <f t="shared" si="395"/>
        <v>0</v>
      </c>
      <c r="ED205" s="1385">
        <f t="shared" si="411"/>
        <v>0</v>
      </c>
      <c r="EE205" s="1386">
        <f t="shared" si="412"/>
        <v>0</v>
      </c>
      <c r="EG205" s="16" t="str">
        <f t="shared" si="413"/>
        <v>202025</v>
      </c>
      <c r="EH205" s="16" t="str">
        <f t="shared" si="396"/>
        <v>Fiche infoA3</v>
      </c>
      <c r="EI205" s="16" t="str">
        <f t="shared" si="397"/>
        <v/>
      </c>
    </row>
    <row r="206" spans="1:139" x14ac:dyDescent="0.2">
      <c r="A206" s="24" t="str">
        <f>Mai!BJ34</f>
        <v>Fiche infoA4</v>
      </c>
      <c r="B206" s="829">
        <f>Mai!AB34</f>
        <v>45792</v>
      </c>
      <c r="C206" s="1393"/>
      <c r="D206" s="1001">
        <f t="shared" si="353"/>
        <v>0</v>
      </c>
      <c r="E206" s="452">
        <f t="shared" si="354"/>
        <v>0</v>
      </c>
      <c r="F206" s="452">
        <f t="shared" si="355"/>
        <v>0</v>
      </c>
      <c r="G206" s="452">
        <f t="shared" si="356"/>
        <v>0</v>
      </c>
      <c r="H206" s="452">
        <f t="shared" si="357"/>
        <v>0</v>
      </c>
      <c r="I206" s="452">
        <f t="shared" si="358"/>
        <v>0</v>
      </c>
      <c r="J206" s="452">
        <f t="shared" si="359"/>
        <v>0</v>
      </c>
      <c r="K206" s="452">
        <f t="shared" si="360"/>
        <v>0</v>
      </c>
      <c r="L206" s="452">
        <f t="shared" si="398"/>
        <v>0</v>
      </c>
      <c r="M206" s="1002">
        <f t="shared" si="399"/>
        <v>0</v>
      </c>
      <c r="O206" s="1001">
        <f t="shared" si="415"/>
        <v>0</v>
      </c>
      <c r="P206" s="452">
        <f t="shared" si="416"/>
        <v>0</v>
      </c>
      <c r="Q206" s="452">
        <f t="shared" si="417"/>
        <v>0</v>
      </c>
      <c r="R206" s="452">
        <f t="shared" si="418"/>
        <v>0</v>
      </c>
      <c r="S206" s="452">
        <f t="shared" si="419"/>
        <v>0</v>
      </c>
      <c r="T206" s="452">
        <f t="shared" si="420"/>
        <v>0</v>
      </c>
      <c r="U206" s="452">
        <f t="shared" si="421"/>
        <v>0</v>
      </c>
      <c r="V206" s="452">
        <f t="shared" si="422"/>
        <v>0</v>
      </c>
      <c r="W206" s="452">
        <f t="shared" si="369"/>
        <v>0</v>
      </c>
      <c r="X206" s="1002">
        <f t="shared" si="370"/>
        <v>0</v>
      </c>
      <c r="Y206" s="459"/>
      <c r="Z206" s="291">
        <f t="shared" si="371"/>
        <v>0</v>
      </c>
      <c r="AA206" s="291">
        <f t="shared" si="372"/>
        <v>0</v>
      </c>
      <c r="AB206" s="291">
        <f t="shared" si="373"/>
        <v>0</v>
      </c>
      <c r="AC206" s="291">
        <f t="shared" si="374"/>
        <v>0</v>
      </c>
      <c r="AD206" s="291">
        <f t="shared" si="375"/>
        <v>0</v>
      </c>
      <c r="AE206" s="291">
        <f t="shared" si="376"/>
        <v>0</v>
      </c>
      <c r="AF206" s="291">
        <f t="shared" si="377"/>
        <v>0</v>
      </c>
      <c r="AG206" s="291">
        <f t="shared" si="378"/>
        <v>0</v>
      </c>
      <c r="AI206" s="462">
        <f t="shared" si="423"/>
        <v>0</v>
      </c>
      <c r="AJ206" s="1112"/>
      <c r="AK206" s="507"/>
      <c r="AL206" s="829">
        <f t="shared" si="380"/>
        <v>45792</v>
      </c>
      <c r="AM206" s="684">
        <f>IFERROR(IF(AND(AT206="",AR206&lt;&gt;S.CAL!$BJ$3,AR206&lt;&gt;S.CAL!$BJ$4,$AR$185="NON"),M206-BD206,IF(AND(AT206="",AR206&lt;&gt;S.CAL!$BJ$3,AR206&lt;&gt;S.CAL!$BJ$4,$AR$185="OUI"),X206-AI206,IF(AT206&lt;&gt;0,AT206,IF(OR(AR206=S.CAL!$BJ$3,AR206=S.CAL!$BJ$4),AR206,"")))),"")</f>
        <v>0</v>
      </c>
      <c r="AN206" s="1115"/>
      <c r="AO206" s="1116"/>
      <c r="AP206" s="684">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516">
        <f t="shared" si="400"/>
        <v>0</v>
      </c>
      <c r="AR206" s="1120"/>
      <c r="AT206" s="1123"/>
      <c r="AU206" s="831"/>
      <c r="AV206" s="1392">
        <f t="shared" si="381"/>
        <v>45792</v>
      </c>
      <c r="AX206" s="529">
        <f t="shared" si="401"/>
        <v>45792</v>
      </c>
      <c r="AY206" s="541">
        <f t="shared" si="402"/>
        <v>0</v>
      </c>
      <c r="AZ206" s="538" t="s">
        <v>146</v>
      </c>
      <c r="BA206" s="534">
        <f t="shared" si="403"/>
        <v>0</v>
      </c>
      <c r="BB206" s="567" t="str">
        <f t="shared" si="382"/>
        <v/>
      </c>
      <c r="BC206" s="541">
        <f t="shared" si="404"/>
        <v>0</v>
      </c>
      <c r="BD206" s="541">
        <f t="shared" si="405"/>
        <v>0</v>
      </c>
      <c r="BE206" s="750"/>
      <c r="BF206" s="532" t="str">
        <f t="shared" si="383"/>
        <v/>
      </c>
      <c r="BG206" s="532" t="str">
        <f t="shared" si="406"/>
        <v>oui</v>
      </c>
      <c r="BH206" s="395" t="str">
        <f t="shared" si="384"/>
        <v/>
      </c>
      <c r="BI206" s="24" t="str">
        <f t="shared" si="385"/>
        <v/>
      </c>
      <c r="BJ206" s="1403"/>
      <c r="BK206" s="1403"/>
      <c r="BL206" s="1403"/>
      <c r="BM206" s="1403"/>
      <c r="BN206" s="1403"/>
      <c r="BO206" s="1403"/>
      <c r="BP206" s="1403"/>
      <c r="BQ206" s="1403"/>
      <c r="BS206" s="1392">
        <f t="shared" si="352"/>
        <v>45792</v>
      </c>
      <c r="BT206" s="27" t="str">
        <f t="shared" si="414"/>
        <v/>
      </c>
      <c r="BU206" s="1402"/>
      <c r="BV206" s="1402"/>
      <c r="BW206" s="1402"/>
      <c r="BX206" s="1402"/>
      <c r="BY206" s="1402"/>
      <c r="BZ206" s="1402"/>
      <c r="CA206" s="1402"/>
      <c r="CB206" s="1402"/>
      <c r="CD206" s="1408">
        <f t="shared" si="407"/>
        <v>0</v>
      </c>
      <c r="DC206" s="16" t="str">
        <f>Mai!FC34</f>
        <v>non</v>
      </c>
      <c r="DG206" s="333">
        <f t="shared" si="408"/>
        <v>1</v>
      </c>
      <c r="DH206" s="129">
        <f t="shared" si="386"/>
        <v>10</v>
      </c>
      <c r="DI206" s="129">
        <f t="shared" si="409"/>
        <v>1</v>
      </c>
      <c r="DK206" s="16">
        <f>+IF(AND(Mai!$DP$8&lt;&gt;52,AR206=S.CAL!$BJ$4),10,1)</f>
        <v>1</v>
      </c>
      <c r="DN206" s="16">
        <f t="shared" si="387"/>
        <v>1</v>
      </c>
      <c r="DU206" s="1296" t="str">
        <f t="shared" si="410"/>
        <v>Fiche infoA445792</v>
      </c>
      <c r="DV206" s="1384">
        <f t="shared" si="388"/>
        <v>0</v>
      </c>
      <c r="DW206" s="1385">
        <f t="shared" si="389"/>
        <v>0</v>
      </c>
      <c r="DX206" s="1385">
        <f t="shared" si="390"/>
        <v>0</v>
      </c>
      <c r="DY206" s="1385">
        <f t="shared" si="391"/>
        <v>0</v>
      </c>
      <c r="DZ206" s="1385">
        <f t="shared" si="392"/>
        <v>0</v>
      </c>
      <c r="EA206" s="1385">
        <f t="shared" si="393"/>
        <v>0</v>
      </c>
      <c r="EB206" s="1385">
        <f t="shared" si="394"/>
        <v>0</v>
      </c>
      <c r="EC206" s="1385">
        <f t="shared" si="395"/>
        <v>0</v>
      </c>
      <c r="ED206" s="1385">
        <f t="shared" si="411"/>
        <v>0</v>
      </c>
      <c r="EE206" s="1386">
        <f t="shared" si="412"/>
        <v>0</v>
      </c>
      <c r="EG206" s="16" t="str">
        <f t="shared" si="413"/>
        <v>202025</v>
      </c>
      <c r="EH206" s="16" t="str">
        <f t="shared" si="396"/>
        <v>Fiche infoA4</v>
      </c>
      <c r="EI206" s="16" t="str">
        <f t="shared" si="397"/>
        <v/>
      </c>
    </row>
    <row r="207" spans="1:139" x14ac:dyDescent="0.2">
      <c r="A207" s="1395" t="str">
        <f>Mai!BJ35</f>
        <v>Fiche infoA5</v>
      </c>
      <c r="B207" s="829">
        <f>Mai!AB35</f>
        <v>45793</v>
      </c>
      <c r="C207" s="1394"/>
      <c r="D207" s="1001">
        <f t="shared" si="353"/>
        <v>0</v>
      </c>
      <c r="E207" s="452">
        <f t="shared" si="354"/>
        <v>0</v>
      </c>
      <c r="F207" s="452">
        <f t="shared" si="355"/>
        <v>0</v>
      </c>
      <c r="G207" s="452">
        <f t="shared" si="356"/>
        <v>0</v>
      </c>
      <c r="H207" s="452">
        <f t="shared" si="357"/>
        <v>0</v>
      </c>
      <c r="I207" s="452">
        <f t="shared" si="358"/>
        <v>0</v>
      </c>
      <c r="J207" s="452">
        <f t="shared" si="359"/>
        <v>0</v>
      </c>
      <c r="K207" s="452">
        <f t="shared" si="360"/>
        <v>0</v>
      </c>
      <c r="L207" s="452">
        <f t="shared" si="398"/>
        <v>0</v>
      </c>
      <c r="M207" s="1002">
        <f t="shared" si="399"/>
        <v>0</v>
      </c>
      <c r="N207" s="1396"/>
      <c r="O207" s="1001">
        <f t="shared" si="415"/>
        <v>0</v>
      </c>
      <c r="P207" s="452">
        <f t="shared" si="416"/>
        <v>0</v>
      </c>
      <c r="Q207" s="452">
        <f t="shared" si="417"/>
        <v>0</v>
      </c>
      <c r="R207" s="452">
        <f t="shared" si="418"/>
        <v>0</v>
      </c>
      <c r="S207" s="452">
        <f t="shared" si="419"/>
        <v>0</v>
      </c>
      <c r="T207" s="452">
        <f t="shared" si="420"/>
        <v>0</v>
      </c>
      <c r="U207" s="452">
        <f t="shared" si="421"/>
        <v>0</v>
      </c>
      <c r="V207" s="452">
        <f t="shared" si="422"/>
        <v>0</v>
      </c>
      <c r="W207" s="452">
        <f t="shared" si="369"/>
        <v>0</v>
      </c>
      <c r="X207" s="1002">
        <f t="shared" si="370"/>
        <v>0</v>
      </c>
      <c r="Y207" s="1397"/>
      <c r="Z207" s="1398">
        <f t="shared" si="371"/>
        <v>0</v>
      </c>
      <c r="AA207" s="1398">
        <f t="shared" si="372"/>
        <v>0</v>
      </c>
      <c r="AB207" s="1398">
        <f t="shared" si="373"/>
        <v>0</v>
      </c>
      <c r="AC207" s="1398">
        <f t="shared" si="374"/>
        <v>0</v>
      </c>
      <c r="AD207" s="1398">
        <f t="shared" si="375"/>
        <v>0</v>
      </c>
      <c r="AE207" s="1398">
        <f t="shared" si="376"/>
        <v>0</v>
      </c>
      <c r="AF207" s="1398">
        <f t="shared" si="377"/>
        <v>0</v>
      </c>
      <c r="AG207" s="1398">
        <f t="shared" si="378"/>
        <v>0</v>
      </c>
      <c r="AH207" s="1396"/>
      <c r="AI207" s="462">
        <f t="shared" si="423"/>
        <v>0</v>
      </c>
      <c r="AJ207" s="1112"/>
      <c r="AK207" s="1399"/>
      <c r="AL207" s="829">
        <f t="shared" si="380"/>
        <v>45793</v>
      </c>
      <c r="AM207" s="684">
        <f>IFERROR(IF(AND(AT207="",AR207&lt;&gt;S.CAL!$BJ$3,AR207&lt;&gt;S.CAL!$BJ$4,$AR$185="NON"),M207-BD207,IF(AND(AT207="",AR207&lt;&gt;S.CAL!$BJ$3,AR207&lt;&gt;S.CAL!$BJ$4,$AR$185="OUI"),X207-AI207,IF(AT207&lt;&gt;0,AT207,IF(OR(AR207=S.CAL!$BJ$3,AR207=S.CAL!$BJ$4),AR207,"")))),"")</f>
        <v>0</v>
      </c>
      <c r="AN207" s="1115"/>
      <c r="AO207" s="1116"/>
      <c r="AP207" s="684">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400">
        <f t="shared" si="400"/>
        <v>0</v>
      </c>
      <c r="AR207" s="1120"/>
      <c r="AS207" s="1396"/>
      <c r="AT207" s="1123"/>
      <c r="AU207" s="831"/>
      <c r="AV207" s="1392">
        <f t="shared" si="381"/>
        <v>45793</v>
      </c>
      <c r="AW207" s="1396"/>
      <c r="AX207" s="529">
        <f t="shared" si="401"/>
        <v>45793</v>
      </c>
      <c r="AY207" s="541">
        <f t="shared" si="402"/>
        <v>0</v>
      </c>
      <c r="AZ207" s="538" t="s">
        <v>146</v>
      </c>
      <c r="BA207" s="534">
        <f t="shared" si="403"/>
        <v>0</v>
      </c>
      <c r="BB207" s="567" t="str">
        <f t="shared" si="382"/>
        <v/>
      </c>
      <c r="BC207" s="541">
        <f t="shared" si="404"/>
        <v>0</v>
      </c>
      <c r="BD207" s="541">
        <f t="shared" si="405"/>
        <v>0</v>
      </c>
      <c r="BE207" s="750"/>
      <c r="BF207" s="532" t="str">
        <f t="shared" si="383"/>
        <v/>
      </c>
      <c r="BG207" s="532" t="str">
        <f t="shared" si="406"/>
        <v>oui</v>
      </c>
      <c r="BH207" s="395" t="str">
        <f t="shared" si="384"/>
        <v/>
      </c>
      <c r="BI207" s="24" t="str">
        <f t="shared" si="385"/>
        <v/>
      </c>
      <c r="BJ207" s="1404"/>
      <c r="BK207" s="1404"/>
      <c r="BL207" s="1404"/>
      <c r="BM207" s="1404"/>
      <c r="BN207" s="1404"/>
      <c r="BO207" s="1404"/>
      <c r="BP207" s="1404"/>
      <c r="BQ207" s="1404"/>
      <c r="BR207" s="1405"/>
      <c r="BS207" s="1392">
        <f t="shared" si="352"/>
        <v>45793</v>
      </c>
      <c r="BT207" s="1406" t="str">
        <f t="shared" si="414"/>
        <v/>
      </c>
      <c r="BU207" s="1404"/>
      <c r="BV207" s="1404"/>
      <c r="BW207" s="1404"/>
      <c r="BX207" s="1404"/>
      <c r="BY207" s="1404"/>
      <c r="BZ207" s="1404"/>
      <c r="CA207" s="1404"/>
      <c r="CB207" s="1404"/>
      <c r="CD207" s="1408">
        <f t="shared" si="407"/>
        <v>0</v>
      </c>
      <c r="DC207" s="16" t="str">
        <f>Mai!FC35</f>
        <v>non</v>
      </c>
      <c r="DG207" s="333">
        <f t="shared" si="408"/>
        <v>1</v>
      </c>
      <c r="DH207" s="129">
        <f t="shared" si="386"/>
        <v>10</v>
      </c>
      <c r="DI207" s="129">
        <f t="shared" si="409"/>
        <v>1</v>
      </c>
      <c r="DK207" s="16">
        <f>+IF(AND(Mai!$DP$8&lt;&gt;52,AR207=S.CAL!$BJ$4),10,1)</f>
        <v>1</v>
      </c>
      <c r="DN207" s="16">
        <f t="shared" si="387"/>
        <v>1</v>
      </c>
      <c r="DU207" s="1296" t="str">
        <f t="shared" si="410"/>
        <v>Fiche infoA545793</v>
      </c>
      <c r="DV207" s="1384">
        <f t="shared" si="388"/>
        <v>0</v>
      </c>
      <c r="DW207" s="1385">
        <f t="shared" si="389"/>
        <v>0</v>
      </c>
      <c r="DX207" s="1385">
        <f t="shared" si="390"/>
        <v>0</v>
      </c>
      <c r="DY207" s="1385">
        <f t="shared" si="391"/>
        <v>0</v>
      </c>
      <c r="DZ207" s="1385">
        <f t="shared" si="392"/>
        <v>0</v>
      </c>
      <c r="EA207" s="1385">
        <f t="shared" si="393"/>
        <v>0</v>
      </c>
      <c r="EB207" s="1385">
        <f t="shared" si="394"/>
        <v>0</v>
      </c>
      <c r="EC207" s="1385">
        <f t="shared" si="395"/>
        <v>0</v>
      </c>
      <c r="ED207" s="1385">
        <f t="shared" si="411"/>
        <v>0</v>
      </c>
      <c r="EE207" s="1386">
        <f t="shared" si="412"/>
        <v>0</v>
      </c>
      <c r="EG207" s="16" t="str">
        <f t="shared" si="413"/>
        <v>202025</v>
      </c>
      <c r="EH207" s="16" t="str">
        <f t="shared" si="396"/>
        <v>Fiche infoA5</v>
      </c>
      <c r="EI207" s="16" t="str">
        <f t="shared" si="397"/>
        <v/>
      </c>
    </row>
    <row r="208" spans="1:139" x14ac:dyDescent="0.2">
      <c r="A208" s="24" t="str">
        <f>Mai!BJ36</f>
        <v>Fiche infoA6</v>
      </c>
      <c r="B208" s="829">
        <f>Mai!AB36</f>
        <v>45794</v>
      </c>
      <c r="C208" s="1393"/>
      <c r="D208" s="1001">
        <f t="shared" si="353"/>
        <v>0</v>
      </c>
      <c r="E208" s="452">
        <f t="shared" si="354"/>
        <v>0</v>
      </c>
      <c r="F208" s="452">
        <f t="shared" si="355"/>
        <v>0</v>
      </c>
      <c r="G208" s="452">
        <f t="shared" si="356"/>
        <v>0</v>
      </c>
      <c r="H208" s="452">
        <f t="shared" si="357"/>
        <v>0</v>
      </c>
      <c r="I208" s="452">
        <f t="shared" si="358"/>
        <v>0</v>
      </c>
      <c r="J208" s="452">
        <f t="shared" si="359"/>
        <v>0</v>
      </c>
      <c r="K208" s="452">
        <f t="shared" si="360"/>
        <v>0</v>
      </c>
      <c r="L208" s="452">
        <f t="shared" si="398"/>
        <v>0</v>
      </c>
      <c r="M208" s="1002">
        <f t="shared" si="399"/>
        <v>0</v>
      </c>
      <c r="O208" s="1001">
        <f t="shared" si="415"/>
        <v>0</v>
      </c>
      <c r="P208" s="452">
        <f t="shared" si="416"/>
        <v>0</v>
      </c>
      <c r="Q208" s="452">
        <f t="shared" si="417"/>
        <v>0</v>
      </c>
      <c r="R208" s="452">
        <f t="shared" si="418"/>
        <v>0</v>
      </c>
      <c r="S208" s="452">
        <f t="shared" si="419"/>
        <v>0</v>
      </c>
      <c r="T208" s="452">
        <f t="shared" si="420"/>
        <v>0</v>
      </c>
      <c r="U208" s="452">
        <f t="shared" si="421"/>
        <v>0</v>
      </c>
      <c r="V208" s="452">
        <f t="shared" si="422"/>
        <v>0</v>
      </c>
      <c r="W208" s="452">
        <f t="shared" si="369"/>
        <v>0</v>
      </c>
      <c r="X208" s="1002">
        <f t="shared" si="370"/>
        <v>0</v>
      </c>
      <c r="Y208" s="459"/>
      <c r="Z208" s="291">
        <f t="shared" si="371"/>
        <v>0</v>
      </c>
      <c r="AA208" s="291">
        <f t="shared" si="372"/>
        <v>0</v>
      </c>
      <c r="AB208" s="291">
        <f t="shared" si="373"/>
        <v>0</v>
      </c>
      <c r="AC208" s="291">
        <f t="shared" si="374"/>
        <v>0</v>
      </c>
      <c r="AD208" s="291">
        <f t="shared" si="375"/>
        <v>0</v>
      </c>
      <c r="AE208" s="291">
        <f t="shared" si="376"/>
        <v>0</v>
      </c>
      <c r="AF208" s="291">
        <f t="shared" si="377"/>
        <v>0</v>
      </c>
      <c r="AG208" s="291">
        <f t="shared" si="378"/>
        <v>0</v>
      </c>
      <c r="AI208" s="462">
        <f t="shared" si="423"/>
        <v>0</v>
      </c>
      <c r="AJ208" s="1112"/>
      <c r="AK208" s="507"/>
      <c r="AL208" s="829">
        <f t="shared" si="380"/>
        <v>45794</v>
      </c>
      <c r="AM208" s="684">
        <f>IFERROR(IF(AND(AT208="",AR208&lt;&gt;S.CAL!$BJ$3,AR208&lt;&gt;S.CAL!$BJ$4,$AR$185="NON"),M208-BD208,IF(AND(AT208="",AR208&lt;&gt;S.CAL!$BJ$3,AR208&lt;&gt;S.CAL!$BJ$4,$AR$185="OUI"),X208-AI208,IF(AT208&lt;&gt;0,AT208,IF(OR(AR208=S.CAL!$BJ$3,AR208=S.CAL!$BJ$4),AR208,"")))),"")</f>
        <v>0</v>
      </c>
      <c r="AN208" s="1115"/>
      <c r="AO208" s="1116"/>
      <c r="AP208" s="684">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516">
        <f t="shared" si="400"/>
        <v>0</v>
      </c>
      <c r="AR208" s="1120"/>
      <c r="AT208" s="1123"/>
      <c r="AU208" s="831"/>
      <c r="AV208" s="1392">
        <f t="shared" si="381"/>
        <v>45794</v>
      </c>
      <c r="AX208" s="529">
        <f t="shared" si="401"/>
        <v>45794</v>
      </c>
      <c r="AY208" s="541">
        <f t="shared" si="402"/>
        <v>0</v>
      </c>
      <c r="AZ208" s="538" t="s">
        <v>146</v>
      </c>
      <c r="BA208" s="534">
        <f t="shared" si="403"/>
        <v>0</v>
      </c>
      <c r="BB208" s="567" t="str">
        <f t="shared" si="382"/>
        <v/>
      </c>
      <c r="BC208" s="541">
        <f t="shared" si="404"/>
        <v>0</v>
      </c>
      <c r="BD208" s="541">
        <f t="shared" si="405"/>
        <v>0</v>
      </c>
      <c r="BE208" s="750"/>
      <c r="BF208" s="532" t="str">
        <f t="shared" si="383"/>
        <v/>
      </c>
      <c r="BG208" s="532" t="str">
        <f t="shared" si="406"/>
        <v>oui</v>
      </c>
      <c r="BH208" s="395" t="str">
        <f t="shared" si="384"/>
        <v/>
      </c>
      <c r="BI208" s="24" t="str">
        <f t="shared" si="385"/>
        <v/>
      </c>
      <c r="BJ208" s="1403"/>
      <c r="BK208" s="1403"/>
      <c r="BL208" s="1403"/>
      <c r="BM208" s="1403"/>
      <c r="BN208" s="1403"/>
      <c r="BO208" s="1403"/>
      <c r="BP208" s="1403"/>
      <c r="BQ208" s="1403"/>
      <c r="BS208" s="1392">
        <f t="shared" si="352"/>
        <v>45794</v>
      </c>
      <c r="BT208" s="27" t="str">
        <f t="shared" si="414"/>
        <v/>
      </c>
      <c r="BU208" s="1402"/>
      <c r="BV208" s="1402"/>
      <c r="BW208" s="1402"/>
      <c r="BX208" s="1402"/>
      <c r="BY208" s="1402"/>
      <c r="BZ208" s="1402"/>
      <c r="CA208" s="1402"/>
      <c r="CB208" s="1402"/>
      <c r="CD208" s="1408">
        <f t="shared" si="407"/>
        <v>0</v>
      </c>
      <c r="DC208" s="16" t="str">
        <f>Mai!FC36</f>
        <v>non</v>
      </c>
      <c r="DG208" s="333">
        <f t="shared" si="408"/>
        <v>1</v>
      </c>
      <c r="DH208" s="129">
        <f t="shared" si="386"/>
        <v>10</v>
      </c>
      <c r="DI208" s="129">
        <f t="shared" si="409"/>
        <v>1</v>
      </c>
      <c r="DK208" s="16">
        <f>+IF(AND(Mai!$DP$8&lt;&gt;52,AR208=S.CAL!$BJ$4),10,1)</f>
        <v>1</v>
      </c>
      <c r="DN208" s="16">
        <f t="shared" si="387"/>
        <v>1</v>
      </c>
      <c r="DU208" s="1296" t="str">
        <f t="shared" si="410"/>
        <v>Fiche infoA645794</v>
      </c>
      <c r="DV208" s="1384">
        <f t="shared" si="388"/>
        <v>0</v>
      </c>
      <c r="DW208" s="1385">
        <f t="shared" si="389"/>
        <v>0</v>
      </c>
      <c r="DX208" s="1385">
        <f t="shared" si="390"/>
        <v>0</v>
      </c>
      <c r="DY208" s="1385">
        <f t="shared" si="391"/>
        <v>0</v>
      </c>
      <c r="DZ208" s="1385">
        <f t="shared" si="392"/>
        <v>0</v>
      </c>
      <c r="EA208" s="1385">
        <f t="shared" si="393"/>
        <v>0</v>
      </c>
      <c r="EB208" s="1385">
        <f t="shared" si="394"/>
        <v>0</v>
      </c>
      <c r="EC208" s="1385">
        <f t="shared" si="395"/>
        <v>0</v>
      </c>
      <c r="ED208" s="1385">
        <f t="shared" si="411"/>
        <v>0</v>
      </c>
      <c r="EE208" s="1386">
        <f t="shared" si="412"/>
        <v>0</v>
      </c>
      <c r="EG208" s="16" t="str">
        <f t="shared" si="413"/>
        <v>202025</v>
      </c>
      <c r="EH208" s="16" t="str">
        <f t="shared" si="396"/>
        <v>Fiche infoA6</v>
      </c>
      <c r="EI208" s="16" t="str">
        <f t="shared" si="397"/>
        <v/>
      </c>
    </row>
    <row r="209" spans="1:139" x14ac:dyDescent="0.2">
      <c r="A209" s="1395" t="str">
        <f>Mai!BJ37</f>
        <v>Fiche infoA7</v>
      </c>
      <c r="B209" s="829">
        <f>Mai!AB37</f>
        <v>45795</v>
      </c>
      <c r="C209" s="1394"/>
      <c r="D209" s="1001">
        <f t="shared" si="353"/>
        <v>0</v>
      </c>
      <c r="E209" s="452">
        <f t="shared" si="354"/>
        <v>0</v>
      </c>
      <c r="F209" s="452">
        <f t="shared" si="355"/>
        <v>0</v>
      </c>
      <c r="G209" s="452">
        <f t="shared" si="356"/>
        <v>0</v>
      </c>
      <c r="H209" s="452">
        <f t="shared" si="357"/>
        <v>0</v>
      </c>
      <c r="I209" s="452">
        <f t="shared" si="358"/>
        <v>0</v>
      </c>
      <c r="J209" s="452">
        <f t="shared" si="359"/>
        <v>0</v>
      </c>
      <c r="K209" s="452">
        <f t="shared" si="360"/>
        <v>0</v>
      </c>
      <c r="L209" s="452">
        <f t="shared" si="398"/>
        <v>0</v>
      </c>
      <c r="M209" s="1002">
        <f t="shared" si="399"/>
        <v>0</v>
      </c>
      <c r="N209" s="1396"/>
      <c r="O209" s="1001">
        <f t="shared" si="415"/>
        <v>0</v>
      </c>
      <c r="P209" s="452">
        <f t="shared" si="416"/>
        <v>0</v>
      </c>
      <c r="Q209" s="452">
        <f t="shared" si="417"/>
        <v>0</v>
      </c>
      <c r="R209" s="452">
        <f t="shared" si="418"/>
        <v>0</v>
      </c>
      <c r="S209" s="452">
        <f t="shared" si="419"/>
        <v>0</v>
      </c>
      <c r="T209" s="452">
        <f t="shared" si="420"/>
        <v>0</v>
      </c>
      <c r="U209" s="452">
        <f t="shared" si="421"/>
        <v>0</v>
      </c>
      <c r="V209" s="452">
        <f t="shared" si="422"/>
        <v>0</v>
      </c>
      <c r="W209" s="452">
        <f t="shared" si="369"/>
        <v>0</v>
      </c>
      <c r="X209" s="1002">
        <f t="shared" si="370"/>
        <v>0</v>
      </c>
      <c r="Y209" s="1397"/>
      <c r="Z209" s="1398">
        <f t="shared" si="371"/>
        <v>0</v>
      </c>
      <c r="AA209" s="1398">
        <f t="shared" si="372"/>
        <v>0</v>
      </c>
      <c r="AB209" s="1398">
        <f t="shared" si="373"/>
        <v>0</v>
      </c>
      <c r="AC209" s="1398">
        <f t="shared" si="374"/>
        <v>0</v>
      </c>
      <c r="AD209" s="1398">
        <f t="shared" si="375"/>
        <v>0</v>
      </c>
      <c r="AE209" s="1398">
        <f t="shared" si="376"/>
        <v>0</v>
      </c>
      <c r="AF209" s="1398">
        <f t="shared" si="377"/>
        <v>0</v>
      </c>
      <c r="AG209" s="1398">
        <f t="shared" si="378"/>
        <v>0</v>
      </c>
      <c r="AH209" s="1396"/>
      <c r="AI209" s="462">
        <f t="shared" si="423"/>
        <v>0</v>
      </c>
      <c r="AJ209" s="1112"/>
      <c r="AK209" s="1399"/>
      <c r="AL209" s="829">
        <f t="shared" si="380"/>
        <v>45795</v>
      </c>
      <c r="AM209" s="684">
        <f>IFERROR(IF(AND(AT209="",AR209&lt;&gt;S.CAL!$BJ$3,AR209&lt;&gt;S.CAL!$BJ$4,$AR$185="NON"),M209-BD209,IF(AND(AT209="",AR209&lt;&gt;S.CAL!$BJ$3,AR209&lt;&gt;S.CAL!$BJ$4,$AR$185="OUI"),X209-AI209,IF(AT209&lt;&gt;0,AT209,IF(OR(AR209=S.CAL!$BJ$3,AR209=S.CAL!$BJ$4),AR209,"")))),"")</f>
        <v>0</v>
      </c>
      <c r="AN209" s="1115"/>
      <c r="AO209" s="1116"/>
      <c r="AP209" s="684">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400">
        <f t="shared" si="400"/>
        <v>0</v>
      </c>
      <c r="AR209" s="1120"/>
      <c r="AS209" s="1396"/>
      <c r="AT209" s="1123"/>
      <c r="AU209" s="831"/>
      <c r="AV209" s="1392">
        <f t="shared" si="381"/>
        <v>45795</v>
      </c>
      <c r="AW209" s="1396"/>
      <c r="AX209" s="529">
        <f t="shared" si="401"/>
        <v>45795</v>
      </c>
      <c r="AY209" s="541">
        <f t="shared" si="402"/>
        <v>0</v>
      </c>
      <c r="AZ209" s="538" t="s">
        <v>146</v>
      </c>
      <c r="BA209" s="534">
        <f t="shared" si="403"/>
        <v>0</v>
      </c>
      <c r="BB209" s="567" t="str">
        <f t="shared" si="382"/>
        <v/>
      </c>
      <c r="BC209" s="541">
        <f t="shared" si="404"/>
        <v>0</v>
      </c>
      <c r="BD209" s="541">
        <f t="shared" si="405"/>
        <v>0</v>
      </c>
      <c r="BE209" s="750"/>
      <c r="BF209" s="532" t="str">
        <f t="shared" si="383"/>
        <v/>
      </c>
      <c r="BG209" s="532" t="str">
        <f t="shared" si="406"/>
        <v>oui</v>
      </c>
      <c r="BH209" s="395" t="str">
        <f t="shared" si="384"/>
        <v/>
      </c>
      <c r="BI209" s="24" t="str">
        <f t="shared" si="385"/>
        <v/>
      </c>
      <c r="BJ209" s="1404"/>
      <c r="BK209" s="1404"/>
      <c r="BL209" s="1404"/>
      <c r="BM209" s="1404"/>
      <c r="BN209" s="1404"/>
      <c r="BO209" s="1404"/>
      <c r="BP209" s="1404"/>
      <c r="BQ209" s="1404"/>
      <c r="BR209" s="1405"/>
      <c r="BS209" s="1392">
        <f t="shared" si="352"/>
        <v>45795</v>
      </c>
      <c r="BT209" s="1406" t="str">
        <f t="shared" si="414"/>
        <v/>
      </c>
      <c r="BU209" s="1404"/>
      <c r="BV209" s="1404"/>
      <c r="BW209" s="1404"/>
      <c r="BX209" s="1404"/>
      <c r="BY209" s="1404"/>
      <c r="BZ209" s="1404"/>
      <c r="CA209" s="1404"/>
      <c r="CB209" s="1404"/>
      <c r="CD209" s="1408">
        <f t="shared" si="407"/>
        <v>0</v>
      </c>
      <c r="DC209" s="16" t="str">
        <f>Mai!FC37</f>
        <v>non</v>
      </c>
      <c r="DG209" s="333">
        <f t="shared" si="408"/>
        <v>1</v>
      </c>
      <c r="DH209" s="129">
        <f t="shared" si="386"/>
        <v>10</v>
      </c>
      <c r="DI209" s="129">
        <f t="shared" si="409"/>
        <v>1</v>
      </c>
      <c r="DK209" s="16">
        <f>+IF(AND(Mai!$DP$8&lt;&gt;52,AR209=S.CAL!$BJ$4),10,1)</f>
        <v>1</v>
      </c>
      <c r="DN209" s="16">
        <f t="shared" si="387"/>
        <v>1</v>
      </c>
      <c r="DU209" s="1296" t="str">
        <f t="shared" si="410"/>
        <v>Fiche infoA745795</v>
      </c>
      <c r="DV209" s="1384">
        <f t="shared" si="388"/>
        <v>0</v>
      </c>
      <c r="DW209" s="1385">
        <f t="shared" si="389"/>
        <v>0</v>
      </c>
      <c r="DX209" s="1385">
        <f t="shared" si="390"/>
        <v>0</v>
      </c>
      <c r="DY209" s="1385">
        <f t="shared" si="391"/>
        <v>0</v>
      </c>
      <c r="DZ209" s="1385">
        <f t="shared" si="392"/>
        <v>0</v>
      </c>
      <c r="EA209" s="1385">
        <f t="shared" si="393"/>
        <v>0</v>
      </c>
      <c r="EB209" s="1385">
        <f t="shared" si="394"/>
        <v>0</v>
      </c>
      <c r="EC209" s="1385">
        <f t="shared" si="395"/>
        <v>0</v>
      </c>
      <c r="ED209" s="1385">
        <f t="shared" si="411"/>
        <v>0</v>
      </c>
      <c r="EE209" s="1386">
        <f t="shared" si="412"/>
        <v>0</v>
      </c>
      <c r="EG209" s="16" t="str">
        <f t="shared" si="413"/>
        <v>202025</v>
      </c>
      <c r="EH209" s="16" t="str">
        <f t="shared" si="396"/>
        <v>Fiche infoA7</v>
      </c>
      <c r="EI209" s="16" t="str">
        <f t="shared" si="397"/>
        <v/>
      </c>
    </row>
    <row r="210" spans="1:139" x14ac:dyDescent="0.2">
      <c r="A210" s="24" t="str">
        <f>Mai!BJ38</f>
        <v>Fiche infoA1</v>
      </c>
      <c r="B210" s="829">
        <f>Mai!AB38</f>
        <v>45796</v>
      </c>
      <c r="C210" s="1393"/>
      <c r="D210" s="1001">
        <f t="shared" si="353"/>
        <v>0</v>
      </c>
      <c r="E210" s="452">
        <f t="shared" si="354"/>
        <v>0</v>
      </c>
      <c r="F210" s="452">
        <f t="shared" si="355"/>
        <v>0</v>
      </c>
      <c r="G210" s="452">
        <f t="shared" si="356"/>
        <v>0</v>
      </c>
      <c r="H210" s="452">
        <f t="shared" si="357"/>
        <v>0</v>
      </c>
      <c r="I210" s="452">
        <f t="shared" si="358"/>
        <v>0</v>
      </c>
      <c r="J210" s="452">
        <f t="shared" si="359"/>
        <v>0</v>
      </c>
      <c r="K210" s="452">
        <f t="shared" si="360"/>
        <v>0</v>
      </c>
      <c r="L210" s="452">
        <f t="shared" si="398"/>
        <v>0</v>
      </c>
      <c r="M210" s="1002">
        <f t="shared" si="399"/>
        <v>0</v>
      </c>
      <c r="O210" s="1001">
        <f t="shared" si="415"/>
        <v>0</v>
      </c>
      <c r="P210" s="452">
        <f t="shared" si="416"/>
        <v>0</v>
      </c>
      <c r="Q210" s="452">
        <f t="shared" si="417"/>
        <v>0</v>
      </c>
      <c r="R210" s="452">
        <f t="shared" si="418"/>
        <v>0</v>
      </c>
      <c r="S210" s="452">
        <f t="shared" si="419"/>
        <v>0</v>
      </c>
      <c r="T210" s="452">
        <f t="shared" si="420"/>
        <v>0</v>
      </c>
      <c r="U210" s="452">
        <f t="shared" si="421"/>
        <v>0</v>
      </c>
      <c r="V210" s="452">
        <f t="shared" si="422"/>
        <v>0</v>
      </c>
      <c r="W210" s="452">
        <f t="shared" si="369"/>
        <v>0</v>
      </c>
      <c r="X210" s="1002">
        <f t="shared" si="370"/>
        <v>0</v>
      </c>
      <c r="Y210" s="459"/>
      <c r="Z210" s="291">
        <f t="shared" si="371"/>
        <v>0</v>
      </c>
      <c r="AA210" s="291">
        <f t="shared" si="372"/>
        <v>0</v>
      </c>
      <c r="AB210" s="291">
        <f t="shared" si="373"/>
        <v>0</v>
      </c>
      <c r="AC210" s="291">
        <f t="shared" si="374"/>
        <v>0</v>
      </c>
      <c r="AD210" s="291">
        <f t="shared" si="375"/>
        <v>0</v>
      </c>
      <c r="AE210" s="291">
        <f t="shared" si="376"/>
        <v>0</v>
      </c>
      <c r="AF210" s="291">
        <f t="shared" si="377"/>
        <v>0</v>
      </c>
      <c r="AG210" s="291">
        <f t="shared" si="378"/>
        <v>0</v>
      </c>
      <c r="AI210" s="462">
        <f t="shared" si="423"/>
        <v>0</v>
      </c>
      <c r="AJ210" s="1112"/>
      <c r="AK210" s="507"/>
      <c r="AL210" s="829">
        <f t="shared" si="380"/>
        <v>45796</v>
      </c>
      <c r="AM210" s="684">
        <f>IFERROR(IF(AND(AT210="",AR210&lt;&gt;S.CAL!$BJ$3,AR210&lt;&gt;S.CAL!$BJ$4,$AR$185="NON"),M210-BD210,IF(AND(AT210="",AR210&lt;&gt;S.CAL!$BJ$3,AR210&lt;&gt;S.CAL!$BJ$4,$AR$185="OUI"),X210-AI210,IF(AT210&lt;&gt;0,AT210,IF(OR(AR210=S.CAL!$BJ$3,AR210=S.CAL!$BJ$4),AR210,"")))),"")</f>
        <v>0</v>
      </c>
      <c r="AN210" s="1115"/>
      <c r="AO210" s="1116"/>
      <c r="AP210" s="684">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516">
        <f t="shared" si="400"/>
        <v>0</v>
      </c>
      <c r="AR210" s="1120"/>
      <c r="AT210" s="1123"/>
      <c r="AU210" s="831"/>
      <c r="AV210" s="1392">
        <f t="shared" si="381"/>
        <v>45796</v>
      </c>
      <c r="AX210" s="529">
        <f t="shared" si="401"/>
        <v>45796</v>
      </c>
      <c r="AY210" s="541">
        <f t="shared" si="402"/>
        <v>0</v>
      </c>
      <c r="AZ210" s="538" t="s">
        <v>146</v>
      </c>
      <c r="BA210" s="534">
        <f t="shared" si="403"/>
        <v>0</v>
      </c>
      <c r="BB210" s="567" t="str">
        <f t="shared" si="382"/>
        <v/>
      </c>
      <c r="BC210" s="541">
        <f t="shared" si="404"/>
        <v>0</v>
      </c>
      <c r="BD210" s="541">
        <f t="shared" si="405"/>
        <v>0</v>
      </c>
      <c r="BE210" s="750"/>
      <c r="BF210" s="532" t="str">
        <f t="shared" si="383"/>
        <v/>
      </c>
      <c r="BG210" s="532" t="str">
        <f t="shared" si="406"/>
        <v>oui</v>
      </c>
      <c r="BH210" s="395" t="str">
        <f t="shared" si="384"/>
        <v/>
      </c>
      <c r="BI210" s="24" t="str">
        <f t="shared" si="385"/>
        <v/>
      </c>
      <c r="BJ210" s="1403"/>
      <c r="BK210" s="1403"/>
      <c r="BL210" s="1403"/>
      <c r="BM210" s="1403"/>
      <c r="BN210" s="1403"/>
      <c r="BO210" s="1403"/>
      <c r="BP210" s="1403"/>
      <c r="BQ210" s="1403"/>
      <c r="BS210" s="1392">
        <f t="shared" si="352"/>
        <v>45796</v>
      </c>
      <c r="BT210" s="27">
        <f t="shared" si="414"/>
        <v>21</v>
      </c>
      <c r="BU210" s="1402"/>
      <c r="BV210" s="1402"/>
      <c r="BW210" s="1402"/>
      <c r="BX210" s="1402"/>
      <c r="BY210" s="1402"/>
      <c r="BZ210" s="1402"/>
      <c r="CA210" s="1402"/>
      <c r="CB210" s="1402"/>
      <c r="CD210" s="1408">
        <f t="shared" si="407"/>
        <v>0</v>
      </c>
      <c r="DC210" s="16" t="str">
        <f>Mai!FC38</f>
        <v>non</v>
      </c>
      <c r="DG210" s="333">
        <f t="shared" si="408"/>
        <v>1</v>
      </c>
      <c r="DH210" s="129">
        <f t="shared" si="386"/>
        <v>10</v>
      </c>
      <c r="DI210" s="129">
        <f t="shared" si="409"/>
        <v>1</v>
      </c>
      <c r="DK210" s="16">
        <f>+IF(AND(Mai!$DP$8&lt;&gt;52,AR210=S.CAL!$BJ$4),10,1)</f>
        <v>1</v>
      </c>
      <c r="DN210" s="16">
        <f t="shared" si="387"/>
        <v>1</v>
      </c>
      <c r="DU210" s="1296" t="str">
        <f t="shared" si="410"/>
        <v>Fiche infoA145796</v>
      </c>
      <c r="DV210" s="1384">
        <f t="shared" si="388"/>
        <v>0</v>
      </c>
      <c r="DW210" s="1385">
        <f t="shared" si="389"/>
        <v>0</v>
      </c>
      <c r="DX210" s="1385">
        <f t="shared" si="390"/>
        <v>0</v>
      </c>
      <c r="DY210" s="1385">
        <f t="shared" si="391"/>
        <v>0</v>
      </c>
      <c r="DZ210" s="1385">
        <f t="shared" si="392"/>
        <v>0</v>
      </c>
      <c r="EA210" s="1385">
        <f t="shared" si="393"/>
        <v>0</v>
      </c>
      <c r="EB210" s="1385">
        <f t="shared" si="394"/>
        <v>0</v>
      </c>
      <c r="EC210" s="1385">
        <f t="shared" si="395"/>
        <v>0</v>
      </c>
      <c r="ED210" s="1385">
        <f t="shared" si="411"/>
        <v>0</v>
      </c>
      <c r="EE210" s="1386">
        <f t="shared" si="412"/>
        <v>0</v>
      </c>
      <c r="EG210" s="16" t="str">
        <f t="shared" si="413"/>
        <v>212025</v>
      </c>
      <c r="EH210" s="16" t="str">
        <f t="shared" si="396"/>
        <v>Fiche infoA1</v>
      </c>
      <c r="EI210" s="16" t="str">
        <f t="shared" si="397"/>
        <v/>
      </c>
    </row>
    <row r="211" spans="1:139" x14ac:dyDescent="0.2">
      <c r="A211" s="1395" t="str">
        <f>Mai!BJ39</f>
        <v>Fiche infoA2</v>
      </c>
      <c r="B211" s="829">
        <f>Mai!AB39</f>
        <v>45797</v>
      </c>
      <c r="C211" s="1394"/>
      <c r="D211" s="1001">
        <f t="shared" si="353"/>
        <v>0</v>
      </c>
      <c r="E211" s="452">
        <f t="shared" si="354"/>
        <v>0</v>
      </c>
      <c r="F211" s="452">
        <f t="shared" si="355"/>
        <v>0</v>
      </c>
      <c r="G211" s="452">
        <f t="shared" si="356"/>
        <v>0</v>
      </c>
      <c r="H211" s="452">
        <f t="shared" si="357"/>
        <v>0</v>
      </c>
      <c r="I211" s="452">
        <f t="shared" si="358"/>
        <v>0</v>
      </c>
      <c r="J211" s="452">
        <f t="shared" si="359"/>
        <v>0</v>
      </c>
      <c r="K211" s="452">
        <f t="shared" si="360"/>
        <v>0</v>
      </c>
      <c r="L211" s="452">
        <f t="shared" si="398"/>
        <v>0</v>
      </c>
      <c r="M211" s="1002">
        <f t="shared" si="399"/>
        <v>0</v>
      </c>
      <c r="N211" s="1396"/>
      <c r="O211" s="1001">
        <f t="shared" si="415"/>
        <v>0</v>
      </c>
      <c r="P211" s="452">
        <f t="shared" si="416"/>
        <v>0</v>
      </c>
      <c r="Q211" s="452">
        <f t="shared" si="417"/>
        <v>0</v>
      </c>
      <c r="R211" s="452">
        <f t="shared" si="418"/>
        <v>0</v>
      </c>
      <c r="S211" s="452">
        <f t="shared" si="419"/>
        <v>0</v>
      </c>
      <c r="T211" s="452">
        <f t="shared" si="420"/>
        <v>0</v>
      </c>
      <c r="U211" s="452">
        <f t="shared" si="421"/>
        <v>0</v>
      </c>
      <c r="V211" s="452">
        <f t="shared" si="422"/>
        <v>0</v>
      </c>
      <c r="W211" s="452">
        <f t="shared" si="369"/>
        <v>0</v>
      </c>
      <c r="X211" s="1002">
        <f t="shared" si="370"/>
        <v>0</v>
      </c>
      <c r="Y211" s="1397"/>
      <c r="Z211" s="1398">
        <f t="shared" si="371"/>
        <v>0</v>
      </c>
      <c r="AA211" s="1398">
        <f t="shared" si="372"/>
        <v>0</v>
      </c>
      <c r="AB211" s="1398">
        <f t="shared" si="373"/>
        <v>0</v>
      </c>
      <c r="AC211" s="1398">
        <f t="shared" si="374"/>
        <v>0</v>
      </c>
      <c r="AD211" s="1398">
        <f t="shared" si="375"/>
        <v>0</v>
      </c>
      <c r="AE211" s="1398">
        <f t="shared" si="376"/>
        <v>0</v>
      </c>
      <c r="AF211" s="1398">
        <f t="shared" si="377"/>
        <v>0</v>
      </c>
      <c r="AG211" s="1398">
        <f t="shared" si="378"/>
        <v>0</v>
      </c>
      <c r="AH211" s="1396"/>
      <c r="AI211" s="462">
        <f t="shared" si="423"/>
        <v>0</v>
      </c>
      <c r="AJ211" s="1112"/>
      <c r="AK211" s="1399"/>
      <c r="AL211" s="829">
        <f t="shared" si="380"/>
        <v>45797</v>
      </c>
      <c r="AM211" s="684">
        <f>IFERROR(IF(AND(AT211="",AR211&lt;&gt;S.CAL!$BJ$3,AR211&lt;&gt;S.CAL!$BJ$4,$AR$185="NON"),M211-BD211,IF(AND(AT211="",AR211&lt;&gt;S.CAL!$BJ$3,AR211&lt;&gt;S.CAL!$BJ$4,$AR$185="OUI"),X211-AI211,IF(AT211&lt;&gt;0,AT211,IF(OR(AR211=S.CAL!$BJ$3,AR211=S.CAL!$BJ$4),AR211,"")))),"")</f>
        <v>0</v>
      </c>
      <c r="AN211" s="1115"/>
      <c r="AO211" s="1116"/>
      <c r="AP211" s="684">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400">
        <f t="shared" si="400"/>
        <v>0</v>
      </c>
      <c r="AR211" s="1120"/>
      <c r="AS211" s="1396"/>
      <c r="AT211" s="1123"/>
      <c r="AU211" s="831"/>
      <c r="AV211" s="1392">
        <f t="shared" si="381"/>
        <v>45797</v>
      </c>
      <c r="AW211" s="1396"/>
      <c r="AX211" s="529">
        <f t="shared" si="401"/>
        <v>45797</v>
      </c>
      <c r="AY211" s="541">
        <f t="shared" si="402"/>
        <v>0</v>
      </c>
      <c r="AZ211" s="538" t="s">
        <v>146</v>
      </c>
      <c r="BA211" s="534">
        <f t="shared" si="403"/>
        <v>0</v>
      </c>
      <c r="BB211" s="567" t="str">
        <f t="shared" si="382"/>
        <v/>
      </c>
      <c r="BC211" s="541">
        <f t="shared" si="404"/>
        <v>0</v>
      </c>
      <c r="BD211" s="541">
        <f t="shared" si="405"/>
        <v>0</v>
      </c>
      <c r="BE211" s="750"/>
      <c r="BF211" s="532" t="str">
        <f t="shared" si="383"/>
        <v/>
      </c>
      <c r="BG211" s="532" t="str">
        <f t="shared" si="406"/>
        <v>oui</v>
      </c>
      <c r="BH211" s="395" t="str">
        <f t="shared" si="384"/>
        <v/>
      </c>
      <c r="BI211" s="24" t="str">
        <f t="shared" si="385"/>
        <v/>
      </c>
      <c r="BJ211" s="1404"/>
      <c r="BK211" s="1404"/>
      <c r="BL211" s="1404"/>
      <c r="BM211" s="1404"/>
      <c r="BN211" s="1404"/>
      <c r="BO211" s="1404"/>
      <c r="BP211" s="1404"/>
      <c r="BQ211" s="1404"/>
      <c r="BR211" s="1405"/>
      <c r="BS211" s="1392">
        <f t="shared" si="352"/>
        <v>45797</v>
      </c>
      <c r="BT211" s="1406" t="str">
        <f t="shared" si="414"/>
        <v/>
      </c>
      <c r="BU211" s="1404"/>
      <c r="BV211" s="1404"/>
      <c r="BW211" s="1404"/>
      <c r="BX211" s="1404"/>
      <c r="BY211" s="1404"/>
      <c r="BZ211" s="1404"/>
      <c r="CA211" s="1404"/>
      <c r="CB211" s="1404"/>
      <c r="CD211" s="1408">
        <f t="shared" si="407"/>
        <v>0</v>
      </c>
      <c r="DC211" s="16" t="str">
        <f>Mai!FC39</f>
        <v>non</v>
      </c>
      <c r="DG211" s="333">
        <f t="shared" si="408"/>
        <v>1</v>
      </c>
      <c r="DH211" s="129">
        <f t="shared" si="386"/>
        <v>10</v>
      </c>
      <c r="DI211" s="129">
        <f t="shared" si="409"/>
        <v>1</v>
      </c>
      <c r="DK211" s="16">
        <f>+IF(AND(Mai!$DP$8&lt;&gt;52,AR211=S.CAL!$BJ$4),10,1)</f>
        <v>1</v>
      </c>
      <c r="DN211" s="16">
        <f t="shared" si="387"/>
        <v>1</v>
      </c>
      <c r="DU211" s="1296" t="str">
        <f t="shared" si="410"/>
        <v>Fiche infoA245797</v>
      </c>
      <c r="DV211" s="1384">
        <f t="shared" si="388"/>
        <v>0</v>
      </c>
      <c r="DW211" s="1385">
        <f t="shared" si="389"/>
        <v>0</v>
      </c>
      <c r="DX211" s="1385">
        <f t="shared" si="390"/>
        <v>0</v>
      </c>
      <c r="DY211" s="1385">
        <f t="shared" si="391"/>
        <v>0</v>
      </c>
      <c r="DZ211" s="1385">
        <f t="shared" si="392"/>
        <v>0</v>
      </c>
      <c r="EA211" s="1385">
        <f t="shared" si="393"/>
        <v>0</v>
      </c>
      <c r="EB211" s="1385">
        <f t="shared" si="394"/>
        <v>0</v>
      </c>
      <c r="EC211" s="1385">
        <f t="shared" si="395"/>
        <v>0</v>
      </c>
      <c r="ED211" s="1385">
        <f t="shared" si="411"/>
        <v>0</v>
      </c>
      <c r="EE211" s="1386">
        <f t="shared" si="412"/>
        <v>0</v>
      </c>
      <c r="EG211" s="16" t="str">
        <f t="shared" si="413"/>
        <v>212025</v>
      </c>
      <c r="EH211" s="16" t="str">
        <f t="shared" si="396"/>
        <v>Fiche infoA2</v>
      </c>
      <c r="EI211" s="16" t="str">
        <f t="shared" si="397"/>
        <v/>
      </c>
    </row>
    <row r="212" spans="1:139" x14ac:dyDescent="0.2">
      <c r="A212" s="24" t="str">
        <f>Mai!BJ40</f>
        <v>Fiche infoA3</v>
      </c>
      <c r="B212" s="829">
        <f>Mai!AB40</f>
        <v>45798</v>
      </c>
      <c r="C212" s="1393"/>
      <c r="D212" s="1001">
        <f t="shared" si="353"/>
        <v>0</v>
      </c>
      <c r="E212" s="452">
        <f t="shared" si="354"/>
        <v>0</v>
      </c>
      <c r="F212" s="452">
        <f t="shared" si="355"/>
        <v>0</v>
      </c>
      <c r="G212" s="452">
        <f t="shared" si="356"/>
        <v>0</v>
      </c>
      <c r="H212" s="452">
        <f t="shared" si="357"/>
        <v>0</v>
      </c>
      <c r="I212" s="452">
        <f t="shared" si="358"/>
        <v>0</v>
      </c>
      <c r="J212" s="452">
        <f t="shared" si="359"/>
        <v>0</v>
      </c>
      <c r="K212" s="452">
        <f t="shared" si="360"/>
        <v>0</v>
      </c>
      <c r="L212" s="452">
        <f t="shared" si="398"/>
        <v>0</v>
      </c>
      <c r="M212" s="1002">
        <f t="shared" si="399"/>
        <v>0</v>
      </c>
      <c r="O212" s="1001">
        <f t="shared" si="415"/>
        <v>0</v>
      </c>
      <c r="P212" s="452">
        <f t="shared" si="416"/>
        <v>0</v>
      </c>
      <c r="Q212" s="452">
        <f t="shared" si="417"/>
        <v>0</v>
      </c>
      <c r="R212" s="452">
        <f t="shared" si="418"/>
        <v>0</v>
      </c>
      <c r="S212" s="452">
        <f t="shared" si="419"/>
        <v>0</v>
      </c>
      <c r="T212" s="452">
        <f t="shared" si="420"/>
        <v>0</v>
      </c>
      <c r="U212" s="452">
        <f t="shared" si="421"/>
        <v>0</v>
      </c>
      <c r="V212" s="452">
        <f t="shared" si="422"/>
        <v>0</v>
      </c>
      <c r="W212" s="452">
        <f t="shared" si="369"/>
        <v>0</v>
      </c>
      <c r="X212" s="1002">
        <f t="shared" si="370"/>
        <v>0</v>
      </c>
      <c r="Y212" s="459"/>
      <c r="Z212" s="291">
        <f t="shared" si="371"/>
        <v>0</v>
      </c>
      <c r="AA212" s="291">
        <f t="shared" si="372"/>
        <v>0</v>
      </c>
      <c r="AB212" s="291">
        <f t="shared" si="373"/>
        <v>0</v>
      </c>
      <c r="AC212" s="291">
        <f t="shared" si="374"/>
        <v>0</v>
      </c>
      <c r="AD212" s="291">
        <f t="shared" si="375"/>
        <v>0</v>
      </c>
      <c r="AE212" s="291">
        <f t="shared" si="376"/>
        <v>0</v>
      </c>
      <c r="AF212" s="291">
        <f t="shared" si="377"/>
        <v>0</v>
      </c>
      <c r="AG212" s="291">
        <f t="shared" si="378"/>
        <v>0</v>
      </c>
      <c r="AI212" s="462">
        <f t="shared" si="423"/>
        <v>0</v>
      </c>
      <c r="AJ212" s="1112"/>
      <c r="AK212" s="507"/>
      <c r="AL212" s="829">
        <f t="shared" si="380"/>
        <v>45798</v>
      </c>
      <c r="AM212" s="684">
        <f>IFERROR(IF(AND(AT212="",AR212&lt;&gt;S.CAL!$BJ$3,AR212&lt;&gt;S.CAL!$BJ$4,$AR$185="NON"),M212-BD212,IF(AND(AT212="",AR212&lt;&gt;S.CAL!$BJ$3,AR212&lt;&gt;S.CAL!$BJ$4,$AR$185="OUI"),X212-AI212,IF(AT212&lt;&gt;0,AT212,IF(OR(AR212=S.CAL!$BJ$3,AR212=S.CAL!$BJ$4),AR212,"")))),"")</f>
        <v>0</v>
      </c>
      <c r="AN212" s="1115"/>
      <c r="AO212" s="1116"/>
      <c r="AP212" s="684">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516">
        <f t="shared" si="400"/>
        <v>0</v>
      </c>
      <c r="AR212" s="1120"/>
      <c r="AT212" s="1123"/>
      <c r="AU212" s="831"/>
      <c r="AV212" s="1392">
        <f t="shared" si="381"/>
        <v>45798</v>
      </c>
      <c r="AX212" s="529">
        <f t="shared" si="401"/>
        <v>45798</v>
      </c>
      <c r="AY212" s="541">
        <f t="shared" si="402"/>
        <v>0</v>
      </c>
      <c r="AZ212" s="538" t="s">
        <v>146</v>
      </c>
      <c r="BA212" s="534">
        <f t="shared" si="403"/>
        <v>0</v>
      </c>
      <c r="BB212" s="567" t="str">
        <f t="shared" si="382"/>
        <v/>
      </c>
      <c r="BC212" s="541">
        <f t="shared" si="404"/>
        <v>0</v>
      </c>
      <c r="BD212" s="541">
        <f t="shared" si="405"/>
        <v>0</v>
      </c>
      <c r="BE212" s="750"/>
      <c r="BF212" s="532" t="str">
        <f t="shared" si="383"/>
        <v/>
      </c>
      <c r="BG212" s="532" t="str">
        <f t="shared" si="406"/>
        <v>oui</v>
      </c>
      <c r="BH212" s="395" t="str">
        <f t="shared" si="384"/>
        <v/>
      </c>
      <c r="BI212" s="24" t="str">
        <f t="shared" si="385"/>
        <v/>
      </c>
      <c r="BJ212" s="1403"/>
      <c r="BK212" s="1403"/>
      <c r="BL212" s="1403"/>
      <c r="BM212" s="1403"/>
      <c r="BN212" s="1403"/>
      <c r="BO212" s="1403"/>
      <c r="BP212" s="1403"/>
      <c r="BQ212" s="1403"/>
      <c r="BS212" s="1392">
        <f t="shared" si="352"/>
        <v>45798</v>
      </c>
      <c r="BT212" s="27" t="str">
        <f t="shared" si="414"/>
        <v/>
      </c>
      <c r="BU212" s="1402"/>
      <c r="BV212" s="1402"/>
      <c r="BW212" s="1402"/>
      <c r="BX212" s="1402"/>
      <c r="BY212" s="1402"/>
      <c r="BZ212" s="1402"/>
      <c r="CA212" s="1402"/>
      <c r="CB212" s="1402"/>
      <c r="CD212" s="1408">
        <f t="shared" si="407"/>
        <v>0</v>
      </c>
      <c r="DC212" s="16" t="str">
        <f>Mai!FC40</f>
        <v>non</v>
      </c>
      <c r="DG212" s="333">
        <f t="shared" si="408"/>
        <v>1</v>
      </c>
      <c r="DH212" s="129">
        <f t="shared" si="386"/>
        <v>10</v>
      </c>
      <c r="DI212" s="129">
        <f t="shared" si="409"/>
        <v>1</v>
      </c>
      <c r="DK212" s="16">
        <f>+IF(AND(Mai!$DP$8&lt;&gt;52,AR212=S.CAL!$BJ$4),10,1)</f>
        <v>1</v>
      </c>
      <c r="DN212" s="16">
        <f t="shared" si="387"/>
        <v>1</v>
      </c>
      <c r="DU212" s="1296" t="str">
        <f t="shared" si="410"/>
        <v>Fiche infoA345798</v>
      </c>
      <c r="DV212" s="1384">
        <f t="shared" si="388"/>
        <v>0</v>
      </c>
      <c r="DW212" s="1385">
        <f t="shared" si="389"/>
        <v>0</v>
      </c>
      <c r="DX212" s="1385">
        <f t="shared" si="390"/>
        <v>0</v>
      </c>
      <c r="DY212" s="1385">
        <f t="shared" si="391"/>
        <v>0</v>
      </c>
      <c r="DZ212" s="1385">
        <f t="shared" si="392"/>
        <v>0</v>
      </c>
      <c r="EA212" s="1385">
        <f t="shared" si="393"/>
        <v>0</v>
      </c>
      <c r="EB212" s="1385">
        <f t="shared" si="394"/>
        <v>0</v>
      </c>
      <c r="EC212" s="1385">
        <f t="shared" si="395"/>
        <v>0</v>
      </c>
      <c r="ED212" s="1385">
        <f t="shared" si="411"/>
        <v>0</v>
      </c>
      <c r="EE212" s="1386">
        <f t="shared" si="412"/>
        <v>0</v>
      </c>
      <c r="EG212" s="16" t="str">
        <f t="shared" si="413"/>
        <v>212025</v>
      </c>
      <c r="EH212" s="16" t="str">
        <f t="shared" si="396"/>
        <v>Fiche infoA3</v>
      </c>
      <c r="EI212" s="16" t="str">
        <f t="shared" si="397"/>
        <v/>
      </c>
    </row>
    <row r="213" spans="1:139" x14ac:dyDescent="0.2">
      <c r="A213" s="1395" t="str">
        <f>Mai!BJ41</f>
        <v>Fiche infoA4</v>
      </c>
      <c r="B213" s="829">
        <f>Mai!AB41</f>
        <v>45799</v>
      </c>
      <c r="C213" s="1394"/>
      <c r="D213" s="1001">
        <f t="shared" si="353"/>
        <v>0</v>
      </c>
      <c r="E213" s="452">
        <f t="shared" si="354"/>
        <v>0</v>
      </c>
      <c r="F213" s="452">
        <f t="shared" si="355"/>
        <v>0</v>
      </c>
      <c r="G213" s="452">
        <f t="shared" si="356"/>
        <v>0</v>
      </c>
      <c r="H213" s="452">
        <f t="shared" si="357"/>
        <v>0</v>
      </c>
      <c r="I213" s="452">
        <f t="shared" si="358"/>
        <v>0</v>
      </c>
      <c r="J213" s="452">
        <f t="shared" si="359"/>
        <v>0</v>
      </c>
      <c r="K213" s="452">
        <f t="shared" si="360"/>
        <v>0</v>
      </c>
      <c r="L213" s="452">
        <f t="shared" si="398"/>
        <v>0</v>
      </c>
      <c r="M213" s="1002">
        <f t="shared" si="399"/>
        <v>0</v>
      </c>
      <c r="N213" s="1396"/>
      <c r="O213" s="1001">
        <f t="shared" si="415"/>
        <v>0</v>
      </c>
      <c r="P213" s="452">
        <f t="shared" si="416"/>
        <v>0</v>
      </c>
      <c r="Q213" s="452">
        <f t="shared" si="417"/>
        <v>0</v>
      </c>
      <c r="R213" s="452">
        <f t="shared" si="418"/>
        <v>0</v>
      </c>
      <c r="S213" s="452">
        <f t="shared" si="419"/>
        <v>0</v>
      </c>
      <c r="T213" s="452">
        <f t="shared" si="420"/>
        <v>0</v>
      </c>
      <c r="U213" s="452">
        <f t="shared" si="421"/>
        <v>0</v>
      </c>
      <c r="V213" s="452">
        <f t="shared" si="422"/>
        <v>0</v>
      </c>
      <c r="W213" s="452">
        <f t="shared" si="369"/>
        <v>0</v>
      </c>
      <c r="X213" s="1002">
        <f t="shared" si="370"/>
        <v>0</v>
      </c>
      <c r="Y213" s="1397"/>
      <c r="Z213" s="1398">
        <f t="shared" si="371"/>
        <v>0</v>
      </c>
      <c r="AA213" s="1398">
        <f t="shared" si="372"/>
        <v>0</v>
      </c>
      <c r="AB213" s="1398">
        <f t="shared" si="373"/>
        <v>0</v>
      </c>
      <c r="AC213" s="1398">
        <f t="shared" si="374"/>
        <v>0</v>
      </c>
      <c r="AD213" s="1398">
        <f t="shared" si="375"/>
        <v>0</v>
      </c>
      <c r="AE213" s="1398">
        <f t="shared" si="376"/>
        <v>0</v>
      </c>
      <c r="AF213" s="1398">
        <f t="shared" si="377"/>
        <v>0</v>
      </c>
      <c r="AG213" s="1398">
        <f t="shared" si="378"/>
        <v>0</v>
      </c>
      <c r="AH213" s="1396"/>
      <c r="AI213" s="462">
        <f t="shared" si="423"/>
        <v>0</v>
      </c>
      <c r="AJ213" s="1112"/>
      <c r="AK213" s="1399"/>
      <c r="AL213" s="829">
        <f t="shared" si="380"/>
        <v>45799</v>
      </c>
      <c r="AM213" s="684">
        <f>IFERROR(IF(AND(AT213="",AR213&lt;&gt;S.CAL!$BJ$3,AR213&lt;&gt;S.CAL!$BJ$4,$AR$185="NON"),M213-BD213,IF(AND(AT213="",AR213&lt;&gt;S.CAL!$BJ$3,AR213&lt;&gt;S.CAL!$BJ$4,$AR$185="OUI"),X213-AI213,IF(AT213&lt;&gt;0,AT213,IF(OR(AR213=S.CAL!$BJ$3,AR213=S.CAL!$BJ$4),AR213,"")))),"")</f>
        <v>0</v>
      </c>
      <c r="AN213" s="1115"/>
      <c r="AO213" s="1116"/>
      <c r="AP213" s="684">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400">
        <f t="shared" si="400"/>
        <v>0</v>
      </c>
      <c r="AR213" s="1120"/>
      <c r="AS213" s="1396"/>
      <c r="AT213" s="1123"/>
      <c r="AU213" s="831"/>
      <c r="AV213" s="1392">
        <f t="shared" si="381"/>
        <v>45799</v>
      </c>
      <c r="AW213" s="1396"/>
      <c r="AX213" s="529">
        <f t="shared" si="401"/>
        <v>45799</v>
      </c>
      <c r="AY213" s="541">
        <f t="shared" si="402"/>
        <v>0</v>
      </c>
      <c r="AZ213" s="538" t="s">
        <v>146</v>
      </c>
      <c r="BA213" s="534">
        <f t="shared" si="403"/>
        <v>0</v>
      </c>
      <c r="BB213" s="567" t="str">
        <f t="shared" si="382"/>
        <v/>
      </c>
      <c r="BC213" s="541">
        <f t="shared" si="404"/>
        <v>0</v>
      </c>
      <c r="BD213" s="541">
        <f t="shared" si="405"/>
        <v>0</v>
      </c>
      <c r="BE213" s="750"/>
      <c r="BF213" s="532" t="str">
        <f t="shared" si="383"/>
        <v/>
      </c>
      <c r="BG213" s="532" t="str">
        <f t="shared" si="406"/>
        <v>oui</v>
      </c>
      <c r="BH213" s="395" t="str">
        <f t="shared" si="384"/>
        <v/>
      </c>
      <c r="BI213" s="24" t="str">
        <f t="shared" si="385"/>
        <v/>
      </c>
      <c r="BJ213" s="1404"/>
      <c r="BK213" s="1404"/>
      <c r="BL213" s="1404"/>
      <c r="BM213" s="1404"/>
      <c r="BN213" s="1404"/>
      <c r="BO213" s="1404"/>
      <c r="BP213" s="1404"/>
      <c r="BQ213" s="1404"/>
      <c r="BR213" s="1405"/>
      <c r="BS213" s="1392">
        <f t="shared" si="352"/>
        <v>45799</v>
      </c>
      <c r="BT213" s="1406" t="str">
        <f t="shared" si="414"/>
        <v/>
      </c>
      <c r="BU213" s="1404"/>
      <c r="BV213" s="1404"/>
      <c r="BW213" s="1404"/>
      <c r="BX213" s="1404"/>
      <c r="BY213" s="1404"/>
      <c r="BZ213" s="1404"/>
      <c r="CA213" s="1404"/>
      <c r="CB213" s="1404"/>
      <c r="CD213" s="1408">
        <f t="shared" si="407"/>
        <v>0</v>
      </c>
      <c r="DC213" s="16" t="str">
        <f>Mai!FC41</f>
        <v>non</v>
      </c>
      <c r="DG213" s="333">
        <f t="shared" si="408"/>
        <v>1</v>
      </c>
      <c r="DH213" s="129">
        <f t="shared" si="386"/>
        <v>10</v>
      </c>
      <c r="DI213" s="129">
        <f t="shared" si="409"/>
        <v>1</v>
      </c>
      <c r="DK213" s="16">
        <f>+IF(AND(Mai!$DP$8&lt;&gt;52,AR213=S.CAL!$BJ$4),10,1)</f>
        <v>1</v>
      </c>
      <c r="DN213" s="16">
        <f t="shared" si="387"/>
        <v>1</v>
      </c>
      <c r="DU213" s="1296" t="str">
        <f t="shared" si="410"/>
        <v>Fiche infoA445799</v>
      </c>
      <c r="DV213" s="1384">
        <f t="shared" si="388"/>
        <v>0</v>
      </c>
      <c r="DW213" s="1385">
        <f t="shared" si="389"/>
        <v>0</v>
      </c>
      <c r="DX213" s="1385">
        <f t="shared" si="390"/>
        <v>0</v>
      </c>
      <c r="DY213" s="1385">
        <f t="shared" si="391"/>
        <v>0</v>
      </c>
      <c r="DZ213" s="1385">
        <f t="shared" si="392"/>
        <v>0</v>
      </c>
      <c r="EA213" s="1385">
        <f t="shared" si="393"/>
        <v>0</v>
      </c>
      <c r="EB213" s="1385">
        <f t="shared" si="394"/>
        <v>0</v>
      </c>
      <c r="EC213" s="1385">
        <f t="shared" si="395"/>
        <v>0</v>
      </c>
      <c r="ED213" s="1385">
        <f t="shared" si="411"/>
        <v>0</v>
      </c>
      <c r="EE213" s="1386">
        <f t="shared" si="412"/>
        <v>0</v>
      </c>
      <c r="EG213" s="16" t="str">
        <f t="shared" si="413"/>
        <v>212025</v>
      </c>
      <c r="EH213" s="16" t="str">
        <f t="shared" si="396"/>
        <v>Fiche infoA4</v>
      </c>
      <c r="EI213" s="16" t="str">
        <f t="shared" si="397"/>
        <v/>
      </c>
    </row>
    <row r="214" spans="1:139" x14ac:dyDescent="0.2">
      <c r="A214" s="24" t="str">
        <f>Mai!BJ42</f>
        <v>Fiche infoA5</v>
      </c>
      <c r="B214" s="829">
        <f>Mai!AB42</f>
        <v>45800</v>
      </c>
      <c r="C214" s="1393"/>
      <c r="D214" s="1001">
        <f t="shared" si="353"/>
        <v>0</v>
      </c>
      <c r="E214" s="452">
        <f t="shared" si="354"/>
        <v>0</v>
      </c>
      <c r="F214" s="452">
        <f t="shared" si="355"/>
        <v>0</v>
      </c>
      <c r="G214" s="452">
        <f t="shared" si="356"/>
        <v>0</v>
      </c>
      <c r="H214" s="452">
        <f t="shared" si="357"/>
        <v>0</v>
      </c>
      <c r="I214" s="452">
        <f t="shared" si="358"/>
        <v>0</v>
      </c>
      <c r="J214" s="452">
        <f t="shared" si="359"/>
        <v>0</v>
      </c>
      <c r="K214" s="452">
        <f t="shared" si="360"/>
        <v>0</v>
      </c>
      <c r="L214" s="452">
        <f t="shared" si="398"/>
        <v>0</v>
      </c>
      <c r="M214" s="1002">
        <f t="shared" si="399"/>
        <v>0</v>
      </c>
      <c r="O214" s="1001">
        <f t="shared" si="415"/>
        <v>0</v>
      </c>
      <c r="P214" s="452">
        <f t="shared" si="416"/>
        <v>0</v>
      </c>
      <c r="Q214" s="452">
        <f t="shared" si="417"/>
        <v>0</v>
      </c>
      <c r="R214" s="452">
        <f t="shared" si="418"/>
        <v>0</v>
      </c>
      <c r="S214" s="452">
        <f t="shared" si="419"/>
        <v>0</v>
      </c>
      <c r="T214" s="452">
        <f t="shared" si="420"/>
        <v>0</v>
      </c>
      <c r="U214" s="452">
        <f t="shared" si="421"/>
        <v>0</v>
      </c>
      <c r="V214" s="452">
        <f t="shared" si="422"/>
        <v>0</v>
      </c>
      <c r="W214" s="452">
        <f t="shared" si="369"/>
        <v>0</v>
      </c>
      <c r="X214" s="1002">
        <f t="shared" si="370"/>
        <v>0</v>
      </c>
      <c r="Y214" s="459"/>
      <c r="Z214" s="291">
        <f t="shared" si="371"/>
        <v>0</v>
      </c>
      <c r="AA214" s="291">
        <f t="shared" si="372"/>
        <v>0</v>
      </c>
      <c r="AB214" s="291">
        <f t="shared" si="373"/>
        <v>0</v>
      </c>
      <c r="AC214" s="291">
        <f t="shared" si="374"/>
        <v>0</v>
      </c>
      <c r="AD214" s="291">
        <f t="shared" si="375"/>
        <v>0</v>
      </c>
      <c r="AE214" s="291">
        <f t="shared" si="376"/>
        <v>0</v>
      </c>
      <c r="AF214" s="291">
        <f t="shared" si="377"/>
        <v>0</v>
      </c>
      <c r="AG214" s="291">
        <f t="shared" si="378"/>
        <v>0</v>
      </c>
      <c r="AI214" s="462">
        <f t="shared" si="423"/>
        <v>0</v>
      </c>
      <c r="AJ214" s="1112"/>
      <c r="AK214" s="507"/>
      <c r="AL214" s="829">
        <f t="shared" si="380"/>
        <v>45800</v>
      </c>
      <c r="AM214" s="684">
        <f>IFERROR(IF(AND(AT214="",AR214&lt;&gt;S.CAL!$BJ$3,AR214&lt;&gt;S.CAL!$BJ$4,$AR$185="NON"),M214-BD214,IF(AND(AT214="",AR214&lt;&gt;S.CAL!$BJ$3,AR214&lt;&gt;S.CAL!$BJ$4,$AR$185="OUI"),X214-AI214,IF(AT214&lt;&gt;0,AT214,IF(OR(AR214=S.CAL!$BJ$3,AR214=S.CAL!$BJ$4),AR214,"")))),"")</f>
        <v>0</v>
      </c>
      <c r="AN214" s="1115"/>
      <c r="AO214" s="1116"/>
      <c r="AP214" s="684">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516">
        <f t="shared" si="400"/>
        <v>0</v>
      </c>
      <c r="AR214" s="1120"/>
      <c r="AT214" s="1123"/>
      <c r="AU214" s="831"/>
      <c r="AV214" s="1392">
        <f t="shared" si="381"/>
        <v>45800</v>
      </c>
      <c r="AX214" s="529">
        <f t="shared" si="401"/>
        <v>45800</v>
      </c>
      <c r="AY214" s="541">
        <f t="shared" si="402"/>
        <v>0</v>
      </c>
      <c r="AZ214" s="538" t="s">
        <v>146</v>
      </c>
      <c r="BA214" s="534">
        <f t="shared" si="403"/>
        <v>0</v>
      </c>
      <c r="BB214" s="567" t="str">
        <f t="shared" si="382"/>
        <v/>
      </c>
      <c r="BC214" s="541">
        <f t="shared" si="404"/>
        <v>0</v>
      </c>
      <c r="BD214" s="541">
        <f t="shared" si="405"/>
        <v>0</v>
      </c>
      <c r="BE214" s="750"/>
      <c r="BF214" s="532" t="str">
        <f t="shared" si="383"/>
        <v/>
      </c>
      <c r="BG214" s="532" t="str">
        <f t="shared" si="406"/>
        <v>oui</v>
      </c>
      <c r="BH214" s="395" t="str">
        <f t="shared" si="384"/>
        <v/>
      </c>
      <c r="BI214" s="24" t="str">
        <f t="shared" si="385"/>
        <v/>
      </c>
      <c r="BJ214" s="1403"/>
      <c r="BK214" s="1403"/>
      <c r="BL214" s="1403"/>
      <c r="BM214" s="1403"/>
      <c r="BN214" s="1403"/>
      <c r="BO214" s="1403"/>
      <c r="BP214" s="1403"/>
      <c r="BQ214" s="1403"/>
      <c r="BS214" s="1392">
        <f t="shared" si="352"/>
        <v>45800</v>
      </c>
      <c r="BT214" s="27" t="str">
        <f t="shared" si="414"/>
        <v/>
      </c>
      <c r="BU214" s="1402"/>
      <c r="BV214" s="1402"/>
      <c r="BW214" s="1402"/>
      <c r="BX214" s="1402"/>
      <c r="BY214" s="1402"/>
      <c r="BZ214" s="1402"/>
      <c r="CA214" s="1402"/>
      <c r="CB214" s="1402"/>
      <c r="CD214" s="1408">
        <f t="shared" si="407"/>
        <v>0</v>
      </c>
      <c r="DC214" s="16" t="str">
        <f>Mai!FC42</f>
        <v>non</v>
      </c>
      <c r="DG214" s="333">
        <f t="shared" si="408"/>
        <v>1</v>
      </c>
      <c r="DH214" s="129">
        <f t="shared" si="386"/>
        <v>10</v>
      </c>
      <c r="DI214" s="129">
        <f t="shared" si="409"/>
        <v>1</v>
      </c>
      <c r="DK214" s="16">
        <f>+IF(AND(Mai!$DP$8&lt;&gt;52,AR214=S.CAL!$BJ$4),10,1)</f>
        <v>1</v>
      </c>
      <c r="DN214" s="16">
        <f t="shared" si="387"/>
        <v>1</v>
      </c>
      <c r="DU214" s="1296" t="str">
        <f t="shared" si="410"/>
        <v>Fiche infoA545800</v>
      </c>
      <c r="DV214" s="1384">
        <f t="shared" si="388"/>
        <v>0</v>
      </c>
      <c r="DW214" s="1385">
        <f t="shared" si="389"/>
        <v>0</v>
      </c>
      <c r="DX214" s="1385">
        <f t="shared" si="390"/>
        <v>0</v>
      </c>
      <c r="DY214" s="1385">
        <f t="shared" si="391"/>
        <v>0</v>
      </c>
      <c r="DZ214" s="1385">
        <f t="shared" si="392"/>
        <v>0</v>
      </c>
      <c r="EA214" s="1385">
        <f t="shared" si="393"/>
        <v>0</v>
      </c>
      <c r="EB214" s="1385">
        <f t="shared" si="394"/>
        <v>0</v>
      </c>
      <c r="EC214" s="1385">
        <f t="shared" si="395"/>
        <v>0</v>
      </c>
      <c r="ED214" s="1385">
        <f t="shared" si="411"/>
        <v>0</v>
      </c>
      <c r="EE214" s="1386">
        <f t="shared" si="412"/>
        <v>0</v>
      </c>
      <c r="EG214" s="16" t="str">
        <f t="shared" si="413"/>
        <v>212025</v>
      </c>
      <c r="EH214" s="16" t="str">
        <f t="shared" si="396"/>
        <v>Fiche infoA5</v>
      </c>
      <c r="EI214" s="16" t="str">
        <f t="shared" si="397"/>
        <v/>
      </c>
    </row>
    <row r="215" spans="1:139" x14ac:dyDescent="0.2">
      <c r="A215" s="1395" t="str">
        <f>Mai!BJ43</f>
        <v>Fiche infoA6</v>
      </c>
      <c r="B215" s="829">
        <f>Mai!AB43</f>
        <v>45801</v>
      </c>
      <c r="C215" s="1394"/>
      <c r="D215" s="1001">
        <f t="shared" si="353"/>
        <v>0</v>
      </c>
      <c r="E215" s="452">
        <f t="shared" si="354"/>
        <v>0</v>
      </c>
      <c r="F215" s="452">
        <f t="shared" si="355"/>
        <v>0</v>
      </c>
      <c r="G215" s="452">
        <f t="shared" si="356"/>
        <v>0</v>
      </c>
      <c r="H215" s="452">
        <f t="shared" si="357"/>
        <v>0</v>
      </c>
      <c r="I215" s="452">
        <f t="shared" si="358"/>
        <v>0</v>
      </c>
      <c r="J215" s="452">
        <f t="shared" si="359"/>
        <v>0</v>
      </c>
      <c r="K215" s="452">
        <f t="shared" si="360"/>
        <v>0</v>
      </c>
      <c r="L215" s="452">
        <f t="shared" si="398"/>
        <v>0</v>
      </c>
      <c r="M215" s="1002">
        <f t="shared" si="399"/>
        <v>0</v>
      </c>
      <c r="N215" s="1396"/>
      <c r="O215" s="1001">
        <f t="shared" si="415"/>
        <v>0</v>
      </c>
      <c r="P215" s="452">
        <f t="shared" si="416"/>
        <v>0</v>
      </c>
      <c r="Q215" s="452">
        <f t="shared" si="417"/>
        <v>0</v>
      </c>
      <c r="R215" s="452">
        <f t="shared" si="418"/>
        <v>0</v>
      </c>
      <c r="S215" s="452">
        <f t="shared" si="419"/>
        <v>0</v>
      </c>
      <c r="T215" s="452">
        <f t="shared" si="420"/>
        <v>0</v>
      </c>
      <c r="U215" s="452">
        <f t="shared" si="421"/>
        <v>0</v>
      </c>
      <c r="V215" s="452">
        <f t="shared" si="422"/>
        <v>0</v>
      </c>
      <c r="W215" s="452">
        <f t="shared" si="369"/>
        <v>0</v>
      </c>
      <c r="X215" s="1002">
        <f t="shared" si="370"/>
        <v>0</v>
      </c>
      <c r="Y215" s="1397"/>
      <c r="Z215" s="1398">
        <f t="shared" si="371"/>
        <v>0</v>
      </c>
      <c r="AA215" s="1398">
        <f t="shared" si="372"/>
        <v>0</v>
      </c>
      <c r="AB215" s="1398">
        <f t="shared" si="373"/>
        <v>0</v>
      </c>
      <c r="AC215" s="1398">
        <f t="shared" si="374"/>
        <v>0</v>
      </c>
      <c r="AD215" s="1398">
        <f t="shared" si="375"/>
        <v>0</v>
      </c>
      <c r="AE215" s="1398">
        <f t="shared" si="376"/>
        <v>0</v>
      </c>
      <c r="AF215" s="1398">
        <f t="shared" si="377"/>
        <v>0</v>
      </c>
      <c r="AG215" s="1398">
        <f t="shared" si="378"/>
        <v>0</v>
      </c>
      <c r="AH215" s="1396"/>
      <c r="AI215" s="462">
        <f t="shared" si="423"/>
        <v>0</v>
      </c>
      <c r="AJ215" s="1112"/>
      <c r="AK215" s="1399"/>
      <c r="AL215" s="829">
        <f t="shared" si="380"/>
        <v>45801</v>
      </c>
      <c r="AM215" s="684">
        <f>IFERROR(IF(AND(AT215="",AR215&lt;&gt;S.CAL!$BJ$3,AR215&lt;&gt;S.CAL!$BJ$4,$AR$185="NON"),M215-BD215,IF(AND(AT215="",AR215&lt;&gt;S.CAL!$BJ$3,AR215&lt;&gt;S.CAL!$BJ$4,$AR$185="OUI"),X215-AI215,IF(AT215&lt;&gt;0,AT215,IF(OR(AR215=S.CAL!$BJ$3,AR215=S.CAL!$BJ$4),AR215,"")))),"")</f>
        <v>0</v>
      </c>
      <c r="AN215" s="1115"/>
      <c r="AO215" s="1116"/>
      <c r="AP215" s="684">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400">
        <f t="shared" si="400"/>
        <v>0</v>
      </c>
      <c r="AR215" s="1120"/>
      <c r="AS215" s="1396"/>
      <c r="AT215" s="1123"/>
      <c r="AU215" s="831"/>
      <c r="AV215" s="1392">
        <f t="shared" si="381"/>
        <v>45801</v>
      </c>
      <c r="AW215" s="1396"/>
      <c r="AX215" s="529">
        <f t="shared" si="401"/>
        <v>45801</v>
      </c>
      <c r="AY215" s="541">
        <f t="shared" si="402"/>
        <v>0</v>
      </c>
      <c r="AZ215" s="538" t="s">
        <v>146</v>
      </c>
      <c r="BA215" s="534">
        <f t="shared" si="403"/>
        <v>0</v>
      </c>
      <c r="BB215" s="567" t="str">
        <f t="shared" si="382"/>
        <v/>
      </c>
      <c r="BC215" s="541">
        <f t="shared" si="404"/>
        <v>0</v>
      </c>
      <c r="BD215" s="541">
        <f t="shared" si="405"/>
        <v>0</v>
      </c>
      <c r="BE215" s="750"/>
      <c r="BF215" s="532" t="str">
        <f t="shared" si="383"/>
        <v/>
      </c>
      <c r="BG215" s="532" t="str">
        <f t="shared" si="406"/>
        <v>oui</v>
      </c>
      <c r="BH215" s="395" t="str">
        <f t="shared" si="384"/>
        <v/>
      </c>
      <c r="BI215" s="24" t="str">
        <f t="shared" si="385"/>
        <v/>
      </c>
      <c r="BJ215" s="1404"/>
      <c r="BK215" s="1404"/>
      <c r="BL215" s="1404"/>
      <c r="BM215" s="1404"/>
      <c r="BN215" s="1404"/>
      <c r="BO215" s="1404"/>
      <c r="BP215" s="1404"/>
      <c r="BQ215" s="1404"/>
      <c r="BR215" s="1405"/>
      <c r="BS215" s="1392">
        <f t="shared" si="352"/>
        <v>45801</v>
      </c>
      <c r="BT215" s="1406" t="str">
        <f t="shared" si="414"/>
        <v/>
      </c>
      <c r="BU215" s="1404"/>
      <c r="BV215" s="1404"/>
      <c r="BW215" s="1404"/>
      <c r="BX215" s="1404"/>
      <c r="BY215" s="1404"/>
      <c r="BZ215" s="1404"/>
      <c r="CA215" s="1404"/>
      <c r="CB215" s="1404"/>
      <c r="CD215" s="1408">
        <f t="shared" si="407"/>
        <v>0</v>
      </c>
      <c r="DC215" s="16" t="str">
        <f>Mai!FC43</f>
        <v>non</v>
      </c>
      <c r="DG215" s="333">
        <f t="shared" si="408"/>
        <v>1</v>
      </c>
      <c r="DH215" s="129">
        <f t="shared" si="386"/>
        <v>10</v>
      </c>
      <c r="DI215" s="129">
        <f t="shared" si="409"/>
        <v>1</v>
      </c>
      <c r="DK215" s="16">
        <f>+IF(AND(Mai!$DP$8&lt;&gt;52,AR215=S.CAL!$BJ$4),10,1)</f>
        <v>1</v>
      </c>
      <c r="DN215" s="16">
        <f t="shared" si="387"/>
        <v>1</v>
      </c>
      <c r="DU215" s="1296" t="str">
        <f t="shared" si="410"/>
        <v>Fiche infoA645801</v>
      </c>
      <c r="DV215" s="1384">
        <f t="shared" si="388"/>
        <v>0</v>
      </c>
      <c r="DW215" s="1385">
        <f t="shared" si="389"/>
        <v>0</v>
      </c>
      <c r="DX215" s="1385">
        <f t="shared" si="390"/>
        <v>0</v>
      </c>
      <c r="DY215" s="1385">
        <f t="shared" si="391"/>
        <v>0</v>
      </c>
      <c r="DZ215" s="1385">
        <f t="shared" si="392"/>
        <v>0</v>
      </c>
      <c r="EA215" s="1385">
        <f t="shared" si="393"/>
        <v>0</v>
      </c>
      <c r="EB215" s="1385">
        <f t="shared" si="394"/>
        <v>0</v>
      </c>
      <c r="EC215" s="1385">
        <f t="shared" si="395"/>
        <v>0</v>
      </c>
      <c r="ED215" s="1385">
        <f t="shared" si="411"/>
        <v>0</v>
      </c>
      <c r="EE215" s="1386">
        <f t="shared" si="412"/>
        <v>0</v>
      </c>
      <c r="EG215" s="16" t="str">
        <f t="shared" si="413"/>
        <v>212025</v>
      </c>
      <c r="EH215" s="16" t="str">
        <f t="shared" si="396"/>
        <v>Fiche infoA6</v>
      </c>
      <c r="EI215" s="16" t="str">
        <f t="shared" si="397"/>
        <v/>
      </c>
    </row>
    <row r="216" spans="1:139" x14ac:dyDescent="0.2">
      <c r="A216" s="24" t="str">
        <f>Mai!BJ44</f>
        <v>Fiche infoA7</v>
      </c>
      <c r="B216" s="829">
        <f>Mai!AB44</f>
        <v>45802</v>
      </c>
      <c r="C216" s="1393"/>
      <c r="D216" s="1001">
        <f t="shared" si="353"/>
        <v>0</v>
      </c>
      <c r="E216" s="452">
        <f t="shared" si="354"/>
        <v>0</v>
      </c>
      <c r="F216" s="452">
        <f t="shared" si="355"/>
        <v>0</v>
      </c>
      <c r="G216" s="452">
        <f t="shared" si="356"/>
        <v>0</v>
      </c>
      <c r="H216" s="452">
        <f t="shared" si="357"/>
        <v>0</v>
      </c>
      <c r="I216" s="452">
        <f t="shared" si="358"/>
        <v>0</v>
      </c>
      <c r="J216" s="452">
        <f t="shared" si="359"/>
        <v>0</v>
      </c>
      <c r="K216" s="452">
        <f t="shared" si="360"/>
        <v>0</v>
      </c>
      <c r="L216" s="452">
        <f t="shared" si="398"/>
        <v>0</v>
      </c>
      <c r="M216" s="1002">
        <f t="shared" si="399"/>
        <v>0</v>
      </c>
      <c r="O216" s="1001">
        <f t="shared" si="415"/>
        <v>0</v>
      </c>
      <c r="P216" s="452">
        <f t="shared" si="416"/>
        <v>0</v>
      </c>
      <c r="Q216" s="452">
        <f t="shared" si="417"/>
        <v>0</v>
      </c>
      <c r="R216" s="452">
        <f t="shared" si="418"/>
        <v>0</v>
      </c>
      <c r="S216" s="452">
        <f t="shared" si="419"/>
        <v>0</v>
      </c>
      <c r="T216" s="452">
        <f t="shared" si="420"/>
        <v>0</v>
      </c>
      <c r="U216" s="452">
        <f t="shared" si="421"/>
        <v>0</v>
      </c>
      <c r="V216" s="452">
        <f t="shared" si="422"/>
        <v>0</v>
      </c>
      <c r="W216" s="452">
        <f t="shared" si="369"/>
        <v>0</v>
      </c>
      <c r="X216" s="1002">
        <f t="shared" si="370"/>
        <v>0</v>
      </c>
      <c r="Y216" s="459"/>
      <c r="Z216" s="291">
        <f t="shared" si="371"/>
        <v>0</v>
      </c>
      <c r="AA216" s="291">
        <f t="shared" si="372"/>
        <v>0</v>
      </c>
      <c r="AB216" s="291">
        <f t="shared" si="373"/>
        <v>0</v>
      </c>
      <c r="AC216" s="291">
        <f t="shared" si="374"/>
        <v>0</v>
      </c>
      <c r="AD216" s="291">
        <f t="shared" si="375"/>
        <v>0</v>
      </c>
      <c r="AE216" s="291">
        <f t="shared" si="376"/>
        <v>0</v>
      </c>
      <c r="AF216" s="291">
        <f t="shared" si="377"/>
        <v>0</v>
      </c>
      <c r="AG216" s="291">
        <f t="shared" si="378"/>
        <v>0</v>
      </c>
      <c r="AI216" s="462">
        <f t="shared" si="423"/>
        <v>0</v>
      </c>
      <c r="AJ216" s="1112"/>
      <c r="AK216" s="507"/>
      <c r="AL216" s="829">
        <f t="shared" si="380"/>
        <v>45802</v>
      </c>
      <c r="AM216" s="684">
        <f>IFERROR(IF(AND(AT216="",AR216&lt;&gt;S.CAL!$BJ$3,AR216&lt;&gt;S.CAL!$BJ$4,$AR$185="NON"),M216-BD216,IF(AND(AT216="",AR216&lt;&gt;S.CAL!$BJ$3,AR216&lt;&gt;S.CAL!$BJ$4,$AR$185="OUI"),X216-AI216,IF(AT216&lt;&gt;0,AT216,IF(OR(AR216=S.CAL!$BJ$3,AR216=S.CAL!$BJ$4),AR216,"")))),"")</f>
        <v>0</v>
      </c>
      <c r="AN216" s="1115"/>
      <c r="AO216" s="1116"/>
      <c r="AP216" s="684">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516">
        <f t="shared" si="400"/>
        <v>0</v>
      </c>
      <c r="AR216" s="1120"/>
      <c r="AT216" s="1123"/>
      <c r="AU216" s="831"/>
      <c r="AV216" s="1392">
        <f t="shared" si="381"/>
        <v>45802</v>
      </c>
      <c r="AX216" s="529">
        <f t="shared" si="401"/>
        <v>45802</v>
      </c>
      <c r="AY216" s="541">
        <f t="shared" si="402"/>
        <v>0</v>
      </c>
      <c r="AZ216" s="538" t="s">
        <v>146</v>
      </c>
      <c r="BA216" s="534">
        <f t="shared" si="403"/>
        <v>0</v>
      </c>
      <c r="BB216" s="567" t="str">
        <f t="shared" si="382"/>
        <v/>
      </c>
      <c r="BC216" s="541">
        <f t="shared" si="404"/>
        <v>0</v>
      </c>
      <c r="BD216" s="541">
        <f t="shared" si="405"/>
        <v>0</v>
      </c>
      <c r="BE216" s="750"/>
      <c r="BF216" s="532" t="str">
        <f t="shared" si="383"/>
        <v/>
      </c>
      <c r="BG216" s="532" t="str">
        <f t="shared" si="406"/>
        <v>oui</v>
      </c>
      <c r="BH216" s="395" t="str">
        <f t="shared" si="384"/>
        <v/>
      </c>
      <c r="BI216" s="24" t="str">
        <f t="shared" si="385"/>
        <v/>
      </c>
      <c r="BJ216" s="1403"/>
      <c r="BK216" s="1403"/>
      <c r="BL216" s="1403"/>
      <c r="BM216" s="1403"/>
      <c r="BN216" s="1403"/>
      <c r="BO216" s="1403"/>
      <c r="BP216" s="1403"/>
      <c r="BQ216" s="1403"/>
      <c r="BS216" s="1392">
        <f t="shared" si="352"/>
        <v>45802</v>
      </c>
      <c r="BT216" s="27" t="str">
        <f t="shared" si="414"/>
        <v/>
      </c>
      <c r="BU216" s="1402"/>
      <c r="BV216" s="1402"/>
      <c r="BW216" s="1402"/>
      <c r="BX216" s="1402"/>
      <c r="BY216" s="1402"/>
      <c r="BZ216" s="1402"/>
      <c r="CA216" s="1402"/>
      <c r="CB216" s="1402"/>
      <c r="CD216" s="1408">
        <f t="shared" si="407"/>
        <v>0</v>
      </c>
      <c r="DC216" s="16" t="str">
        <f>Mai!FC44</f>
        <v>non</v>
      </c>
      <c r="DG216" s="333">
        <f t="shared" si="408"/>
        <v>1</v>
      </c>
      <c r="DH216" s="129">
        <f t="shared" si="386"/>
        <v>10</v>
      </c>
      <c r="DI216" s="129">
        <f t="shared" si="409"/>
        <v>1</v>
      </c>
      <c r="DK216" s="16">
        <f>+IF(AND(Mai!$DP$8&lt;&gt;52,AR216=S.CAL!$BJ$4),10,1)</f>
        <v>1</v>
      </c>
      <c r="DN216" s="16">
        <f t="shared" si="387"/>
        <v>1</v>
      </c>
      <c r="DU216" s="1296" t="str">
        <f t="shared" si="410"/>
        <v>Fiche infoA745802</v>
      </c>
      <c r="DV216" s="1384">
        <f t="shared" si="388"/>
        <v>0</v>
      </c>
      <c r="DW216" s="1385">
        <f t="shared" si="389"/>
        <v>0</v>
      </c>
      <c r="DX216" s="1385">
        <f t="shared" si="390"/>
        <v>0</v>
      </c>
      <c r="DY216" s="1385">
        <f t="shared" si="391"/>
        <v>0</v>
      </c>
      <c r="DZ216" s="1385">
        <f t="shared" si="392"/>
        <v>0</v>
      </c>
      <c r="EA216" s="1385">
        <f t="shared" si="393"/>
        <v>0</v>
      </c>
      <c r="EB216" s="1385">
        <f t="shared" si="394"/>
        <v>0</v>
      </c>
      <c r="EC216" s="1385">
        <f t="shared" si="395"/>
        <v>0</v>
      </c>
      <c r="ED216" s="1385">
        <f t="shared" si="411"/>
        <v>0</v>
      </c>
      <c r="EE216" s="1386">
        <f t="shared" si="412"/>
        <v>0</v>
      </c>
      <c r="EG216" s="16" t="str">
        <f t="shared" si="413"/>
        <v>212025</v>
      </c>
      <c r="EH216" s="16" t="str">
        <f t="shared" si="396"/>
        <v>Fiche infoA7</v>
      </c>
      <c r="EI216" s="16" t="str">
        <f t="shared" si="397"/>
        <v/>
      </c>
    </row>
    <row r="217" spans="1:139" x14ac:dyDescent="0.2">
      <c r="A217" s="1395" t="str">
        <f>Mai!BJ45</f>
        <v>Fiche infoA1</v>
      </c>
      <c r="B217" s="829">
        <f>Mai!AB45</f>
        <v>45803</v>
      </c>
      <c r="C217" s="1394"/>
      <c r="D217" s="1001">
        <f t="shared" si="353"/>
        <v>0</v>
      </c>
      <c r="E217" s="452">
        <f t="shared" si="354"/>
        <v>0</v>
      </c>
      <c r="F217" s="452">
        <f t="shared" si="355"/>
        <v>0</v>
      </c>
      <c r="G217" s="452">
        <f t="shared" si="356"/>
        <v>0</v>
      </c>
      <c r="H217" s="452">
        <f t="shared" si="357"/>
        <v>0</v>
      </c>
      <c r="I217" s="452">
        <f t="shared" si="358"/>
        <v>0</v>
      </c>
      <c r="J217" s="452">
        <f t="shared" si="359"/>
        <v>0</v>
      </c>
      <c r="K217" s="452">
        <f t="shared" si="360"/>
        <v>0</v>
      </c>
      <c r="L217" s="452">
        <f t="shared" si="398"/>
        <v>0</v>
      </c>
      <c r="M217" s="1002">
        <f t="shared" si="399"/>
        <v>0</v>
      </c>
      <c r="N217" s="1396"/>
      <c r="O217" s="1001">
        <f t="shared" si="415"/>
        <v>0</v>
      </c>
      <c r="P217" s="452">
        <f t="shared" si="416"/>
        <v>0</v>
      </c>
      <c r="Q217" s="452">
        <f t="shared" si="417"/>
        <v>0</v>
      </c>
      <c r="R217" s="452">
        <f t="shared" si="418"/>
        <v>0</v>
      </c>
      <c r="S217" s="452">
        <f t="shared" si="419"/>
        <v>0</v>
      </c>
      <c r="T217" s="452">
        <f t="shared" si="420"/>
        <v>0</v>
      </c>
      <c r="U217" s="452">
        <f t="shared" si="421"/>
        <v>0</v>
      </c>
      <c r="V217" s="452">
        <f t="shared" si="422"/>
        <v>0</v>
      </c>
      <c r="W217" s="452">
        <f t="shared" si="369"/>
        <v>0</v>
      </c>
      <c r="X217" s="1002">
        <f t="shared" si="370"/>
        <v>0</v>
      </c>
      <c r="Y217" s="1397"/>
      <c r="Z217" s="1398">
        <f t="shared" si="371"/>
        <v>0</v>
      </c>
      <c r="AA217" s="1398">
        <f t="shared" si="372"/>
        <v>0</v>
      </c>
      <c r="AB217" s="1398">
        <f t="shared" si="373"/>
        <v>0</v>
      </c>
      <c r="AC217" s="1398">
        <f t="shared" si="374"/>
        <v>0</v>
      </c>
      <c r="AD217" s="1398">
        <f t="shared" si="375"/>
        <v>0</v>
      </c>
      <c r="AE217" s="1398">
        <f t="shared" si="376"/>
        <v>0</v>
      </c>
      <c r="AF217" s="1398">
        <f t="shared" si="377"/>
        <v>0</v>
      </c>
      <c r="AG217" s="1398">
        <f t="shared" si="378"/>
        <v>0</v>
      </c>
      <c r="AH217" s="1396"/>
      <c r="AI217" s="462">
        <f t="shared" si="423"/>
        <v>0</v>
      </c>
      <c r="AJ217" s="1112"/>
      <c r="AK217" s="1399"/>
      <c r="AL217" s="829">
        <f t="shared" si="380"/>
        <v>45803</v>
      </c>
      <c r="AM217" s="684">
        <f>IFERROR(IF(AND(AT217="",AR217&lt;&gt;S.CAL!$BJ$3,AR217&lt;&gt;S.CAL!$BJ$4,$AR$185="NON"),M217-BD217,IF(AND(AT217="",AR217&lt;&gt;S.CAL!$BJ$3,AR217&lt;&gt;S.CAL!$BJ$4,$AR$185="OUI"),X217-AI217,IF(AT217&lt;&gt;0,AT217,IF(OR(AR217=S.CAL!$BJ$3,AR217=S.CAL!$BJ$4),AR217,"")))),"")</f>
        <v>0</v>
      </c>
      <c r="AN217" s="1115"/>
      <c r="AO217" s="1116"/>
      <c r="AP217" s="684">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400">
        <f t="shared" si="400"/>
        <v>0</v>
      </c>
      <c r="AR217" s="1120"/>
      <c r="AS217" s="1396"/>
      <c r="AT217" s="1123"/>
      <c r="AU217" s="831"/>
      <c r="AV217" s="1392">
        <f t="shared" si="381"/>
        <v>45803</v>
      </c>
      <c r="AW217" s="1396"/>
      <c r="AX217" s="529">
        <f t="shared" si="401"/>
        <v>45803</v>
      </c>
      <c r="AY217" s="541">
        <f t="shared" si="402"/>
        <v>0</v>
      </c>
      <c r="AZ217" s="538" t="s">
        <v>146</v>
      </c>
      <c r="BA217" s="534">
        <f t="shared" si="403"/>
        <v>0</v>
      </c>
      <c r="BB217" s="567" t="str">
        <f t="shared" si="382"/>
        <v/>
      </c>
      <c r="BC217" s="541">
        <f t="shared" si="404"/>
        <v>0</v>
      </c>
      <c r="BD217" s="541">
        <f t="shared" si="405"/>
        <v>0</v>
      </c>
      <c r="BE217" s="750"/>
      <c r="BF217" s="532" t="str">
        <f t="shared" si="383"/>
        <v/>
      </c>
      <c r="BG217" s="532" t="str">
        <f t="shared" si="406"/>
        <v>oui</v>
      </c>
      <c r="BH217" s="395" t="str">
        <f t="shared" si="384"/>
        <v/>
      </c>
      <c r="BI217" s="24" t="str">
        <f t="shared" si="385"/>
        <v/>
      </c>
      <c r="BJ217" s="1404"/>
      <c r="BK217" s="1404"/>
      <c r="BL217" s="1404"/>
      <c r="BM217" s="1404"/>
      <c r="BN217" s="1404"/>
      <c r="BO217" s="1404"/>
      <c r="BP217" s="1404"/>
      <c r="BQ217" s="1404"/>
      <c r="BR217" s="1405"/>
      <c r="BS217" s="1392">
        <f t="shared" si="352"/>
        <v>45803</v>
      </c>
      <c r="BT217" s="1406">
        <f t="shared" si="414"/>
        <v>22</v>
      </c>
      <c r="BU217" s="1404"/>
      <c r="BV217" s="1404"/>
      <c r="BW217" s="1404"/>
      <c r="BX217" s="1404"/>
      <c r="BY217" s="1404"/>
      <c r="BZ217" s="1404"/>
      <c r="CA217" s="1404"/>
      <c r="CB217" s="1404"/>
      <c r="CD217" s="1408">
        <f t="shared" si="407"/>
        <v>0</v>
      </c>
      <c r="DC217" s="16" t="str">
        <f>Mai!FC45</f>
        <v>non</v>
      </c>
      <c r="DG217" s="333">
        <f t="shared" si="408"/>
        <v>1</v>
      </c>
      <c r="DH217" s="129">
        <f t="shared" si="386"/>
        <v>10</v>
      </c>
      <c r="DI217" s="129">
        <f t="shared" si="409"/>
        <v>1</v>
      </c>
      <c r="DK217" s="16">
        <f>+IF(AND(Mai!$DP$8&lt;&gt;52,AR217=S.CAL!$BJ$4),10,1)</f>
        <v>1</v>
      </c>
      <c r="DN217" s="16">
        <f t="shared" si="387"/>
        <v>1</v>
      </c>
      <c r="DU217" s="1296" t="str">
        <f t="shared" si="410"/>
        <v>Fiche infoA145803</v>
      </c>
      <c r="DV217" s="1384">
        <f t="shared" si="388"/>
        <v>0</v>
      </c>
      <c r="DW217" s="1385">
        <f t="shared" si="389"/>
        <v>0</v>
      </c>
      <c r="DX217" s="1385">
        <f t="shared" si="390"/>
        <v>0</v>
      </c>
      <c r="DY217" s="1385">
        <f t="shared" si="391"/>
        <v>0</v>
      </c>
      <c r="DZ217" s="1385">
        <f t="shared" si="392"/>
        <v>0</v>
      </c>
      <c r="EA217" s="1385">
        <f t="shared" si="393"/>
        <v>0</v>
      </c>
      <c r="EB217" s="1385">
        <f t="shared" si="394"/>
        <v>0</v>
      </c>
      <c r="EC217" s="1385">
        <f t="shared" si="395"/>
        <v>0</v>
      </c>
      <c r="ED217" s="1385">
        <f t="shared" si="411"/>
        <v>0</v>
      </c>
      <c r="EE217" s="1386">
        <f t="shared" si="412"/>
        <v>0</v>
      </c>
      <c r="EG217" s="16" t="str">
        <f t="shared" si="413"/>
        <v>222025</v>
      </c>
      <c r="EH217" s="16" t="str">
        <f t="shared" si="396"/>
        <v>Fiche infoA1</v>
      </c>
      <c r="EI217" s="16" t="str">
        <f t="shared" si="397"/>
        <v/>
      </c>
    </row>
    <row r="218" spans="1:139" x14ac:dyDescent="0.2">
      <c r="A218" s="24" t="str">
        <f>Mai!BJ46</f>
        <v>Fiche infoA2</v>
      </c>
      <c r="B218" s="829">
        <f>Mai!AB46</f>
        <v>45804</v>
      </c>
      <c r="C218" s="1393"/>
      <c r="D218" s="1001">
        <f t="shared" si="353"/>
        <v>0</v>
      </c>
      <c r="E218" s="452">
        <f t="shared" si="354"/>
        <v>0</v>
      </c>
      <c r="F218" s="452">
        <f t="shared" si="355"/>
        <v>0</v>
      </c>
      <c r="G218" s="452">
        <f t="shared" si="356"/>
        <v>0</v>
      </c>
      <c r="H218" s="452">
        <f t="shared" si="357"/>
        <v>0</v>
      </c>
      <c r="I218" s="452">
        <f t="shared" si="358"/>
        <v>0</v>
      </c>
      <c r="J218" s="452">
        <f t="shared" si="359"/>
        <v>0</v>
      </c>
      <c r="K218" s="452">
        <f t="shared" si="360"/>
        <v>0</v>
      </c>
      <c r="L218" s="452">
        <f t="shared" si="398"/>
        <v>0</v>
      </c>
      <c r="M218" s="1002">
        <f t="shared" si="399"/>
        <v>0</v>
      </c>
      <c r="O218" s="1001">
        <f t="shared" si="415"/>
        <v>0</v>
      </c>
      <c r="P218" s="452">
        <f t="shared" si="416"/>
        <v>0</v>
      </c>
      <c r="Q218" s="452">
        <f t="shared" si="417"/>
        <v>0</v>
      </c>
      <c r="R218" s="452">
        <f t="shared" si="418"/>
        <v>0</v>
      </c>
      <c r="S218" s="452">
        <f t="shared" si="419"/>
        <v>0</v>
      </c>
      <c r="T218" s="452">
        <f t="shared" si="420"/>
        <v>0</v>
      </c>
      <c r="U218" s="452">
        <f t="shared" si="421"/>
        <v>0</v>
      </c>
      <c r="V218" s="452">
        <f t="shared" si="422"/>
        <v>0</v>
      </c>
      <c r="W218" s="452">
        <f t="shared" si="369"/>
        <v>0</v>
      </c>
      <c r="X218" s="1002">
        <f t="shared" si="370"/>
        <v>0</v>
      </c>
      <c r="Y218" s="459"/>
      <c r="Z218" s="291">
        <f t="shared" si="371"/>
        <v>0</v>
      </c>
      <c r="AA218" s="291">
        <f t="shared" si="372"/>
        <v>0</v>
      </c>
      <c r="AB218" s="291">
        <f t="shared" si="373"/>
        <v>0</v>
      </c>
      <c r="AC218" s="291">
        <f t="shared" si="374"/>
        <v>0</v>
      </c>
      <c r="AD218" s="291">
        <f t="shared" si="375"/>
        <v>0</v>
      </c>
      <c r="AE218" s="291">
        <f t="shared" si="376"/>
        <v>0</v>
      </c>
      <c r="AF218" s="291">
        <f t="shared" si="377"/>
        <v>0</v>
      </c>
      <c r="AG218" s="291">
        <f t="shared" si="378"/>
        <v>0</v>
      </c>
      <c r="AI218" s="462">
        <f t="shared" si="423"/>
        <v>0</v>
      </c>
      <c r="AJ218" s="1112"/>
      <c r="AK218" s="507"/>
      <c r="AL218" s="829">
        <f t="shared" si="380"/>
        <v>45804</v>
      </c>
      <c r="AM218" s="684">
        <f>IFERROR(IF(AND(AT218="",AR218&lt;&gt;S.CAL!$BJ$3,AR218&lt;&gt;S.CAL!$BJ$4,$AR$185="NON"),M218-BD218,IF(AND(AT218="",AR218&lt;&gt;S.CAL!$BJ$3,AR218&lt;&gt;S.CAL!$BJ$4,$AR$185="OUI"),X218-AI218,IF(AT218&lt;&gt;0,AT218,IF(OR(AR218=S.CAL!$BJ$3,AR218=S.CAL!$BJ$4),AR218,"")))),"")</f>
        <v>0</v>
      </c>
      <c r="AN218" s="1115"/>
      <c r="AO218" s="1116"/>
      <c r="AP218" s="684">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516">
        <f t="shared" si="400"/>
        <v>0</v>
      </c>
      <c r="AR218" s="1120"/>
      <c r="AT218" s="1123"/>
      <c r="AU218" s="831"/>
      <c r="AV218" s="1392">
        <f t="shared" si="381"/>
        <v>45804</v>
      </c>
      <c r="AX218" s="529">
        <f t="shared" si="401"/>
        <v>45804</v>
      </c>
      <c r="AY218" s="541">
        <f t="shared" si="402"/>
        <v>0</v>
      </c>
      <c r="AZ218" s="538" t="s">
        <v>146</v>
      </c>
      <c r="BA218" s="534">
        <f t="shared" si="403"/>
        <v>0</v>
      </c>
      <c r="BB218" s="567" t="str">
        <f t="shared" si="382"/>
        <v/>
      </c>
      <c r="BC218" s="541">
        <f t="shared" si="404"/>
        <v>0</v>
      </c>
      <c r="BD218" s="541">
        <f t="shared" si="405"/>
        <v>0</v>
      </c>
      <c r="BE218" s="750"/>
      <c r="BF218" s="532" t="str">
        <f t="shared" si="383"/>
        <v/>
      </c>
      <c r="BG218" s="532" t="str">
        <f t="shared" si="406"/>
        <v>oui</v>
      </c>
      <c r="BH218" s="395" t="str">
        <f t="shared" si="384"/>
        <v/>
      </c>
      <c r="BI218" s="24" t="str">
        <f t="shared" si="385"/>
        <v/>
      </c>
      <c r="BJ218" s="1403"/>
      <c r="BK218" s="1403"/>
      <c r="BL218" s="1403"/>
      <c r="BM218" s="1403"/>
      <c r="BN218" s="1403"/>
      <c r="BO218" s="1403"/>
      <c r="BP218" s="1403"/>
      <c r="BQ218" s="1403"/>
      <c r="BS218" s="1392">
        <f t="shared" si="352"/>
        <v>45804</v>
      </c>
      <c r="BT218" s="27" t="str">
        <f t="shared" si="414"/>
        <v/>
      </c>
      <c r="BU218" s="1402"/>
      <c r="BV218" s="1402"/>
      <c r="BW218" s="1402"/>
      <c r="BX218" s="1402"/>
      <c r="BY218" s="1402"/>
      <c r="BZ218" s="1402"/>
      <c r="CA218" s="1402"/>
      <c r="CB218" s="1402"/>
      <c r="CD218" s="1408">
        <f t="shared" si="407"/>
        <v>0</v>
      </c>
      <c r="DC218" s="16" t="str">
        <f>Mai!FC46</f>
        <v>non</v>
      </c>
      <c r="DG218" s="333">
        <f t="shared" si="408"/>
        <v>1</v>
      </c>
      <c r="DH218" s="129">
        <f t="shared" si="386"/>
        <v>10</v>
      </c>
      <c r="DI218" s="129">
        <f t="shared" si="409"/>
        <v>1</v>
      </c>
      <c r="DK218" s="16">
        <f>+IF(AND(Mai!$DP$8&lt;&gt;52,AR218=S.CAL!$BJ$4),10,1)</f>
        <v>1</v>
      </c>
      <c r="DN218" s="16">
        <f t="shared" si="387"/>
        <v>1</v>
      </c>
      <c r="DU218" s="1296" t="str">
        <f t="shared" si="410"/>
        <v>Fiche infoA245804</v>
      </c>
      <c r="DV218" s="1384">
        <f t="shared" si="388"/>
        <v>0</v>
      </c>
      <c r="DW218" s="1385">
        <f t="shared" si="389"/>
        <v>0</v>
      </c>
      <c r="DX218" s="1385">
        <f t="shared" si="390"/>
        <v>0</v>
      </c>
      <c r="DY218" s="1385">
        <f t="shared" si="391"/>
        <v>0</v>
      </c>
      <c r="DZ218" s="1385">
        <f t="shared" si="392"/>
        <v>0</v>
      </c>
      <c r="EA218" s="1385">
        <f t="shared" si="393"/>
        <v>0</v>
      </c>
      <c r="EB218" s="1385">
        <f t="shared" si="394"/>
        <v>0</v>
      </c>
      <c r="EC218" s="1385">
        <f t="shared" si="395"/>
        <v>0</v>
      </c>
      <c r="ED218" s="1385">
        <f t="shared" si="411"/>
        <v>0</v>
      </c>
      <c r="EE218" s="1386">
        <f t="shared" si="412"/>
        <v>0</v>
      </c>
      <c r="EG218" s="16" t="str">
        <f t="shared" si="413"/>
        <v>222025</v>
      </c>
      <c r="EH218" s="16" t="str">
        <f t="shared" si="396"/>
        <v>Fiche infoA2</v>
      </c>
      <c r="EI218" s="16" t="str">
        <f t="shared" si="397"/>
        <v/>
      </c>
    </row>
    <row r="219" spans="1:139" x14ac:dyDescent="0.2">
      <c r="A219" s="1395" t="str">
        <f>Mai!BJ47</f>
        <v>Fiche infoA3</v>
      </c>
      <c r="B219" s="829">
        <f>Mai!AB47</f>
        <v>45805</v>
      </c>
      <c r="C219" s="1394"/>
      <c r="D219" s="1001">
        <f t="shared" si="353"/>
        <v>0</v>
      </c>
      <c r="E219" s="452">
        <f t="shared" si="354"/>
        <v>0</v>
      </c>
      <c r="F219" s="452">
        <f t="shared" si="355"/>
        <v>0</v>
      </c>
      <c r="G219" s="452">
        <f t="shared" si="356"/>
        <v>0</v>
      </c>
      <c r="H219" s="452">
        <f t="shared" si="357"/>
        <v>0</v>
      </c>
      <c r="I219" s="452">
        <f t="shared" si="358"/>
        <v>0</v>
      </c>
      <c r="J219" s="452">
        <f t="shared" si="359"/>
        <v>0</v>
      </c>
      <c r="K219" s="452">
        <f t="shared" si="360"/>
        <v>0</v>
      </c>
      <c r="L219" s="452">
        <f t="shared" si="398"/>
        <v>0</v>
      </c>
      <c r="M219" s="1002">
        <f t="shared" si="399"/>
        <v>0</v>
      </c>
      <c r="N219" s="1396"/>
      <c r="O219" s="1001">
        <f t="shared" si="415"/>
        <v>0</v>
      </c>
      <c r="P219" s="452">
        <f t="shared" si="416"/>
        <v>0</v>
      </c>
      <c r="Q219" s="452">
        <f t="shared" si="417"/>
        <v>0</v>
      </c>
      <c r="R219" s="452">
        <f t="shared" si="418"/>
        <v>0</v>
      </c>
      <c r="S219" s="452">
        <f t="shared" si="419"/>
        <v>0</v>
      </c>
      <c r="T219" s="452">
        <f t="shared" si="420"/>
        <v>0</v>
      </c>
      <c r="U219" s="452">
        <f t="shared" si="421"/>
        <v>0</v>
      </c>
      <c r="V219" s="452">
        <f t="shared" si="422"/>
        <v>0</v>
      </c>
      <c r="W219" s="452">
        <f t="shared" si="369"/>
        <v>0</v>
      </c>
      <c r="X219" s="1002">
        <f t="shared" si="370"/>
        <v>0</v>
      </c>
      <c r="Y219" s="1397"/>
      <c r="Z219" s="1398">
        <f t="shared" si="371"/>
        <v>0</v>
      </c>
      <c r="AA219" s="1398">
        <f t="shared" si="372"/>
        <v>0</v>
      </c>
      <c r="AB219" s="1398">
        <f t="shared" si="373"/>
        <v>0</v>
      </c>
      <c r="AC219" s="1398">
        <f t="shared" si="374"/>
        <v>0</v>
      </c>
      <c r="AD219" s="1398">
        <f t="shared" si="375"/>
        <v>0</v>
      </c>
      <c r="AE219" s="1398">
        <f t="shared" si="376"/>
        <v>0</v>
      </c>
      <c r="AF219" s="1398">
        <f t="shared" si="377"/>
        <v>0</v>
      </c>
      <c r="AG219" s="1398">
        <f t="shared" si="378"/>
        <v>0</v>
      </c>
      <c r="AH219" s="1396"/>
      <c r="AI219" s="462">
        <f t="shared" si="423"/>
        <v>0</v>
      </c>
      <c r="AJ219" s="1112"/>
      <c r="AK219" s="1399"/>
      <c r="AL219" s="829">
        <f t="shared" si="380"/>
        <v>45805</v>
      </c>
      <c r="AM219" s="684">
        <f>IFERROR(IF(AND(AT219="",AR219&lt;&gt;S.CAL!$BJ$3,AR219&lt;&gt;S.CAL!$BJ$4,$AR$185="NON"),M219-BD219,IF(AND(AT219="",AR219&lt;&gt;S.CAL!$BJ$3,AR219&lt;&gt;S.CAL!$BJ$4,$AR$185="OUI"),X219-AI219,IF(AT219&lt;&gt;0,AT219,IF(OR(AR219=S.CAL!$BJ$3,AR219=S.CAL!$BJ$4),AR219,"")))),"")</f>
        <v>0</v>
      </c>
      <c r="AN219" s="1115"/>
      <c r="AO219" s="1116"/>
      <c r="AP219" s="684">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400">
        <f t="shared" si="400"/>
        <v>0</v>
      </c>
      <c r="AR219" s="1120"/>
      <c r="AS219" s="1396"/>
      <c r="AT219" s="1123"/>
      <c r="AU219" s="831"/>
      <c r="AV219" s="1392">
        <f t="shared" si="381"/>
        <v>45805</v>
      </c>
      <c r="AW219" s="1396"/>
      <c r="AX219" s="529">
        <f t="shared" si="401"/>
        <v>45805</v>
      </c>
      <c r="AY219" s="541">
        <f t="shared" si="402"/>
        <v>0</v>
      </c>
      <c r="AZ219" s="538" t="s">
        <v>146</v>
      </c>
      <c r="BA219" s="534">
        <f t="shared" si="403"/>
        <v>0</v>
      </c>
      <c r="BB219" s="567" t="str">
        <f t="shared" si="382"/>
        <v/>
      </c>
      <c r="BC219" s="541">
        <f t="shared" si="404"/>
        <v>0</v>
      </c>
      <c r="BD219" s="541">
        <f t="shared" si="405"/>
        <v>0</v>
      </c>
      <c r="BE219" s="750"/>
      <c r="BF219" s="532" t="str">
        <f t="shared" si="383"/>
        <v/>
      </c>
      <c r="BG219" s="532" t="str">
        <f t="shared" si="406"/>
        <v>oui</v>
      </c>
      <c r="BH219" s="395" t="str">
        <f t="shared" si="384"/>
        <v/>
      </c>
      <c r="BI219" s="24" t="str">
        <f t="shared" si="385"/>
        <v/>
      </c>
      <c r="BJ219" s="1404"/>
      <c r="BK219" s="1404"/>
      <c r="BL219" s="1404"/>
      <c r="BM219" s="1404"/>
      <c r="BN219" s="1404"/>
      <c r="BO219" s="1404"/>
      <c r="BP219" s="1404"/>
      <c r="BQ219" s="1404"/>
      <c r="BR219" s="1405"/>
      <c r="BS219" s="1392">
        <f t="shared" si="352"/>
        <v>45805</v>
      </c>
      <c r="BT219" s="1406" t="str">
        <f t="shared" si="414"/>
        <v/>
      </c>
      <c r="BU219" s="1404"/>
      <c r="BV219" s="1404"/>
      <c r="BW219" s="1404"/>
      <c r="BX219" s="1404"/>
      <c r="BY219" s="1404"/>
      <c r="BZ219" s="1404"/>
      <c r="CA219" s="1404"/>
      <c r="CB219" s="1404"/>
      <c r="CD219" s="1408">
        <f t="shared" si="407"/>
        <v>0</v>
      </c>
      <c r="DC219" s="16" t="str">
        <f>Mai!FC47</f>
        <v>non</v>
      </c>
      <c r="DG219" s="333">
        <f t="shared" si="408"/>
        <v>1</v>
      </c>
      <c r="DH219" s="129">
        <f t="shared" si="386"/>
        <v>10</v>
      </c>
      <c r="DI219" s="129">
        <f t="shared" si="409"/>
        <v>1</v>
      </c>
      <c r="DK219" s="16">
        <f>+IF(AND(Mai!$DP$8&lt;&gt;52,AR219=S.CAL!$BJ$4),10,1)</f>
        <v>1</v>
      </c>
      <c r="DN219" s="16">
        <f t="shared" si="387"/>
        <v>1</v>
      </c>
      <c r="DU219" s="1296" t="str">
        <f t="shared" si="410"/>
        <v>Fiche infoA345805</v>
      </c>
      <c r="DV219" s="1384">
        <f t="shared" si="388"/>
        <v>0</v>
      </c>
      <c r="DW219" s="1385">
        <f t="shared" si="389"/>
        <v>0</v>
      </c>
      <c r="DX219" s="1385">
        <f t="shared" si="390"/>
        <v>0</v>
      </c>
      <c r="DY219" s="1385">
        <f t="shared" si="391"/>
        <v>0</v>
      </c>
      <c r="DZ219" s="1385">
        <f t="shared" si="392"/>
        <v>0</v>
      </c>
      <c r="EA219" s="1385">
        <f t="shared" si="393"/>
        <v>0</v>
      </c>
      <c r="EB219" s="1385">
        <f t="shared" si="394"/>
        <v>0</v>
      </c>
      <c r="EC219" s="1385">
        <f t="shared" si="395"/>
        <v>0</v>
      </c>
      <c r="ED219" s="1385">
        <f t="shared" si="411"/>
        <v>0</v>
      </c>
      <c r="EE219" s="1386">
        <f t="shared" si="412"/>
        <v>0</v>
      </c>
      <c r="EG219" s="16" t="str">
        <f t="shared" si="413"/>
        <v>222025</v>
      </c>
      <c r="EH219" s="16" t="str">
        <f t="shared" si="396"/>
        <v>Fiche infoA3</v>
      </c>
      <c r="EI219" s="16" t="str">
        <f t="shared" si="397"/>
        <v/>
      </c>
    </row>
    <row r="220" spans="1:139" x14ac:dyDescent="0.2">
      <c r="A220" s="24" t="str">
        <f>Mai!BJ48</f>
        <v>Fiche infoA4</v>
      </c>
      <c r="B220" s="829">
        <f>Mai!AB48</f>
        <v>45806</v>
      </c>
      <c r="C220" s="1393"/>
      <c r="D220" s="1001">
        <f t="shared" si="353"/>
        <v>0</v>
      </c>
      <c r="E220" s="452">
        <f t="shared" si="354"/>
        <v>0</v>
      </c>
      <c r="F220" s="452">
        <f t="shared" si="355"/>
        <v>0</v>
      </c>
      <c r="G220" s="452">
        <f t="shared" si="356"/>
        <v>0</v>
      </c>
      <c r="H220" s="452">
        <f t="shared" si="357"/>
        <v>0</v>
      </c>
      <c r="I220" s="452">
        <f t="shared" si="358"/>
        <v>0</v>
      </c>
      <c r="J220" s="452">
        <f t="shared" si="359"/>
        <v>0</v>
      </c>
      <c r="K220" s="452">
        <f t="shared" si="360"/>
        <v>0</v>
      </c>
      <c r="L220" s="452">
        <f t="shared" si="398"/>
        <v>0</v>
      </c>
      <c r="M220" s="1002">
        <f t="shared" si="399"/>
        <v>0</v>
      </c>
      <c r="O220" s="1001">
        <f t="shared" si="415"/>
        <v>0</v>
      </c>
      <c r="P220" s="452">
        <f t="shared" si="416"/>
        <v>0</v>
      </c>
      <c r="Q220" s="452">
        <f t="shared" si="417"/>
        <v>0</v>
      </c>
      <c r="R220" s="452">
        <f t="shared" si="418"/>
        <v>0</v>
      </c>
      <c r="S220" s="452">
        <f t="shared" si="419"/>
        <v>0</v>
      </c>
      <c r="T220" s="452">
        <f t="shared" si="420"/>
        <v>0</v>
      </c>
      <c r="U220" s="452">
        <f t="shared" si="421"/>
        <v>0</v>
      </c>
      <c r="V220" s="452">
        <f t="shared" si="422"/>
        <v>0</v>
      </c>
      <c r="W220" s="452">
        <f t="shared" si="369"/>
        <v>0</v>
      </c>
      <c r="X220" s="1002">
        <f t="shared" si="370"/>
        <v>0</v>
      </c>
      <c r="Y220" s="459"/>
      <c r="Z220" s="291">
        <f t="shared" si="371"/>
        <v>0</v>
      </c>
      <c r="AA220" s="291">
        <f t="shared" si="372"/>
        <v>0</v>
      </c>
      <c r="AB220" s="291">
        <f t="shared" si="373"/>
        <v>0</v>
      </c>
      <c r="AC220" s="291">
        <f t="shared" si="374"/>
        <v>0</v>
      </c>
      <c r="AD220" s="291">
        <f t="shared" si="375"/>
        <v>0</v>
      </c>
      <c r="AE220" s="291">
        <f t="shared" si="376"/>
        <v>0</v>
      </c>
      <c r="AF220" s="291">
        <f t="shared" si="377"/>
        <v>0</v>
      </c>
      <c r="AG220" s="291">
        <f t="shared" si="378"/>
        <v>0</v>
      </c>
      <c r="AI220" s="462">
        <f t="shared" si="423"/>
        <v>0</v>
      </c>
      <c r="AJ220" s="1112"/>
      <c r="AK220" s="507"/>
      <c r="AL220" s="829">
        <f t="shared" si="380"/>
        <v>45806</v>
      </c>
      <c r="AM220" s="684">
        <f>IFERROR(IF(AND(AT220="",AR220&lt;&gt;S.CAL!$BJ$3,AR220&lt;&gt;S.CAL!$BJ$4,$AR$185="NON"),M220-BD220,IF(AND(AT220="",AR220&lt;&gt;S.CAL!$BJ$3,AR220&lt;&gt;S.CAL!$BJ$4,$AR$185="OUI"),X220-AI220,IF(AT220&lt;&gt;0,AT220,IF(OR(AR220=S.CAL!$BJ$3,AR220=S.CAL!$BJ$4),AR220,"")))),"")</f>
        <v>0</v>
      </c>
      <c r="AN220" s="1115"/>
      <c r="AO220" s="1116"/>
      <c r="AP220" s="684">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516">
        <f t="shared" si="400"/>
        <v>0</v>
      </c>
      <c r="AR220" s="1120"/>
      <c r="AT220" s="1123"/>
      <c r="AU220" s="831"/>
      <c r="AV220" s="1392">
        <f t="shared" si="381"/>
        <v>45806</v>
      </c>
      <c r="AX220" s="529">
        <f t="shared" si="401"/>
        <v>45806</v>
      </c>
      <c r="AY220" s="541">
        <f t="shared" si="402"/>
        <v>0</v>
      </c>
      <c r="AZ220" s="538" t="s">
        <v>146</v>
      </c>
      <c r="BA220" s="534">
        <f t="shared" si="403"/>
        <v>0</v>
      </c>
      <c r="BB220" s="567" t="str">
        <f t="shared" si="382"/>
        <v/>
      </c>
      <c r="BC220" s="541">
        <f t="shared" si="404"/>
        <v>0</v>
      </c>
      <c r="BD220" s="541">
        <f t="shared" si="405"/>
        <v>0</v>
      </c>
      <c r="BE220" s="750"/>
      <c r="BF220" s="532" t="str">
        <f t="shared" si="383"/>
        <v/>
      </c>
      <c r="BG220" s="532" t="str">
        <f t="shared" si="406"/>
        <v>oui</v>
      </c>
      <c r="BH220" s="395" t="str">
        <f t="shared" si="384"/>
        <v/>
      </c>
      <c r="BI220" s="24" t="str">
        <f t="shared" si="385"/>
        <v/>
      </c>
      <c r="BJ220" s="1403"/>
      <c r="BK220" s="1403"/>
      <c r="BL220" s="1403"/>
      <c r="BM220" s="1403"/>
      <c r="BN220" s="1403"/>
      <c r="BO220" s="1403"/>
      <c r="BP220" s="1403"/>
      <c r="BQ220" s="1403"/>
      <c r="BS220" s="1392">
        <f t="shared" si="352"/>
        <v>45806</v>
      </c>
      <c r="BT220" s="27" t="str">
        <f t="shared" si="414"/>
        <v/>
      </c>
      <c r="BU220" s="1402"/>
      <c r="BV220" s="1402"/>
      <c r="BW220" s="1402"/>
      <c r="BX220" s="1402"/>
      <c r="BY220" s="1402"/>
      <c r="BZ220" s="1402"/>
      <c r="CA220" s="1402"/>
      <c r="CB220" s="1402"/>
      <c r="CD220" s="1408">
        <f t="shared" si="407"/>
        <v>0</v>
      </c>
      <c r="DC220" s="16" t="str">
        <f>Mai!FC48</f>
        <v>non</v>
      </c>
      <c r="DG220" s="333">
        <f t="shared" si="408"/>
        <v>1</v>
      </c>
      <c r="DH220" s="129">
        <f t="shared" si="386"/>
        <v>10</v>
      </c>
      <c r="DI220" s="129">
        <f t="shared" si="409"/>
        <v>1</v>
      </c>
      <c r="DK220" s="16">
        <f>+IF(AND(Mai!$DP$8&lt;&gt;52,AR220=S.CAL!$BJ$4),10,1)</f>
        <v>1</v>
      </c>
      <c r="DN220" s="16">
        <f t="shared" si="387"/>
        <v>1</v>
      </c>
      <c r="DU220" s="1296" t="str">
        <f t="shared" si="410"/>
        <v>Fiche infoA445806</v>
      </c>
      <c r="DV220" s="1384">
        <f t="shared" si="388"/>
        <v>0</v>
      </c>
      <c r="DW220" s="1385">
        <f t="shared" si="389"/>
        <v>0</v>
      </c>
      <c r="DX220" s="1385">
        <f t="shared" si="390"/>
        <v>0</v>
      </c>
      <c r="DY220" s="1385">
        <f t="shared" si="391"/>
        <v>0</v>
      </c>
      <c r="DZ220" s="1385">
        <f t="shared" si="392"/>
        <v>0</v>
      </c>
      <c r="EA220" s="1385">
        <f t="shared" si="393"/>
        <v>0</v>
      </c>
      <c r="EB220" s="1385">
        <f t="shared" si="394"/>
        <v>0</v>
      </c>
      <c r="EC220" s="1385">
        <f t="shared" si="395"/>
        <v>0</v>
      </c>
      <c r="ED220" s="1385">
        <f t="shared" si="411"/>
        <v>0</v>
      </c>
      <c r="EE220" s="1386">
        <f t="shared" si="412"/>
        <v>0</v>
      </c>
      <c r="EG220" s="16" t="str">
        <f t="shared" si="413"/>
        <v>222025</v>
      </c>
      <c r="EH220" s="16" t="str">
        <f t="shared" si="396"/>
        <v>Fiche infoA4</v>
      </c>
      <c r="EI220" s="16" t="str">
        <f t="shared" si="397"/>
        <v/>
      </c>
    </row>
    <row r="221" spans="1:139" x14ac:dyDescent="0.2">
      <c r="A221" s="1395" t="str">
        <f>Mai!BJ49</f>
        <v>Fiche infoA5</v>
      </c>
      <c r="B221" s="829">
        <f>Mai!AB49</f>
        <v>45807</v>
      </c>
      <c r="C221" s="1394"/>
      <c r="D221" s="1001">
        <f t="shared" si="353"/>
        <v>0</v>
      </c>
      <c r="E221" s="452">
        <f t="shared" si="354"/>
        <v>0</v>
      </c>
      <c r="F221" s="452">
        <f t="shared" si="355"/>
        <v>0</v>
      </c>
      <c r="G221" s="452">
        <f t="shared" si="356"/>
        <v>0</v>
      </c>
      <c r="H221" s="452">
        <f t="shared" si="357"/>
        <v>0</v>
      </c>
      <c r="I221" s="452">
        <f t="shared" si="358"/>
        <v>0</v>
      </c>
      <c r="J221" s="452">
        <f t="shared" si="359"/>
        <v>0</v>
      </c>
      <c r="K221" s="452">
        <f t="shared" si="360"/>
        <v>0</v>
      </c>
      <c r="L221" s="452">
        <f t="shared" si="398"/>
        <v>0</v>
      </c>
      <c r="M221" s="1002">
        <f t="shared" si="399"/>
        <v>0</v>
      </c>
      <c r="N221" s="1396"/>
      <c r="O221" s="1001">
        <f t="shared" si="415"/>
        <v>0</v>
      </c>
      <c r="P221" s="452">
        <f t="shared" si="416"/>
        <v>0</v>
      </c>
      <c r="Q221" s="452">
        <f t="shared" si="417"/>
        <v>0</v>
      </c>
      <c r="R221" s="452">
        <f t="shared" si="418"/>
        <v>0</v>
      </c>
      <c r="S221" s="452">
        <f t="shared" si="419"/>
        <v>0</v>
      </c>
      <c r="T221" s="452">
        <f t="shared" si="420"/>
        <v>0</v>
      </c>
      <c r="U221" s="452">
        <f t="shared" si="421"/>
        <v>0</v>
      </c>
      <c r="V221" s="452">
        <f t="shared" si="422"/>
        <v>0</v>
      </c>
      <c r="W221" s="452">
        <f t="shared" si="369"/>
        <v>0</v>
      </c>
      <c r="X221" s="1002">
        <f t="shared" si="370"/>
        <v>0</v>
      </c>
      <c r="Y221" s="1397"/>
      <c r="Z221" s="1398">
        <f t="shared" si="371"/>
        <v>0</v>
      </c>
      <c r="AA221" s="1398">
        <f t="shared" si="372"/>
        <v>0</v>
      </c>
      <c r="AB221" s="1398">
        <f t="shared" si="373"/>
        <v>0</v>
      </c>
      <c r="AC221" s="1398">
        <f t="shared" si="374"/>
        <v>0</v>
      </c>
      <c r="AD221" s="1398">
        <f t="shared" si="375"/>
        <v>0</v>
      </c>
      <c r="AE221" s="1398">
        <f t="shared" si="376"/>
        <v>0</v>
      </c>
      <c r="AF221" s="1398">
        <f t="shared" si="377"/>
        <v>0</v>
      </c>
      <c r="AG221" s="1398">
        <f t="shared" si="378"/>
        <v>0</v>
      </c>
      <c r="AH221" s="1396"/>
      <c r="AI221" s="462">
        <f t="shared" si="423"/>
        <v>0</v>
      </c>
      <c r="AJ221" s="1112"/>
      <c r="AK221" s="1399"/>
      <c r="AL221" s="829">
        <f t="shared" si="380"/>
        <v>45807</v>
      </c>
      <c r="AM221" s="684">
        <f>IFERROR(IF(AND(AT221="",AR221&lt;&gt;S.CAL!$BJ$3,AR221&lt;&gt;S.CAL!$BJ$4,$AR$185="NON"),M221-BD221,IF(AND(AT221="",AR221&lt;&gt;S.CAL!$BJ$3,AR221&lt;&gt;S.CAL!$BJ$4,$AR$185="OUI"),X221-AI221,IF(AT221&lt;&gt;0,AT221,IF(OR(AR221=S.CAL!$BJ$3,AR221=S.CAL!$BJ$4),AR221,"")))),"")</f>
        <v>0</v>
      </c>
      <c r="AN221" s="1115"/>
      <c r="AO221" s="1116"/>
      <c r="AP221" s="684">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400">
        <f t="shared" si="400"/>
        <v>0</v>
      </c>
      <c r="AR221" s="1120"/>
      <c r="AS221" s="1396"/>
      <c r="AT221" s="1123"/>
      <c r="AU221" s="831"/>
      <c r="AV221" s="1392">
        <f t="shared" si="381"/>
        <v>45807</v>
      </c>
      <c r="AW221" s="1396"/>
      <c r="AX221" s="529">
        <f t="shared" si="401"/>
        <v>45807</v>
      </c>
      <c r="AY221" s="541">
        <f t="shared" si="402"/>
        <v>0</v>
      </c>
      <c r="AZ221" s="538" t="s">
        <v>146</v>
      </c>
      <c r="BA221" s="534">
        <f t="shared" si="403"/>
        <v>0</v>
      </c>
      <c r="BB221" s="567" t="str">
        <f t="shared" si="382"/>
        <v/>
      </c>
      <c r="BC221" s="541">
        <f t="shared" si="404"/>
        <v>0</v>
      </c>
      <c r="BD221" s="541">
        <f t="shared" si="405"/>
        <v>0</v>
      </c>
      <c r="BE221" s="750"/>
      <c r="BF221" s="532" t="str">
        <f t="shared" si="383"/>
        <v/>
      </c>
      <c r="BG221" s="532" t="str">
        <f t="shared" si="406"/>
        <v>oui</v>
      </c>
      <c r="BH221" s="395" t="str">
        <f t="shared" si="384"/>
        <v/>
      </c>
      <c r="BI221" s="24" t="str">
        <f t="shared" si="385"/>
        <v/>
      </c>
      <c r="BJ221" s="1404"/>
      <c r="BK221" s="1404"/>
      <c r="BL221" s="1404"/>
      <c r="BM221" s="1404"/>
      <c r="BN221" s="1404"/>
      <c r="BO221" s="1404"/>
      <c r="BP221" s="1404"/>
      <c r="BQ221" s="1404"/>
      <c r="BR221" s="1405"/>
      <c r="BS221" s="1392">
        <f t="shared" si="352"/>
        <v>45807</v>
      </c>
      <c r="BT221" s="1406" t="str">
        <f t="shared" si="414"/>
        <v/>
      </c>
      <c r="BU221" s="1404"/>
      <c r="BV221" s="1404"/>
      <c r="BW221" s="1404"/>
      <c r="BX221" s="1404"/>
      <c r="BY221" s="1404"/>
      <c r="BZ221" s="1404"/>
      <c r="CA221" s="1404"/>
      <c r="CB221" s="1404"/>
      <c r="CD221" s="1408">
        <f t="shared" si="407"/>
        <v>0</v>
      </c>
      <c r="DC221" s="16" t="str">
        <f>Mai!FC49</f>
        <v>non</v>
      </c>
      <c r="DG221" s="333">
        <f t="shared" si="408"/>
        <v>1</v>
      </c>
      <c r="DH221" s="129">
        <f t="shared" si="386"/>
        <v>10</v>
      </c>
      <c r="DI221" s="129">
        <f t="shared" si="409"/>
        <v>1</v>
      </c>
      <c r="DK221" s="16">
        <f>+IF(AND(Mai!$DP$8&lt;&gt;52,AR221=S.CAL!$BJ$4),10,1)</f>
        <v>1</v>
      </c>
      <c r="DN221" s="16">
        <f t="shared" si="387"/>
        <v>1</v>
      </c>
      <c r="DU221" s="1296" t="str">
        <f t="shared" si="410"/>
        <v>Fiche infoA545807</v>
      </c>
      <c r="DV221" s="1384">
        <f t="shared" si="388"/>
        <v>0</v>
      </c>
      <c r="DW221" s="1385">
        <f t="shared" si="389"/>
        <v>0</v>
      </c>
      <c r="DX221" s="1385">
        <f t="shared" si="390"/>
        <v>0</v>
      </c>
      <c r="DY221" s="1385">
        <f t="shared" si="391"/>
        <v>0</v>
      </c>
      <c r="DZ221" s="1385">
        <f t="shared" si="392"/>
        <v>0</v>
      </c>
      <c r="EA221" s="1385">
        <f t="shared" si="393"/>
        <v>0</v>
      </c>
      <c r="EB221" s="1385">
        <f t="shared" si="394"/>
        <v>0</v>
      </c>
      <c r="EC221" s="1385">
        <f t="shared" si="395"/>
        <v>0</v>
      </c>
      <c r="ED221" s="1385">
        <f t="shared" si="411"/>
        <v>0</v>
      </c>
      <c r="EE221" s="1386">
        <f t="shared" si="412"/>
        <v>0</v>
      </c>
      <c r="EG221" s="16" t="str">
        <f t="shared" si="413"/>
        <v>222025</v>
      </c>
      <c r="EH221" s="16" t="str">
        <f t="shared" si="396"/>
        <v>Fiche infoA5</v>
      </c>
      <c r="EI221" s="16" t="str">
        <f t="shared" si="397"/>
        <v/>
      </c>
    </row>
    <row r="222" spans="1:139" x14ac:dyDescent="0.2">
      <c r="A222" s="24" t="str">
        <f>Mai!BJ50</f>
        <v>Fiche infoA6</v>
      </c>
      <c r="B222" s="830">
        <f>Mai!AB50</f>
        <v>45808</v>
      </c>
      <c r="C222" s="1393"/>
      <c r="D222" s="1003">
        <f t="shared" si="353"/>
        <v>0</v>
      </c>
      <c r="E222" s="1004">
        <f t="shared" si="354"/>
        <v>0</v>
      </c>
      <c r="F222" s="1004">
        <f t="shared" si="355"/>
        <v>0</v>
      </c>
      <c r="G222" s="1004">
        <f t="shared" si="356"/>
        <v>0</v>
      </c>
      <c r="H222" s="1004">
        <f t="shared" si="357"/>
        <v>0</v>
      </c>
      <c r="I222" s="1004">
        <f t="shared" si="358"/>
        <v>0</v>
      </c>
      <c r="J222" s="1004">
        <f t="shared" si="359"/>
        <v>0</v>
      </c>
      <c r="K222" s="1004">
        <f t="shared" si="360"/>
        <v>0</v>
      </c>
      <c r="L222" s="1004">
        <f t="shared" si="398"/>
        <v>0</v>
      </c>
      <c r="M222" s="1005">
        <f t="shared" si="399"/>
        <v>0</v>
      </c>
      <c r="O222" s="1003">
        <f t="shared" si="415"/>
        <v>0</v>
      </c>
      <c r="P222" s="1004">
        <f t="shared" si="416"/>
        <v>0</v>
      </c>
      <c r="Q222" s="1004">
        <f t="shared" si="417"/>
        <v>0</v>
      </c>
      <c r="R222" s="1004">
        <f t="shared" si="418"/>
        <v>0</v>
      </c>
      <c r="S222" s="1004">
        <f t="shared" si="419"/>
        <v>0</v>
      </c>
      <c r="T222" s="1004">
        <f t="shared" si="420"/>
        <v>0</v>
      </c>
      <c r="U222" s="1004">
        <f t="shared" si="421"/>
        <v>0</v>
      </c>
      <c r="V222" s="1004">
        <f t="shared" si="422"/>
        <v>0</v>
      </c>
      <c r="W222" s="1004">
        <f t="shared" si="369"/>
        <v>0</v>
      </c>
      <c r="X222" s="1005">
        <f t="shared" si="370"/>
        <v>0</v>
      </c>
      <c r="Y222" s="459"/>
      <c r="Z222" s="291">
        <f t="shared" si="371"/>
        <v>0</v>
      </c>
      <c r="AA222" s="291">
        <f t="shared" si="372"/>
        <v>0</v>
      </c>
      <c r="AB222" s="291">
        <f t="shared" si="373"/>
        <v>0</v>
      </c>
      <c r="AC222" s="291">
        <f t="shared" si="374"/>
        <v>0</v>
      </c>
      <c r="AD222" s="291">
        <f t="shared" si="375"/>
        <v>0</v>
      </c>
      <c r="AE222" s="291">
        <f t="shared" si="376"/>
        <v>0</v>
      </c>
      <c r="AF222" s="291">
        <f t="shared" si="377"/>
        <v>0</v>
      </c>
      <c r="AG222" s="291">
        <f t="shared" si="378"/>
        <v>0</v>
      </c>
      <c r="AI222" s="462">
        <f t="shared" si="423"/>
        <v>0</v>
      </c>
      <c r="AJ222" s="1112"/>
      <c r="AK222" s="507"/>
      <c r="AL222" s="830">
        <f t="shared" si="380"/>
        <v>45808</v>
      </c>
      <c r="AM222" s="517">
        <f>IFERROR(IF(AND(AT222="",AR222&lt;&gt;S.CAL!$BJ$3,AR222&lt;&gt;S.CAL!$BJ$4,$AR$185="NON"),M222-BD222,IF(AND(AT222="",AR222&lt;&gt;S.CAL!$BJ$3,AR222&lt;&gt;S.CAL!$BJ$4,$AR$185="OUI"),X222-AI222,IF(AT222&lt;&gt;0,AT222,IF(OR(AR222=S.CAL!$BJ$3,AR222=S.CAL!$BJ$4),AR222,"")))),"")</f>
        <v>0</v>
      </c>
      <c r="AN222" s="1117"/>
      <c r="AO222" s="1118"/>
      <c r="AP222" s="517">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516">
        <f t="shared" si="400"/>
        <v>0</v>
      </c>
      <c r="AR222" s="1121"/>
      <c r="AT222" s="1124"/>
      <c r="AU222" s="832"/>
      <c r="AV222" s="830">
        <f t="shared" si="381"/>
        <v>45808</v>
      </c>
      <c r="AX222" s="529">
        <f t="shared" si="401"/>
        <v>45808</v>
      </c>
      <c r="AY222" s="542">
        <f t="shared" si="402"/>
        <v>0</v>
      </c>
      <c r="AZ222" s="539" t="s">
        <v>146</v>
      </c>
      <c r="BA222" s="552">
        <f t="shared" si="403"/>
        <v>0</v>
      </c>
      <c r="BB222" s="540" t="str">
        <f t="shared" si="382"/>
        <v/>
      </c>
      <c r="BC222" s="542">
        <f t="shared" si="404"/>
        <v>0</v>
      </c>
      <c r="BD222" s="542">
        <f t="shared" si="405"/>
        <v>0</v>
      </c>
      <c r="BE222" s="509"/>
      <c r="BF222" s="532" t="str">
        <f t="shared" si="383"/>
        <v/>
      </c>
      <c r="BG222" s="532" t="str">
        <f t="shared" si="406"/>
        <v>oui</v>
      </c>
      <c r="BH222" s="395" t="str">
        <f t="shared" si="384"/>
        <v/>
      </c>
      <c r="BI222" s="24" t="str">
        <f t="shared" si="385"/>
        <v/>
      </c>
      <c r="BJ222" s="1403"/>
      <c r="BK222" s="1403"/>
      <c r="BL222" s="1403"/>
      <c r="BM222" s="1403"/>
      <c r="BN222" s="1403"/>
      <c r="BO222" s="1403"/>
      <c r="BP222" s="1403"/>
      <c r="BQ222" s="1403"/>
      <c r="BS222" s="830">
        <f t="shared" si="352"/>
        <v>45808</v>
      </c>
      <c r="BT222" s="27" t="str">
        <f t="shared" si="414"/>
        <v/>
      </c>
      <c r="BU222" s="1402"/>
      <c r="BV222" s="1402"/>
      <c r="BW222" s="1402"/>
      <c r="BX222" s="1402"/>
      <c r="BY222" s="1402"/>
      <c r="BZ222" s="1402"/>
      <c r="CA222" s="1402"/>
      <c r="CB222" s="1402"/>
      <c r="CD222" s="1409">
        <f t="shared" si="407"/>
        <v>0</v>
      </c>
      <c r="DC222" s="16" t="str">
        <f>Mai!FC50</f>
        <v>non</v>
      </c>
      <c r="DG222" s="333">
        <f t="shared" si="408"/>
        <v>1</v>
      </c>
      <c r="DH222" s="129">
        <f t="shared" si="386"/>
        <v>10</v>
      </c>
      <c r="DI222" s="129">
        <f t="shared" si="409"/>
        <v>1</v>
      </c>
      <c r="DK222" s="16">
        <f>+IF(AND(Mai!$DP$8&lt;&gt;52,AR222=S.CAL!$BJ$4),10,1)</f>
        <v>1</v>
      </c>
      <c r="DN222" s="16">
        <f t="shared" si="387"/>
        <v>1</v>
      </c>
      <c r="DU222" s="1296" t="str">
        <f t="shared" si="410"/>
        <v>Fiche infoA645808</v>
      </c>
      <c r="DV222" s="1384">
        <f t="shared" si="388"/>
        <v>0</v>
      </c>
      <c r="DW222" s="1385">
        <f t="shared" si="389"/>
        <v>0</v>
      </c>
      <c r="DX222" s="1385">
        <f t="shared" si="390"/>
        <v>0</v>
      </c>
      <c r="DY222" s="1385">
        <f t="shared" si="391"/>
        <v>0</v>
      </c>
      <c r="DZ222" s="1385">
        <f t="shared" si="392"/>
        <v>0</v>
      </c>
      <c r="EA222" s="1385">
        <f t="shared" si="393"/>
        <v>0</v>
      </c>
      <c r="EB222" s="1385">
        <f t="shared" si="394"/>
        <v>0</v>
      </c>
      <c r="EC222" s="1385">
        <f t="shared" si="395"/>
        <v>0</v>
      </c>
      <c r="ED222" s="1385">
        <f t="shared" si="411"/>
        <v>0</v>
      </c>
      <c r="EE222" s="1386">
        <f t="shared" si="412"/>
        <v>0</v>
      </c>
      <c r="EG222" s="16" t="str">
        <f t="shared" si="413"/>
        <v>222025</v>
      </c>
      <c r="EH222" s="16" t="str">
        <f t="shared" si="396"/>
        <v>Fiche infoA6</v>
      </c>
      <c r="EI222" s="16" t="str">
        <f t="shared" si="397"/>
        <v/>
      </c>
    </row>
    <row r="223" spans="1:139" x14ac:dyDescent="0.2">
      <c r="AM223" s="554">
        <f>SUM(AM192:AM222)</f>
        <v>0</v>
      </c>
      <c r="AN223" s="518">
        <f>SUM(AN192:AN222)</f>
        <v>0</v>
      </c>
      <c r="AO223" s="518">
        <f>SUM(AO192:AO222)</f>
        <v>0</v>
      </c>
      <c r="AP223" s="519">
        <f>SUM(AP192:AP222)</f>
        <v>0</v>
      </c>
      <c r="BD223" s="555">
        <f>SUM(BD192:BD222)</f>
        <v>0</v>
      </c>
      <c r="EE223" s="1386"/>
    </row>
    <row r="224" spans="1:139" x14ac:dyDescent="0.2">
      <c r="X224" s="29" t="s">
        <v>450</v>
      </c>
      <c r="Y224" s="29"/>
      <c r="Z224" s="29"/>
      <c r="AA224" s="29"/>
      <c r="AB224" s="29"/>
      <c r="AC224" s="29"/>
      <c r="AD224" s="29"/>
      <c r="AE224" s="29"/>
      <c r="AF224" s="29"/>
      <c r="AG224" s="29"/>
      <c r="AI224" s="463">
        <f>SUM(AI192:AI222)</f>
        <v>0</v>
      </c>
      <c r="AJ224" s="19"/>
      <c r="AK224" s="19"/>
      <c r="AL224" s="19"/>
      <c r="AM224" s="19"/>
      <c r="AN224" s="19"/>
      <c r="AO224" s="19"/>
      <c r="AP224" s="19"/>
      <c r="AQ224" s="512"/>
    </row>
    <row r="226" spans="1:145" ht="23.25" x14ac:dyDescent="0.35">
      <c r="B226" s="453" t="s">
        <v>806</v>
      </c>
      <c r="C226" s="453"/>
      <c r="D226" s="453"/>
      <c r="BS226" s="19" t="s">
        <v>1552</v>
      </c>
      <c r="EK226" s="16" t="str">
        <f>+EG236</f>
        <v>numero sem</v>
      </c>
      <c r="EL226" s="27" t="s">
        <v>1546</v>
      </c>
      <c r="EM226" s="27" t="s">
        <v>1547</v>
      </c>
      <c r="EN226" s="16" t="s">
        <v>1548</v>
      </c>
    </row>
    <row r="227" spans="1:145" ht="13.5" thickBot="1" x14ac:dyDescent="0.25">
      <c r="AR227" s="1713" t="s">
        <v>1003</v>
      </c>
      <c r="AS227" s="1714"/>
      <c r="AT227" s="1715"/>
      <c r="BT227" s="29" t="s">
        <v>1555</v>
      </c>
      <c r="BU227" s="27" t="str">
        <f>+IFERROR(EJ227,"")</f>
        <v>22</v>
      </c>
      <c r="BV227" s="53" t="str">
        <f>IF(BU227="","",+EN227)</f>
        <v>non</v>
      </c>
      <c r="BW227" s="1711" t="str">
        <f>+IF(BV227="oui", "Ecart "&amp;EO227&amp;" hrs","")</f>
        <v/>
      </c>
      <c r="BX227" s="1711"/>
      <c r="EJ227" s="16" t="str">
        <f>LEFT(EK227,LEN(EK227)-4)</f>
        <v>22</v>
      </c>
      <c r="EK227" s="16" t="str" cm="1">
        <f t="array" ref="EK227">IFERROR(INDEX(EG237:EG267,MATCH(0,INDEX(COUNTIF(EK226:EK226,EG237:EG267),0,0),0)),"")</f>
        <v>222025</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805</v>
      </c>
      <c r="D228" s="1710">
        <f>+Identification!$B$7</f>
        <v>0</v>
      </c>
      <c r="E228" s="1710"/>
      <c r="F228" s="1710"/>
      <c r="G228" s="1710"/>
      <c r="O228" s="454" t="s">
        <v>84</v>
      </c>
      <c r="P228" s="32"/>
      <c r="Q228" s="33"/>
      <c r="R228" s="454" t="s">
        <v>149</v>
      </c>
      <c r="S228" s="32"/>
      <c r="T228" s="32"/>
      <c r="U228" s="32"/>
      <c r="V228" s="32"/>
      <c r="W228" s="32"/>
      <c r="X228" s="33"/>
      <c r="AR228" s="1716"/>
      <c r="AS228" s="1717"/>
      <c r="AT228" s="1718"/>
      <c r="BU228" s="27" t="str">
        <f t="shared" ref="BU228:BU232" si="425">+IFERROR(EJ228,"")</f>
        <v>23</v>
      </c>
      <c r="BV228" s="53" t="str">
        <f t="shared" ref="BV228:BV232" si="426">IF(BU228="","",+EN228)</f>
        <v>non</v>
      </c>
      <c r="BW228" s="1711" t="str">
        <f t="shared" ref="BW228:BW232" si="427">+IF(BV228="oui", "Ecart "&amp;EO228&amp;" hrs","")</f>
        <v/>
      </c>
      <c r="BX228" s="1711"/>
      <c r="EJ228" s="16" t="str">
        <f t="shared" ref="EJ228:EJ233" si="428">LEFT(EK228,LEN(EK228)-4)</f>
        <v>23</v>
      </c>
      <c r="EK228" s="16" t="str" cm="1">
        <f t="array" ref="EK228">IFERROR(INDEX(EG237:EG267,MATCH(0,INDEX(COUNTIF(EK226:EK227,EG237:EG267),0,0),0)),"")</f>
        <v>232025</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21"/>
      <c r="S229" s="1722"/>
      <c r="T229" s="1722"/>
      <c r="U229" s="1722"/>
      <c r="V229" s="1722"/>
      <c r="W229" s="1722"/>
      <c r="X229" s="1723"/>
      <c r="Y229" s="460"/>
      <c r="Z229" s="460"/>
      <c r="AA229" s="460"/>
      <c r="AB229" s="460"/>
      <c r="AC229" s="460"/>
      <c r="AD229" s="460"/>
      <c r="AE229" s="460"/>
      <c r="AF229" s="460"/>
      <c r="AG229" s="460"/>
      <c r="AR229" s="1716"/>
      <c r="AS229" s="1717"/>
      <c r="AT229" s="1718"/>
      <c r="BU229" s="27" t="str">
        <f t="shared" si="425"/>
        <v>24</v>
      </c>
      <c r="BV229" s="53" t="str">
        <f t="shared" si="426"/>
        <v>non</v>
      </c>
      <c r="BW229" s="1711" t="str">
        <f t="shared" si="427"/>
        <v/>
      </c>
      <c r="BX229" s="1711"/>
      <c r="EJ229" s="16" t="str">
        <f t="shared" si="428"/>
        <v>24</v>
      </c>
      <c r="EK229" s="16" t="str">
        <f t="array" ref="EK229">IFERROR(INDEX(EG237:EG267,MATCH(0,INDEX(COUNTIF(EK226:EK228,EG237:EG267),0,0),0)),"")</f>
        <v>242025</v>
      </c>
      <c r="EL229" s="27">
        <f t="shared" si="429"/>
        <v>0</v>
      </c>
      <c r="EM229" s="27">
        <f t="shared" si="430"/>
        <v>0</v>
      </c>
      <c r="EN229" s="16" t="str">
        <f t="shared" si="424"/>
        <v>non</v>
      </c>
      <c r="EO229" s="16">
        <f t="shared" si="431"/>
        <v>0</v>
      </c>
    </row>
    <row r="230" spans="1:145" x14ac:dyDescent="0.2">
      <c r="C230" s="39" t="s">
        <v>29</v>
      </c>
      <c r="D230" s="1710">
        <f>+Identification!$B$25</f>
        <v>0</v>
      </c>
      <c r="E230" s="1710"/>
      <c r="O230" s="35"/>
      <c r="Q230" s="36"/>
      <c r="R230" s="1721"/>
      <c r="S230" s="1722"/>
      <c r="T230" s="1722"/>
      <c r="U230" s="1722"/>
      <c r="V230" s="1722"/>
      <c r="W230" s="1722"/>
      <c r="X230" s="1723"/>
      <c r="Y230" s="460"/>
      <c r="Z230" s="460"/>
      <c r="AA230" s="460"/>
      <c r="AB230" s="460"/>
      <c r="AC230" s="460"/>
      <c r="AD230" s="460"/>
      <c r="AE230" s="460"/>
      <c r="AF230" s="460"/>
      <c r="AG230" s="460"/>
      <c r="AL230" s="16" t="str">
        <f t="shared" ref="AL230" si="432">C233</f>
        <v>Mois :</v>
      </c>
      <c r="AM230" s="1712">
        <f t="shared" ref="AM230" si="433">D233</f>
        <v>45809</v>
      </c>
      <c r="AN230" s="1712">
        <f t="shared" ref="AN230" si="434">E233</f>
        <v>0</v>
      </c>
      <c r="AR230" s="557" t="str">
        <f>IF(AT230="",AR185,AT230)</f>
        <v>NON</v>
      </c>
      <c r="AS230" s="556" t="s">
        <v>503</v>
      </c>
      <c r="AT230" s="1105"/>
      <c r="BJ230" s="16" t="str">
        <f t="shared" ref="BJ230" si="435">AL230</f>
        <v>Mois :</v>
      </c>
      <c r="BK230" s="1712">
        <f t="shared" ref="BK230" si="436">AM230</f>
        <v>45809</v>
      </c>
      <c r="BL230" s="1712"/>
      <c r="BU230" s="27" t="str">
        <f t="shared" si="425"/>
        <v>25</v>
      </c>
      <c r="BV230" s="53" t="str">
        <f t="shared" si="426"/>
        <v>non</v>
      </c>
      <c r="BW230" s="1711" t="str">
        <f t="shared" si="427"/>
        <v/>
      </c>
      <c r="BX230" s="1711"/>
      <c r="EJ230" s="16" t="str">
        <f t="shared" si="428"/>
        <v>25</v>
      </c>
      <c r="EK230" s="16" t="str">
        <f t="array" ref="EK230">IFERROR(INDEX(EG237:EG267,MATCH(0,INDEX(COUNTIF(EK226:EK229,EG237:EG267),0,0),0)),"")</f>
        <v>252025</v>
      </c>
      <c r="EL230" s="27">
        <f t="shared" si="429"/>
        <v>0</v>
      </c>
      <c r="EM230" s="27">
        <f t="shared" si="430"/>
        <v>0</v>
      </c>
      <c r="EN230" s="16" t="str">
        <f t="shared" si="424"/>
        <v>non</v>
      </c>
      <c r="EO230" s="16">
        <f t="shared" si="431"/>
        <v>0</v>
      </c>
    </row>
    <row r="231" spans="1:145" ht="13.5" thickBot="1" x14ac:dyDescent="0.25">
      <c r="O231" s="42"/>
      <c r="P231" s="43"/>
      <c r="Q231" s="44"/>
      <c r="R231" s="1724"/>
      <c r="S231" s="1725"/>
      <c r="T231" s="1725"/>
      <c r="U231" s="1725"/>
      <c r="V231" s="1725"/>
      <c r="W231" s="1725"/>
      <c r="X231" s="1726"/>
      <c r="Y231" s="460"/>
      <c r="Z231" s="460"/>
      <c r="AA231" s="460"/>
      <c r="AB231" s="460"/>
      <c r="AC231" s="460"/>
      <c r="AD231" s="460"/>
      <c r="AE231" s="460"/>
      <c r="AF231" s="460"/>
      <c r="AG231" s="460"/>
      <c r="BU231" s="27" t="str">
        <f t="shared" si="425"/>
        <v>26</v>
      </c>
      <c r="BV231" s="53" t="str">
        <f t="shared" si="426"/>
        <v>non</v>
      </c>
      <c r="BW231" s="1711" t="str">
        <f t="shared" si="427"/>
        <v/>
      </c>
      <c r="BX231" s="1711"/>
      <c r="EJ231" s="16" t="str">
        <f t="shared" si="428"/>
        <v>26</v>
      </c>
      <c r="EK231" s="16" t="str">
        <f t="array" ref="EK231">IFERROR(INDEX(EG237:EG267,MATCH(0,INDEX(COUNTIF(EK226:EK230,EG237:EG267),0,0),0)),"")</f>
        <v>262025</v>
      </c>
      <c r="EL231" s="27">
        <f t="shared" si="429"/>
        <v>0</v>
      </c>
      <c r="EM231" s="27">
        <f t="shared" si="430"/>
        <v>0</v>
      </c>
      <c r="EN231" s="16" t="str">
        <f t="shared" si="424"/>
        <v>non</v>
      </c>
      <c r="EO231" s="16">
        <f t="shared" si="431"/>
        <v>0</v>
      </c>
    </row>
    <row r="232" spans="1:145" ht="13.5" thickTop="1" x14ac:dyDescent="0.2">
      <c r="AI232" s="553" t="s">
        <v>1000</v>
      </c>
      <c r="BU232" s="27" t="str">
        <f t="shared" si="425"/>
        <v>27</v>
      </c>
      <c r="BV232" s="53" t="str">
        <f t="shared" si="426"/>
        <v>non</v>
      </c>
      <c r="BW232" s="1711" t="str">
        <f t="shared" si="427"/>
        <v/>
      </c>
      <c r="BX232" s="1711"/>
      <c r="EJ232" s="16" t="str">
        <f t="shared" si="428"/>
        <v>27</v>
      </c>
      <c r="EK232" s="16" t="str">
        <f t="array" ref="EK232">IFERROR(INDEX(EG237:EG267,MATCH(0,INDEX(COUNTIF(EK226:EK231,EG237:EG267),0,0),0)),"")</f>
        <v>272025</v>
      </c>
      <c r="EL232" s="27">
        <f t="shared" si="429"/>
        <v>0</v>
      </c>
      <c r="EM232" s="27">
        <f t="shared" si="430"/>
        <v>0</v>
      </c>
      <c r="EN232" s="16" t="str">
        <f t="shared" si="424"/>
        <v>non</v>
      </c>
      <c r="EO232" s="16">
        <f t="shared" si="431"/>
        <v>0</v>
      </c>
    </row>
    <row r="233" spans="1:145" x14ac:dyDescent="0.2">
      <c r="C233" s="39" t="s">
        <v>32</v>
      </c>
      <c r="D233" s="1712">
        <f>+Juin!X3</f>
        <v>45809</v>
      </c>
      <c r="E233" s="1712"/>
      <c r="F233" s="39" t="s">
        <v>12</v>
      </c>
      <c r="G233" s="63">
        <f>+Juin!X4</f>
        <v>2025</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20" t="s">
        <v>974</v>
      </c>
      <c r="AM234" s="1720"/>
      <c r="AN234" s="1720"/>
      <c r="AO234" s="1720"/>
      <c r="AP234" s="1720"/>
      <c r="AQ234" s="510"/>
      <c r="AT234" s="1719" t="s">
        <v>761</v>
      </c>
      <c r="AU234" s="1719"/>
      <c r="AV234" s="1719"/>
      <c r="AW234" s="63"/>
      <c r="AX234" s="63"/>
      <c r="AY234" s="535" t="s">
        <v>989</v>
      </c>
      <c r="AZ234" s="536"/>
      <c r="BA234" s="536"/>
      <c r="BB234" s="536"/>
      <c r="BC234" s="537"/>
      <c r="BD234" s="537"/>
      <c r="BE234" s="537"/>
      <c r="BF234" s="530"/>
      <c r="BG234" s="530"/>
      <c r="BJ234" s="455"/>
      <c r="BK234" s="455"/>
      <c r="BL234" s="455"/>
      <c r="BM234" s="455"/>
      <c r="BN234" s="455"/>
      <c r="BO234" s="455"/>
      <c r="BP234" s="455"/>
      <c r="BQ234" s="455"/>
      <c r="BU234" s="456"/>
      <c r="BV234" s="456"/>
      <c r="BW234" s="456"/>
      <c r="BX234" s="456"/>
      <c r="BY234" s="456"/>
      <c r="BZ234" s="456"/>
      <c r="CA234" s="456"/>
      <c r="CB234" s="456"/>
    </row>
    <row r="235" spans="1:145" ht="15" customHeight="1" x14ac:dyDescent="0.2">
      <c r="D235" s="457" t="s">
        <v>803</v>
      </c>
      <c r="E235" s="456"/>
      <c r="F235" s="456"/>
      <c r="G235" s="456"/>
      <c r="H235" s="456"/>
      <c r="I235" s="456"/>
      <c r="J235" s="456"/>
      <c r="K235" s="456"/>
      <c r="L235" s="456"/>
      <c r="M235" s="456"/>
      <c r="O235" s="458" t="s">
        <v>802</v>
      </c>
      <c r="P235" s="455"/>
      <c r="Q235" s="455"/>
      <c r="R235" s="455"/>
      <c r="S235" s="455"/>
      <c r="T235" s="455"/>
      <c r="U235" s="455"/>
      <c r="V235" s="455"/>
      <c r="W235" s="455"/>
      <c r="X235" s="455"/>
      <c r="BJ235" s="1109" t="s">
        <v>804</v>
      </c>
      <c r="BK235" s="1110"/>
      <c r="BL235" s="1110"/>
      <c r="BM235" s="1110"/>
      <c r="BN235" s="1110"/>
      <c r="BO235" s="1110"/>
      <c r="BP235" s="1110"/>
      <c r="BQ235" s="1110"/>
      <c r="BU235" s="1109" t="s">
        <v>1394</v>
      </c>
      <c r="BV235" s="1110"/>
      <c r="BW235" s="1110"/>
      <c r="BX235" s="1110"/>
      <c r="BY235" s="1110"/>
      <c r="BZ235" s="1110"/>
      <c r="CA235" s="1110"/>
      <c r="CB235" s="1110"/>
      <c r="DG235" s="333" t="s">
        <v>1349</v>
      </c>
      <c r="DH235" s="129"/>
      <c r="DI235" s="129"/>
      <c r="DK235" s="129" t="s">
        <v>1354</v>
      </c>
      <c r="DN235" s="16" t="s">
        <v>1357</v>
      </c>
      <c r="DV235" s="843" t="s">
        <v>1549</v>
      </c>
      <c r="DW235" s="843"/>
      <c r="DX235" s="843"/>
      <c r="DY235" s="843"/>
      <c r="DZ235" s="843"/>
      <c r="EA235" s="843"/>
      <c r="EB235" s="843"/>
      <c r="EC235" s="843"/>
      <c r="ED235" s="843"/>
      <c r="EE235" s="843"/>
    </row>
    <row r="236" spans="1:145" ht="56.25" customHeight="1" x14ac:dyDescent="0.2">
      <c r="A236" s="24" t="s">
        <v>801</v>
      </c>
      <c r="B236" s="450" t="s">
        <v>16</v>
      </c>
      <c r="C236" s="451"/>
      <c r="D236" s="450" t="s">
        <v>228</v>
      </c>
      <c r="E236" s="450" t="s">
        <v>229</v>
      </c>
      <c r="F236" s="450" t="s">
        <v>230</v>
      </c>
      <c r="G236" s="450" t="s">
        <v>231</v>
      </c>
      <c r="H236" s="450" t="s">
        <v>533</v>
      </c>
      <c r="I236" s="450" t="s">
        <v>534</v>
      </c>
      <c r="J236" s="450" t="s">
        <v>535</v>
      </c>
      <c r="K236" s="450" t="s">
        <v>536</v>
      </c>
      <c r="L236" s="450" t="s">
        <v>191</v>
      </c>
      <c r="M236" s="450" t="s">
        <v>192</v>
      </c>
      <c r="N236" s="451"/>
      <c r="O236" s="450" t="s">
        <v>228</v>
      </c>
      <c r="P236" s="450" t="s">
        <v>229</v>
      </c>
      <c r="Q236" s="450" t="s">
        <v>230</v>
      </c>
      <c r="R236" s="450" t="s">
        <v>231</v>
      </c>
      <c r="S236" s="450" t="s">
        <v>533</v>
      </c>
      <c r="T236" s="450" t="s">
        <v>534</v>
      </c>
      <c r="U236" s="450" t="s">
        <v>535</v>
      </c>
      <c r="V236" s="450" t="s">
        <v>536</v>
      </c>
      <c r="W236" s="450" t="s">
        <v>191</v>
      </c>
      <c r="X236" s="450" t="s">
        <v>192</v>
      </c>
      <c r="Y236" s="451"/>
      <c r="Z236" s="450" t="s">
        <v>808</v>
      </c>
      <c r="AA236" s="450" t="s">
        <v>809</v>
      </c>
      <c r="AB236" s="450" t="s">
        <v>810</v>
      </c>
      <c r="AC236" s="450" t="s">
        <v>811</v>
      </c>
      <c r="AD236" s="450" t="s">
        <v>812</v>
      </c>
      <c r="AE236" s="450" t="s">
        <v>813</v>
      </c>
      <c r="AF236" s="450" t="s">
        <v>814</v>
      </c>
      <c r="AG236" s="450" t="s">
        <v>815</v>
      </c>
      <c r="AI236" s="450" t="s">
        <v>816</v>
      </c>
      <c r="AJ236" s="450" t="s">
        <v>807</v>
      </c>
      <c r="AK236" s="451"/>
      <c r="AL236" s="513" t="s">
        <v>16</v>
      </c>
      <c r="AM236" s="548" t="s">
        <v>1017</v>
      </c>
      <c r="AN236" s="1106" t="s">
        <v>972</v>
      </c>
      <c r="AO236" s="1107" t="s">
        <v>973</v>
      </c>
      <c r="AP236" s="514" t="s">
        <v>1018</v>
      </c>
      <c r="AQ236" s="511"/>
      <c r="AR236" s="1108" t="s">
        <v>696</v>
      </c>
      <c r="AT236" s="1108" t="s">
        <v>1356</v>
      </c>
      <c r="AU236" s="1107" t="s">
        <v>1019</v>
      </c>
      <c r="AV236" s="450" t="s">
        <v>16</v>
      </c>
      <c r="AW236" s="451"/>
      <c r="AX236" s="451"/>
      <c r="AY236" s="547" t="s">
        <v>986</v>
      </c>
      <c r="AZ236" s="548" t="s">
        <v>992</v>
      </c>
      <c r="BA236" s="531" t="s">
        <v>990</v>
      </c>
      <c r="BB236" s="568" t="s">
        <v>991</v>
      </c>
      <c r="BC236" s="569" t="s">
        <v>1021</v>
      </c>
      <c r="BD236" s="568" t="s">
        <v>993</v>
      </c>
      <c r="BE236" s="570" t="s">
        <v>1020</v>
      </c>
      <c r="BF236" s="531" t="s">
        <v>994</v>
      </c>
      <c r="BG236" s="531" t="s">
        <v>999</v>
      </c>
      <c r="BI236" s="24" t="s">
        <v>1027</v>
      </c>
      <c r="BJ236" s="450" t="s">
        <v>228</v>
      </c>
      <c r="BK236" s="450" t="s">
        <v>229</v>
      </c>
      <c r="BL236" s="450" t="s">
        <v>230</v>
      </c>
      <c r="BM236" s="450" t="s">
        <v>231</v>
      </c>
      <c r="BN236" s="450" t="s">
        <v>533</v>
      </c>
      <c r="BO236" s="450" t="s">
        <v>534</v>
      </c>
      <c r="BP236" s="450" t="s">
        <v>535</v>
      </c>
      <c r="BQ236" s="450" t="s">
        <v>536</v>
      </c>
      <c r="BS236" s="1383" t="str">
        <f t="shared" ref="BS236:BS267" si="437">AV236</f>
        <v>Jours</v>
      </c>
      <c r="BU236" s="450" t="s">
        <v>228</v>
      </c>
      <c r="BV236" s="450" t="s">
        <v>229</v>
      </c>
      <c r="BW236" s="450" t="s">
        <v>230</v>
      </c>
      <c r="BX236" s="450" t="s">
        <v>231</v>
      </c>
      <c r="BY236" s="450" t="s">
        <v>533</v>
      </c>
      <c r="BZ236" s="450" t="s">
        <v>534</v>
      </c>
      <c r="CA236" s="450" t="s">
        <v>535</v>
      </c>
      <c r="CB236" s="450" t="s">
        <v>536</v>
      </c>
      <c r="CD236" s="1383" t="s">
        <v>1554</v>
      </c>
      <c r="CS236" s="506"/>
      <c r="CT236" s="506"/>
      <c r="CU236" s="506"/>
      <c r="CV236" s="506"/>
      <c r="DG236" s="333" t="s">
        <v>1350</v>
      </c>
      <c r="DH236" s="129" t="s">
        <v>1351</v>
      </c>
      <c r="DI236" s="129" t="s">
        <v>1353</v>
      </c>
      <c r="DK236" s="129" t="s">
        <v>1355</v>
      </c>
      <c r="DU236" s="1383" t="s">
        <v>247</v>
      </c>
      <c r="DV236" s="1383" t="s">
        <v>228</v>
      </c>
      <c r="DW236" s="1383" t="s">
        <v>229</v>
      </c>
      <c r="DX236" s="1383" t="s">
        <v>230</v>
      </c>
      <c r="DY236" s="1383" t="s">
        <v>231</v>
      </c>
      <c r="DZ236" s="1383" t="s">
        <v>533</v>
      </c>
      <c r="EA236" s="1383" t="s">
        <v>534</v>
      </c>
      <c r="EB236" s="1383" t="s">
        <v>535</v>
      </c>
      <c r="EC236" s="1383" t="s">
        <v>536</v>
      </c>
      <c r="ED236" s="1383" t="s">
        <v>191</v>
      </c>
      <c r="EE236" s="1383" t="s">
        <v>192</v>
      </c>
      <c r="EG236" s="1383" t="s">
        <v>1244</v>
      </c>
      <c r="EH236" s="1383" t="s">
        <v>1550</v>
      </c>
      <c r="EI236" s="1383" t="s">
        <v>1551</v>
      </c>
    </row>
    <row r="237" spans="1:145" x14ac:dyDescent="0.2">
      <c r="A237" s="24" t="str">
        <f>Juin!BJ20</f>
        <v>Fiche infoA7</v>
      </c>
      <c r="B237" s="828">
        <f>Juin!AB20</f>
        <v>45809</v>
      </c>
      <c r="C237" s="1393"/>
      <c r="D237" s="998">
        <f t="shared" ref="D237:D267" si="438">IF(AR237&lt;&gt;"",0,IF(DN237=10,0,IFERROR(+IF(BU237="",VLOOKUP(A237,base_horaire,2,FALSE),BU237),0)))</f>
        <v>0</v>
      </c>
      <c r="E237" s="999">
        <f t="shared" ref="E237:E267" si="439">IF(AR237&lt;&gt;"",0,IF(DN237=10,0,IFERROR(+IF(BV237="",VLOOKUP(A237,base_horaire,3,FALSE),BV237),0)))</f>
        <v>0</v>
      </c>
      <c r="F237" s="999">
        <f t="shared" ref="F237:F267" si="440">IF(AR237&lt;&gt;"",0,IF(DN237=10,0,IFERROR(+IF(BW237="",VLOOKUP(A237,base_horaire,4,FALSE),BW237),0)))</f>
        <v>0</v>
      </c>
      <c r="G237" s="999">
        <f t="shared" ref="G237:G267" si="441">IF(AR237&lt;&gt;"",0,IF(DN237=10,0,IFERROR(+IF(BX237="",VLOOKUP(A237,base_horaire,5,FALSE),BX237),0)))</f>
        <v>0</v>
      </c>
      <c r="H237" s="999">
        <f t="shared" ref="H237:H267" si="442">IF(AR237&lt;&gt;"",0,IF(DN237=10,0,IFERROR(+IF(BY237="",VLOOKUP(A237,base_horaire,6,FALSE),BY237),0)))</f>
        <v>0</v>
      </c>
      <c r="I237" s="999">
        <f t="shared" ref="I237:I267" si="443">IF(AR237&lt;&gt;"",0,IF(DN237=10,0,IFERROR(+IF(BZ237="",VLOOKUP(A237,base_horaire,7,FALSE),BZ237),0)))</f>
        <v>0</v>
      </c>
      <c r="J237" s="999">
        <f t="shared" ref="J237:J267" si="444">IF(AR237&lt;&gt;"",0,IF(DN237=10,0,IFERROR(+IF(CA237="",VLOOKUP(A237,base_horaire,8,FALSE),CA237),0)))</f>
        <v>0</v>
      </c>
      <c r="K237" s="999">
        <f t="shared" ref="K237:K267" si="445">IF(AR237&lt;&gt;"",0,IF(DN237=10,0,IFERROR(+IF(CB237="",VLOOKUP(A237,base_horaire,9,FALSE),CB237),0)))</f>
        <v>0</v>
      </c>
      <c r="L237" s="999">
        <f>+E237-D237+G237-F237+I237-H237+K237-J237</f>
        <v>0</v>
      </c>
      <c r="M237" s="1000">
        <f>ROUND(+L237*24,2)</f>
        <v>0</v>
      </c>
      <c r="O237" s="998">
        <f t="shared" ref="O237:O244" si="446">IF(AR237&lt;&gt;"",0,IF(DC237="oui",0,IF(AND(ISTEXT(AT237)=TRUE,BJ237=""),0,IF(BJ237="",D237,BJ237))))</f>
        <v>0</v>
      </c>
      <c r="P237" s="999">
        <f t="shared" ref="P237:P244" si="447">IF(AR237&lt;&gt;"",0,IF(DC237="oui",0,IF(AND(ISTEXT(AT237)=TRUE,BK237=""),0,IF(BK237="",E237,BK237))))</f>
        <v>0</v>
      </c>
      <c r="Q237" s="999">
        <f t="shared" ref="Q237:Q244" si="448">IF(AR237&lt;&gt;"",0,IF(DC237="oui",0,IF(AND(ISTEXT(AT237)=TRUE,BL237=""),0,IF(BL237="",F237,BL237))))</f>
        <v>0</v>
      </c>
      <c r="R237" s="999">
        <f t="shared" ref="R237:R244" si="449">IF(AR237&lt;&gt;"",0,IF(DC237="oui",0,IF(AND(ISTEXT(AT237)=TRUE,BM237=""),0,IF(BM237="",G237,BM237))))</f>
        <v>0</v>
      </c>
      <c r="S237" s="999">
        <f t="shared" ref="S237:S244" si="450">IF(AR237&lt;&gt;"",0,IF(DC237="oui",0,IF(AND(ISTEXT(AT237)=TRUE,BN237=""),0,IF(BN237="",H237,BN237))))</f>
        <v>0</v>
      </c>
      <c r="T237" s="999">
        <f t="shared" ref="T237:T244" si="451">IF(AR237&lt;&gt;"",0,IF(DC237="oui",0,IF(AND(ISTEXT(AT237)=TRUE,BO237=""),0,IF(BO237="",I237,BO237))))</f>
        <v>0</v>
      </c>
      <c r="U237" s="999">
        <f t="shared" ref="U237:U244" si="452">IF(AR237&lt;&gt;"",0,IF(DC237="oui",0,IF(AND(ISTEXT(AT237)=TRUE,BP237=""),0,IF(BP237="",J237,BP237))))</f>
        <v>0</v>
      </c>
      <c r="V237" s="999">
        <f t="shared" ref="V237:V244" si="453">IF(AR237&lt;&gt;"",0,IF(DC237="oui",0,IF(AND(ISTEXT(AT237)=TRUE,BQ237=""),0,IF(BQ237="",K237,BQ237))))</f>
        <v>0</v>
      </c>
      <c r="W237" s="999">
        <f t="shared" ref="W237:W267" si="454">+P237-O237+R237-Q237+T237-S237+V237-U237</f>
        <v>0</v>
      </c>
      <c r="X237" s="1000">
        <f t="shared" ref="X237:X267" si="455">ROUND(+W237*24,2)</f>
        <v>0</v>
      </c>
      <c r="Y237" s="459"/>
      <c r="Z237" s="291">
        <f t="shared" ref="Z237:Z267" si="456">+IF(AND(O237&gt;D237,D237&gt;0),D237,O237)</f>
        <v>0</v>
      </c>
      <c r="AA237" s="291">
        <f t="shared" ref="AA237:AA267" si="457">+IF(P237&gt;E237,P237,E237)</f>
        <v>0</v>
      </c>
      <c r="AB237" s="291">
        <f t="shared" ref="AB237:AB267" si="458">+IF(AND(Q237&gt;F237,F237&gt;0),F237,Q237)</f>
        <v>0</v>
      </c>
      <c r="AC237" s="291">
        <f t="shared" ref="AC237:AC267" si="459">+IF(R237&gt;G237,R237,G237)</f>
        <v>0</v>
      </c>
      <c r="AD237" s="291">
        <f t="shared" ref="AD237:AD267" si="460">+IF(AND(S237&gt;H237,H237&gt;0),H237,S237)</f>
        <v>0</v>
      </c>
      <c r="AE237" s="291">
        <f t="shared" ref="AE237:AE267" si="461">+IF(T237&gt;I237,T237,I237)</f>
        <v>0</v>
      </c>
      <c r="AF237" s="291">
        <f t="shared" ref="AF237:AF267" si="462">+IF(AND(U237&gt;J237,J237&gt;0),J237,U237)</f>
        <v>0</v>
      </c>
      <c r="AG237" s="291">
        <f t="shared" ref="AG237:AG267" si="463">+IF(V237&gt;K237,V237,K237)</f>
        <v>0</v>
      </c>
      <c r="AI237" s="461">
        <f t="shared" ref="AI237:AI244" si="464">IF(DC237="oui",0,IF(AND(ISTEXT(AT237)=TRUE,OR(X237=0,X237="")),0,ROUND(((((AA237-Z237)-(E237-D237))+((AC237-AB237)-(G237-F237))+((AE237-AD237)-(I237-H237))+(AG237-AF237)-(K237-J237))*24),2)))</f>
        <v>0</v>
      </c>
      <c r="AJ237" s="1111"/>
      <c r="AK237" s="507"/>
      <c r="AL237" s="828">
        <f t="shared" ref="AL237:AL267" si="465">B237</f>
        <v>45809</v>
      </c>
      <c r="AM237" s="515">
        <f>IFERROR(IF(AND(AT237="",AR237&lt;&gt;S.CAL!$BJ$3,AR237&lt;&gt;S.CAL!$BJ$4,$AR$230="NON"),M237-BD237,IF(AND(AT237="",AR237&lt;&gt;S.CAL!$BJ$3,AR237&lt;&gt;S.CAL!$BJ$4,$AR$230="OUI"),X237-AI237,IF(AT237&lt;&gt;0,AT237,IF(OR(AR237=S.CAL!$BJ$3,AR237=S.CAL!$BJ$4),AR237,"")))),"")</f>
        <v>0</v>
      </c>
      <c r="AN237" s="1113"/>
      <c r="AO237" s="1114"/>
      <c r="AP237" s="515">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516">
        <f>AI237-SUM(AN237:AO237)</f>
        <v>0</v>
      </c>
      <c r="AR237" s="1119"/>
      <c r="AT237" s="1122"/>
      <c r="AU237" s="831"/>
      <c r="AV237" s="1391">
        <f t="shared" ref="AV237:AV267" si="466">B237</f>
        <v>45809</v>
      </c>
      <c r="AX237" s="529">
        <f>+AV237</f>
        <v>45809</v>
      </c>
      <c r="AY237" s="546">
        <f>+IF(M237-X237&lt;0,0,M237-X237)</f>
        <v>0</v>
      </c>
      <c r="AZ237" s="549" t="s">
        <v>146</v>
      </c>
      <c r="BA237" s="550">
        <f>+IF(AZ237="OUI",AY237,0)</f>
        <v>0</v>
      </c>
      <c r="BB237" s="551" t="str">
        <f t="shared" ref="BB237:BB267" si="467">IF(AND(BE237="",+IFERROR(VLOOKUP(AT237,Liste_motif_formule,5,FALSE),0)="OUI"),"OUI",IF(AND(BE237="",IFERROR(VLOOKUP(AT237,Liste_motif_formule,5,FALSE),0)="NON"),"NON",IF(AND(BE237="",IFERROR(M237-AT237&gt;=0,0),AT237&lt;&gt;""),"OUI",IF(AND(BE237="",DC237="oui"),"OUI",IF(BE237&lt;&gt;"",BE237,"")))))</f>
        <v/>
      </c>
      <c r="BC237" s="546">
        <f>+IF(BB237="OUI",IFERROR(M237-AT237,M237),0)</f>
        <v>0</v>
      </c>
      <c r="BD237" s="546">
        <f>+BC237+BA237</f>
        <v>0</v>
      </c>
      <c r="BE237" s="508"/>
      <c r="BF237" s="532" t="str">
        <f t="shared" ref="BF237:BF267" si="468">+IF(AND(AZ237="OUI",BB237="OUI"),"ERREUR","")</f>
        <v/>
      </c>
      <c r="BG237" s="532" t="str">
        <f>+IF(AND(M237=0,AT237=""),"oui","non")</f>
        <v>oui</v>
      </c>
      <c r="BH237" s="395" t="str">
        <f t="shared" ref="BH237:BH267" si="469">IFERROR(+VLOOKUP(AT237,Liste_motif_formule,4,FALSE),"")</f>
        <v/>
      </c>
      <c r="BI237" s="24" t="str">
        <f t="shared" ref="BI237:BI267" si="470">IFERROR(+VLOOKUP(AT237,Liste_motif_formule,5,FALSE),"")</f>
        <v/>
      </c>
      <c r="BJ237" s="1403"/>
      <c r="BK237" s="1403"/>
      <c r="BL237" s="1403"/>
      <c r="BM237" s="1403"/>
      <c r="BN237" s="1403"/>
      <c r="BO237" s="1403"/>
      <c r="BP237" s="1403"/>
      <c r="BQ237" s="1403"/>
      <c r="BS237" s="1391">
        <f t="shared" si="437"/>
        <v>45809</v>
      </c>
      <c r="BT237" s="27">
        <f>IFERROR(WEEKNUM(BS237,21),"")</f>
        <v>22</v>
      </c>
      <c r="BU237" s="1401"/>
      <c r="BV237" s="1401"/>
      <c r="BW237" s="1401"/>
      <c r="BX237" s="1401"/>
      <c r="BY237" s="1401"/>
      <c r="BZ237" s="1401"/>
      <c r="CA237" s="1401"/>
      <c r="CB237" s="1401"/>
      <c r="CD237" s="1407">
        <f>+M237</f>
        <v>0</v>
      </c>
      <c r="DC237" s="16" t="str">
        <f>Juin!FC20</f>
        <v>non</v>
      </c>
      <c r="DG237" s="333">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96" t="str">
        <f>+A237&amp;B237</f>
        <v>Fiche infoA745809</v>
      </c>
      <c r="DV237" s="1384">
        <f t="shared" ref="DV237:DV267" si="473">+IFERROR(+IF(BU237="",VLOOKUP(A237,base_horaire,2,FALSE),BU237),0)</f>
        <v>0</v>
      </c>
      <c r="DW237" s="1385">
        <f t="shared" ref="DW237:DW267" si="474">+IFERROR(+IF(BV237="",VLOOKUP(A237,base_horaire,3,FALSE),BV237),0)</f>
        <v>0</v>
      </c>
      <c r="DX237" s="1385">
        <f t="shared" ref="DX237:DX267" si="475">+IFERROR(+IF(BW237="",VLOOKUP(A237,base_horaire,4,FALSE),BW237),0)</f>
        <v>0</v>
      </c>
      <c r="DY237" s="1385">
        <f t="shared" ref="DY237:DY267" si="476">+IFERROR(+IF(BX237="",VLOOKUP(A237,base_horaire,5,FALSE),BX237),0)</f>
        <v>0</v>
      </c>
      <c r="DZ237" s="1385">
        <f t="shared" ref="DZ237:DZ267" si="477">+IFERROR(+IF(BY237="",VLOOKUP(A237,base_horaire,6,FALSE),BY237),0)</f>
        <v>0</v>
      </c>
      <c r="EA237" s="1385">
        <f t="shared" ref="EA237:EA267" si="478">IFERROR(+IF(BZ237="",VLOOKUP(A237,base_horaire,7,FALSE),BZ237),0)</f>
        <v>0</v>
      </c>
      <c r="EB237" s="1385">
        <f t="shared" ref="EB237:EB267" si="479">IFERROR(+IF(CA237="",VLOOKUP(A237,base_horaire,8,FALSE),CA237),0)</f>
        <v>0</v>
      </c>
      <c r="EC237" s="1385">
        <f t="shared" ref="EC237:EC267" si="480">IFERROR(+IF(CB237="",VLOOKUP(A237,base_horaire,9,FALSE),CB237),0)</f>
        <v>0</v>
      </c>
      <c r="ED237" s="1385">
        <f>+DW237-DV237+DY237-DX237+EA237-DZ237+EC237-EB237</f>
        <v>0</v>
      </c>
      <c r="EE237" s="1386">
        <f>ROUND(+ED237*24,2)</f>
        <v>0</v>
      </c>
      <c r="EG237" s="16" t="str">
        <f>+WEEKNUM(B237,21)&amp;YEAR(B237)</f>
        <v>222025</v>
      </c>
      <c r="EH237" s="16" t="str">
        <f t="shared" ref="EH237:EH267" si="481">+A237</f>
        <v>Fiche infoA7</v>
      </c>
      <c r="EI237" s="16" t="str">
        <f t="shared" ref="EI237:EI267" si="482">+VLOOKUP(EH237,Base_heures,6,FALSE)</f>
        <v/>
      </c>
    </row>
    <row r="238" spans="1:145" x14ac:dyDescent="0.2">
      <c r="A238" s="1395" t="str">
        <f>Juin!BJ21</f>
        <v>Fiche infoA1</v>
      </c>
      <c r="B238" s="829">
        <f>Juin!AB21</f>
        <v>45810</v>
      </c>
      <c r="C238" s="1394"/>
      <c r="D238" s="1001">
        <f t="shared" si="438"/>
        <v>0</v>
      </c>
      <c r="E238" s="452">
        <f t="shared" si="439"/>
        <v>0</v>
      </c>
      <c r="F238" s="452">
        <f t="shared" si="440"/>
        <v>0</v>
      </c>
      <c r="G238" s="452">
        <f t="shared" si="441"/>
        <v>0</v>
      </c>
      <c r="H238" s="452">
        <f t="shared" si="442"/>
        <v>0</v>
      </c>
      <c r="I238" s="452">
        <f t="shared" si="443"/>
        <v>0</v>
      </c>
      <c r="J238" s="452">
        <f t="shared" si="444"/>
        <v>0</v>
      </c>
      <c r="K238" s="452">
        <f t="shared" si="445"/>
        <v>0</v>
      </c>
      <c r="L238" s="452">
        <f t="shared" ref="L238:L267" si="483">+E238-D238+G238-F238+I238-H238+K238-J238</f>
        <v>0</v>
      </c>
      <c r="M238" s="1002">
        <f t="shared" ref="M238:M267" si="484">ROUND(+L238*24,2)</f>
        <v>0</v>
      </c>
      <c r="N238" s="1396"/>
      <c r="O238" s="1001">
        <f t="shared" si="446"/>
        <v>0</v>
      </c>
      <c r="P238" s="452">
        <f t="shared" si="447"/>
        <v>0</v>
      </c>
      <c r="Q238" s="452">
        <f t="shared" si="448"/>
        <v>0</v>
      </c>
      <c r="R238" s="452">
        <f t="shared" si="449"/>
        <v>0</v>
      </c>
      <c r="S238" s="452">
        <f t="shared" si="450"/>
        <v>0</v>
      </c>
      <c r="T238" s="452">
        <f t="shared" si="451"/>
        <v>0</v>
      </c>
      <c r="U238" s="452">
        <f t="shared" si="452"/>
        <v>0</v>
      </c>
      <c r="V238" s="452">
        <f t="shared" si="453"/>
        <v>0</v>
      </c>
      <c r="W238" s="452">
        <f t="shared" si="454"/>
        <v>0</v>
      </c>
      <c r="X238" s="1002">
        <f t="shared" si="455"/>
        <v>0</v>
      </c>
      <c r="Y238" s="1397"/>
      <c r="Z238" s="1398">
        <f t="shared" si="456"/>
        <v>0</v>
      </c>
      <c r="AA238" s="1398">
        <f t="shared" si="457"/>
        <v>0</v>
      </c>
      <c r="AB238" s="1398">
        <f t="shared" si="458"/>
        <v>0</v>
      </c>
      <c r="AC238" s="1398">
        <f t="shared" si="459"/>
        <v>0</v>
      </c>
      <c r="AD238" s="1398">
        <f t="shared" si="460"/>
        <v>0</v>
      </c>
      <c r="AE238" s="1398">
        <f t="shared" si="461"/>
        <v>0</v>
      </c>
      <c r="AF238" s="1398">
        <f t="shared" si="462"/>
        <v>0</v>
      </c>
      <c r="AG238" s="1398">
        <f t="shared" si="463"/>
        <v>0</v>
      </c>
      <c r="AH238" s="1396"/>
      <c r="AI238" s="462">
        <f t="shared" si="464"/>
        <v>0</v>
      </c>
      <c r="AJ238" s="1112"/>
      <c r="AK238" s="1399"/>
      <c r="AL238" s="829">
        <f t="shared" si="465"/>
        <v>45810</v>
      </c>
      <c r="AM238" s="684">
        <f>IFERROR(IF(AND(AT238="",AR238&lt;&gt;S.CAL!$BJ$3,AR238&lt;&gt;S.CAL!$BJ$4,$AR$230="NON"),M238-BD238,IF(AND(AT238="",AR238&lt;&gt;S.CAL!$BJ$3,AR238&lt;&gt;S.CAL!$BJ$4,$AR$230="OUI"),X238-AI238,IF(AT238&lt;&gt;0,AT238,IF(OR(AR238=S.CAL!$BJ$3,AR238=S.CAL!$BJ$4),AR238,"")))),"")</f>
        <v>0</v>
      </c>
      <c r="AN238" s="1115"/>
      <c r="AO238" s="1116"/>
      <c r="AP238" s="684">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400">
        <f t="shared" ref="AQ238:AQ267" si="485">AI238-SUM(AN238:AO238)</f>
        <v>0</v>
      </c>
      <c r="AR238" s="1120"/>
      <c r="AS238" s="1396"/>
      <c r="AT238" s="1123"/>
      <c r="AU238" s="831"/>
      <c r="AV238" s="1392">
        <f t="shared" si="466"/>
        <v>45810</v>
      </c>
      <c r="AW238" s="1396"/>
      <c r="AX238" s="529">
        <f t="shared" ref="AX238:AX267" si="486">+AV238</f>
        <v>45810</v>
      </c>
      <c r="AY238" s="541">
        <f t="shared" ref="AY238:AY267" si="487">+IF(M238-X238&lt;0,0,M238-X238)</f>
        <v>0</v>
      </c>
      <c r="AZ238" s="538" t="s">
        <v>146</v>
      </c>
      <c r="BA238" s="534">
        <f t="shared" ref="BA238:BA267" si="488">+IF(AZ238="OUI",AY238,0)</f>
        <v>0</v>
      </c>
      <c r="BB238" s="567" t="str">
        <f t="shared" si="467"/>
        <v/>
      </c>
      <c r="BC238" s="541">
        <f t="shared" ref="BC238:BC267" si="489">+IF(BB238="OUI",IFERROR(M238-AT238,M238),0)</f>
        <v>0</v>
      </c>
      <c r="BD238" s="541">
        <f t="shared" ref="BD238:BD267" si="490">+BC238+BA238</f>
        <v>0</v>
      </c>
      <c r="BE238" s="750"/>
      <c r="BF238" s="532" t="str">
        <f t="shared" si="468"/>
        <v/>
      </c>
      <c r="BG238" s="532" t="str">
        <f t="shared" ref="BG238:BG267" si="491">+IF(AND(M238=0,AT238=""),"oui","non")</f>
        <v>oui</v>
      </c>
      <c r="BH238" s="395" t="str">
        <f t="shared" si="469"/>
        <v/>
      </c>
      <c r="BI238" s="24" t="str">
        <f t="shared" si="470"/>
        <v/>
      </c>
      <c r="BJ238" s="1404"/>
      <c r="BK238" s="1404"/>
      <c r="BL238" s="1404"/>
      <c r="BM238" s="1404"/>
      <c r="BN238" s="1404"/>
      <c r="BO238" s="1404"/>
      <c r="BP238" s="1404"/>
      <c r="BQ238" s="1404"/>
      <c r="BR238" s="1405"/>
      <c r="BS238" s="1392">
        <f t="shared" si="437"/>
        <v>45810</v>
      </c>
      <c r="BT238" s="1406">
        <f>IFERROR(IF(WEEKDAY(BS238,11)=1,WEEKNUM(BS238,21),""),"")</f>
        <v>23</v>
      </c>
      <c r="BU238" s="1404"/>
      <c r="BV238" s="1404"/>
      <c r="BW238" s="1404"/>
      <c r="BX238" s="1404"/>
      <c r="BY238" s="1404"/>
      <c r="BZ238" s="1404"/>
      <c r="CA238" s="1404"/>
      <c r="CB238" s="1404"/>
      <c r="CD238" s="1408">
        <f t="shared" ref="CD238:CD267" si="492">+M238</f>
        <v>0</v>
      </c>
      <c r="DC238" s="16" t="str">
        <f>Juin!FC21</f>
        <v>non</v>
      </c>
      <c r="DG238" s="333">
        <f t="shared" ref="DG238:DG267" si="493">IF(OR(AT238=0,AT238=""),1,10)</f>
        <v>1</v>
      </c>
      <c r="DH238" s="129">
        <f t="shared" si="471"/>
        <v>10</v>
      </c>
      <c r="DI238" s="129">
        <f t="shared" ref="DI238:DI267" si="494">+IF(OR(DG238=1,DH238=1),1,10)</f>
        <v>1</v>
      </c>
      <c r="DK238" s="16">
        <f>+IF(AND(Juin!$DP$8&lt;&gt;52,AR238=S.CAL!$BJ$4),10,1)</f>
        <v>1</v>
      </c>
      <c r="DN238" s="16">
        <f t="shared" si="472"/>
        <v>1</v>
      </c>
      <c r="DU238" s="1296" t="str">
        <f t="shared" ref="DU238:DU267" si="495">+A238&amp;B238</f>
        <v>Fiche infoA145810</v>
      </c>
      <c r="DV238" s="1384">
        <f t="shared" si="473"/>
        <v>0</v>
      </c>
      <c r="DW238" s="1385">
        <f t="shared" si="474"/>
        <v>0</v>
      </c>
      <c r="DX238" s="1385">
        <f t="shared" si="475"/>
        <v>0</v>
      </c>
      <c r="DY238" s="1385">
        <f t="shared" si="476"/>
        <v>0</v>
      </c>
      <c r="DZ238" s="1385">
        <f t="shared" si="477"/>
        <v>0</v>
      </c>
      <c r="EA238" s="1385">
        <f t="shared" si="478"/>
        <v>0</v>
      </c>
      <c r="EB238" s="1385">
        <f t="shared" si="479"/>
        <v>0</v>
      </c>
      <c r="EC238" s="1385">
        <f t="shared" si="480"/>
        <v>0</v>
      </c>
      <c r="ED238" s="1385">
        <f t="shared" ref="ED238:ED267" si="496">+DW238-DV238+DY238-DX238+EA238-DZ238+EC238-EB238</f>
        <v>0</v>
      </c>
      <c r="EE238" s="1386">
        <f t="shared" ref="EE238:EE267" si="497">ROUND(+ED238*24,2)</f>
        <v>0</v>
      </c>
      <c r="EG238" s="16" t="str">
        <f t="shared" ref="EG238:EG267" si="498">+WEEKNUM(B238,21)&amp;YEAR(B238)</f>
        <v>232025</v>
      </c>
      <c r="EH238" s="16" t="str">
        <f t="shared" si="481"/>
        <v>Fiche infoA1</v>
      </c>
      <c r="EI238" s="16" t="str">
        <f t="shared" si="482"/>
        <v/>
      </c>
    </row>
    <row r="239" spans="1:145" x14ac:dyDescent="0.2">
      <c r="A239" s="24" t="str">
        <f>Juin!BJ22</f>
        <v>Fiche infoA2</v>
      </c>
      <c r="B239" s="829">
        <f>Juin!AB22</f>
        <v>45811</v>
      </c>
      <c r="C239" s="1393"/>
      <c r="D239" s="1001">
        <f t="shared" si="438"/>
        <v>0</v>
      </c>
      <c r="E239" s="452">
        <f t="shared" si="439"/>
        <v>0</v>
      </c>
      <c r="F239" s="452">
        <f t="shared" si="440"/>
        <v>0</v>
      </c>
      <c r="G239" s="452">
        <f t="shared" si="441"/>
        <v>0</v>
      </c>
      <c r="H239" s="452">
        <f t="shared" si="442"/>
        <v>0</v>
      </c>
      <c r="I239" s="452">
        <f t="shared" si="443"/>
        <v>0</v>
      </c>
      <c r="J239" s="452">
        <f t="shared" si="444"/>
        <v>0</v>
      </c>
      <c r="K239" s="452">
        <f t="shared" si="445"/>
        <v>0</v>
      </c>
      <c r="L239" s="452">
        <f t="shared" si="483"/>
        <v>0</v>
      </c>
      <c r="M239" s="1002">
        <f t="shared" si="484"/>
        <v>0</v>
      </c>
      <c r="O239" s="1001">
        <f t="shared" si="446"/>
        <v>0</v>
      </c>
      <c r="P239" s="452">
        <f t="shared" si="447"/>
        <v>0</v>
      </c>
      <c r="Q239" s="452">
        <f t="shared" si="448"/>
        <v>0</v>
      </c>
      <c r="R239" s="452">
        <f t="shared" si="449"/>
        <v>0</v>
      </c>
      <c r="S239" s="452">
        <f t="shared" si="450"/>
        <v>0</v>
      </c>
      <c r="T239" s="452">
        <f t="shared" si="451"/>
        <v>0</v>
      </c>
      <c r="U239" s="452">
        <f t="shared" si="452"/>
        <v>0</v>
      </c>
      <c r="V239" s="452">
        <f t="shared" si="453"/>
        <v>0</v>
      </c>
      <c r="W239" s="452">
        <f t="shared" si="454"/>
        <v>0</v>
      </c>
      <c r="X239" s="1002">
        <f t="shared" si="455"/>
        <v>0</v>
      </c>
      <c r="Y239" s="459"/>
      <c r="Z239" s="291">
        <f t="shared" si="456"/>
        <v>0</v>
      </c>
      <c r="AA239" s="291">
        <f t="shared" si="457"/>
        <v>0</v>
      </c>
      <c r="AB239" s="291">
        <f t="shared" si="458"/>
        <v>0</v>
      </c>
      <c r="AC239" s="291">
        <f t="shared" si="459"/>
        <v>0</v>
      </c>
      <c r="AD239" s="291">
        <f t="shared" si="460"/>
        <v>0</v>
      </c>
      <c r="AE239" s="291">
        <f t="shared" si="461"/>
        <v>0</v>
      </c>
      <c r="AF239" s="291">
        <f t="shared" si="462"/>
        <v>0</v>
      </c>
      <c r="AG239" s="291">
        <f t="shared" si="463"/>
        <v>0</v>
      </c>
      <c r="AI239" s="462">
        <f t="shared" si="464"/>
        <v>0</v>
      </c>
      <c r="AJ239" s="1112"/>
      <c r="AK239" s="507"/>
      <c r="AL239" s="829">
        <f t="shared" si="465"/>
        <v>45811</v>
      </c>
      <c r="AM239" s="684">
        <f>IFERROR(IF(AND(AT239="",AR239&lt;&gt;S.CAL!$BJ$3,AR239&lt;&gt;S.CAL!$BJ$4,$AR$230="NON"),M239-BD239,IF(AND(AT239="",AR239&lt;&gt;S.CAL!$BJ$3,AR239&lt;&gt;S.CAL!$BJ$4,$AR$230="OUI"),X239-AI239,IF(AT239&lt;&gt;0,AT239,IF(OR(AR239=S.CAL!$BJ$3,AR239=S.CAL!$BJ$4),AR239,"")))),"")</f>
        <v>0</v>
      </c>
      <c r="AN239" s="1115"/>
      <c r="AO239" s="1116"/>
      <c r="AP239" s="684">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516">
        <f t="shared" si="485"/>
        <v>0</v>
      </c>
      <c r="AR239" s="1120"/>
      <c r="AT239" s="1123"/>
      <c r="AU239" s="831"/>
      <c r="AV239" s="1392">
        <f t="shared" si="466"/>
        <v>45811</v>
      </c>
      <c r="AX239" s="529">
        <f t="shared" si="486"/>
        <v>45811</v>
      </c>
      <c r="AY239" s="541">
        <f t="shared" si="487"/>
        <v>0</v>
      </c>
      <c r="AZ239" s="538" t="s">
        <v>146</v>
      </c>
      <c r="BA239" s="534">
        <f t="shared" si="488"/>
        <v>0</v>
      </c>
      <c r="BB239" s="567" t="str">
        <f t="shared" si="467"/>
        <v/>
      </c>
      <c r="BC239" s="541">
        <f t="shared" si="489"/>
        <v>0</v>
      </c>
      <c r="BD239" s="541">
        <f t="shared" si="490"/>
        <v>0</v>
      </c>
      <c r="BE239" s="750"/>
      <c r="BF239" s="532" t="str">
        <f t="shared" si="468"/>
        <v/>
      </c>
      <c r="BG239" s="532" t="str">
        <f t="shared" si="491"/>
        <v>oui</v>
      </c>
      <c r="BH239" s="395" t="str">
        <f t="shared" si="469"/>
        <v/>
      </c>
      <c r="BI239" s="24" t="str">
        <f t="shared" si="470"/>
        <v/>
      </c>
      <c r="BJ239" s="1403"/>
      <c r="BK239" s="1403"/>
      <c r="BL239" s="1403"/>
      <c r="BM239" s="1403"/>
      <c r="BN239" s="1403"/>
      <c r="BO239" s="1403"/>
      <c r="BP239" s="1403"/>
      <c r="BQ239" s="1403"/>
      <c r="BS239" s="1392">
        <f t="shared" si="437"/>
        <v>45811</v>
      </c>
      <c r="BT239" s="27" t="str">
        <f t="shared" ref="BT239:BT267" si="499">IFERROR(IF(WEEKDAY(BS239,11)=1,WEEKNUM(BS239,21),""),"")</f>
        <v/>
      </c>
      <c r="BU239" s="1402"/>
      <c r="BV239" s="1402"/>
      <c r="BW239" s="1402"/>
      <c r="BX239" s="1402"/>
      <c r="BY239" s="1402"/>
      <c r="BZ239" s="1402"/>
      <c r="CA239" s="1402"/>
      <c r="CB239" s="1402"/>
      <c r="CD239" s="1408">
        <f t="shared" si="492"/>
        <v>0</v>
      </c>
      <c r="DC239" s="16" t="str">
        <f>Juin!FC22</f>
        <v>non</v>
      </c>
      <c r="DG239" s="333">
        <f t="shared" si="493"/>
        <v>1</v>
      </c>
      <c r="DH239" s="129">
        <f t="shared" si="471"/>
        <v>10</v>
      </c>
      <c r="DI239" s="129">
        <f t="shared" si="494"/>
        <v>1</v>
      </c>
      <c r="DK239" s="16">
        <f>+IF(AND(Juin!$DP$8&lt;&gt;52,AR239=S.CAL!$BJ$4),10,1)</f>
        <v>1</v>
      </c>
      <c r="DN239" s="16">
        <f t="shared" si="472"/>
        <v>1</v>
      </c>
      <c r="DU239" s="1296" t="str">
        <f t="shared" si="495"/>
        <v>Fiche infoA245811</v>
      </c>
      <c r="DV239" s="1384">
        <f t="shared" si="473"/>
        <v>0</v>
      </c>
      <c r="DW239" s="1385">
        <f t="shared" si="474"/>
        <v>0</v>
      </c>
      <c r="DX239" s="1385">
        <f t="shared" si="475"/>
        <v>0</v>
      </c>
      <c r="DY239" s="1385">
        <f t="shared" si="476"/>
        <v>0</v>
      </c>
      <c r="DZ239" s="1385">
        <f t="shared" si="477"/>
        <v>0</v>
      </c>
      <c r="EA239" s="1385">
        <f t="shared" si="478"/>
        <v>0</v>
      </c>
      <c r="EB239" s="1385">
        <f t="shared" si="479"/>
        <v>0</v>
      </c>
      <c r="EC239" s="1385">
        <f t="shared" si="480"/>
        <v>0</v>
      </c>
      <c r="ED239" s="1385">
        <f t="shared" si="496"/>
        <v>0</v>
      </c>
      <c r="EE239" s="1386">
        <f t="shared" si="497"/>
        <v>0</v>
      </c>
      <c r="EG239" s="16" t="str">
        <f t="shared" si="498"/>
        <v>232025</v>
      </c>
      <c r="EH239" s="16" t="str">
        <f t="shared" si="481"/>
        <v>Fiche infoA2</v>
      </c>
      <c r="EI239" s="16" t="str">
        <f t="shared" si="482"/>
        <v/>
      </c>
    </row>
    <row r="240" spans="1:145" x14ac:dyDescent="0.2">
      <c r="A240" s="1395" t="str">
        <f>Juin!BJ23</f>
        <v>Fiche infoA3</v>
      </c>
      <c r="B240" s="829">
        <f>Juin!AB23</f>
        <v>45812</v>
      </c>
      <c r="C240" s="1394"/>
      <c r="D240" s="1001">
        <f t="shared" si="438"/>
        <v>0</v>
      </c>
      <c r="E240" s="452">
        <f t="shared" si="439"/>
        <v>0</v>
      </c>
      <c r="F240" s="452">
        <f t="shared" si="440"/>
        <v>0</v>
      </c>
      <c r="G240" s="452">
        <f t="shared" si="441"/>
        <v>0</v>
      </c>
      <c r="H240" s="452">
        <f t="shared" si="442"/>
        <v>0</v>
      </c>
      <c r="I240" s="452">
        <f t="shared" si="443"/>
        <v>0</v>
      </c>
      <c r="J240" s="452">
        <f t="shared" si="444"/>
        <v>0</v>
      </c>
      <c r="K240" s="452">
        <f t="shared" si="445"/>
        <v>0</v>
      </c>
      <c r="L240" s="452">
        <f t="shared" si="483"/>
        <v>0</v>
      </c>
      <c r="M240" s="1002">
        <f t="shared" si="484"/>
        <v>0</v>
      </c>
      <c r="N240" s="1396"/>
      <c r="O240" s="1001">
        <f t="shared" si="446"/>
        <v>0</v>
      </c>
      <c r="P240" s="452">
        <f t="shared" si="447"/>
        <v>0</v>
      </c>
      <c r="Q240" s="452">
        <f t="shared" si="448"/>
        <v>0</v>
      </c>
      <c r="R240" s="452">
        <f t="shared" si="449"/>
        <v>0</v>
      </c>
      <c r="S240" s="452">
        <f t="shared" si="450"/>
        <v>0</v>
      </c>
      <c r="T240" s="452">
        <f t="shared" si="451"/>
        <v>0</v>
      </c>
      <c r="U240" s="452">
        <f t="shared" si="452"/>
        <v>0</v>
      </c>
      <c r="V240" s="452">
        <f t="shared" si="453"/>
        <v>0</v>
      </c>
      <c r="W240" s="452">
        <f t="shared" si="454"/>
        <v>0</v>
      </c>
      <c r="X240" s="1002">
        <f t="shared" si="455"/>
        <v>0</v>
      </c>
      <c r="Y240" s="1397"/>
      <c r="Z240" s="1398">
        <f t="shared" si="456"/>
        <v>0</v>
      </c>
      <c r="AA240" s="1398">
        <f t="shared" si="457"/>
        <v>0</v>
      </c>
      <c r="AB240" s="1398">
        <f t="shared" si="458"/>
        <v>0</v>
      </c>
      <c r="AC240" s="1398">
        <f t="shared" si="459"/>
        <v>0</v>
      </c>
      <c r="AD240" s="1398">
        <f t="shared" si="460"/>
        <v>0</v>
      </c>
      <c r="AE240" s="1398">
        <f t="shared" si="461"/>
        <v>0</v>
      </c>
      <c r="AF240" s="1398">
        <f t="shared" si="462"/>
        <v>0</v>
      </c>
      <c r="AG240" s="1398">
        <f t="shared" si="463"/>
        <v>0</v>
      </c>
      <c r="AH240" s="1396"/>
      <c r="AI240" s="462">
        <f t="shared" si="464"/>
        <v>0</v>
      </c>
      <c r="AJ240" s="1112"/>
      <c r="AK240" s="1399"/>
      <c r="AL240" s="829">
        <f t="shared" si="465"/>
        <v>45812</v>
      </c>
      <c r="AM240" s="684">
        <f>IFERROR(IF(AND(AT240="",AR240&lt;&gt;S.CAL!$BJ$3,AR240&lt;&gt;S.CAL!$BJ$4,$AR$230="NON"),M240-BD240,IF(AND(AT240="",AR240&lt;&gt;S.CAL!$BJ$3,AR240&lt;&gt;S.CAL!$BJ$4,$AR$230="OUI"),X240-AI240,IF(AT240&lt;&gt;0,AT240,IF(OR(AR240=S.CAL!$BJ$3,AR240=S.CAL!$BJ$4),AR240,"")))),"")</f>
        <v>0</v>
      </c>
      <c r="AN240" s="1115"/>
      <c r="AO240" s="1116"/>
      <c r="AP240" s="684">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400">
        <f t="shared" si="485"/>
        <v>0</v>
      </c>
      <c r="AR240" s="1120"/>
      <c r="AS240" s="1396"/>
      <c r="AT240" s="1123"/>
      <c r="AU240" s="831"/>
      <c r="AV240" s="1392">
        <f t="shared" si="466"/>
        <v>45812</v>
      </c>
      <c r="AW240" s="1396"/>
      <c r="AX240" s="529">
        <f t="shared" si="486"/>
        <v>45812</v>
      </c>
      <c r="AY240" s="541">
        <f t="shared" si="487"/>
        <v>0</v>
      </c>
      <c r="AZ240" s="538" t="s">
        <v>146</v>
      </c>
      <c r="BA240" s="534">
        <f t="shared" si="488"/>
        <v>0</v>
      </c>
      <c r="BB240" s="567" t="str">
        <f t="shared" si="467"/>
        <v/>
      </c>
      <c r="BC240" s="541">
        <f t="shared" si="489"/>
        <v>0</v>
      </c>
      <c r="BD240" s="541">
        <f t="shared" si="490"/>
        <v>0</v>
      </c>
      <c r="BE240" s="750"/>
      <c r="BF240" s="532" t="str">
        <f t="shared" si="468"/>
        <v/>
      </c>
      <c r="BG240" s="532" t="str">
        <f t="shared" si="491"/>
        <v>oui</v>
      </c>
      <c r="BH240" s="395" t="str">
        <f t="shared" si="469"/>
        <v/>
      </c>
      <c r="BI240" s="24" t="str">
        <f t="shared" si="470"/>
        <v/>
      </c>
      <c r="BJ240" s="1404"/>
      <c r="BK240" s="1404"/>
      <c r="BL240" s="1404"/>
      <c r="BM240" s="1404"/>
      <c r="BN240" s="1404"/>
      <c r="BO240" s="1404"/>
      <c r="BP240" s="1404"/>
      <c r="BQ240" s="1404"/>
      <c r="BR240" s="1405"/>
      <c r="BS240" s="1392">
        <f t="shared" si="437"/>
        <v>45812</v>
      </c>
      <c r="BT240" s="1406" t="str">
        <f t="shared" si="499"/>
        <v/>
      </c>
      <c r="BU240" s="1404"/>
      <c r="BV240" s="1404"/>
      <c r="BW240" s="1404"/>
      <c r="BX240" s="1404"/>
      <c r="BY240" s="1404"/>
      <c r="BZ240" s="1404"/>
      <c r="CA240" s="1404"/>
      <c r="CB240" s="1404"/>
      <c r="CD240" s="1408">
        <f t="shared" si="492"/>
        <v>0</v>
      </c>
      <c r="DC240" s="16" t="str">
        <f>Juin!FC23</f>
        <v>non</v>
      </c>
      <c r="DG240" s="333">
        <f t="shared" si="493"/>
        <v>1</v>
      </c>
      <c r="DH240" s="129">
        <f t="shared" si="471"/>
        <v>10</v>
      </c>
      <c r="DI240" s="129">
        <f t="shared" si="494"/>
        <v>1</v>
      </c>
      <c r="DK240" s="16">
        <f>+IF(AND(Juin!$DP$8&lt;&gt;52,AR240=S.CAL!$BJ$4),10,1)</f>
        <v>1</v>
      </c>
      <c r="DN240" s="16">
        <f t="shared" si="472"/>
        <v>1</v>
      </c>
      <c r="DU240" s="1296" t="str">
        <f t="shared" si="495"/>
        <v>Fiche infoA345812</v>
      </c>
      <c r="DV240" s="1384">
        <f t="shared" si="473"/>
        <v>0</v>
      </c>
      <c r="DW240" s="1385">
        <f t="shared" si="474"/>
        <v>0</v>
      </c>
      <c r="DX240" s="1385">
        <f t="shared" si="475"/>
        <v>0</v>
      </c>
      <c r="DY240" s="1385">
        <f t="shared" si="476"/>
        <v>0</v>
      </c>
      <c r="DZ240" s="1385">
        <f t="shared" si="477"/>
        <v>0</v>
      </c>
      <c r="EA240" s="1385">
        <f t="shared" si="478"/>
        <v>0</v>
      </c>
      <c r="EB240" s="1385">
        <f t="shared" si="479"/>
        <v>0</v>
      </c>
      <c r="EC240" s="1385">
        <f t="shared" si="480"/>
        <v>0</v>
      </c>
      <c r="ED240" s="1385">
        <f t="shared" si="496"/>
        <v>0</v>
      </c>
      <c r="EE240" s="1386">
        <f t="shared" si="497"/>
        <v>0</v>
      </c>
      <c r="EG240" s="16" t="str">
        <f t="shared" si="498"/>
        <v>232025</v>
      </c>
      <c r="EH240" s="16" t="str">
        <f t="shared" si="481"/>
        <v>Fiche infoA3</v>
      </c>
      <c r="EI240" s="16" t="str">
        <f t="shared" si="482"/>
        <v/>
      </c>
    </row>
    <row r="241" spans="1:139" x14ac:dyDescent="0.2">
      <c r="A241" s="24" t="str">
        <f>Juin!BJ24</f>
        <v>Fiche infoA4</v>
      </c>
      <c r="B241" s="829">
        <f>Juin!AB24</f>
        <v>45813</v>
      </c>
      <c r="C241" s="1393"/>
      <c r="D241" s="1001">
        <f t="shared" si="438"/>
        <v>0</v>
      </c>
      <c r="E241" s="452">
        <f t="shared" si="439"/>
        <v>0</v>
      </c>
      <c r="F241" s="452">
        <f t="shared" si="440"/>
        <v>0</v>
      </c>
      <c r="G241" s="452">
        <f t="shared" si="441"/>
        <v>0</v>
      </c>
      <c r="H241" s="452">
        <f t="shared" si="442"/>
        <v>0</v>
      </c>
      <c r="I241" s="452">
        <f t="shared" si="443"/>
        <v>0</v>
      </c>
      <c r="J241" s="452">
        <f t="shared" si="444"/>
        <v>0</v>
      </c>
      <c r="K241" s="452">
        <f t="shared" si="445"/>
        <v>0</v>
      </c>
      <c r="L241" s="452">
        <f t="shared" si="483"/>
        <v>0</v>
      </c>
      <c r="M241" s="1002">
        <f t="shared" si="484"/>
        <v>0</v>
      </c>
      <c r="O241" s="1001">
        <f t="shared" si="446"/>
        <v>0</v>
      </c>
      <c r="P241" s="452">
        <f t="shared" si="447"/>
        <v>0</v>
      </c>
      <c r="Q241" s="452">
        <f t="shared" si="448"/>
        <v>0</v>
      </c>
      <c r="R241" s="452">
        <f t="shared" si="449"/>
        <v>0</v>
      </c>
      <c r="S241" s="452">
        <f t="shared" si="450"/>
        <v>0</v>
      </c>
      <c r="T241" s="452">
        <f t="shared" si="451"/>
        <v>0</v>
      </c>
      <c r="U241" s="452">
        <f t="shared" si="452"/>
        <v>0</v>
      </c>
      <c r="V241" s="452">
        <f t="shared" si="453"/>
        <v>0</v>
      </c>
      <c r="W241" s="452">
        <f t="shared" si="454"/>
        <v>0</v>
      </c>
      <c r="X241" s="1002">
        <f t="shared" si="455"/>
        <v>0</v>
      </c>
      <c r="Y241" s="459"/>
      <c r="Z241" s="291">
        <f t="shared" si="456"/>
        <v>0</v>
      </c>
      <c r="AA241" s="291">
        <f t="shared" si="457"/>
        <v>0</v>
      </c>
      <c r="AB241" s="291">
        <f t="shared" si="458"/>
        <v>0</v>
      </c>
      <c r="AC241" s="291">
        <f t="shared" si="459"/>
        <v>0</v>
      </c>
      <c r="AD241" s="291">
        <f t="shared" si="460"/>
        <v>0</v>
      </c>
      <c r="AE241" s="291">
        <f t="shared" si="461"/>
        <v>0</v>
      </c>
      <c r="AF241" s="291">
        <f t="shared" si="462"/>
        <v>0</v>
      </c>
      <c r="AG241" s="291">
        <f t="shared" si="463"/>
        <v>0</v>
      </c>
      <c r="AI241" s="462">
        <f t="shared" si="464"/>
        <v>0</v>
      </c>
      <c r="AJ241" s="1112"/>
      <c r="AK241" s="507"/>
      <c r="AL241" s="829">
        <f t="shared" si="465"/>
        <v>45813</v>
      </c>
      <c r="AM241" s="684">
        <f>IFERROR(IF(AND(AT241="",AR241&lt;&gt;S.CAL!$BJ$3,AR241&lt;&gt;S.CAL!$BJ$4,$AR$230="NON"),M241-BD241,IF(AND(AT241="",AR241&lt;&gt;S.CAL!$BJ$3,AR241&lt;&gt;S.CAL!$BJ$4,$AR$230="OUI"),X241-AI241,IF(AT241&lt;&gt;0,AT241,IF(OR(AR241=S.CAL!$BJ$3,AR241=S.CAL!$BJ$4),AR241,"")))),"")</f>
        <v>0</v>
      </c>
      <c r="AN241" s="1115"/>
      <c r="AO241" s="1116"/>
      <c r="AP241" s="684">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516">
        <f t="shared" si="485"/>
        <v>0</v>
      </c>
      <c r="AR241" s="1120"/>
      <c r="AT241" s="1123"/>
      <c r="AU241" s="831"/>
      <c r="AV241" s="1392">
        <f t="shared" si="466"/>
        <v>45813</v>
      </c>
      <c r="AX241" s="529">
        <f t="shared" si="486"/>
        <v>45813</v>
      </c>
      <c r="AY241" s="541">
        <f t="shared" si="487"/>
        <v>0</v>
      </c>
      <c r="AZ241" s="538" t="s">
        <v>146</v>
      </c>
      <c r="BA241" s="534">
        <f t="shared" si="488"/>
        <v>0</v>
      </c>
      <c r="BB241" s="567" t="str">
        <f t="shared" si="467"/>
        <v/>
      </c>
      <c r="BC241" s="541">
        <f t="shared" si="489"/>
        <v>0</v>
      </c>
      <c r="BD241" s="541">
        <f t="shared" si="490"/>
        <v>0</v>
      </c>
      <c r="BE241" s="750"/>
      <c r="BF241" s="532" t="str">
        <f t="shared" si="468"/>
        <v/>
      </c>
      <c r="BG241" s="532" t="str">
        <f t="shared" si="491"/>
        <v>oui</v>
      </c>
      <c r="BH241" s="395" t="str">
        <f t="shared" si="469"/>
        <v/>
      </c>
      <c r="BI241" s="24" t="str">
        <f t="shared" si="470"/>
        <v/>
      </c>
      <c r="BJ241" s="1403"/>
      <c r="BK241" s="1403"/>
      <c r="BL241" s="1403"/>
      <c r="BM241" s="1403"/>
      <c r="BN241" s="1403"/>
      <c r="BO241" s="1403"/>
      <c r="BP241" s="1403"/>
      <c r="BQ241" s="1403"/>
      <c r="BS241" s="1392">
        <f t="shared" si="437"/>
        <v>45813</v>
      </c>
      <c r="BT241" s="27" t="str">
        <f t="shared" si="499"/>
        <v/>
      </c>
      <c r="BU241" s="1402"/>
      <c r="BV241" s="1402"/>
      <c r="BW241" s="1402"/>
      <c r="BX241" s="1402"/>
      <c r="BY241" s="1402"/>
      <c r="BZ241" s="1402"/>
      <c r="CA241" s="1402"/>
      <c r="CB241" s="1402"/>
      <c r="CD241" s="1408">
        <f t="shared" si="492"/>
        <v>0</v>
      </c>
      <c r="DC241" s="16" t="str">
        <f>Juin!FC24</f>
        <v>non</v>
      </c>
      <c r="DG241" s="333">
        <f t="shared" si="493"/>
        <v>1</v>
      </c>
      <c r="DH241" s="129">
        <f t="shared" si="471"/>
        <v>10</v>
      </c>
      <c r="DI241" s="129">
        <f t="shared" si="494"/>
        <v>1</v>
      </c>
      <c r="DK241" s="16">
        <f>+IF(AND(Juin!$DP$8&lt;&gt;52,AR241=S.CAL!$BJ$4),10,1)</f>
        <v>1</v>
      </c>
      <c r="DN241" s="16">
        <f t="shared" si="472"/>
        <v>1</v>
      </c>
      <c r="DU241" s="1296" t="str">
        <f t="shared" si="495"/>
        <v>Fiche infoA445813</v>
      </c>
      <c r="DV241" s="1384">
        <f t="shared" si="473"/>
        <v>0</v>
      </c>
      <c r="DW241" s="1385">
        <f t="shared" si="474"/>
        <v>0</v>
      </c>
      <c r="DX241" s="1385">
        <f t="shared" si="475"/>
        <v>0</v>
      </c>
      <c r="DY241" s="1385">
        <f t="shared" si="476"/>
        <v>0</v>
      </c>
      <c r="DZ241" s="1385">
        <f t="shared" si="477"/>
        <v>0</v>
      </c>
      <c r="EA241" s="1385">
        <f t="shared" si="478"/>
        <v>0</v>
      </c>
      <c r="EB241" s="1385">
        <f t="shared" si="479"/>
        <v>0</v>
      </c>
      <c r="EC241" s="1385">
        <f t="shared" si="480"/>
        <v>0</v>
      </c>
      <c r="ED241" s="1385">
        <f t="shared" si="496"/>
        <v>0</v>
      </c>
      <c r="EE241" s="1386">
        <f t="shared" si="497"/>
        <v>0</v>
      </c>
      <c r="EG241" s="16" t="str">
        <f t="shared" si="498"/>
        <v>232025</v>
      </c>
      <c r="EH241" s="16" t="str">
        <f t="shared" si="481"/>
        <v>Fiche infoA4</v>
      </c>
      <c r="EI241" s="16" t="str">
        <f t="shared" si="482"/>
        <v/>
      </c>
    </row>
    <row r="242" spans="1:139" x14ac:dyDescent="0.2">
      <c r="A242" s="1395" t="str">
        <f>Juin!BJ25</f>
        <v>Fiche infoA5</v>
      </c>
      <c r="B242" s="829">
        <f>Juin!AB25</f>
        <v>45814</v>
      </c>
      <c r="C242" s="1394"/>
      <c r="D242" s="1001">
        <f t="shared" si="438"/>
        <v>0</v>
      </c>
      <c r="E242" s="452">
        <f t="shared" si="439"/>
        <v>0</v>
      </c>
      <c r="F242" s="452">
        <f t="shared" si="440"/>
        <v>0</v>
      </c>
      <c r="G242" s="452">
        <f t="shared" si="441"/>
        <v>0</v>
      </c>
      <c r="H242" s="452">
        <f t="shared" si="442"/>
        <v>0</v>
      </c>
      <c r="I242" s="452">
        <f t="shared" si="443"/>
        <v>0</v>
      </c>
      <c r="J242" s="452">
        <f t="shared" si="444"/>
        <v>0</v>
      </c>
      <c r="K242" s="452">
        <f t="shared" si="445"/>
        <v>0</v>
      </c>
      <c r="L242" s="452">
        <f t="shared" si="483"/>
        <v>0</v>
      </c>
      <c r="M242" s="1002">
        <f t="shared" si="484"/>
        <v>0</v>
      </c>
      <c r="N242" s="1396"/>
      <c r="O242" s="1001">
        <f t="shared" si="446"/>
        <v>0</v>
      </c>
      <c r="P242" s="452">
        <f t="shared" si="447"/>
        <v>0</v>
      </c>
      <c r="Q242" s="452">
        <f t="shared" si="448"/>
        <v>0</v>
      </c>
      <c r="R242" s="452">
        <f t="shared" si="449"/>
        <v>0</v>
      </c>
      <c r="S242" s="452">
        <f t="shared" si="450"/>
        <v>0</v>
      </c>
      <c r="T242" s="452">
        <f t="shared" si="451"/>
        <v>0</v>
      </c>
      <c r="U242" s="452">
        <f t="shared" si="452"/>
        <v>0</v>
      </c>
      <c r="V242" s="452">
        <f t="shared" si="453"/>
        <v>0</v>
      </c>
      <c r="W242" s="452">
        <f t="shared" si="454"/>
        <v>0</v>
      </c>
      <c r="X242" s="1002">
        <f t="shared" si="455"/>
        <v>0</v>
      </c>
      <c r="Y242" s="1397"/>
      <c r="Z242" s="1398">
        <f t="shared" si="456"/>
        <v>0</v>
      </c>
      <c r="AA242" s="1398">
        <f t="shared" si="457"/>
        <v>0</v>
      </c>
      <c r="AB242" s="1398">
        <f t="shared" si="458"/>
        <v>0</v>
      </c>
      <c r="AC242" s="1398">
        <f t="shared" si="459"/>
        <v>0</v>
      </c>
      <c r="AD242" s="1398">
        <f t="shared" si="460"/>
        <v>0</v>
      </c>
      <c r="AE242" s="1398">
        <f t="shared" si="461"/>
        <v>0</v>
      </c>
      <c r="AF242" s="1398">
        <f t="shared" si="462"/>
        <v>0</v>
      </c>
      <c r="AG242" s="1398">
        <f t="shared" si="463"/>
        <v>0</v>
      </c>
      <c r="AH242" s="1396"/>
      <c r="AI242" s="462">
        <f t="shared" si="464"/>
        <v>0</v>
      </c>
      <c r="AJ242" s="1112"/>
      <c r="AK242" s="1399"/>
      <c r="AL242" s="829">
        <f t="shared" si="465"/>
        <v>45814</v>
      </c>
      <c r="AM242" s="684">
        <f>IFERROR(IF(AND(AT242="",AR242&lt;&gt;S.CAL!$BJ$3,AR242&lt;&gt;S.CAL!$BJ$4,$AR$230="NON"),M242-BD242,IF(AND(AT242="",AR242&lt;&gt;S.CAL!$BJ$3,AR242&lt;&gt;S.CAL!$BJ$4,$AR$230="OUI"),X242-AI242,IF(AT242&lt;&gt;0,AT242,IF(OR(AR242=S.CAL!$BJ$3,AR242=S.CAL!$BJ$4),AR242,"")))),"")</f>
        <v>0</v>
      </c>
      <c r="AN242" s="1115"/>
      <c r="AO242" s="1116"/>
      <c r="AP242" s="684">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400">
        <f t="shared" si="485"/>
        <v>0</v>
      </c>
      <c r="AR242" s="1120"/>
      <c r="AS242" s="1396"/>
      <c r="AT242" s="1123"/>
      <c r="AU242" s="831"/>
      <c r="AV242" s="1392">
        <f t="shared" si="466"/>
        <v>45814</v>
      </c>
      <c r="AW242" s="1396"/>
      <c r="AX242" s="529">
        <f t="shared" si="486"/>
        <v>45814</v>
      </c>
      <c r="AY242" s="541">
        <f t="shared" si="487"/>
        <v>0</v>
      </c>
      <c r="AZ242" s="538" t="s">
        <v>146</v>
      </c>
      <c r="BA242" s="534">
        <f t="shared" si="488"/>
        <v>0</v>
      </c>
      <c r="BB242" s="567" t="str">
        <f t="shared" si="467"/>
        <v/>
      </c>
      <c r="BC242" s="541">
        <f t="shared" si="489"/>
        <v>0</v>
      </c>
      <c r="BD242" s="541">
        <f t="shared" si="490"/>
        <v>0</v>
      </c>
      <c r="BE242" s="750"/>
      <c r="BF242" s="532" t="str">
        <f t="shared" si="468"/>
        <v/>
      </c>
      <c r="BG242" s="532" t="str">
        <f t="shared" si="491"/>
        <v>oui</v>
      </c>
      <c r="BH242" s="395" t="str">
        <f t="shared" si="469"/>
        <v/>
      </c>
      <c r="BI242" s="24" t="str">
        <f t="shared" si="470"/>
        <v/>
      </c>
      <c r="BJ242" s="1404"/>
      <c r="BK242" s="1404"/>
      <c r="BL242" s="1404"/>
      <c r="BM242" s="1404"/>
      <c r="BN242" s="1404"/>
      <c r="BO242" s="1404"/>
      <c r="BP242" s="1404"/>
      <c r="BQ242" s="1404"/>
      <c r="BR242" s="1405"/>
      <c r="BS242" s="1392">
        <f t="shared" si="437"/>
        <v>45814</v>
      </c>
      <c r="BT242" s="1406" t="str">
        <f t="shared" si="499"/>
        <v/>
      </c>
      <c r="BU242" s="1404"/>
      <c r="BV242" s="1404"/>
      <c r="BW242" s="1404"/>
      <c r="BX242" s="1404"/>
      <c r="BY242" s="1404"/>
      <c r="BZ242" s="1404"/>
      <c r="CA242" s="1404"/>
      <c r="CB242" s="1404"/>
      <c r="CD242" s="1408">
        <f t="shared" si="492"/>
        <v>0</v>
      </c>
      <c r="DC242" s="16" t="str">
        <f>Juin!FC25</f>
        <v>non</v>
      </c>
      <c r="DG242" s="333">
        <f t="shared" si="493"/>
        <v>1</v>
      </c>
      <c r="DH242" s="129">
        <f t="shared" si="471"/>
        <v>10</v>
      </c>
      <c r="DI242" s="129">
        <f t="shared" si="494"/>
        <v>1</v>
      </c>
      <c r="DK242" s="16">
        <f>+IF(AND(Juin!$DP$8&lt;&gt;52,AR242=S.CAL!$BJ$4),10,1)</f>
        <v>1</v>
      </c>
      <c r="DN242" s="16">
        <f t="shared" si="472"/>
        <v>1</v>
      </c>
      <c r="DU242" s="1296" t="str">
        <f t="shared" si="495"/>
        <v>Fiche infoA545814</v>
      </c>
      <c r="DV242" s="1384">
        <f t="shared" si="473"/>
        <v>0</v>
      </c>
      <c r="DW242" s="1385">
        <f t="shared" si="474"/>
        <v>0</v>
      </c>
      <c r="DX242" s="1385">
        <f t="shared" si="475"/>
        <v>0</v>
      </c>
      <c r="DY242" s="1385">
        <f t="shared" si="476"/>
        <v>0</v>
      </c>
      <c r="DZ242" s="1385">
        <f t="shared" si="477"/>
        <v>0</v>
      </c>
      <c r="EA242" s="1385">
        <f t="shared" si="478"/>
        <v>0</v>
      </c>
      <c r="EB242" s="1385">
        <f t="shared" si="479"/>
        <v>0</v>
      </c>
      <c r="EC242" s="1385">
        <f t="shared" si="480"/>
        <v>0</v>
      </c>
      <c r="ED242" s="1385">
        <f t="shared" si="496"/>
        <v>0</v>
      </c>
      <c r="EE242" s="1386">
        <f t="shared" si="497"/>
        <v>0</v>
      </c>
      <c r="EG242" s="16" t="str">
        <f t="shared" si="498"/>
        <v>232025</v>
      </c>
      <c r="EH242" s="16" t="str">
        <f t="shared" si="481"/>
        <v>Fiche infoA5</v>
      </c>
      <c r="EI242" s="16" t="str">
        <f t="shared" si="482"/>
        <v/>
      </c>
    </row>
    <row r="243" spans="1:139" x14ac:dyDescent="0.2">
      <c r="A243" s="24" t="str">
        <f>Juin!BJ26</f>
        <v>Fiche infoA6</v>
      </c>
      <c r="B243" s="829">
        <f>Juin!AB26</f>
        <v>45815</v>
      </c>
      <c r="C243" s="1393"/>
      <c r="D243" s="1001">
        <f t="shared" si="438"/>
        <v>0</v>
      </c>
      <c r="E243" s="452">
        <f t="shared" si="439"/>
        <v>0</v>
      </c>
      <c r="F243" s="452">
        <f t="shared" si="440"/>
        <v>0</v>
      </c>
      <c r="G243" s="452">
        <f t="shared" si="441"/>
        <v>0</v>
      </c>
      <c r="H243" s="452">
        <f t="shared" si="442"/>
        <v>0</v>
      </c>
      <c r="I243" s="452">
        <f t="shared" si="443"/>
        <v>0</v>
      </c>
      <c r="J243" s="452">
        <f t="shared" si="444"/>
        <v>0</v>
      </c>
      <c r="K243" s="452">
        <f t="shared" si="445"/>
        <v>0</v>
      </c>
      <c r="L243" s="452">
        <f t="shared" si="483"/>
        <v>0</v>
      </c>
      <c r="M243" s="1002">
        <f t="shared" si="484"/>
        <v>0</v>
      </c>
      <c r="O243" s="1001">
        <f t="shared" si="446"/>
        <v>0</v>
      </c>
      <c r="P243" s="452">
        <f t="shared" si="447"/>
        <v>0</v>
      </c>
      <c r="Q243" s="452">
        <f t="shared" si="448"/>
        <v>0</v>
      </c>
      <c r="R243" s="452">
        <f t="shared" si="449"/>
        <v>0</v>
      </c>
      <c r="S243" s="452">
        <f t="shared" si="450"/>
        <v>0</v>
      </c>
      <c r="T243" s="452">
        <f t="shared" si="451"/>
        <v>0</v>
      </c>
      <c r="U243" s="452">
        <f t="shared" si="452"/>
        <v>0</v>
      </c>
      <c r="V243" s="452">
        <f t="shared" si="453"/>
        <v>0</v>
      </c>
      <c r="W243" s="452">
        <f t="shared" si="454"/>
        <v>0</v>
      </c>
      <c r="X243" s="1002">
        <f t="shared" si="455"/>
        <v>0</v>
      </c>
      <c r="Y243" s="459"/>
      <c r="Z243" s="291">
        <f t="shared" si="456"/>
        <v>0</v>
      </c>
      <c r="AA243" s="291">
        <f t="shared" si="457"/>
        <v>0</v>
      </c>
      <c r="AB243" s="291">
        <f t="shared" si="458"/>
        <v>0</v>
      </c>
      <c r="AC243" s="291">
        <f t="shared" si="459"/>
        <v>0</v>
      </c>
      <c r="AD243" s="291">
        <f t="shared" si="460"/>
        <v>0</v>
      </c>
      <c r="AE243" s="291">
        <f t="shared" si="461"/>
        <v>0</v>
      </c>
      <c r="AF243" s="291">
        <f t="shared" si="462"/>
        <v>0</v>
      </c>
      <c r="AG243" s="291">
        <f t="shared" si="463"/>
        <v>0</v>
      </c>
      <c r="AI243" s="462">
        <f t="shared" si="464"/>
        <v>0</v>
      </c>
      <c r="AJ243" s="1112"/>
      <c r="AK243" s="507"/>
      <c r="AL243" s="829">
        <f t="shared" si="465"/>
        <v>45815</v>
      </c>
      <c r="AM243" s="684">
        <f>IFERROR(IF(AND(AT243="",AR243&lt;&gt;S.CAL!$BJ$3,AR243&lt;&gt;S.CAL!$BJ$4,$AR$230="NON"),M243-BD243,IF(AND(AT243="",AR243&lt;&gt;S.CAL!$BJ$3,AR243&lt;&gt;S.CAL!$BJ$4,$AR$230="OUI"),X243-AI243,IF(AT243&lt;&gt;0,AT243,IF(OR(AR243=S.CAL!$BJ$3,AR243=S.CAL!$BJ$4),AR243,"")))),"")</f>
        <v>0</v>
      </c>
      <c r="AN243" s="1115"/>
      <c r="AO243" s="1116"/>
      <c r="AP243" s="684">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516">
        <f t="shared" si="485"/>
        <v>0</v>
      </c>
      <c r="AR243" s="1120"/>
      <c r="AT243" s="1123"/>
      <c r="AU243" s="831"/>
      <c r="AV243" s="1392">
        <f t="shared" si="466"/>
        <v>45815</v>
      </c>
      <c r="AX243" s="529">
        <f t="shared" si="486"/>
        <v>45815</v>
      </c>
      <c r="AY243" s="541">
        <f t="shared" si="487"/>
        <v>0</v>
      </c>
      <c r="AZ243" s="538" t="s">
        <v>146</v>
      </c>
      <c r="BA243" s="534">
        <f t="shared" si="488"/>
        <v>0</v>
      </c>
      <c r="BB243" s="567" t="str">
        <f t="shared" si="467"/>
        <v/>
      </c>
      <c r="BC243" s="541">
        <f t="shared" si="489"/>
        <v>0</v>
      </c>
      <c r="BD243" s="541">
        <f t="shared" si="490"/>
        <v>0</v>
      </c>
      <c r="BE243" s="750"/>
      <c r="BF243" s="532" t="str">
        <f t="shared" si="468"/>
        <v/>
      </c>
      <c r="BG243" s="532" t="str">
        <f t="shared" si="491"/>
        <v>oui</v>
      </c>
      <c r="BH243" s="395" t="str">
        <f t="shared" si="469"/>
        <v/>
      </c>
      <c r="BI243" s="24" t="str">
        <f t="shared" si="470"/>
        <v/>
      </c>
      <c r="BJ243" s="1403"/>
      <c r="BK243" s="1403"/>
      <c r="BL243" s="1403"/>
      <c r="BM243" s="1403"/>
      <c r="BN243" s="1403"/>
      <c r="BO243" s="1403"/>
      <c r="BP243" s="1403"/>
      <c r="BQ243" s="1403"/>
      <c r="BS243" s="1392">
        <f t="shared" si="437"/>
        <v>45815</v>
      </c>
      <c r="BT243" s="27" t="str">
        <f t="shared" si="499"/>
        <v/>
      </c>
      <c r="BU243" s="1402"/>
      <c r="BV243" s="1402"/>
      <c r="BW243" s="1402"/>
      <c r="BX243" s="1402"/>
      <c r="BY243" s="1402"/>
      <c r="BZ243" s="1402"/>
      <c r="CA243" s="1402"/>
      <c r="CB243" s="1402"/>
      <c r="CD243" s="1408">
        <f t="shared" si="492"/>
        <v>0</v>
      </c>
      <c r="DC243" s="16" t="str">
        <f>Juin!FC26</f>
        <v>non</v>
      </c>
      <c r="DG243" s="333">
        <f t="shared" si="493"/>
        <v>1</v>
      </c>
      <c r="DH243" s="129">
        <f t="shared" si="471"/>
        <v>10</v>
      </c>
      <c r="DI243" s="129">
        <f t="shared" si="494"/>
        <v>1</v>
      </c>
      <c r="DK243" s="16">
        <f>+IF(AND(Juin!$DP$8&lt;&gt;52,AR243=S.CAL!$BJ$4),10,1)</f>
        <v>1</v>
      </c>
      <c r="DN243" s="16">
        <f t="shared" si="472"/>
        <v>1</v>
      </c>
      <c r="DU243" s="1296" t="str">
        <f t="shared" si="495"/>
        <v>Fiche infoA645815</v>
      </c>
      <c r="DV243" s="1384">
        <f t="shared" si="473"/>
        <v>0</v>
      </c>
      <c r="DW243" s="1385">
        <f t="shared" si="474"/>
        <v>0</v>
      </c>
      <c r="DX243" s="1385">
        <f t="shared" si="475"/>
        <v>0</v>
      </c>
      <c r="DY243" s="1385">
        <f t="shared" si="476"/>
        <v>0</v>
      </c>
      <c r="DZ243" s="1385">
        <f t="shared" si="477"/>
        <v>0</v>
      </c>
      <c r="EA243" s="1385">
        <f t="shared" si="478"/>
        <v>0</v>
      </c>
      <c r="EB243" s="1385">
        <f t="shared" si="479"/>
        <v>0</v>
      </c>
      <c r="EC243" s="1385">
        <f t="shared" si="480"/>
        <v>0</v>
      </c>
      <c r="ED243" s="1385">
        <f t="shared" si="496"/>
        <v>0</v>
      </c>
      <c r="EE243" s="1386">
        <f t="shared" si="497"/>
        <v>0</v>
      </c>
      <c r="EG243" s="16" t="str">
        <f t="shared" si="498"/>
        <v>232025</v>
      </c>
      <c r="EH243" s="16" t="str">
        <f t="shared" si="481"/>
        <v>Fiche infoA6</v>
      </c>
      <c r="EI243" s="16" t="str">
        <f t="shared" si="482"/>
        <v/>
      </c>
    </row>
    <row r="244" spans="1:139" x14ac:dyDescent="0.2">
      <c r="A244" s="1395" t="str">
        <f>Juin!BJ27</f>
        <v>Fiche infoA7</v>
      </c>
      <c r="B244" s="829">
        <f>Juin!AB27</f>
        <v>45816</v>
      </c>
      <c r="C244" s="1394"/>
      <c r="D244" s="1001">
        <f t="shared" si="438"/>
        <v>0</v>
      </c>
      <c r="E244" s="452">
        <f t="shared" si="439"/>
        <v>0</v>
      </c>
      <c r="F244" s="452">
        <f t="shared" si="440"/>
        <v>0</v>
      </c>
      <c r="G244" s="452">
        <f t="shared" si="441"/>
        <v>0</v>
      </c>
      <c r="H244" s="452">
        <f t="shared" si="442"/>
        <v>0</v>
      </c>
      <c r="I244" s="452">
        <f t="shared" si="443"/>
        <v>0</v>
      </c>
      <c r="J244" s="452">
        <f t="shared" si="444"/>
        <v>0</v>
      </c>
      <c r="K244" s="452">
        <f t="shared" si="445"/>
        <v>0</v>
      </c>
      <c r="L244" s="452">
        <f t="shared" si="483"/>
        <v>0</v>
      </c>
      <c r="M244" s="1002">
        <f t="shared" si="484"/>
        <v>0</v>
      </c>
      <c r="N244" s="1396"/>
      <c r="O244" s="1001">
        <f t="shared" si="446"/>
        <v>0</v>
      </c>
      <c r="P244" s="452">
        <f t="shared" si="447"/>
        <v>0</v>
      </c>
      <c r="Q244" s="452">
        <f t="shared" si="448"/>
        <v>0</v>
      </c>
      <c r="R244" s="452">
        <f t="shared" si="449"/>
        <v>0</v>
      </c>
      <c r="S244" s="452">
        <f t="shared" si="450"/>
        <v>0</v>
      </c>
      <c r="T244" s="452">
        <f t="shared" si="451"/>
        <v>0</v>
      </c>
      <c r="U244" s="452">
        <f t="shared" si="452"/>
        <v>0</v>
      </c>
      <c r="V244" s="452">
        <f t="shared" si="453"/>
        <v>0</v>
      </c>
      <c r="W244" s="452">
        <f t="shared" si="454"/>
        <v>0</v>
      </c>
      <c r="X244" s="1002">
        <f t="shared" si="455"/>
        <v>0</v>
      </c>
      <c r="Y244" s="1397"/>
      <c r="Z244" s="1398">
        <f t="shared" si="456"/>
        <v>0</v>
      </c>
      <c r="AA244" s="1398">
        <f t="shared" si="457"/>
        <v>0</v>
      </c>
      <c r="AB244" s="1398">
        <f t="shared" si="458"/>
        <v>0</v>
      </c>
      <c r="AC244" s="1398">
        <f t="shared" si="459"/>
        <v>0</v>
      </c>
      <c r="AD244" s="1398">
        <f t="shared" si="460"/>
        <v>0</v>
      </c>
      <c r="AE244" s="1398">
        <f t="shared" si="461"/>
        <v>0</v>
      </c>
      <c r="AF244" s="1398">
        <f t="shared" si="462"/>
        <v>0</v>
      </c>
      <c r="AG244" s="1398">
        <f t="shared" si="463"/>
        <v>0</v>
      </c>
      <c r="AH244" s="1396"/>
      <c r="AI244" s="462">
        <f t="shared" si="464"/>
        <v>0</v>
      </c>
      <c r="AJ244" s="1112"/>
      <c r="AK244" s="1399"/>
      <c r="AL244" s="829">
        <f t="shared" si="465"/>
        <v>45816</v>
      </c>
      <c r="AM244" s="684">
        <f>IFERROR(IF(AND(AT244="",AR244&lt;&gt;S.CAL!$BJ$3,AR244&lt;&gt;S.CAL!$BJ$4,$AR$230="NON"),M244-BD244,IF(AND(AT244="",AR244&lt;&gt;S.CAL!$BJ$3,AR244&lt;&gt;S.CAL!$BJ$4,$AR$230="OUI"),X244-AI244,IF(AT244&lt;&gt;0,AT244,IF(OR(AR244=S.CAL!$BJ$3,AR244=S.CAL!$BJ$4),AR244,"")))),"")</f>
        <v>0</v>
      </c>
      <c r="AN244" s="1115"/>
      <c r="AO244" s="1116"/>
      <c r="AP244" s="684">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400">
        <f t="shared" si="485"/>
        <v>0</v>
      </c>
      <c r="AR244" s="1120"/>
      <c r="AS244" s="1396"/>
      <c r="AT244" s="1123"/>
      <c r="AU244" s="831"/>
      <c r="AV244" s="1392">
        <f t="shared" si="466"/>
        <v>45816</v>
      </c>
      <c r="AW244" s="1396"/>
      <c r="AX244" s="529">
        <f t="shared" si="486"/>
        <v>45816</v>
      </c>
      <c r="AY244" s="541">
        <f t="shared" si="487"/>
        <v>0</v>
      </c>
      <c r="AZ244" s="538" t="s">
        <v>146</v>
      </c>
      <c r="BA244" s="534">
        <f t="shared" si="488"/>
        <v>0</v>
      </c>
      <c r="BB244" s="567" t="str">
        <f t="shared" si="467"/>
        <v/>
      </c>
      <c r="BC244" s="541">
        <f t="shared" si="489"/>
        <v>0</v>
      </c>
      <c r="BD244" s="541">
        <f t="shared" si="490"/>
        <v>0</v>
      </c>
      <c r="BE244" s="750"/>
      <c r="BF244" s="532" t="str">
        <f t="shared" si="468"/>
        <v/>
      </c>
      <c r="BG244" s="532" t="str">
        <f t="shared" si="491"/>
        <v>oui</v>
      </c>
      <c r="BH244" s="395" t="str">
        <f t="shared" si="469"/>
        <v/>
      </c>
      <c r="BI244" s="24" t="str">
        <f t="shared" si="470"/>
        <v/>
      </c>
      <c r="BJ244" s="1404"/>
      <c r="BK244" s="1404"/>
      <c r="BL244" s="1404"/>
      <c r="BM244" s="1404"/>
      <c r="BN244" s="1404"/>
      <c r="BO244" s="1404"/>
      <c r="BP244" s="1404"/>
      <c r="BQ244" s="1404"/>
      <c r="BR244" s="1405"/>
      <c r="BS244" s="1392">
        <f t="shared" si="437"/>
        <v>45816</v>
      </c>
      <c r="BT244" s="1406" t="str">
        <f t="shared" si="499"/>
        <v/>
      </c>
      <c r="BU244" s="1404"/>
      <c r="BV244" s="1404"/>
      <c r="BW244" s="1404"/>
      <c r="BX244" s="1404"/>
      <c r="BY244" s="1404"/>
      <c r="BZ244" s="1404"/>
      <c r="CA244" s="1404"/>
      <c r="CB244" s="1404"/>
      <c r="CD244" s="1408">
        <f t="shared" si="492"/>
        <v>0</v>
      </c>
      <c r="DC244" s="16" t="str">
        <f>Juin!FC27</f>
        <v>non</v>
      </c>
      <c r="DG244" s="333">
        <f t="shared" si="493"/>
        <v>1</v>
      </c>
      <c r="DH244" s="129">
        <f t="shared" si="471"/>
        <v>10</v>
      </c>
      <c r="DI244" s="129">
        <f t="shared" si="494"/>
        <v>1</v>
      </c>
      <c r="DK244" s="16">
        <f>+IF(AND(Juin!$DP$8&lt;&gt;52,AR244=S.CAL!$BJ$4),10,1)</f>
        <v>1</v>
      </c>
      <c r="DN244" s="16">
        <f t="shared" si="472"/>
        <v>1</v>
      </c>
      <c r="DU244" s="1296" t="str">
        <f t="shared" si="495"/>
        <v>Fiche infoA745816</v>
      </c>
      <c r="DV244" s="1384">
        <f t="shared" si="473"/>
        <v>0</v>
      </c>
      <c r="DW244" s="1385">
        <f t="shared" si="474"/>
        <v>0</v>
      </c>
      <c r="DX244" s="1385">
        <f t="shared" si="475"/>
        <v>0</v>
      </c>
      <c r="DY244" s="1385">
        <f t="shared" si="476"/>
        <v>0</v>
      </c>
      <c r="DZ244" s="1385">
        <f t="shared" si="477"/>
        <v>0</v>
      </c>
      <c r="EA244" s="1385">
        <f t="shared" si="478"/>
        <v>0</v>
      </c>
      <c r="EB244" s="1385">
        <f t="shared" si="479"/>
        <v>0</v>
      </c>
      <c r="EC244" s="1385">
        <f t="shared" si="480"/>
        <v>0</v>
      </c>
      <c r="ED244" s="1385">
        <f t="shared" si="496"/>
        <v>0</v>
      </c>
      <c r="EE244" s="1386">
        <f t="shared" si="497"/>
        <v>0</v>
      </c>
      <c r="EG244" s="16" t="str">
        <f t="shared" si="498"/>
        <v>232025</v>
      </c>
      <c r="EH244" s="16" t="str">
        <f t="shared" si="481"/>
        <v>Fiche infoA7</v>
      </c>
      <c r="EI244" s="16" t="str">
        <f t="shared" si="482"/>
        <v/>
      </c>
    </row>
    <row r="245" spans="1:139" x14ac:dyDescent="0.2">
      <c r="A245" s="24" t="str">
        <f>Juin!BJ28</f>
        <v>Fiche infoA1</v>
      </c>
      <c r="B245" s="829">
        <f>Juin!AB28</f>
        <v>45817</v>
      </c>
      <c r="C245" s="1393"/>
      <c r="D245" s="1001">
        <f t="shared" si="438"/>
        <v>0</v>
      </c>
      <c r="E245" s="452">
        <f t="shared" si="439"/>
        <v>0</v>
      </c>
      <c r="F245" s="452">
        <f t="shared" si="440"/>
        <v>0</v>
      </c>
      <c r="G245" s="452">
        <f t="shared" si="441"/>
        <v>0</v>
      </c>
      <c r="H245" s="452">
        <f t="shared" si="442"/>
        <v>0</v>
      </c>
      <c r="I245" s="452">
        <f t="shared" si="443"/>
        <v>0</v>
      </c>
      <c r="J245" s="452">
        <f t="shared" si="444"/>
        <v>0</v>
      </c>
      <c r="K245" s="452">
        <f t="shared" si="445"/>
        <v>0</v>
      </c>
      <c r="L245" s="452">
        <f t="shared" si="483"/>
        <v>0</v>
      </c>
      <c r="M245" s="1002">
        <f t="shared" si="484"/>
        <v>0</v>
      </c>
      <c r="O245" s="1001">
        <f>IF(AR245&lt;&gt;"",0,IF(DC245="oui",0,IF(AND(ISTEXT(AT245)=TRUE,BJ245=""),0,IF(BJ245="",D245,BJ245))))</f>
        <v>0</v>
      </c>
      <c r="P245" s="452">
        <f>IF(AR245&lt;&gt;"",0,IF(DC245="oui",0,IF(AND(ISTEXT(AT245)=TRUE,BK245=""),0,IF(BK245="",E245,BK245))))</f>
        <v>0</v>
      </c>
      <c r="Q245" s="452">
        <f>IF(AR245&lt;&gt;"",0,IF(DC245="oui",0,IF(AND(ISTEXT(AT245)=TRUE,BL245=""),0,IF(BL245="",F245,BL245))))</f>
        <v>0</v>
      </c>
      <c r="R245" s="452">
        <f>IF(AR245&lt;&gt;"",0,IF(DC245="oui",0,IF(AND(ISTEXT(AT245)=TRUE,BM245=""),0,IF(BM245="",G245,BM245))))</f>
        <v>0</v>
      </c>
      <c r="S245" s="452">
        <f>IF(AR245&lt;&gt;"",0,IF(DC245="oui",0,IF(AND(ISTEXT(AT245)=TRUE,BN245=""),0,IF(BN245="",H245,BN245))))</f>
        <v>0</v>
      </c>
      <c r="T245" s="452">
        <f>IF(AR245&lt;&gt;"",0,IF(DC245="oui",0,IF(AND(ISTEXT(AT245)=TRUE,BO245=""),0,IF(BO245="",I245,BO245))))</f>
        <v>0</v>
      </c>
      <c r="U245" s="452">
        <f>IF(AR245&lt;&gt;"",0,IF(DC245="oui",0,IF(AND(ISTEXT(AT245)=TRUE,BP245=""),0,IF(BP245="",J245,BP245))))</f>
        <v>0</v>
      </c>
      <c r="V245" s="452">
        <f>IF(AR245&lt;&gt;"",0,IF(DC245="oui",0,IF(AND(ISTEXT(AT245)=TRUE,BQ245=""),0,IF(BQ245="",K245,BQ245))))</f>
        <v>0</v>
      </c>
      <c r="W245" s="452">
        <f t="shared" si="454"/>
        <v>0</v>
      </c>
      <c r="X245" s="1002">
        <f t="shared" si="455"/>
        <v>0</v>
      </c>
      <c r="Y245" s="459"/>
      <c r="Z245" s="291">
        <f t="shared" si="456"/>
        <v>0</v>
      </c>
      <c r="AA245" s="291">
        <f t="shared" si="457"/>
        <v>0</v>
      </c>
      <c r="AB245" s="291">
        <f t="shared" si="458"/>
        <v>0</v>
      </c>
      <c r="AC245" s="291">
        <f t="shared" si="459"/>
        <v>0</v>
      </c>
      <c r="AD245" s="291">
        <f t="shared" si="460"/>
        <v>0</v>
      </c>
      <c r="AE245" s="291">
        <f t="shared" si="461"/>
        <v>0</v>
      </c>
      <c r="AF245" s="291">
        <f t="shared" si="462"/>
        <v>0</v>
      </c>
      <c r="AG245" s="291">
        <f t="shared" si="463"/>
        <v>0</v>
      </c>
      <c r="AI245" s="462">
        <f>IF(DC245="oui",0,IF(AND(ISTEXT(AT245)=TRUE,OR(X245=0,X245="")),0,ROUND(((((AA245-Z245)-(E245-D245))+((AC245-AB245)-(G245-F245))+((AE245-AD245)-(I245-H245))+(AG245-AF245)-(K245-J245))*24),2)))</f>
        <v>0</v>
      </c>
      <c r="AJ245" s="1112"/>
      <c r="AK245" s="507"/>
      <c r="AL245" s="829">
        <f t="shared" si="465"/>
        <v>45817</v>
      </c>
      <c r="AM245" s="684">
        <f>IFERROR(IF(AND(AT245="",AR245&lt;&gt;S.CAL!$BJ$3,AR245&lt;&gt;S.CAL!$BJ$4,$AR$230="NON"),M245-BD245,IF(AND(AT245="",AR245&lt;&gt;S.CAL!$BJ$3,AR245&lt;&gt;S.CAL!$BJ$4,$AR$230="OUI"),X245-AI245,IF(AT245&lt;&gt;0,AT245,IF(OR(AR245=S.CAL!$BJ$3,AR245=S.CAL!$BJ$4),AR245,"")))),"")</f>
        <v>0</v>
      </c>
      <c r="AN245" s="1115"/>
      <c r="AO245" s="1116"/>
      <c r="AP245" s="684">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516">
        <f t="shared" si="485"/>
        <v>0</v>
      </c>
      <c r="AR245" s="1120"/>
      <c r="AT245" s="1123"/>
      <c r="AU245" s="831"/>
      <c r="AV245" s="1392">
        <f t="shared" si="466"/>
        <v>45817</v>
      </c>
      <c r="AX245" s="529">
        <f t="shared" si="486"/>
        <v>45817</v>
      </c>
      <c r="AY245" s="541">
        <f t="shared" si="487"/>
        <v>0</v>
      </c>
      <c r="AZ245" s="538" t="s">
        <v>146</v>
      </c>
      <c r="BA245" s="534">
        <f t="shared" si="488"/>
        <v>0</v>
      </c>
      <c r="BB245" s="567" t="str">
        <f t="shared" si="467"/>
        <v/>
      </c>
      <c r="BC245" s="541">
        <f t="shared" si="489"/>
        <v>0</v>
      </c>
      <c r="BD245" s="541">
        <f t="shared" si="490"/>
        <v>0</v>
      </c>
      <c r="BE245" s="750"/>
      <c r="BF245" s="532" t="str">
        <f t="shared" si="468"/>
        <v/>
      </c>
      <c r="BG245" s="532" t="str">
        <f t="shared" si="491"/>
        <v>oui</v>
      </c>
      <c r="BH245" s="395" t="str">
        <f t="shared" si="469"/>
        <v/>
      </c>
      <c r="BI245" s="24" t="str">
        <f t="shared" si="470"/>
        <v/>
      </c>
      <c r="BJ245" s="1403"/>
      <c r="BK245" s="1403"/>
      <c r="BL245" s="1403"/>
      <c r="BM245" s="1403"/>
      <c r="BN245" s="1403"/>
      <c r="BO245" s="1403"/>
      <c r="BP245" s="1403"/>
      <c r="BQ245" s="1403"/>
      <c r="BS245" s="1392">
        <f t="shared" si="437"/>
        <v>45817</v>
      </c>
      <c r="BT245" s="27">
        <f t="shared" si="499"/>
        <v>24</v>
      </c>
      <c r="BU245" s="1402"/>
      <c r="BV245" s="1402"/>
      <c r="BW245" s="1402"/>
      <c r="BX245" s="1402"/>
      <c r="BY245" s="1402"/>
      <c r="BZ245" s="1402"/>
      <c r="CA245" s="1402"/>
      <c r="CB245" s="1402"/>
      <c r="CD245" s="1408">
        <f t="shared" si="492"/>
        <v>0</v>
      </c>
      <c r="DC245" s="16" t="str">
        <f>Juin!FC28</f>
        <v>non</v>
      </c>
      <c r="DG245" s="333">
        <f t="shared" si="493"/>
        <v>1</v>
      </c>
      <c r="DH245" s="129">
        <f t="shared" si="471"/>
        <v>10</v>
      </c>
      <c r="DI245" s="129">
        <f t="shared" si="494"/>
        <v>1</v>
      </c>
      <c r="DK245" s="16">
        <f>+IF(AND(Juin!$DP$8&lt;&gt;52,AR245=S.CAL!$BJ$4),10,1)</f>
        <v>1</v>
      </c>
      <c r="DN245" s="16">
        <f t="shared" si="472"/>
        <v>1</v>
      </c>
      <c r="DU245" s="1296" t="str">
        <f t="shared" si="495"/>
        <v>Fiche infoA145817</v>
      </c>
      <c r="DV245" s="1384">
        <f t="shared" si="473"/>
        <v>0</v>
      </c>
      <c r="DW245" s="1385">
        <f t="shared" si="474"/>
        <v>0</v>
      </c>
      <c r="DX245" s="1385">
        <f t="shared" si="475"/>
        <v>0</v>
      </c>
      <c r="DY245" s="1385">
        <f t="shared" si="476"/>
        <v>0</v>
      </c>
      <c r="DZ245" s="1385">
        <f t="shared" si="477"/>
        <v>0</v>
      </c>
      <c r="EA245" s="1385">
        <f t="shared" si="478"/>
        <v>0</v>
      </c>
      <c r="EB245" s="1385">
        <f t="shared" si="479"/>
        <v>0</v>
      </c>
      <c r="EC245" s="1385">
        <f t="shared" si="480"/>
        <v>0</v>
      </c>
      <c r="ED245" s="1385">
        <f t="shared" si="496"/>
        <v>0</v>
      </c>
      <c r="EE245" s="1386">
        <f t="shared" si="497"/>
        <v>0</v>
      </c>
      <c r="EG245" s="16" t="str">
        <f t="shared" si="498"/>
        <v>242025</v>
      </c>
      <c r="EH245" s="16" t="str">
        <f t="shared" si="481"/>
        <v>Fiche infoA1</v>
      </c>
      <c r="EI245" s="16" t="str">
        <f t="shared" si="482"/>
        <v/>
      </c>
    </row>
    <row r="246" spans="1:139" x14ac:dyDescent="0.2">
      <c r="A246" s="1395" t="str">
        <f>Juin!BJ29</f>
        <v>Fiche infoA2</v>
      </c>
      <c r="B246" s="829">
        <f>Juin!AB29</f>
        <v>45818</v>
      </c>
      <c r="C246" s="1394"/>
      <c r="D246" s="1001">
        <f t="shared" si="438"/>
        <v>0</v>
      </c>
      <c r="E246" s="452">
        <f t="shared" si="439"/>
        <v>0</v>
      </c>
      <c r="F246" s="452">
        <f t="shared" si="440"/>
        <v>0</v>
      </c>
      <c r="G246" s="452">
        <f t="shared" si="441"/>
        <v>0</v>
      </c>
      <c r="H246" s="452">
        <f t="shared" si="442"/>
        <v>0</v>
      </c>
      <c r="I246" s="452">
        <f t="shared" si="443"/>
        <v>0</v>
      </c>
      <c r="J246" s="452">
        <f t="shared" si="444"/>
        <v>0</v>
      </c>
      <c r="K246" s="452">
        <f t="shared" si="445"/>
        <v>0</v>
      </c>
      <c r="L246" s="452">
        <f t="shared" si="483"/>
        <v>0</v>
      </c>
      <c r="M246" s="1002">
        <f t="shared" si="484"/>
        <v>0</v>
      </c>
      <c r="N246" s="1396"/>
      <c r="O246" s="1001">
        <f t="shared" ref="O246:O267" si="500">IF(AR246&lt;&gt;"",0,IF(DC246="oui",0,IF(AND(ISTEXT(AT246)=TRUE,BJ246=""),0,IF(BJ246="",D246,BJ246))))</f>
        <v>0</v>
      </c>
      <c r="P246" s="452">
        <f t="shared" ref="P246:P267" si="501">IF(AR246&lt;&gt;"",0,IF(DC246="oui",0,IF(AND(ISTEXT(AT246)=TRUE,BK246=""),0,IF(BK246="",E246,BK246))))</f>
        <v>0</v>
      </c>
      <c r="Q246" s="452">
        <f t="shared" ref="Q246:Q267" si="502">IF(AR246&lt;&gt;"",0,IF(DC246="oui",0,IF(AND(ISTEXT(AT246)=TRUE,BL246=""),0,IF(BL246="",F246,BL246))))</f>
        <v>0</v>
      </c>
      <c r="R246" s="452">
        <f t="shared" ref="R246:R267" si="503">IF(AR246&lt;&gt;"",0,IF(DC246="oui",0,IF(AND(ISTEXT(AT246)=TRUE,BM246=""),0,IF(BM246="",G246,BM246))))</f>
        <v>0</v>
      </c>
      <c r="S246" s="452">
        <f t="shared" ref="S246:S267" si="504">IF(AR246&lt;&gt;"",0,IF(DC246="oui",0,IF(AND(ISTEXT(AT246)=TRUE,BN246=""),0,IF(BN246="",H246,BN246))))</f>
        <v>0</v>
      </c>
      <c r="T246" s="452">
        <f t="shared" ref="T246:T267" si="505">IF(AR246&lt;&gt;"",0,IF(DC246="oui",0,IF(AND(ISTEXT(AT246)=TRUE,BO246=""),0,IF(BO246="",I246,BO246))))</f>
        <v>0</v>
      </c>
      <c r="U246" s="452">
        <f t="shared" ref="U246:U267" si="506">IF(AR246&lt;&gt;"",0,IF(DC246="oui",0,IF(AND(ISTEXT(AT246)=TRUE,BP246=""),0,IF(BP246="",J246,BP246))))</f>
        <v>0</v>
      </c>
      <c r="V246" s="452">
        <f t="shared" ref="V246:V267" si="507">IF(AR246&lt;&gt;"",0,IF(DC246="oui",0,IF(AND(ISTEXT(AT246)=TRUE,BQ246=""),0,IF(BQ246="",K246,BQ246))))</f>
        <v>0</v>
      </c>
      <c r="W246" s="452">
        <f t="shared" si="454"/>
        <v>0</v>
      </c>
      <c r="X246" s="1002">
        <f t="shared" si="455"/>
        <v>0</v>
      </c>
      <c r="Y246" s="1397"/>
      <c r="Z246" s="1398">
        <f t="shared" si="456"/>
        <v>0</v>
      </c>
      <c r="AA246" s="1398">
        <f t="shared" si="457"/>
        <v>0</v>
      </c>
      <c r="AB246" s="1398">
        <f t="shared" si="458"/>
        <v>0</v>
      </c>
      <c r="AC246" s="1398">
        <f t="shared" si="459"/>
        <v>0</v>
      </c>
      <c r="AD246" s="1398">
        <f t="shared" si="460"/>
        <v>0</v>
      </c>
      <c r="AE246" s="1398">
        <f t="shared" si="461"/>
        <v>0</v>
      </c>
      <c r="AF246" s="1398">
        <f t="shared" si="462"/>
        <v>0</v>
      </c>
      <c r="AG246" s="1398">
        <f t="shared" si="463"/>
        <v>0</v>
      </c>
      <c r="AH246" s="1396"/>
      <c r="AI246" s="462">
        <f t="shared" ref="AI246:AI267" si="508">IF(DC246="oui",0,IF(AND(ISTEXT(AT246)=TRUE,OR(X246=0,X246="")),0,ROUND(((((AA246-Z246)-(E246-D246))+((AC246-AB246)-(G246-F246))+((AE246-AD246)-(I246-H246))+(AG246-AF246)-(K246-J246))*24),2)))</f>
        <v>0</v>
      </c>
      <c r="AJ246" s="1112"/>
      <c r="AK246" s="1399"/>
      <c r="AL246" s="829">
        <f t="shared" si="465"/>
        <v>45818</v>
      </c>
      <c r="AM246" s="684">
        <f>IFERROR(IF(AND(AT246="",AR246&lt;&gt;S.CAL!$BJ$3,AR246&lt;&gt;S.CAL!$BJ$4,$AR$230="NON"),M246-BD246,IF(AND(AT246="",AR246&lt;&gt;S.CAL!$BJ$3,AR246&lt;&gt;S.CAL!$BJ$4,$AR$230="OUI"),X246-AI246,IF(AT246&lt;&gt;0,AT246,IF(OR(AR246=S.CAL!$BJ$3,AR246=S.CAL!$BJ$4),AR246,"")))),"")</f>
        <v>0</v>
      </c>
      <c r="AN246" s="1115"/>
      <c r="AO246" s="1116"/>
      <c r="AP246" s="684">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400">
        <f t="shared" si="485"/>
        <v>0</v>
      </c>
      <c r="AR246" s="1120"/>
      <c r="AS246" s="1396"/>
      <c r="AT246" s="1123"/>
      <c r="AU246" s="831"/>
      <c r="AV246" s="1392">
        <f t="shared" si="466"/>
        <v>45818</v>
      </c>
      <c r="AW246" s="1396"/>
      <c r="AX246" s="529">
        <f t="shared" si="486"/>
        <v>45818</v>
      </c>
      <c r="AY246" s="541">
        <f t="shared" si="487"/>
        <v>0</v>
      </c>
      <c r="AZ246" s="538" t="s">
        <v>146</v>
      </c>
      <c r="BA246" s="534">
        <f t="shared" si="488"/>
        <v>0</v>
      </c>
      <c r="BB246" s="567" t="str">
        <f t="shared" si="467"/>
        <v/>
      </c>
      <c r="BC246" s="541">
        <f t="shared" si="489"/>
        <v>0</v>
      </c>
      <c r="BD246" s="541">
        <f t="shared" si="490"/>
        <v>0</v>
      </c>
      <c r="BE246" s="750"/>
      <c r="BF246" s="532" t="str">
        <f t="shared" si="468"/>
        <v/>
      </c>
      <c r="BG246" s="532" t="str">
        <f t="shared" si="491"/>
        <v>oui</v>
      </c>
      <c r="BH246" s="395" t="str">
        <f t="shared" si="469"/>
        <v/>
      </c>
      <c r="BI246" s="24" t="str">
        <f t="shared" si="470"/>
        <v/>
      </c>
      <c r="BJ246" s="1404"/>
      <c r="BK246" s="1404"/>
      <c r="BL246" s="1404"/>
      <c r="BM246" s="1404"/>
      <c r="BN246" s="1404"/>
      <c r="BO246" s="1404"/>
      <c r="BP246" s="1404"/>
      <c r="BQ246" s="1404"/>
      <c r="BR246" s="1405"/>
      <c r="BS246" s="1392">
        <f t="shared" si="437"/>
        <v>45818</v>
      </c>
      <c r="BT246" s="1406" t="str">
        <f t="shared" si="499"/>
        <v/>
      </c>
      <c r="BU246" s="1404"/>
      <c r="BV246" s="1404"/>
      <c r="BW246" s="1404"/>
      <c r="BX246" s="1404"/>
      <c r="BY246" s="1404"/>
      <c r="BZ246" s="1404"/>
      <c r="CA246" s="1404"/>
      <c r="CB246" s="1404"/>
      <c r="CD246" s="1408">
        <f t="shared" si="492"/>
        <v>0</v>
      </c>
      <c r="DC246" s="16" t="str">
        <f>Juin!FC29</f>
        <v>non</v>
      </c>
      <c r="DG246" s="333">
        <f t="shared" si="493"/>
        <v>1</v>
      </c>
      <c r="DH246" s="129">
        <f t="shared" si="471"/>
        <v>10</v>
      </c>
      <c r="DI246" s="129">
        <f t="shared" si="494"/>
        <v>1</v>
      </c>
      <c r="DK246" s="16">
        <f>+IF(AND(Juin!$DP$8&lt;&gt;52,AR246=S.CAL!$BJ$4),10,1)</f>
        <v>1</v>
      </c>
      <c r="DN246" s="16">
        <f t="shared" si="472"/>
        <v>1</v>
      </c>
      <c r="DU246" s="1296" t="str">
        <f t="shared" si="495"/>
        <v>Fiche infoA245818</v>
      </c>
      <c r="DV246" s="1384">
        <f t="shared" si="473"/>
        <v>0</v>
      </c>
      <c r="DW246" s="1385">
        <f t="shared" si="474"/>
        <v>0</v>
      </c>
      <c r="DX246" s="1385">
        <f t="shared" si="475"/>
        <v>0</v>
      </c>
      <c r="DY246" s="1385">
        <f t="shared" si="476"/>
        <v>0</v>
      </c>
      <c r="DZ246" s="1385">
        <f t="shared" si="477"/>
        <v>0</v>
      </c>
      <c r="EA246" s="1385">
        <f t="shared" si="478"/>
        <v>0</v>
      </c>
      <c r="EB246" s="1385">
        <f t="shared" si="479"/>
        <v>0</v>
      </c>
      <c r="EC246" s="1385">
        <f t="shared" si="480"/>
        <v>0</v>
      </c>
      <c r="ED246" s="1385">
        <f t="shared" si="496"/>
        <v>0</v>
      </c>
      <c r="EE246" s="1386">
        <f t="shared" si="497"/>
        <v>0</v>
      </c>
      <c r="EG246" s="16" t="str">
        <f t="shared" si="498"/>
        <v>242025</v>
      </c>
      <c r="EH246" s="16" t="str">
        <f t="shared" si="481"/>
        <v>Fiche infoA2</v>
      </c>
      <c r="EI246" s="16" t="str">
        <f t="shared" si="482"/>
        <v/>
      </c>
    </row>
    <row r="247" spans="1:139" x14ac:dyDescent="0.2">
      <c r="A247" s="24" t="str">
        <f>Juin!BJ30</f>
        <v>Fiche infoA3</v>
      </c>
      <c r="B247" s="829">
        <f>Juin!AB30</f>
        <v>45819</v>
      </c>
      <c r="C247" s="1393"/>
      <c r="D247" s="1001">
        <f t="shared" si="438"/>
        <v>0</v>
      </c>
      <c r="E247" s="452">
        <f t="shared" si="439"/>
        <v>0</v>
      </c>
      <c r="F247" s="452">
        <f t="shared" si="440"/>
        <v>0</v>
      </c>
      <c r="G247" s="452">
        <f t="shared" si="441"/>
        <v>0</v>
      </c>
      <c r="H247" s="452">
        <f t="shared" si="442"/>
        <v>0</v>
      </c>
      <c r="I247" s="452">
        <f t="shared" si="443"/>
        <v>0</v>
      </c>
      <c r="J247" s="452">
        <f t="shared" si="444"/>
        <v>0</v>
      </c>
      <c r="K247" s="452">
        <f t="shared" si="445"/>
        <v>0</v>
      </c>
      <c r="L247" s="452">
        <f t="shared" si="483"/>
        <v>0</v>
      </c>
      <c r="M247" s="1002">
        <f t="shared" si="484"/>
        <v>0</v>
      </c>
      <c r="O247" s="1001">
        <f t="shared" si="500"/>
        <v>0</v>
      </c>
      <c r="P247" s="452">
        <f t="shared" si="501"/>
        <v>0</v>
      </c>
      <c r="Q247" s="452">
        <f t="shared" si="502"/>
        <v>0</v>
      </c>
      <c r="R247" s="452">
        <f t="shared" si="503"/>
        <v>0</v>
      </c>
      <c r="S247" s="452">
        <f t="shared" si="504"/>
        <v>0</v>
      </c>
      <c r="T247" s="452">
        <f t="shared" si="505"/>
        <v>0</v>
      </c>
      <c r="U247" s="452">
        <f t="shared" si="506"/>
        <v>0</v>
      </c>
      <c r="V247" s="452">
        <f t="shared" si="507"/>
        <v>0</v>
      </c>
      <c r="W247" s="452">
        <f t="shared" si="454"/>
        <v>0</v>
      </c>
      <c r="X247" s="1002">
        <f t="shared" si="455"/>
        <v>0</v>
      </c>
      <c r="Y247" s="459"/>
      <c r="Z247" s="291">
        <f t="shared" si="456"/>
        <v>0</v>
      </c>
      <c r="AA247" s="291">
        <f t="shared" si="457"/>
        <v>0</v>
      </c>
      <c r="AB247" s="291">
        <f t="shared" si="458"/>
        <v>0</v>
      </c>
      <c r="AC247" s="291">
        <f t="shared" si="459"/>
        <v>0</v>
      </c>
      <c r="AD247" s="291">
        <f t="shared" si="460"/>
        <v>0</v>
      </c>
      <c r="AE247" s="291">
        <f t="shared" si="461"/>
        <v>0</v>
      </c>
      <c r="AF247" s="291">
        <f t="shared" si="462"/>
        <v>0</v>
      </c>
      <c r="AG247" s="291">
        <f t="shared" si="463"/>
        <v>0</v>
      </c>
      <c r="AI247" s="462">
        <f t="shared" si="508"/>
        <v>0</v>
      </c>
      <c r="AJ247" s="1112"/>
      <c r="AK247" s="507"/>
      <c r="AL247" s="829">
        <f t="shared" si="465"/>
        <v>45819</v>
      </c>
      <c r="AM247" s="684">
        <f>IFERROR(IF(AND(AT247="",AR247&lt;&gt;S.CAL!$BJ$3,AR247&lt;&gt;S.CAL!$BJ$4,$AR$230="NON"),M247-BD247,IF(AND(AT247="",AR247&lt;&gt;S.CAL!$BJ$3,AR247&lt;&gt;S.CAL!$BJ$4,$AR$230="OUI"),X247-AI247,IF(AT247&lt;&gt;0,AT247,IF(OR(AR247=S.CAL!$BJ$3,AR247=S.CAL!$BJ$4),AR247,"")))),"")</f>
        <v>0</v>
      </c>
      <c r="AN247" s="1115"/>
      <c r="AO247" s="1116"/>
      <c r="AP247" s="684">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516">
        <f t="shared" si="485"/>
        <v>0</v>
      </c>
      <c r="AR247" s="1120"/>
      <c r="AT247" s="1123"/>
      <c r="AU247" s="831"/>
      <c r="AV247" s="1392">
        <f t="shared" si="466"/>
        <v>45819</v>
      </c>
      <c r="AX247" s="529">
        <f t="shared" si="486"/>
        <v>45819</v>
      </c>
      <c r="AY247" s="541">
        <f t="shared" si="487"/>
        <v>0</v>
      </c>
      <c r="AZ247" s="538" t="s">
        <v>146</v>
      </c>
      <c r="BA247" s="534">
        <f t="shared" si="488"/>
        <v>0</v>
      </c>
      <c r="BB247" s="567" t="str">
        <f t="shared" si="467"/>
        <v/>
      </c>
      <c r="BC247" s="541">
        <f t="shared" si="489"/>
        <v>0</v>
      </c>
      <c r="BD247" s="541">
        <f t="shared" si="490"/>
        <v>0</v>
      </c>
      <c r="BE247" s="750"/>
      <c r="BF247" s="532" t="str">
        <f t="shared" si="468"/>
        <v/>
      </c>
      <c r="BG247" s="532" t="str">
        <f t="shared" si="491"/>
        <v>oui</v>
      </c>
      <c r="BH247" s="395" t="str">
        <f t="shared" si="469"/>
        <v/>
      </c>
      <c r="BI247" s="24" t="str">
        <f t="shared" si="470"/>
        <v/>
      </c>
      <c r="BJ247" s="1403"/>
      <c r="BK247" s="1403"/>
      <c r="BL247" s="1403"/>
      <c r="BM247" s="1403"/>
      <c r="BN247" s="1403"/>
      <c r="BO247" s="1403"/>
      <c r="BP247" s="1403"/>
      <c r="BQ247" s="1403"/>
      <c r="BS247" s="1392">
        <f t="shared" si="437"/>
        <v>45819</v>
      </c>
      <c r="BT247" s="27" t="str">
        <f t="shared" si="499"/>
        <v/>
      </c>
      <c r="BU247" s="1402"/>
      <c r="BV247" s="1402"/>
      <c r="BW247" s="1402"/>
      <c r="BX247" s="1402"/>
      <c r="BY247" s="1402"/>
      <c r="BZ247" s="1402"/>
      <c r="CA247" s="1402"/>
      <c r="CB247" s="1402"/>
      <c r="CD247" s="1408">
        <f t="shared" si="492"/>
        <v>0</v>
      </c>
      <c r="DC247" s="16" t="str">
        <f>Juin!FC30</f>
        <v>non</v>
      </c>
      <c r="DG247" s="333">
        <f t="shared" si="493"/>
        <v>1</v>
      </c>
      <c r="DH247" s="129">
        <f t="shared" si="471"/>
        <v>10</v>
      </c>
      <c r="DI247" s="129">
        <f t="shared" si="494"/>
        <v>1</v>
      </c>
      <c r="DK247" s="16">
        <f>+IF(AND(Juin!$DP$8&lt;&gt;52,AR247=S.CAL!$BJ$4),10,1)</f>
        <v>1</v>
      </c>
      <c r="DN247" s="16">
        <f t="shared" si="472"/>
        <v>1</v>
      </c>
      <c r="DU247" s="1296" t="str">
        <f t="shared" si="495"/>
        <v>Fiche infoA345819</v>
      </c>
      <c r="DV247" s="1384">
        <f t="shared" si="473"/>
        <v>0</v>
      </c>
      <c r="DW247" s="1385">
        <f t="shared" si="474"/>
        <v>0</v>
      </c>
      <c r="DX247" s="1385">
        <f t="shared" si="475"/>
        <v>0</v>
      </c>
      <c r="DY247" s="1385">
        <f t="shared" si="476"/>
        <v>0</v>
      </c>
      <c r="DZ247" s="1385">
        <f t="shared" si="477"/>
        <v>0</v>
      </c>
      <c r="EA247" s="1385">
        <f t="shared" si="478"/>
        <v>0</v>
      </c>
      <c r="EB247" s="1385">
        <f t="shared" si="479"/>
        <v>0</v>
      </c>
      <c r="EC247" s="1385">
        <f t="shared" si="480"/>
        <v>0</v>
      </c>
      <c r="ED247" s="1385">
        <f t="shared" si="496"/>
        <v>0</v>
      </c>
      <c r="EE247" s="1386">
        <f t="shared" si="497"/>
        <v>0</v>
      </c>
      <c r="EG247" s="16" t="str">
        <f t="shared" si="498"/>
        <v>242025</v>
      </c>
      <c r="EH247" s="16" t="str">
        <f t="shared" si="481"/>
        <v>Fiche infoA3</v>
      </c>
      <c r="EI247" s="16" t="str">
        <f t="shared" si="482"/>
        <v/>
      </c>
    </row>
    <row r="248" spans="1:139" x14ac:dyDescent="0.2">
      <c r="A248" s="1395" t="str">
        <f>Juin!BJ31</f>
        <v>Fiche infoA4</v>
      </c>
      <c r="B248" s="829">
        <f>Juin!AB31</f>
        <v>45820</v>
      </c>
      <c r="C248" s="1394"/>
      <c r="D248" s="1001">
        <f t="shared" si="438"/>
        <v>0</v>
      </c>
      <c r="E248" s="452">
        <f t="shared" si="439"/>
        <v>0</v>
      </c>
      <c r="F248" s="452">
        <f t="shared" si="440"/>
        <v>0</v>
      </c>
      <c r="G248" s="452">
        <f t="shared" si="441"/>
        <v>0</v>
      </c>
      <c r="H248" s="452">
        <f t="shared" si="442"/>
        <v>0</v>
      </c>
      <c r="I248" s="452">
        <f t="shared" si="443"/>
        <v>0</v>
      </c>
      <c r="J248" s="452">
        <f t="shared" si="444"/>
        <v>0</v>
      </c>
      <c r="K248" s="452">
        <f t="shared" si="445"/>
        <v>0</v>
      </c>
      <c r="L248" s="452">
        <f t="shared" si="483"/>
        <v>0</v>
      </c>
      <c r="M248" s="1002">
        <f t="shared" si="484"/>
        <v>0</v>
      </c>
      <c r="N248" s="1396"/>
      <c r="O248" s="1001">
        <f t="shared" si="500"/>
        <v>0</v>
      </c>
      <c r="P248" s="452">
        <f t="shared" si="501"/>
        <v>0</v>
      </c>
      <c r="Q248" s="452">
        <f t="shared" si="502"/>
        <v>0</v>
      </c>
      <c r="R248" s="452">
        <f t="shared" si="503"/>
        <v>0</v>
      </c>
      <c r="S248" s="452">
        <f t="shared" si="504"/>
        <v>0</v>
      </c>
      <c r="T248" s="452">
        <f t="shared" si="505"/>
        <v>0</v>
      </c>
      <c r="U248" s="452">
        <f t="shared" si="506"/>
        <v>0</v>
      </c>
      <c r="V248" s="452">
        <f t="shared" si="507"/>
        <v>0</v>
      </c>
      <c r="W248" s="452">
        <f t="shared" si="454"/>
        <v>0</v>
      </c>
      <c r="X248" s="1002">
        <f t="shared" si="455"/>
        <v>0</v>
      </c>
      <c r="Y248" s="1397"/>
      <c r="Z248" s="1398">
        <f t="shared" si="456"/>
        <v>0</v>
      </c>
      <c r="AA248" s="1398">
        <f t="shared" si="457"/>
        <v>0</v>
      </c>
      <c r="AB248" s="1398">
        <f t="shared" si="458"/>
        <v>0</v>
      </c>
      <c r="AC248" s="1398">
        <f t="shared" si="459"/>
        <v>0</v>
      </c>
      <c r="AD248" s="1398">
        <f t="shared" si="460"/>
        <v>0</v>
      </c>
      <c r="AE248" s="1398">
        <f t="shared" si="461"/>
        <v>0</v>
      </c>
      <c r="AF248" s="1398">
        <f t="shared" si="462"/>
        <v>0</v>
      </c>
      <c r="AG248" s="1398">
        <f t="shared" si="463"/>
        <v>0</v>
      </c>
      <c r="AH248" s="1396"/>
      <c r="AI248" s="462">
        <f t="shared" si="508"/>
        <v>0</v>
      </c>
      <c r="AJ248" s="1112"/>
      <c r="AK248" s="1399"/>
      <c r="AL248" s="829">
        <f t="shared" si="465"/>
        <v>45820</v>
      </c>
      <c r="AM248" s="684">
        <f>IFERROR(IF(AND(AT248="",AR248&lt;&gt;S.CAL!$BJ$3,AR248&lt;&gt;S.CAL!$BJ$4,$AR$230="NON"),M248-BD248,IF(AND(AT248="",AR248&lt;&gt;S.CAL!$BJ$3,AR248&lt;&gt;S.CAL!$BJ$4,$AR$230="OUI"),X248-AI248,IF(AT248&lt;&gt;0,AT248,IF(OR(AR248=S.CAL!$BJ$3,AR248=S.CAL!$BJ$4),AR248,"")))),"")</f>
        <v>0</v>
      </c>
      <c r="AN248" s="1115"/>
      <c r="AO248" s="1116"/>
      <c r="AP248" s="684">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400">
        <f t="shared" si="485"/>
        <v>0</v>
      </c>
      <c r="AR248" s="1120"/>
      <c r="AS248" s="1396"/>
      <c r="AT248" s="1123"/>
      <c r="AU248" s="831"/>
      <c r="AV248" s="1392">
        <f t="shared" si="466"/>
        <v>45820</v>
      </c>
      <c r="AW248" s="1396"/>
      <c r="AX248" s="529">
        <f t="shared" si="486"/>
        <v>45820</v>
      </c>
      <c r="AY248" s="541">
        <f t="shared" si="487"/>
        <v>0</v>
      </c>
      <c r="AZ248" s="538" t="s">
        <v>146</v>
      </c>
      <c r="BA248" s="534">
        <f t="shared" si="488"/>
        <v>0</v>
      </c>
      <c r="BB248" s="567" t="str">
        <f t="shared" si="467"/>
        <v/>
      </c>
      <c r="BC248" s="541">
        <f t="shared" si="489"/>
        <v>0</v>
      </c>
      <c r="BD248" s="541">
        <f t="shared" si="490"/>
        <v>0</v>
      </c>
      <c r="BE248" s="750"/>
      <c r="BF248" s="532" t="str">
        <f t="shared" si="468"/>
        <v/>
      </c>
      <c r="BG248" s="532" t="str">
        <f t="shared" si="491"/>
        <v>oui</v>
      </c>
      <c r="BH248" s="395" t="str">
        <f t="shared" si="469"/>
        <v/>
      </c>
      <c r="BI248" s="24" t="str">
        <f t="shared" si="470"/>
        <v/>
      </c>
      <c r="BJ248" s="1404"/>
      <c r="BK248" s="1404"/>
      <c r="BL248" s="1404"/>
      <c r="BM248" s="1404"/>
      <c r="BN248" s="1404"/>
      <c r="BO248" s="1404"/>
      <c r="BP248" s="1404"/>
      <c r="BQ248" s="1404"/>
      <c r="BR248" s="1405"/>
      <c r="BS248" s="1392">
        <f t="shared" si="437"/>
        <v>45820</v>
      </c>
      <c r="BT248" s="1406" t="str">
        <f t="shared" si="499"/>
        <v/>
      </c>
      <c r="BU248" s="1404"/>
      <c r="BV248" s="1404"/>
      <c r="BW248" s="1404"/>
      <c r="BX248" s="1404"/>
      <c r="BY248" s="1404"/>
      <c r="BZ248" s="1404"/>
      <c r="CA248" s="1404"/>
      <c r="CB248" s="1404"/>
      <c r="CD248" s="1408">
        <f t="shared" si="492"/>
        <v>0</v>
      </c>
      <c r="DC248" s="16" t="str">
        <f>Juin!FC31</f>
        <v>non</v>
      </c>
      <c r="DG248" s="333">
        <f t="shared" si="493"/>
        <v>1</v>
      </c>
      <c r="DH248" s="129">
        <f t="shared" si="471"/>
        <v>10</v>
      </c>
      <c r="DI248" s="129">
        <f t="shared" si="494"/>
        <v>1</v>
      </c>
      <c r="DK248" s="16">
        <f>+IF(AND(Juin!$DP$8&lt;&gt;52,AR248=S.CAL!$BJ$4),10,1)</f>
        <v>1</v>
      </c>
      <c r="DN248" s="16">
        <f t="shared" si="472"/>
        <v>1</v>
      </c>
      <c r="DU248" s="1296" t="str">
        <f t="shared" si="495"/>
        <v>Fiche infoA445820</v>
      </c>
      <c r="DV248" s="1384">
        <f t="shared" si="473"/>
        <v>0</v>
      </c>
      <c r="DW248" s="1385">
        <f t="shared" si="474"/>
        <v>0</v>
      </c>
      <c r="DX248" s="1385">
        <f t="shared" si="475"/>
        <v>0</v>
      </c>
      <c r="DY248" s="1385">
        <f t="shared" si="476"/>
        <v>0</v>
      </c>
      <c r="DZ248" s="1385">
        <f t="shared" si="477"/>
        <v>0</v>
      </c>
      <c r="EA248" s="1385">
        <f t="shared" si="478"/>
        <v>0</v>
      </c>
      <c r="EB248" s="1385">
        <f t="shared" si="479"/>
        <v>0</v>
      </c>
      <c r="EC248" s="1385">
        <f t="shared" si="480"/>
        <v>0</v>
      </c>
      <c r="ED248" s="1385">
        <f t="shared" si="496"/>
        <v>0</v>
      </c>
      <c r="EE248" s="1386">
        <f t="shared" si="497"/>
        <v>0</v>
      </c>
      <c r="EG248" s="16" t="str">
        <f t="shared" si="498"/>
        <v>242025</v>
      </c>
      <c r="EH248" s="16" t="str">
        <f t="shared" si="481"/>
        <v>Fiche infoA4</v>
      </c>
      <c r="EI248" s="16" t="str">
        <f t="shared" si="482"/>
        <v/>
      </c>
    </row>
    <row r="249" spans="1:139" x14ac:dyDescent="0.2">
      <c r="A249" s="24" t="str">
        <f>Juin!BJ32</f>
        <v>Fiche infoA5</v>
      </c>
      <c r="B249" s="829">
        <f>Juin!AB32</f>
        <v>45821</v>
      </c>
      <c r="C249" s="1393"/>
      <c r="D249" s="1001">
        <f t="shared" si="438"/>
        <v>0</v>
      </c>
      <c r="E249" s="452">
        <f t="shared" si="439"/>
        <v>0</v>
      </c>
      <c r="F249" s="452">
        <f t="shared" si="440"/>
        <v>0</v>
      </c>
      <c r="G249" s="452">
        <f t="shared" si="441"/>
        <v>0</v>
      </c>
      <c r="H249" s="452">
        <f t="shared" si="442"/>
        <v>0</v>
      </c>
      <c r="I249" s="452">
        <f t="shared" si="443"/>
        <v>0</v>
      </c>
      <c r="J249" s="452">
        <f t="shared" si="444"/>
        <v>0</v>
      </c>
      <c r="K249" s="452">
        <f t="shared" si="445"/>
        <v>0</v>
      </c>
      <c r="L249" s="452">
        <f t="shared" si="483"/>
        <v>0</v>
      </c>
      <c r="M249" s="1002">
        <f t="shared" si="484"/>
        <v>0</v>
      </c>
      <c r="O249" s="1001">
        <f t="shared" si="500"/>
        <v>0</v>
      </c>
      <c r="P249" s="452">
        <f t="shared" si="501"/>
        <v>0</v>
      </c>
      <c r="Q249" s="452">
        <f t="shared" si="502"/>
        <v>0</v>
      </c>
      <c r="R249" s="452">
        <f t="shared" si="503"/>
        <v>0</v>
      </c>
      <c r="S249" s="452">
        <f t="shared" si="504"/>
        <v>0</v>
      </c>
      <c r="T249" s="452">
        <f t="shared" si="505"/>
        <v>0</v>
      </c>
      <c r="U249" s="452">
        <f t="shared" si="506"/>
        <v>0</v>
      </c>
      <c r="V249" s="452">
        <f t="shared" si="507"/>
        <v>0</v>
      </c>
      <c r="W249" s="452">
        <f t="shared" si="454"/>
        <v>0</v>
      </c>
      <c r="X249" s="1002">
        <f t="shared" si="455"/>
        <v>0</v>
      </c>
      <c r="Y249" s="459"/>
      <c r="Z249" s="291">
        <f t="shared" si="456"/>
        <v>0</v>
      </c>
      <c r="AA249" s="291">
        <f t="shared" si="457"/>
        <v>0</v>
      </c>
      <c r="AB249" s="291">
        <f t="shared" si="458"/>
        <v>0</v>
      </c>
      <c r="AC249" s="291">
        <f t="shared" si="459"/>
        <v>0</v>
      </c>
      <c r="AD249" s="291">
        <f t="shared" si="460"/>
        <v>0</v>
      </c>
      <c r="AE249" s="291">
        <f t="shared" si="461"/>
        <v>0</v>
      </c>
      <c r="AF249" s="291">
        <f t="shared" si="462"/>
        <v>0</v>
      </c>
      <c r="AG249" s="291">
        <f t="shared" si="463"/>
        <v>0</v>
      </c>
      <c r="AI249" s="462">
        <f t="shared" si="508"/>
        <v>0</v>
      </c>
      <c r="AJ249" s="1112"/>
      <c r="AK249" s="507"/>
      <c r="AL249" s="829">
        <f t="shared" si="465"/>
        <v>45821</v>
      </c>
      <c r="AM249" s="684">
        <f>IFERROR(IF(AND(AT249="",AR249&lt;&gt;S.CAL!$BJ$3,AR249&lt;&gt;S.CAL!$BJ$4,$AR$230="NON"),M249-BD249,IF(AND(AT249="",AR249&lt;&gt;S.CAL!$BJ$3,AR249&lt;&gt;S.CAL!$BJ$4,$AR$230="OUI"),X249-AI249,IF(AT249&lt;&gt;0,AT249,IF(OR(AR249=S.CAL!$BJ$3,AR249=S.CAL!$BJ$4),AR249,"")))),"")</f>
        <v>0</v>
      </c>
      <c r="AN249" s="1115"/>
      <c r="AO249" s="1116"/>
      <c r="AP249" s="684">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516">
        <f t="shared" si="485"/>
        <v>0</v>
      </c>
      <c r="AR249" s="1120"/>
      <c r="AT249" s="1123"/>
      <c r="AU249" s="831"/>
      <c r="AV249" s="1392">
        <f t="shared" si="466"/>
        <v>45821</v>
      </c>
      <c r="AX249" s="529">
        <f t="shared" si="486"/>
        <v>45821</v>
      </c>
      <c r="AY249" s="541">
        <f t="shared" si="487"/>
        <v>0</v>
      </c>
      <c r="AZ249" s="538" t="s">
        <v>146</v>
      </c>
      <c r="BA249" s="534">
        <f t="shared" si="488"/>
        <v>0</v>
      </c>
      <c r="BB249" s="567" t="str">
        <f t="shared" si="467"/>
        <v/>
      </c>
      <c r="BC249" s="541">
        <f t="shared" si="489"/>
        <v>0</v>
      </c>
      <c r="BD249" s="541">
        <f t="shared" si="490"/>
        <v>0</v>
      </c>
      <c r="BE249" s="750"/>
      <c r="BF249" s="532" t="str">
        <f t="shared" si="468"/>
        <v/>
      </c>
      <c r="BG249" s="532" t="str">
        <f t="shared" si="491"/>
        <v>oui</v>
      </c>
      <c r="BH249" s="395" t="str">
        <f t="shared" si="469"/>
        <v/>
      </c>
      <c r="BI249" s="24" t="str">
        <f t="shared" si="470"/>
        <v/>
      </c>
      <c r="BJ249" s="1403"/>
      <c r="BK249" s="1403"/>
      <c r="BL249" s="1403"/>
      <c r="BM249" s="1403"/>
      <c r="BN249" s="1403"/>
      <c r="BO249" s="1403"/>
      <c r="BP249" s="1403"/>
      <c r="BQ249" s="1403"/>
      <c r="BS249" s="1392">
        <f t="shared" si="437"/>
        <v>45821</v>
      </c>
      <c r="BT249" s="27" t="str">
        <f t="shared" si="499"/>
        <v/>
      </c>
      <c r="BU249" s="1402"/>
      <c r="BV249" s="1402"/>
      <c r="BW249" s="1402"/>
      <c r="BX249" s="1402"/>
      <c r="BY249" s="1402"/>
      <c r="BZ249" s="1402"/>
      <c r="CA249" s="1402"/>
      <c r="CB249" s="1402"/>
      <c r="CD249" s="1408">
        <f t="shared" si="492"/>
        <v>0</v>
      </c>
      <c r="DC249" s="16" t="str">
        <f>Juin!FC32</f>
        <v>non</v>
      </c>
      <c r="DG249" s="333">
        <f t="shared" si="493"/>
        <v>1</v>
      </c>
      <c r="DH249" s="129">
        <f t="shared" si="471"/>
        <v>10</v>
      </c>
      <c r="DI249" s="129">
        <f t="shared" si="494"/>
        <v>1</v>
      </c>
      <c r="DK249" s="16">
        <f>+IF(AND(Juin!$DP$8&lt;&gt;52,AR249=S.CAL!$BJ$4),10,1)</f>
        <v>1</v>
      </c>
      <c r="DN249" s="16">
        <f t="shared" si="472"/>
        <v>1</v>
      </c>
      <c r="DU249" s="1296" t="str">
        <f t="shared" si="495"/>
        <v>Fiche infoA545821</v>
      </c>
      <c r="DV249" s="1384">
        <f t="shared" si="473"/>
        <v>0</v>
      </c>
      <c r="DW249" s="1385">
        <f t="shared" si="474"/>
        <v>0</v>
      </c>
      <c r="DX249" s="1385">
        <f t="shared" si="475"/>
        <v>0</v>
      </c>
      <c r="DY249" s="1385">
        <f t="shared" si="476"/>
        <v>0</v>
      </c>
      <c r="DZ249" s="1385">
        <f t="shared" si="477"/>
        <v>0</v>
      </c>
      <c r="EA249" s="1385">
        <f t="shared" si="478"/>
        <v>0</v>
      </c>
      <c r="EB249" s="1385">
        <f t="shared" si="479"/>
        <v>0</v>
      </c>
      <c r="EC249" s="1385">
        <f t="shared" si="480"/>
        <v>0</v>
      </c>
      <c r="ED249" s="1385">
        <f t="shared" si="496"/>
        <v>0</v>
      </c>
      <c r="EE249" s="1386">
        <f t="shared" si="497"/>
        <v>0</v>
      </c>
      <c r="EG249" s="16" t="str">
        <f t="shared" si="498"/>
        <v>242025</v>
      </c>
      <c r="EH249" s="16" t="str">
        <f t="shared" si="481"/>
        <v>Fiche infoA5</v>
      </c>
      <c r="EI249" s="16" t="str">
        <f t="shared" si="482"/>
        <v/>
      </c>
    </row>
    <row r="250" spans="1:139" x14ac:dyDescent="0.2">
      <c r="A250" s="1395" t="str">
        <f>Juin!BJ33</f>
        <v>Fiche infoA6</v>
      </c>
      <c r="B250" s="829">
        <f>Juin!AB33</f>
        <v>45822</v>
      </c>
      <c r="C250" s="1394"/>
      <c r="D250" s="1001">
        <f t="shared" si="438"/>
        <v>0</v>
      </c>
      <c r="E250" s="452">
        <f t="shared" si="439"/>
        <v>0</v>
      </c>
      <c r="F250" s="452">
        <f t="shared" si="440"/>
        <v>0</v>
      </c>
      <c r="G250" s="452">
        <f t="shared" si="441"/>
        <v>0</v>
      </c>
      <c r="H250" s="452">
        <f t="shared" si="442"/>
        <v>0</v>
      </c>
      <c r="I250" s="452">
        <f t="shared" si="443"/>
        <v>0</v>
      </c>
      <c r="J250" s="452">
        <f t="shared" si="444"/>
        <v>0</v>
      </c>
      <c r="K250" s="452">
        <f t="shared" si="445"/>
        <v>0</v>
      </c>
      <c r="L250" s="452">
        <f t="shared" si="483"/>
        <v>0</v>
      </c>
      <c r="M250" s="1002">
        <f t="shared" si="484"/>
        <v>0</v>
      </c>
      <c r="N250" s="1396"/>
      <c r="O250" s="1001">
        <f t="shared" si="500"/>
        <v>0</v>
      </c>
      <c r="P250" s="452">
        <f t="shared" si="501"/>
        <v>0</v>
      </c>
      <c r="Q250" s="452">
        <f t="shared" si="502"/>
        <v>0</v>
      </c>
      <c r="R250" s="452">
        <f t="shared" si="503"/>
        <v>0</v>
      </c>
      <c r="S250" s="452">
        <f t="shared" si="504"/>
        <v>0</v>
      </c>
      <c r="T250" s="452">
        <f t="shared" si="505"/>
        <v>0</v>
      </c>
      <c r="U250" s="452">
        <f t="shared" si="506"/>
        <v>0</v>
      </c>
      <c r="V250" s="452">
        <f t="shared" si="507"/>
        <v>0</v>
      </c>
      <c r="W250" s="452">
        <f t="shared" si="454"/>
        <v>0</v>
      </c>
      <c r="X250" s="1002">
        <f t="shared" si="455"/>
        <v>0</v>
      </c>
      <c r="Y250" s="1397"/>
      <c r="Z250" s="1398">
        <f t="shared" si="456"/>
        <v>0</v>
      </c>
      <c r="AA250" s="1398">
        <f t="shared" si="457"/>
        <v>0</v>
      </c>
      <c r="AB250" s="1398">
        <f t="shared" si="458"/>
        <v>0</v>
      </c>
      <c r="AC250" s="1398">
        <f t="shared" si="459"/>
        <v>0</v>
      </c>
      <c r="AD250" s="1398">
        <f t="shared" si="460"/>
        <v>0</v>
      </c>
      <c r="AE250" s="1398">
        <f t="shared" si="461"/>
        <v>0</v>
      </c>
      <c r="AF250" s="1398">
        <f t="shared" si="462"/>
        <v>0</v>
      </c>
      <c r="AG250" s="1398">
        <f t="shared" si="463"/>
        <v>0</v>
      </c>
      <c r="AH250" s="1396"/>
      <c r="AI250" s="462">
        <f t="shared" si="508"/>
        <v>0</v>
      </c>
      <c r="AJ250" s="1112"/>
      <c r="AK250" s="1399"/>
      <c r="AL250" s="829">
        <f t="shared" si="465"/>
        <v>45822</v>
      </c>
      <c r="AM250" s="684">
        <f>IFERROR(IF(AND(AT250="",AR250&lt;&gt;S.CAL!$BJ$3,AR250&lt;&gt;S.CAL!$BJ$4,$AR$230="NON"),M250-BD250,IF(AND(AT250="",AR250&lt;&gt;S.CAL!$BJ$3,AR250&lt;&gt;S.CAL!$BJ$4,$AR$230="OUI"),X250-AI250,IF(AT250&lt;&gt;0,AT250,IF(OR(AR250=S.CAL!$BJ$3,AR250=S.CAL!$BJ$4),AR250,"")))),"")</f>
        <v>0</v>
      </c>
      <c r="AN250" s="1115"/>
      <c r="AO250" s="1116"/>
      <c r="AP250" s="684">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400">
        <f t="shared" si="485"/>
        <v>0</v>
      </c>
      <c r="AR250" s="1120"/>
      <c r="AS250" s="1396"/>
      <c r="AT250" s="1123"/>
      <c r="AU250" s="831"/>
      <c r="AV250" s="1392">
        <f t="shared" si="466"/>
        <v>45822</v>
      </c>
      <c r="AW250" s="1396"/>
      <c r="AX250" s="529">
        <f t="shared" si="486"/>
        <v>45822</v>
      </c>
      <c r="AY250" s="541">
        <f t="shared" si="487"/>
        <v>0</v>
      </c>
      <c r="AZ250" s="538" t="s">
        <v>146</v>
      </c>
      <c r="BA250" s="534">
        <f t="shared" si="488"/>
        <v>0</v>
      </c>
      <c r="BB250" s="567" t="str">
        <f t="shared" si="467"/>
        <v/>
      </c>
      <c r="BC250" s="541">
        <f t="shared" si="489"/>
        <v>0</v>
      </c>
      <c r="BD250" s="541">
        <f t="shared" si="490"/>
        <v>0</v>
      </c>
      <c r="BE250" s="750"/>
      <c r="BF250" s="532" t="str">
        <f t="shared" si="468"/>
        <v/>
      </c>
      <c r="BG250" s="532" t="str">
        <f t="shared" si="491"/>
        <v>oui</v>
      </c>
      <c r="BH250" s="395" t="str">
        <f t="shared" si="469"/>
        <v/>
      </c>
      <c r="BI250" s="24" t="str">
        <f t="shared" si="470"/>
        <v/>
      </c>
      <c r="BJ250" s="1404"/>
      <c r="BK250" s="1404"/>
      <c r="BL250" s="1404"/>
      <c r="BM250" s="1404"/>
      <c r="BN250" s="1404"/>
      <c r="BO250" s="1404"/>
      <c r="BP250" s="1404"/>
      <c r="BQ250" s="1404"/>
      <c r="BR250" s="1405"/>
      <c r="BS250" s="1392">
        <f t="shared" si="437"/>
        <v>45822</v>
      </c>
      <c r="BT250" s="1406" t="str">
        <f t="shared" si="499"/>
        <v/>
      </c>
      <c r="BU250" s="1404"/>
      <c r="BV250" s="1404"/>
      <c r="BW250" s="1404"/>
      <c r="BX250" s="1404"/>
      <c r="BY250" s="1404"/>
      <c r="BZ250" s="1404"/>
      <c r="CA250" s="1404"/>
      <c r="CB250" s="1404"/>
      <c r="CD250" s="1408">
        <f t="shared" si="492"/>
        <v>0</v>
      </c>
      <c r="DC250" s="16" t="str">
        <f>Juin!FC33</f>
        <v>non</v>
      </c>
      <c r="DG250" s="333">
        <f t="shared" si="493"/>
        <v>1</v>
      </c>
      <c r="DH250" s="129">
        <f t="shared" si="471"/>
        <v>10</v>
      </c>
      <c r="DI250" s="129">
        <f t="shared" si="494"/>
        <v>1</v>
      </c>
      <c r="DK250" s="16">
        <f>+IF(AND(Juin!$DP$8&lt;&gt;52,AR250=S.CAL!$BJ$4),10,1)</f>
        <v>1</v>
      </c>
      <c r="DN250" s="16">
        <f t="shared" si="472"/>
        <v>1</v>
      </c>
      <c r="DU250" s="1296" t="str">
        <f t="shared" si="495"/>
        <v>Fiche infoA645822</v>
      </c>
      <c r="DV250" s="1384">
        <f t="shared" si="473"/>
        <v>0</v>
      </c>
      <c r="DW250" s="1385">
        <f t="shared" si="474"/>
        <v>0</v>
      </c>
      <c r="DX250" s="1385">
        <f t="shared" si="475"/>
        <v>0</v>
      </c>
      <c r="DY250" s="1385">
        <f t="shared" si="476"/>
        <v>0</v>
      </c>
      <c r="DZ250" s="1385">
        <f t="shared" si="477"/>
        <v>0</v>
      </c>
      <c r="EA250" s="1385">
        <f t="shared" si="478"/>
        <v>0</v>
      </c>
      <c r="EB250" s="1385">
        <f t="shared" si="479"/>
        <v>0</v>
      </c>
      <c r="EC250" s="1385">
        <f t="shared" si="480"/>
        <v>0</v>
      </c>
      <c r="ED250" s="1385">
        <f t="shared" si="496"/>
        <v>0</v>
      </c>
      <c r="EE250" s="1386">
        <f t="shared" si="497"/>
        <v>0</v>
      </c>
      <c r="EG250" s="16" t="str">
        <f t="shared" si="498"/>
        <v>242025</v>
      </c>
      <c r="EH250" s="16" t="str">
        <f t="shared" si="481"/>
        <v>Fiche infoA6</v>
      </c>
      <c r="EI250" s="16" t="str">
        <f t="shared" si="482"/>
        <v/>
      </c>
    </row>
    <row r="251" spans="1:139" x14ac:dyDescent="0.2">
      <c r="A251" s="24" t="str">
        <f>Juin!BJ34</f>
        <v>Fiche infoA7</v>
      </c>
      <c r="B251" s="829">
        <f>Juin!AB34</f>
        <v>45823</v>
      </c>
      <c r="C251" s="1393"/>
      <c r="D251" s="1001">
        <f t="shared" si="438"/>
        <v>0</v>
      </c>
      <c r="E251" s="452">
        <f t="shared" si="439"/>
        <v>0</v>
      </c>
      <c r="F251" s="452">
        <f t="shared" si="440"/>
        <v>0</v>
      </c>
      <c r="G251" s="452">
        <f t="shared" si="441"/>
        <v>0</v>
      </c>
      <c r="H251" s="452">
        <f t="shared" si="442"/>
        <v>0</v>
      </c>
      <c r="I251" s="452">
        <f t="shared" si="443"/>
        <v>0</v>
      </c>
      <c r="J251" s="452">
        <f t="shared" si="444"/>
        <v>0</v>
      </c>
      <c r="K251" s="452">
        <f t="shared" si="445"/>
        <v>0</v>
      </c>
      <c r="L251" s="452">
        <f t="shared" si="483"/>
        <v>0</v>
      </c>
      <c r="M251" s="1002">
        <f t="shared" si="484"/>
        <v>0</v>
      </c>
      <c r="O251" s="1001">
        <f t="shared" si="500"/>
        <v>0</v>
      </c>
      <c r="P251" s="452">
        <f t="shared" si="501"/>
        <v>0</v>
      </c>
      <c r="Q251" s="452">
        <f t="shared" si="502"/>
        <v>0</v>
      </c>
      <c r="R251" s="452">
        <f t="shared" si="503"/>
        <v>0</v>
      </c>
      <c r="S251" s="452">
        <f t="shared" si="504"/>
        <v>0</v>
      </c>
      <c r="T251" s="452">
        <f t="shared" si="505"/>
        <v>0</v>
      </c>
      <c r="U251" s="452">
        <f t="shared" si="506"/>
        <v>0</v>
      </c>
      <c r="V251" s="452">
        <f t="shared" si="507"/>
        <v>0</v>
      </c>
      <c r="W251" s="452">
        <f t="shared" si="454"/>
        <v>0</v>
      </c>
      <c r="X251" s="1002">
        <f t="shared" si="455"/>
        <v>0</v>
      </c>
      <c r="Y251" s="459"/>
      <c r="Z251" s="291">
        <f t="shared" si="456"/>
        <v>0</v>
      </c>
      <c r="AA251" s="291">
        <f t="shared" si="457"/>
        <v>0</v>
      </c>
      <c r="AB251" s="291">
        <f t="shared" si="458"/>
        <v>0</v>
      </c>
      <c r="AC251" s="291">
        <f t="shared" si="459"/>
        <v>0</v>
      </c>
      <c r="AD251" s="291">
        <f t="shared" si="460"/>
        <v>0</v>
      </c>
      <c r="AE251" s="291">
        <f t="shared" si="461"/>
        <v>0</v>
      </c>
      <c r="AF251" s="291">
        <f t="shared" si="462"/>
        <v>0</v>
      </c>
      <c r="AG251" s="291">
        <f t="shared" si="463"/>
        <v>0</v>
      </c>
      <c r="AI251" s="462">
        <f t="shared" si="508"/>
        <v>0</v>
      </c>
      <c r="AJ251" s="1112"/>
      <c r="AK251" s="507"/>
      <c r="AL251" s="829">
        <f t="shared" si="465"/>
        <v>45823</v>
      </c>
      <c r="AM251" s="684">
        <f>IFERROR(IF(AND(AT251="",AR251&lt;&gt;S.CAL!$BJ$3,AR251&lt;&gt;S.CAL!$BJ$4,$AR$230="NON"),M251-BD251,IF(AND(AT251="",AR251&lt;&gt;S.CAL!$BJ$3,AR251&lt;&gt;S.CAL!$BJ$4,$AR$230="OUI"),X251-AI251,IF(AT251&lt;&gt;0,AT251,IF(OR(AR251=S.CAL!$BJ$3,AR251=S.CAL!$BJ$4),AR251,"")))),"")</f>
        <v>0</v>
      </c>
      <c r="AN251" s="1115"/>
      <c r="AO251" s="1116"/>
      <c r="AP251" s="684">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516">
        <f t="shared" si="485"/>
        <v>0</v>
      </c>
      <c r="AR251" s="1120"/>
      <c r="AT251" s="1123"/>
      <c r="AU251" s="831"/>
      <c r="AV251" s="1392">
        <f t="shared" si="466"/>
        <v>45823</v>
      </c>
      <c r="AX251" s="529">
        <f t="shared" si="486"/>
        <v>45823</v>
      </c>
      <c r="AY251" s="541">
        <f t="shared" si="487"/>
        <v>0</v>
      </c>
      <c r="AZ251" s="538" t="s">
        <v>146</v>
      </c>
      <c r="BA251" s="534">
        <f t="shared" si="488"/>
        <v>0</v>
      </c>
      <c r="BB251" s="567" t="str">
        <f t="shared" si="467"/>
        <v/>
      </c>
      <c r="BC251" s="541">
        <f t="shared" si="489"/>
        <v>0</v>
      </c>
      <c r="BD251" s="541">
        <f t="shared" si="490"/>
        <v>0</v>
      </c>
      <c r="BE251" s="750"/>
      <c r="BF251" s="532" t="str">
        <f t="shared" si="468"/>
        <v/>
      </c>
      <c r="BG251" s="532" t="str">
        <f t="shared" si="491"/>
        <v>oui</v>
      </c>
      <c r="BH251" s="395" t="str">
        <f t="shared" si="469"/>
        <v/>
      </c>
      <c r="BI251" s="24" t="str">
        <f t="shared" si="470"/>
        <v/>
      </c>
      <c r="BJ251" s="1403"/>
      <c r="BK251" s="1403"/>
      <c r="BL251" s="1403"/>
      <c r="BM251" s="1403"/>
      <c r="BN251" s="1403"/>
      <c r="BO251" s="1403"/>
      <c r="BP251" s="1403"/>
      <c r="BQ251" s="1403"/>
      <c r="BS251" s="1392">
        <f t="shared" si="437"/>
        <v>45823</v>
      </c>
      <c r="BT251" s="27" t="str">
        <f t="shared" si="499"/>
        <v/>
      </c>
      <c r="BU251" s="1402"/>
      <c r="BV251" s="1402"/>
      <c r="BW251" s="1402"/>
      <c r="BX251" s="1402"/>
      <c r="BY251" s="1402"/>
      <c r="BZ251" s="1402"/>
      <c r="CA251" s="1402"/>
      <c r="CB251" s="1402"/>
      <c r="CD251" s="1408">
        <f t="shared" si="492"/>
        <v>0</v>
      </c>
      <c r="DC251" s="16" t="str">
        <f>Juin!FC34</f>
        <v>non</v>
      </c>
      <c r="DG251" s="333">
        <f t="shared" si="493"/>
        <v>1</v>
      </c>
      <c r="DH251" s="129">
        <f t="shared" si="471"/>
        <v>10</v>
      </c>
      <c r="DI251" s="129">
        <f t="shared" si="494"/>
        <v>1</v>
      </c>
      <c r="DK251" s="16">
        <f>+IF(AND(Juin!$DP$8&lt;&gt;52,AR251=S.CAL!$BJ$4),10,1)</f>
        <v>1</v>
      </c>
      <c r="DN251" s="16">
        <f t="shared" si="472"/>
        <v>1</v>
      </c>
      <c r="DU251" s="1296" t="str">
        <f t="shared" si="495"/>
        <v>Fiche infoA745823</v>
      </c>
      <c r="DV251" s="1384">
        <f t="shared" si="473"/>
        <v>0</v>
      </c>
      <c r="DW251" s="1385">
        <f t="shared" si="474"/>
        <v>0</v>
      </c>
      <c r="DX251" s="1385">
        <f t="shared" si="475"/>
        <v>0</v>
      </c>
      <c r="DY251" s="1385">
        <f t="shared" si="476"/>
        <v>0</v>
      </c>
      <c r="DZ251" s="1385">
        <f t="shared" si="477"/>
        <v>0</v>
      </c>
      <c r="EA251" s="1385">
        <f t="shared" si="478"/>
        <v>0</v>
      </c>
      <c r="EB251" s="1385">
        <f t="shared" si="479"/>
        <v>0</v>
      </c>
      <c r="EC251" s="1385">
        <f t="shared" si="480"/>
        <v>0</v>
      </c>
      <c r="ED251" s="1385">
        <f t="shared" si="496"/>
        <v>0</v>
      </c>
      <c r="EE251" s="1386">
        <f t="shared" si="497"/>
        <v>0</v>
      </c>
      <c r="EG251" s="16" t="str">
        <f t="shared" si="498"/>
        <v>242025</v>
      </c>
      <c r="EH251" s="16" t="str">
        <f t="shared" si="481"/>
        <v>Fiche infoA7</v>
      </c>
      <c r="EI251" s="16" t="str">
        <f t="shared" si="482"/>
        <v/>
      </c>
    </row>
    <row r="252" spans="1:139" x14ac:dyDescent="0.2">
      <c r="A252" s="1395" t="str">
        <f>Juin!BJ35</f>
        <v>Fiche infoA1</v>
      </c>
      <c r="B252" s="829">
        <f>Juin!AB35</f>
        <v>45824</v>
      </c>
      <c r="C252" s="1394"/>
      <c r="D252" s="1001">
        <f t="shared" si="438"/>
        <v>0</v>
      </c>
      <c r="E252" s="452">
        <f t="shared" si="439"/>
        <v>0</v>
      </c>
      <c r="F252" s="452">
        <f t="shared" si="440"/>
        <v>0</v>
      </c>
      <c r="G252" s="452">
        <f t="shared" si="441"/>
        <v>0</v>
      </c>
      <c r="H252" s="452">
        <f t="shared" si="442"/>
        <v>0</v>
      </c>
      <c r="I252" s="452">
        <f t="shared" si="443"/>
        <v>0</v>
      </c>
      <c r="J252" s="452">
        <f t="shared" si="444"/>
        <v>0</v>
      </c>
      <c r="K252" s="452">
        <f t="shared" si="445"/>
        <v>0</v>
      </c>
      <c r="L252" s="452">
        <f t="shared" si="483"/>
        <v>0</v>
      </c>
      <c r="M252" s="1002">
        <f t="shared" si="484"/>
        <v>0</v>
      </c>
      <c r="N252" s="1396"/>
      <c r="O252" s="1001">
        <f t="shared" si="500"/>
        <v>0</v>
      </c>
      <c r="P252" s="452">
        <f t="shared" si="501"/>
        <v>0</v>
      </c>
      <c r="Q252" s="452">
        <f t="shared" si="502"/>
        <v>0</v>
      </c>
      <c r="R252" s="452">
        <f t="shared" si="503"/>
        <v>0</v>
      </c>
      <c r="S252" s="452">
        <f t="shared" si="504"/>
        <v>0</v>
      </c>
      <c r="T252" s="452">
        <f t="shared" si="505"/>
        <v>0</v>
      </c>
      <c r="U252" s="452">
        <f t="shared" si="506"/>
        <v>0</v>
      </c>
      <c r="V252" s="452">
        <f t="shared" si="507"/>
        <v>0</v>
      </c>
      <c r="W252" s="452">
        <f t="shared" si="454"/>
        <v>0</v>
      </c>
      <c r="X252" s="1002">
        <f t="shared" si="455"/>
        <v>0</v>
      </c>
      <c r="Y252" s="1397"/>
      <c r="Z252" s="1398">
        <f t="shared" si="456"/>
        <v>0</v>
      </c>
      <c r="AA252" s="1398">
        <f t="shared" si="457"/>
        <v>0</v>
      </c>
      <c r="AB252" s="1398">
        <f t="shared" si="458"/>
        <v>0</v>
      </c>
      <c r="AC252" s="1398">
        <f t="shared" si="459"/>
        <v>0</v>
      </c>
      <c r="AD252" s="1398">
        <f t="shared" si="460"/>
        <v>0</v>
      </c>
      <c r="AE252" s="1398">
        <f t="shared" si="461"/>
        <v>0</v>
      </c>
      <c r="AF252" s="1398">
        <f t="shared" si="462"/>
        <v>0</v>
      </c>
      <c r="AG252" s="1398">
        <f t="shared" si="463"/>
        <v>0</v>
      </c>
      <c r="AH252" s="1396"/>
      <c r="AI252" s="462">
        <f t="shared" si="508"/>
        <v>0</v>
      </c>
      <c r="AJ252" s="1112"/>
      <c r="AK252" s="1399"/>
      <c r="AL252" s="829">
        <f t="shared" si="465"/>
        <v>45824</v>
      </c>
      <c r="AM252" s="684">
        <f>IFERROR(IF(AND(AT252="",AR252&lt;&gt;S.CAL!$BJ$3,AR252&lt;&gt;S.CAL!$BJ$4,$AR$230="NON"),M252-BD252,IF(AND(AT252="",AR252&lt;&gt;S.CAL!$BJ$3,AR252&lt;&gt;S.CAL!$BJ$4,$AR$230="OUI"),X252-AI252,IF(AT252&lt;&gt;0,AT252,IF(OR(AR252=S.CAL!$BJ$3,AR252=S.CAL!$BJ$4),AR252,"")))),"")</f>
        <v>0</v>
      </c>
      <c r="AN252" s="1115"/>
      <c r="AO252" s="1116"/>
      <c r="AP252" s="684">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400">
        <f t="shared" si="485"/>
        <v>0</v>
      </c>
      <c r="AR252" s="1120"/>
      <c r="AS252" s="1396"/>
      <c r="AT252" s="1123"/>
      <c r="AU252" s="831"/>
      <c r="AV252" s="1392">
        <f t="shared" si="466"/>
        <v>45824</v>
      </c>
      <c r="AW252" s="1396"/>
      <c r="AX252" s="529">
        <f t="shared" si="486"/>
        <v>45824</v>
      </c>
      <c r="AY252" s="541">
        <f t="shared" si="487"/>
        <v>0</v>
      </c>
      <c r="AZ252" s="538" t="s">
        <v>146</v>
      </c>
      <c r="BA252" s="534">
        <f t="shared" si="488"/>
        <v>0</v>
      </c>
      <c r="BB252" s="567" t="str">
        <f t="shared" si="467"/>
        <v/>
      </c>
      <c r="BC252" s="541">
        <f t="shared" si="489"/>
        <v>0</v>
      </c>
      <c r="BD252" s="541">
        <f t="shared" si="490"/>
        <v>0</v>
      </c>
      <c r="BE252" s="750"/>
      <c r="BF252" s="532" t="str">
        <f t="shared" si="468"/>
        <v/>
      </c>
      <c r="BG252" s="532" t="str">
        <f t="shared" si="491"/>
        <v>oui</v>
      </c>
      <c r="BH252" s="395" t="str">
        <f t="shared" si="469"/>
        <v/>
      </c>
      <c r="BI252" s="24" t="str">
        <f t="shared" si="470"/>
        <v/>
      </c>
      <c r="BJ252" s="1404"/>
      <c r="BK252" s="1404"/>
      <c r="BL252" s="1404"/>
      <c r="BM252" s="1404"/>
      <c r="BN252" s="1404"/>
      <c r="BO252" s="1404"/>
      <c r="BP252" s="1404"/>
      <c r="BQ252" s="1404"/>
      <c r="BR252" s="1405"/>
      <c r="BS252" s="1392">
        <f t="shared" si="437"/>
        <v>45824</v>
      </c>
      <c r="BT252" s="1406">
        <f t="shared" si="499"/>
        <v>25</v>
      </c>
      <c r="BU252" s="1404"/>
      <c r="BV252" s="1404"/>
      <c r="BW252" s="1404"/>
      <c r="BX252" s="1404"/>
      <c r="BY252" s="1404"/>
      <c r="BZ252" s="1404"/>
      <c r="CA252" s="1404"/>
      <c r="CB252" s="1404"/>
      <c r="CD252" s="1408">
        <f t="shared" si="492"/>
        <v>0</v>
      </c>
      <c r="DC252" s="16" t="str">
        <f>Juin!FC35</f>
        <v>non</v>
      </c>
      <c r="DG252" s="333">
        <f t="shared" si="493"/>
        <v>1</v>
      </c>
      <c r="DH252" s="129">
        <f t="shared" si="471"/>
        <v>10</v>
      </c>
      <c r="DI252" s="129">
        <f t="shared" si="494"/>
        <v>1</v>
      </c>
      <c r="DK252" s="16">
        <f>+IF(AND(Juin!$DP$8&lt;&gt;52,AR252=S.CAL!$BJ$4),10,1)</f>
        <v>1</v>
      </c>
      <c r="DN252" s="16">
        <f t="shared" si="472"/>
        <v>1</v>
      </c>
      <c r="DU252" s="1296" t="str">
        <f t="shared" si="495"/>
        <v>Fiche infoA145824</v>
      </c>
      <c r="DV252" s="1384">
        <f t="shared" si="473"/>
        <v>0</v>
      </c>
      <c r="DW252" s="1385">
        <f t="shared" si="474"/>
        <v>0</v>
      </c>
      <c r="DX252" s="1385">
        <f t="shared" si="475"/>
        <v>0</v>
      </c>
      <c r="DY252" s="1385">
        <f t="shared" si="476"/>
        <v>0</v>
      </c>
      <c r="DZ252" s="1385">
        <f t="shared" si="477"/>
        <v>0</v>
      </c>
      <c r="EA252" s="1385">
        <f t="shared" si="478"/>
        <v>0</v>
      </c>
      <c r="EB252" s="1385">
        <f t="shared" si="479"/>
        <v>0</v>
      </c>
      <c r="EC252" s="1385">
        <f t="shared" si="480"/>
        <v>0</v>
      </c>
      <c r="ED252" s="1385">
        <f t="shared" si="496"/>
        <v>0</v>
      </c>
      <c r="EE252" s="1386">
        <f t="shared" si="497"/>
        <v>0</v>
      </c>
      <c r="EG252" s="16" t="str">
        <f t="shared" si="498"/>
        <v>252025</v>
      </c>
      <c r="EH252" s="16" t="str">
        <f t="shared" si="481"/>
        <v>Fiche infoA1</v>
      </c>
      <c r="EI252" s="16" t="str">
        <f t="shared" si="482"/>
        <v/>
      </c>
    </row>
    <row r="253" spans="1:139" x14ac:dyDescent="0.2">
      <c r="A253" s="24" t="str">
        <f>Juin!BJ36</f>
        <v>Fiche infoA2</v>
      </c>
      <c r="B253" s="829">
        <f>Juin!AB36</f>
        <v>45825</v>
      </c>
      <c r="C253" s="1393"/>
      <c r="D253" s="1001">
        <f t="shared" si="438"/>
        <v>0</v>
      </c>
      <c r="E253" s="452">
        <f t="shared" si="439"/>
        <v>0</v>
      </c>
      <c r="F253" s="452">
        <f t="shared" si="440"/>
        <v>0</v>
      </c>
      <c r="G253" s="452">
        <f t="shared" si="441"/>
        <v>0</v>
      </c>
      <c r="H253" s="452">
        <f t="shared" si="442"/>
        <v>0</v>
      </c>
      <c r="I253" s="452">
        <f t="shared" si="443"/>
        <v>0</v>
      </c>
      <c r="J253" s="452">
        <f t="shared" si="444"/>
        <v>0</v>
      </c>
      <c r="K253" s="452">
        <f t="shared" si="445"/>
        <v>0</v>
      </c>
      <c r="L253" s="452">
        <f t="shared" si="483"/>
        <v>0</v>
      </c>
      <c r="M253" s="1002">
        <f t="shared" si="484"/>
        <v>0</v>
      </c>
      <c r="O253" s="1001">
        <f t="shared" si="500"/>
        <v>0</v>
      </c>
      <c r="P253" s="452">
        <f t="shared" si="501"/>
        <v>0</v>
      </c>
      <c r="Q253" s="452">
        <f t="shared" si="502"/>
        <v>0</v>
      </c>
      <c r="R253" s="452">
        <f t="shared" si="503"/>
        <v>0</v>
      </c>
      <c r="S253" s="452">
        <f t="shared" si="504"/>
        <v>0</v>
      </c>
      <c r="T253" s="452">
        <f t="shared" si="505"/>
        <v>0</v>
      </c>
      <c r="U253" s="452">
        <f t="shared" si="506"/>
        <v>0</v>
      </c>
      <c r="V253" s="452">
        <f t="shared" si="507"/>
        <v>0</v>
      </c>
      <c r="W253" s="452">
        <f t="shared" si="454"/>
        <v>0</v>
      </c>
      <c r="X253" s="1002">
        <f t="shared" si="455"/>
        <v>0</v>
      </c>
      <c r="Y253" s="459"/>
      <c r="Z253" s="291">
        <f t="shared" si="456"/>
        <v>0</v>
      </c>
      <c r="AA253" s="291">
        <f t="shared" si="457"/>
        <v>0</v>
      </c>
      <c r="AB253" s="291">
        <f t="shared" si="458"/>
        <v>0</v>
      </c>
      <c r="AC253" s="291">
        <f t="shared" si="459"/>
        <v>0</v>
      </c>
      <c r="AD253" s="291">
        <f t="shared" si="460"/>
        <v>0</v>
      </c>
      <c r="AE253" s="291">
        <f t="shared" si="461"/>
        <v>0</v>
      </c>
      <c r="AF253" s="291">
        <f t="shared" si="462"/>
        <v>0</v>
      </c>
      <c r="AG253" s="291">
        <f t="shared" si="463"/>
        <v>0</v>
      </c>
      <c r="AI253" s="462">
        <f t="shared" si="508"/>
        <v>0</v>
      </c>
      <c r="AJ253" s="1112"/>
      <c r="AK253" s="507"/>
      <c r="AL253" s="829">
        <f t="shared" si="465"/>
        <v>45825</v>
      </c>
      <c r="AM253" s="684">
        <f>IFERROR(IF(AND(AT253="",AR253&lt;&gt;S.CAL!$BJ$3,AR253&lt;&gt;S.CAL!$BJ$4,$AR$230="NON"),M253-BD253,IF(AND(AT253="",AR253&lt;&gt;S.CAL!$BJ$3,AR253&lt;&gt;S.CAL!$BJ$4,$AR$230="OUI"),X253-AI253,IF(AT253&lt;&gt;0,AT253,IF(OR(AR253=S.CAL!$BJ$3,AR253=S.CAL!$BJ$4),AR253,"")))),"")</f>
        <v>0</v>
      </c>
      <c r="AN253" s="1115"/>
      <c r="AO253" s="1116"/>
      <c r="AP253" s="684">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516">
        <f t="shared" si="485"/>
        <v>0</v>
      </c>
      <c r="AR253" s="1120"/>
      <c r="AT253" s="1123"/>
      <c r="AU253" s="831"/>
      <c r="AV253" s="1392">
        <f t="shared" si="466"/>
        <v>45825</v>
      </c>
      <c r="AX253" s="529">
        <f t="shared" si="486"/>
        <v>45825</v>
      </c>
      <c r="AY253" s="541">
        <f t="shared" si="487"/>
        <v>0</v>
      </c>
      <c r="AZ253" s="538" t="s">
        <v>146</v>
      </c>
      <c r="BA253" s="534">
        <f t="shared" si="488"/>
        <v>0</v>
      </c>
      <c r="BB253" s="567" t="str">
        <f t="shared" si="467"/>
        <v/>
      </c>
      <c r="BC253" s="541">
        <f t="shared" si="489"/>
        <v>0</v>
      </c>
      <c r="BD253" s="541">
        <f t="shared" si="490"/>
        <v>0</v>
      </c>
      <c r="BE253" s="750"/>
      <c r="BF253" s="532" t="str">
        <f t="shared" si="468"/>
        <v/>
      </c>
      <c r="BG253" s="532" t="str">
        <f t="shared" si="491"/>
        <v>oui</v>
      </c>
      <c r="BH253" s="395" t="str">
        <f t="shared" si="469"/>
        <v/>
      </c>
      <c r="BI253" s="24" t="str">
        <f t="shared" si="470"/>
        <v/>
      </c>
      <c r="BJ253" s="1403"/>
      <c r="BK253" s="1403"/>
      <c r="BL253" s="1403"/>
      <c r="BM253" s="1403"/>
      <c r="BN253" s="1403"/>
      <c r="BO253" s="1403"/>
      <c r="BP253" s="1403"/>
      <c r="BQ253" s="1403"/>
      <c r="BS253" s="1392">
        <f t="shared" si="437"/>
        <v>45825</v>
      </c>
      <c r="BT253" s="27" t="str">
        <f t="shared" si="499"/>
        <v/>
      </c>
      <c r="BU253" s="1402"/>
      <c r="BV253" s="1402"/>
      <c r="BW253" s="1402"/>
      <c r="BX253" s="1402"/>
      <c r="BY253" s="1402"/>
      <c r="BZ253" s="1402"/>
      <c r="CA253" s="1402"/>
      <c r="CB253" s="1402"/>
      <c r="CD253" s="1408">
        <f t="shared" si="492"/>
        <v>0</v>
      </c>
      <c r="DC253" s="16" t="str">
        <f>Juin!FC36</f>
        <v>non</v>
      </c>
      <c r="DG253" s="333">
        <f t="shared" si="493"/>
        <v>1</v>
      </c>
      <c r="DH253" s="129">
        <f t="shared" si="471"/>
        <v>10</v>
      </c>
      <c r="DI253" s="129">
        <f t="shared" si="494"/>
        <v>1</v>
      </c>
      <c r="DK253" s="16">
        <f>+IF(AND(Juin!$DP$8&lt;&gt;52,AR253=S.CAL!$BJ$4),10,1)</f>
        <v>1</v>
      </c>
      <c r="DN253" s="16">
        <f t="shared" si="472"/>
        <v>1</v>
      </c>
      <c r="DU253" s="1296" t="str">
        <f t="shared" si="495"/>
        <v>Fiche infoA245825</v>
      </c>
      <c r="DV253" s="1384">
        <f t="shared" si="473"/>
        <v>0</v>
      </c>
      <c r="DW253" s="1385">
        <f t="shared" si="474"/>
        <v>0</v>
      </c>
      <c r="DX253" s="1385">
        <f t="shared" si="475"/>
        <v>0</v>
      </c>
      <c r="DY253" s="1385">
        <f t="shared" si="476"/>
        <v>0</v>
      </c>
      <c r="DZ253" s="1385">
        <f t="shared" si="477"/>
        <v>0</v>
      </c>
      <c r="EA253" s="1385">
        <f t="shared" si="478"/>
        <v>0</v>
      </c>
      <c r="EB253" s="1385">
        <f t="shared" si="479"/>
        <v>0</v>
      </c>
      <c r="EC253" s="1385">
        <f t="shared" si="480"/>
        <v>0</v>
      </c>
      <c r="ED253" s="1385">
        <f t="shared" si="496"/>
        <v>0</v>
      </c>
      <c r="EE253" s="1386">
        <f t="shared" si="497"/>
        <v>0</v>
      </c>
      <c r="EG253" s="16" t="str">
        <f t="shared" si="498"/>
        <v>252025</v>
      </c>
      <c r="EH253" s="16" t="str">
        <f t="shared" si="481"/>
        <v>Fiche infoA2</v>
      </c>
      <c r="EI253" s="16" t="str">
        <f t="shared" si="482"/>
        <v/>
      </c>
    </row>
    <row r="254" spans="1:139" x14ac:dyDescent="0.2">
      <c r="A254" s="1395" t="str">
        <f>Juin!BJ37</f>
        <v>Fiche infoA3</v>
      </c>
      <c r="B254" s="829">
        <f>Juin!AB37</f>
        <v>45826</v>
      </c>
      <c r="C254" s="1394"/>
      <c r="D254" s="1001">
        <f t="shared" si="438"/>
        <v>0</v>
      </c>
      <c r="E254" s="452">
        <f t="shared" si="439"/>
        <v>0</v>
      </c>
      <c r="F254" s="452">
        <f t="shared" si="440"/>
        <v>0</v>
      </c>
      <c r="G254" s="452">
        <f t="shared" si="441"/>
        <v>0</v>
      </c>
      <c r="H254" s="452">
        <f t="shared" si="442"/>
        <v>0</v>
      </c>
      <c r="I254" s="452">
        <f t="shared" si="443"/>
        <v>0</v>
      </c>
      <c r="J254" s="452">
        <f t="shared" si="444"/>
        <v>0</v>
      </c>
      <c r="K254" s="452">
        <f t="shared" si="445"/>
        <v>0</v>
      </c>
      <c r="L254" s="452">
        <f t="shared" si="483"/>
        <v>0</v>
      </c>
      <c r="M254" s="1002">
        <f t="shared" si="484"/>
        <v>0</v>
      </c>
      <c r="N254" s="1396"/>
      <c r="O254" s="1001">
        <f t="shared" si="500"/>
        <v>0</v>
      </c>
      <c r="P254" s="452">
        <f t="shared" si="501"/>
        <v>0</v>
      </c>
      <c r="Q254" s="452">
        <f t="shared" si="502"/>
        <v>0</v>
      </c>
      <c r="R254" s="452">
        <f t="shared" si="503"/>
        <v>0</v>
      </c>
      <c r="S254" s="452">
        <f t="shared" si="504"/>
        <v>0</v>
      </c>
      <c r="T254" s="452">
        <f t="shared" si="505"/>
        <v>0</v>
      </c>
      <c r="U254" s="452">
        <f t="shared" si="506"/>
        <v>0</v>
      </c>
      <c r="V254" s="452">
        <f t="shared" si="507"/>
        <v>0</v>
      </c>
      <c r="W254" s="452">
        <f t="shared" si="454"/>
        <v>0</v>
      </c>
      <c r="X254" s="1002">
        <f t="shared" si="455"/>
        <v>0</v>
      </c>
      <c r="Y254" s="1397"/>
      <c r="Z254" s="1398">
        <f t="shared" si="456"/>
        <v>0</v>
      </c>
      <c r="AA254" s="1398">
        <f t="shared" si="457"/>
        <v>0</v>
      </c>
      <c r="AB254" s="1398">
        <f t="shared" si="458"/>
        <v>0</v>
      </c>
      <c r="AC254" s="1398">
        <f t="shared" si="459"/>
        <v>0</v>
      </c>
      <c r="AD254" s="1398">
        <f t="shared" si="460"/>
        <v>0</v>
      </c>
      <c r="AE254" s="1398">
        <f t="shared" si="461"/>
        <v>0</v>
      </c>
      <c r="AF254" s="1398">
        <f t="shared" si="462"/>
        <v>0</v>
      </c>
      <c r="AG254" s="1398">
        <f t="shared" si="463"/>
        <v>0</v>
      </c>
      <c r="AH254" s="1396"/>
      <c r="AI254" s="462">
        <f t="shared" si="508"/>
        <v>0</v>
      </c>
      <c r="AJ254" s="1112"/>
      <c r="AK254" s="1399"/>
      <c r="AL254" s="829">
        <f t="shared" si="465"/>
        <v>45826</v>
      </c>
      <c r="AM254" s="684">
        <f>IFERROR(IF(AND(AT254="",AR254&lt;&gt;S.CAL!$BJ$3,AR254&lt;&gt;S.CAL!$BJ$4,$AR$230="NON"),M254-BD254,IF(AND(AT254="",AR254&lt;&gt;S.CAL!$BJ$3,AR254&lt;&gt;S.CAL!$BJ$4,$AR$230="OUI"),X254-AI254,IF(AT254&lt;&gt;0,AT254,IF(OR(AR254=S.CAL!$BJ$3,AR254=S.CAL!$BJ$4),AR254,"")))),"")</f>
        <v>0</v>
      </c>
      <c r="AN254" s="1115"/>
      <c r="AO254" s="1116"/>
      <c r="AP254" s="684">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400">
        <f t="shared" si="485"/>
        <v>0</v>
      </c>
      <c r="AR254" s="1120"/>
      <c r="AS254" s="1396"/>
      <c r="AT254" s="1123"/>
      <c r="AU254" s="831"/>
      <c r="AV254" s="1392">
        <f t="shared" si="466"/>
        <v>45826</v>
      </c>
      <c r="AW254" s="1396"/>
      <c r="AX254" s="529">
        <f t="shared" si="486"/>
        <v>45826</v>
      </c>
      <c r="AY254" s="541">
        <f t="shared" si="487"/>
        <v>0</v>
      </c>
      <c r="AZ254" s="538" t="s">
        <v>146</v>
      </c>
      <c r="BA254" s="534">
        <f t="shared" si="488"/>
        <v>0</v>
      </c>
      <c r="BB254" s="567" t="str">
        <f t="shared" si="467"/>
        <v/>
      </c>
      <c r="BC254" s="541">
        <f t="shared" si="489"/>
        <v>0</v>
      </c>
      <c r="BD254" s="541">
        <f t="shared" si="490"/>
        <v>0</v>
      </c>
      <c r="BE254" s="750"/>
      <c r="BF254" s="532" t="str">
        <f t="shared" si="468"/>
        <v/>
      </c>
      <c r="BG254" s="532" t="str">
        <f t="shared" si="491"/>
        <v>oui</v>
      </c>
      <c r="BH254" s="395" t="str">
        <f t="shared" si="469"/>
        <v/>
      </c>
      <c r="BI254" s="24" t="str">
        <f t="shared" si="470"/>
        <v/>
      </c>
      <c r="BJ254" s="1404"/>
      <c r="BK254" s="1404"/>
      <c r="BL254" s="1404"/>
      <c r="BM254" s="1404"/>
      <c r="BN254" s="1404"/>
      <c r="BO254" s="1404"/>
      <c r="BP254" s="1404"/>
      <c r="BQ254" s="1404"/>
      <c r="BR254" s="1405"/>
      <c r="BS254" s="1392">
        <f t="shared" si="437"/>
        <v>45826</v>
      </c>
      <c r="BT254" s="1406" t="str">
        <f t="shared" si="499"/>
        <v/>
      </c>
      <c r="BU254" s="1404"/>
      <c r="BV254" s="1404"/>
      <c r="BW254" s="1404"/>
      <c r="BX254" s="1404"/>
      <c r="BY254" s="1404"/>
      <c r="BZ254" s="1404"/>
      <c r="CA254" s="1404"/>
      <c r="CB254" s="1404"/>
      <c r="CD254" s="1408">
        <f t="shared" si="492"/>
        <v>0</v>
      </c>
      <c r="DC254" s="16" t="str">
        <f>Juin!FC37</f>
        <v>non</v>
      </c>
      <c r="DG254" s="333">
        <f t="shared" si="493"/>
        <v>1</v>
      </c>
      <c r="DH254" s="129">
        <f t="shared" si="471"/>
        <v>10</v>
      </c>
      <c r="DI254" s="129">
        <f t="shared" si="494"/>
        <v>1</v>
      </c>
      <c r="DK254" s="16">
        <f>+IF(AND(Juin!$DP$8&lt;&gt;52,AR254=S.CAL!$BJ$4),10,1)</f>
        <v>1</v>
      </c>
      <c r="DN254" s="16">
        <f t="shared" si="472"/>
        <v>1</v>
      </c>
      <c r="DU254" s="1296" t="str">
        <f t="shared" si="495"/>
        <v>Fiche infoA345826</v>
      </c>
      <c r="DV254" s="1384">
        <f t="shared" si="473"/>
        <v>0</v>
      </c>
      <c r="DW254" s="1385">
        <f t="shared" si="474"/>
        <v>0</v>
      </c>
      <c r="DX254" s="1385">
        <f t="shared" si="475"/>
        <v>0</v>
      </c>
      <c r="DY254" s="1385">
        <f t="shared" si="476"/>
        <v>0</v>
      </c>
      <c r="DZ254" s="1385">
        <f t="shared" si="477"/>
        <v>0</v>
      </c>
      <c r="EA254" s="1385">
        <f t="shared" si="478"/>
        <v>0</v>
      </c>
      <c r="EB254" s="1385">
        <f t="shared" si="479"/>
        <v>0</v>
      </c>
      <c r="EC254" s="1385">
        <f t="shared" si="480"/>
        <v>0</v>
      </c>
      <c r="ED254" s="1385">
        <f t="shared" si="496"/>
        <v>0</v>
      </c>
      <c r="EE254" s="1386">
        <f t="shared" si="497"/>
        <v>0</v>
      </c>
      <c r="EG254" s="16" t="str">
        <f t="shared" si="498"/>
        <v>252025</v>
      </c>
      <c r="EH254" s="16" t="str">
        <f t="shared" si="481"/>
        <v>Fiche infoA3</v>
      </c>
      <c r="EI254" s="16" t="str">
        <f t="shared" si="482"/>
        <v/>
      </c>
    </row>
    <row r="255" spans="1:139" x14ac:dyDescent="0.2">
      <c r="A255" s="24" t="str">
        <f>Juin!BJ38</f>
        <v>Fiche infoA4</v>
      </c>
      <c r="B255" s="829">
        <f>Juin!AB38</f>
        <v>45827</v>
      </c>
      <c r="C255" s="1393"/>
      <c r="D255" s="1001">
        <f t="shared" si="438"/>
        <v>0</v>
      </c>
      <c r="E255" s="452">
        <f t="shared" si="439"/>
        <v>0</v>
      </c>
      <c r="F255" s="452">
        <f t="shared" si="440"/>
        <v>0</v>
      </c>
      <c r="G255" s="452">
        <f t="shared" si="441"/>
        <v>0</v>
      </c>
      <c r="H255" s="452">
        <f t="shared" si="442"/>
        <v>0</v>
      </c>
      <c r="I255" s="452">
        <f t="shared" si="443"/>
        <v>0</v>
      </c>
      <c r="J255" s="452">
        <f t="shared" si="444"/>
        <v>0</v>
      </c>
      <c r="K255" s="452">
        <f t="shared" si="445"/>
        <v>0</v>
      </c>
      <c r="L255" s="452">
        <f t="shared" si="483"/>
        <v>0</v>
      </c>
      <c r="M255" s="1002">
        <f t="shared" si="484"/>
        <v>0</v>
      </c>
      <c r="O255" s="1001">
        <f t="shared" si="500"/>
        <v>0</v>
      </c>
      <c r="P255" s="452">
        <f t="shared" si="501"/>
        <v>0</v>
      </c>
      <c r="Q255" s="452">
        <f t="shared" si="502"/>
        <v>0</v>
      </c>
      <c r="R255" s="452">
        <f t="shared" si="503"/>
        <v>0</v>
      </c>
      <c r="S255" s="452">
        <f t="shared" si="504"/>
        <v>0</v>
      </c>
      <c r="T255" s="452">
        <f t="shared" si="505"/>
        <v>0</v>
      </c>
      <c r="U255" s="452">
        <f t="shared" si="506"/>
        <v>0</v>
      </c>
      <c r="V255" s="452">
        <f t="shared" si="507"/>
        <v>0</v>
      </c>
      <c r="W255" s="452">
        <f t="shared" si="454"/>
        <v>0</v>
      </c>
      <c r="X255" s="1002">
        <f t="shared" si="455"/>
        <v>0</v>
      </c>
      <c r="Y255" s="459"/>
      <c r="Z255" s="291">
        <f t="shared" si="456"/>
        <v>0</v>
      </c>
      <c r="AA255" s="291">
        <f t="shared" si="457"/>
        <v>0</v>
      </c>
      <c r="AB255" s="291">
        <f t="shared" si="458"/>
        <v>0</v>
      </c>
      <c r="AC255" s="291">
        <f t="shared" si="459"/>
        <v>0</v>
      </c>
      <c r="AD255" s="291">
        <f t="shared" si="460"/>
        <v>0</v>
      </c>
      <c r="AE255" s="291">
        <f t="shared" si="461"/>
        <v>0</v>
      </c>
      <c r="AF255" s="291">
        <f t="shared" si="462"/>
        <v>0</v>
      </c>
      <c r="AG255" s="291">
        <f t="shared" si="463"/>
        <v>0</v>
      </c>
      <c r="AI255" s="462">
        <f t="shared" si="508"/>
        <v>0</v>
      </c>
      <c r="AJ255" s="1112"/>
      <c r="AK255" s="507"/>
      <c r="AL255" s="829">
        <f t="shared" si="465"/>
        <v>45827</v>
      </c>
      <c r="AM255" s="684">
        <f>IFERROR(IF(AND(AT255="",AR255&lt;&gt;S.CAL!$BJ$3,AR255&lt;&gt;S.CAL!$BJ$4,$AR$230="NON"),M255-BD255,IF(AND(AT255="",AR255&lt;&gt;S.CAL!$BJ$3,AR255&lt;&gt;S.CAL!$BJ$4,$AR$230="OUI"),X255-AI255,IF(AT255&lt;&gt;0,AT255,IF(OR(AR255=S.CAL!$BJ$3,AR255=S.CAL!$BJ$4),AR255,"")))),"")</f>
        <v>0</v>
      </c>
      <c r="AN255" s="1115"/>
      <c r="AO255" s="1116"/>
      <c r="AP255" s="684">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516">
        <f t="shared" si="485"/>
        <v>0</v>
      </c>
      <c r="AR255" s="1120"/>
      <c r="AT255" s="1123"/>
      <c r="AU255" s="831"/>
      <c r="AV255" s="1392">
        <f t="shared" si="466"/>
        <v>45827</v>
      </c>
      <c r="AX255" s="529">
        <f t="shared" si="486"/>
        <v>45827</v>
      </c>
      <c r="AY255" s="541">
        <f t="shared" si="487"/>
        <v>0</v>
      </c>
      <c r="AZ255" s="538" t="s">
        <v>146</v>
      </c>
      <c r="BA255" s="534">
        <f t="shared" si="488"/>
        <v>0</v>
      </c>
      <c r="BB255" s="567" t="str">
        <f t="shared" si="467"/>
        <v/>
      </c>
      <c r="BC255" s="541">
        <f t="shared" si="489"/>
        <v>0</v>
      </c>
      <c r="BD255" s="541">
        <f t="shared" si="490"/>
        <v>0</v>
      </c>
      <c r="BE255" s="750"/>
      <c r="BF255" s="532" t="str">
        <f t="shared" si="468"/>
        <v/>
      </c>
      <c r="BG255" s="532" t="str">
        <f t="shared" si="491"/>
        <v>oui</v>
      </c>
      <c r="BH255" s="395" t="str">
        <f t="shared" si="469"/>
        <v/>
      </c>
      <c r="BI255" s="24" t="str">
        <f t="shared" si="470"/>
        <v/>
      </c>
      <c r="BJ255" s="1403"/>
      <c r="BK255" s="1403"/>
      <c r="BL255" s="1403"/>
      <c r="BM255" s="1403"/>
      <c r="BN255" s="1403"/>
      <c r="BO255" s="1403"/>
      <c r="BP255" s="1403"/>
      <c r="BQ255" s="1403"/>
      <c r="BS255" s="1392">
        <f t="shared" si="437"/>
        <v>45827</v>
      </c>
      <c r="BT255" s="27" t="str">
        <f t="shared" si="499"/>
        <v/>
      </c>
      <c r="BU255" s="1402"/>
      <c r="BV255" s="1402"/>
      <c r="BW255" s="1402"/>
      <c r="BX255" s="1402"/>
      <c r="BY255" s="1402"/>
      <c r="BZ255" s="1402"/>
      <c r="CA255" s="1402"/>
      <c r="CB255" s="1402"/>
      <c r="CD255" s="1408">
        <f t="shared" si="492"/>
        <v>0</v>
      </c>
      <c r="DC255" s="16" t="str">
        <f>Juin!FC38</f>
        <v>non</v>
      </c>
      <c r="DG255" s="333">
        <f t="shared" si="493"/>
        <v>1</v>
      </c>
      <c r="DH255" s="129">
        <f t="shared" si="471"/>
        <v>10</v>
      </c>
      <c r="DI255" s="129">
        <f t="shared" si="494"/>
        <v>1</v>
      </c>
      <c r="DK255" s="16">
        <f>+IF(AND(Juin!$DP$8&lt;&gt;52,AR255=S.CAL!$BJ$4),10,1)</f>
        <v>1</v>
      </c>
      <c r="DN255" s="16">
        <f t="shared" si="472"/>
        <v>1</v>
      </c>
      <c r="DU255" s="1296" t="str">
        <f t="shared" si="495"/>
        <v>Fiche infoA445827</v>
      </c>
      <c r="DV255" s="1384">
        <f t="shared" si="473"/>
        <v>0</v>
      </c>
      <c r="DW255" s="1385">
        <f t="shared" si="474"/>
        <v>0</v>
      </c>
      <c r="DX255" s="1385">
        <f t="shared" si="475"/>
        <v>0</v>
      </c>
      <c r="DY255" s="1385">
        <f t="shared" si="476"/>
        <v>0</v>
      </c>
      <c r="DZ255" s="1385">
        <f t="shared" si="477"/>
        <v>0</v>
      </c>
      <c r="EA255" s="1385">
        <f t="shared" si="478"/>
        <v>0</v>
      </c>
      <c r="EB255" s="1385">
        <f t="shared" si="479"/>
        <v>0</v>
      </c>
      <c r="EC255" s="1385">
        <f t="shared" si="480"/>
        <v>0</v>
      </c>
      <c r="ED255" s="1385">
        <f t="shared" si="496"/>
        <v>0</v>
      </c>
      <c r="EE255" s="1386">
        <f t="shared" si="497"/>
        <v>0</v>
      </c>
      <c r="EG255" s="16" t="str">
        <f t="shared" si="498"/>
        <v>252025</v>
      </c>
      <c r="EH255" s="16" t="str">
        <f t="shared" si="481"/>
        <v>Fiche infoA4</v>
      </c>
      <c r="EI255" s="16" t="str">
        <f t="shared" si="482"/>
        <v/>
      </c>
    </row>
    <row r="256" spans="1:139" x14ac:dyDescent="0.2">
      <c r="A256" s="1395" t="str">
        <f>Juin!BJ39</f>
        <v>Fiche infoA5</v>
      </c>
      <c r="B256" s="829">
        <f>Juin!AB39</f>
        <v>45828</v>
      </c>
      <c r="C256" s="1394"/>
      <c r="D256" s="1001">
        <f t="shared" si="438"/>
        <v>0</v>
      </c>
      <c r="E256" s="452">
        <f t="shared" si="439"/>
        <v>0</v>
      </c>
      <c r="F256" s="452">
        <f t="shared" si="440"/>
        <v>0</v>
      </c>
      <c r="G256" s="452">
        <f t="shared" si="441"/>
        <v>0</v>
      </c>
      <c r="H256" s="452">
        <f t="shared" si="442"/>
        <v>0</v>
      </c>
      <c r="I256" s="452">
        <f t="shared" si="443"/>
        <v>0</v>
      </c>
      <c r="J256" s="452">
        <f t="shared" si="444"/>
        <v>0</v>
      </c>
      <c r="K256" s="452">
        <f t="shared" si="445"/>
        <v>0</v>
      </c>
      <c r="L256" s="452">
        <f t="shared" si="483"/>
        <v>0</v>
      </c>
      <c r="M256" s="1002">
        <f t="shared" si="484"/>
        <v>0</v>
      </c>
      <c r="N256" s="1396"/>
      <c r="O256" s="1001">
        <f t="shared" si="500"/>
        <v>0</v>
      </c>
      <c r="P256" s="452">
        <f t="shared" si="501"/>
        <v>0</v>
      </c>
      <c r="Q256" s="452">
        <f t="shared" si="502"/>
        <v>0</v>
      </c>
      <c r="R256" s="452">
        <f t="shared" si="503"/>
        <v>0</v>
      </c>
      <c r="S256" s="452">
        <f t="shared" si="504"/>
        <v>0</v>
      </c>
      <c r="T256" s="452">
        <f t="shared" si="505"/>
        <v>0</v>
      </c>
      <c r="U256" s="452">
        <f t="shared" si="506"/>
        <v>0</v>
      </c>
      <c r="V256" s="452">
        <f t="shared" si="507"/>
        <v>0</v>
      </c>
      <c r="W256" s="452">
        <f t="shared" si="454"/>
        <v>0</v>
      </c>
      <c r="X256" s="1002">
        <f t="shared" si="455"/>
        <v>0</v>
      </c>
      <c r="Y256" s="1397"/>
      <c r="Z256" s="1398">
        <f t="shared" si="456"/>
        <v>0</v>
      </c>
      <c r="AA256" s="1398">
        <f t="shared" si="457"/>
        <v>0</v>
      </c>
      <c r="AB256" s="1398">
        <f t="shared" si="458"/>
        <v>0</v>
      </c>
      <c r="AC256" s="1398">
        <f t="shared" si="459"/>
        <v>0</v>
      </c>
      <c r="AD256" s="1398">
        <f t="shared" si="460"/>
        <v>0</v>
      </c>
      <c r="AE256" s="1398">
        <f t="shared" si="461"/>
        <v>0</v>
      </c>
      <c r="AF256" s="1398">
        <f t="shared" si="462"/>
        <v>0</v>
      </c>
      <c r="AG256" s="1398">
        <f t="shared" si="463"/>
        <v>0</v>
      </c>
      <c r="AH256" s="1396"/>
      <c r="AI256" s="462">
        <f t="shared" si="508"/>
        <v>0</v>
      </c>
      <c r="AJ256" s="1112"/>
      <c r="AK256" s="1399"/>
      <c r="AL256" s="829">
        <f t="shared" si="465"/>
        <v>45828</v>
      </c>
      <c r="AM256" s="684">
        <f>IFERROR(IF(AND(AT256="",AR256&lt;&gt;S.CAL!$BJ$3,AR256&lt;&gt;S.CAL!$BJ$4,$AR$230="NON"),M256-BD256,IF(AND(AT256="",AR256&lt;&gt;S.CAL!$BJ$3,AR256&lt;&gt;S.CAL!$BJ$4,$AR$230="OUI"),X256-AI256,IF(AT256&lt;&gt;0,AT256,IF(OR(AR256=S.CAL!$BJ$3,AR256=S.CAL!$BJ$4),AR256,"")))),"")</f>
        <v>0</v>
      </c>
      <c r="AN256" s="1115"/>
      <c r="AO256" s="1116"/>
      <c r="AP256" s="684">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400">
        <f t="shared" si="485"/>
        <v>0</v>
      </c>
      <c r="AR256" s="1120"/>
      <c r="AS256" s="1396"/>
      <c r="AT256" s="1123"/>
      <c r="AU256" s="831"/>
      <c r="AV256" s="1392">
        <f t="shared" si="466"/>
        <v>45828</v>
      </c>
      <c r="AW256" s="1396"/>
      <c r="AX256" s="529">
        <f t="shared" si="486"/>
        <v>45828</v>
      </c>
      <c r="AY256" s="541">
        <f t="shared" si="487"/>
        <v>0</v>
      </c>
      <c r="AZ256" s="538" t="s">
        <v>146</v>
      </c>
      <c r="BA256" s="534">
        <f t="shared" si="488"/>
        <v>0</v>
      </c>
      <c r="BB256" s="567" t="str">
        <f t="shared" si="467"/>
        <v/>
      </c>
      <c r="BC256" s="541">
        <f t="shared" si="489"/>
        <v>0</v>
      </c>
      <c r="BD256" s="541">
        <f t="shared" si="490"/>
        <v>0</v>
      </c>
      <c r="BE256" s="750"/>
      <c r="BF256" s="532" t="str">
        <f t="shared" si="468"/>
        <v/>
      </c>
      <c r="BG256" s="532" t="str">
        <f t="shared" si="491"/>
        <v>oui</v>
      </c>
      <c r="BH256" s="395" t="str">
        <f t="shared" si="469"/>
        <v/>
      </c>
      <c r="BI256" s="24" t="str">
        <f t="shared" si="470"/>
        <v/>
      </c>
      <c r="BJ256" s="1404"/>
      <c r="BK256" s="1404"/>
      <c r="BL256" s="1404"/>
      <c r="BM256" s="1404"/>
      <c r="BN256" s="1404"/>
      <c r="BO256" s="1404"/>
      <c r="BP256" s="1404"/>
      <c r="BQ256" s="1404"/>
      <c r="BR256" s="1405"/>
      <c r="BS256" s="1392">
        <f t="shared" si="437"/>
        <v>45828</v>
      </c>
      <c r="BT256" s="1406" t="str">
        <f t="shared" si="499"/>
        <v/>
      </c>
      <c r="BU256" s="1404"/>
      <c r="BV256" s="1404"/>
      <c r="BW256" s="1404"/>
      <c r="BX256" s="1404"/>
      <c r="BY256" s="1404"/>
      <c r="BZ256" s="1404"/>
      <c r="CA256" s="1404"/>
      <c r="CB256" s="1404"/>
      <c r="CD256" s="1408">
        <f t="shared" si="492"/>
        <v>0</v>
      </c>
      <c r="DC256" s="16" t="str">
        <f>Juin!FC39</f>
        <v>non</v>
      </c>
      <c r="DG256" s="333">
        <f t="shared" si="493"/>
        <v>1</v>
      </c>
      <c r="DH256" s="129">
        <f t="shared" si="471"/>
        <v>10</v>
      </c>
      <c r="DI256" s="129">
        <f t="shared" si="494"/>
        <v>1</v>
      </c>
      <c r="DK256" s="16">
        <f>+IF(AND(Juin!$DP$8&lt;&gt;52,AR256=S.CAL!$BJ$4),10,1)</f>
        <v>1</v>
      </c>
      <c r="DN256" s="16">
        <f t="shared" si="472"/>
        <v>1</v>
      </c>
      <c r="DU256" s="1296" t="str">
        <f t="shared" si="495"/>
        <v>Fiche infoA545828</v>
      </c>
      <c r="DV256" s="1384">
        <f t="shared" si="473"/>
        <v>0</v>
      </c>
      <c r="DW256" s="1385">
        <f t="shared" si="474"/>
        <v>0</v>
      </c>
      <c r="DX256" s="1385">
        <f t="shared" si="475"/>
        <v>0</v>
      </c>
      <c r="DY256" s="1385">
        <f t="shared" si="476"/>
        <v>0</v>
      </c>
      <c r="DZ256" s="1385">
        <f t="shared" si="477"/>
        <v>0</v>
      </c>
      <c r="EA256" s="1385">
        <f t="shared" si="478"/>
        <v>0</v>
      </c>
      <c r="EB256" s="1385">
        <f t="shared" si="479"/>
        <v>0</v>
      </c>
      <c r="EC256" s="1385">
        <f t="shared" si="480"/>
        <v>0</v>
      </c>
      <c r="ED256" s="1385">
        <f t="shared" si="496"/>
        <v>0</v>
      </c>
      <c r="EE256" s="1386">
        <f t="shared" si="497"/>
        <v>0</v>
      </c>
      <c r="EG256" s="16" t="str">
        <f t="shared" si="498"/>
        <v>252025</v>
      </c>
      <c r="EH256" s="16" t="str">
        <f t="shared" si="481"/>
        <v>Fiche infoA5</v>
      </c>
      <c r="EI256" s="16" t="str">
        <f t="shared" si="482"/>
        <v/>
      </c>
    </row>
    <row r="257" spans="1:145" x14ac:dyDescent="0.2">
      <c r="A257" s="24" t="str">
        <f>Juin!BJ40</f>
        <v>Fiche infoA6</v>
      </c>
      <c r="B257" s="829">
        <f>Juin!AB40</f>
        <v>45829</v>
      </c>
      <c r="C257" s="1393"/>
      <c r="D257" s="1001">
        <f t="shared" si="438"/>
        <v>0</v>
      </c>
      <c r="E257" s="452">
        <f t="shared" si="439"/>
        <v>0</v>
      </c>
      <c r="F257" s="452">
        <f t="shared" si="440"/>
        <v>0</v>
      </c>
      <c r="G257" s="452">
        <f t="shared" si="441"/>
        <v>0</v>
      </c>
      <c r="H257" s="452">
        <f t="shared" si="442"/>
        <v>0</v>
      </c>
      <c r="I257" s="452">
        <f t="shared" si="443"/>
        <v>0</v>
      </c>
      <c r="J257" s="452">
        <f t="shared" si="444"/>
        <v>0</v>
      </c>
      <c r="K257" s="452">
        <f t="shared" si="445"/>
        <v>0</v>
      </c>
      <c r="L257" s="452">
        <f t="shared" si="483"/>
        <v>0</v>
      </c>
      <c r="M257" s="1002">
        <f t="shared" si="484"/>
        <v>0</v>
      </c>
      <c r="O257" s="1001">
        <f t="shared" si="500"/>
        <v>0</v>
      </c>
      <c r="P257" s="452">
        <f t="shared" si="501"/>
        <v>0</v>
      </c>
      <c r="Q257" s="452">
        <f t="shared" si="502"/>
        <v>0</v>
      </c>
      <c r="R257" s="452">
        <f t="shared" si="503"/>
        <v>0</v>
      </c>
      <c r="S257" s="452">
        <f t="shared" si="504"/>
        <v>0</v>
      </c>
      <c r="T257" s="452">
        <f t="shared" si="505"/>
        <v>0</v>
      </c>
      <c r="U257" s="452">
        <f t="shared" si="506"/>
        <v>0</v>
      </c>
      <c r="V257" s="452">
        <f t="shared" si="507"/>
        <v>0</v>
      </c>
      <c r="W257" s="452">
        <f t="shared" si="454"/>
        <v>0</v>
      </c>
      <c r="X257" s="1002">
        <f t="shared" si="455"/>
        <v>0</v>
      </c>
      <c r="Y257" s="459"/>
      <c r="Z257" s="291">
        <f t="shared" si="456"/>
        <v>0</v>
      </c>
      <c r="AA257" s="291">
        <f t="shared" si="457"/>
        <v>0</v>
      </c>
      <c r="AB257" s="291">
        <f t="shared" si="458"/>
        <v>0</v>
      </c>
      <c r="AC257" s="291">
        <f t="shared" si="459"/>
        <v>0</v>
      </c>
      <c r="AD257" s="291">
        <f t="shared" si="460"/>
        <v>0</v>
      </c>
      <c r="AE257" s="291">
        <f t="shared" si="461"/>
        <v>0</v>
      </c>
      <c r="AF257" s="291">
        <f t="shared" si="462"/>
        <v>0</v>
      </c>
      <c r="AG257" s="291">
        <f t="shared" si="463"/>
        <v>0</v>
      </c>
      <c r="AI257" s="462">
        <f t="shared" si="508"/>
        <v>0</v>
      </c>
      <c r="AJ257" s="1112"/>
      <c r="AK257" s="507"/>
      <c r="AL257" s="829">
        <f t="shared" si="465"/>
        <v>45829</v>
      </c>
      <c r="AM257" s="684">
        <f>IFERROR(IF(AND(AT257="",AR257&lt;&gt;S.CAL!$BJ$3,AR257&lt;&gt;S.CAL!$BJ$4,$AR$230="NON"),M257-BD257,IF(AND(AT257="",AR257&lt;&gt;S.CAL!$BJ$3,AR257&lt;&gt;S.CAL!$BJ$4,$AR$230="OUI"),X257-AI257,IF(AT257&lt;&gt;0,AT257,IF(OR(AR257=S.CAL!$BJ$3,AR257=S.CAL!$BJ$4),AR257,"")))),"")</f>
        <v>0</v>
      </c>
      <c r="AN257" s="1115"/>
      <c r="AO257" s="1116"/>
      <c r="AP257" s="684">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516">
        <f t="shared" si="485"/>
        <v>0</v>
      </c>
      <c r="AR257" s="1120"/>
      <c r="AT257" s="1123"/>
      <c r="AU257" s="831"/>
      <c r="AV257" s="1392">
        <f t="shared" si="466"/>
        <v>45829</v>
      </c>
      <c r="AX257" s="529">
        <f t="shared" si="486"/>
        <v>45829</v>
      </c>
      <c r="AY257" s="541">
        <f t="shared" si="487"/>
        <v>0</v>
      </c>
      <c r="AZ257" s="538" t="s">
        <v>146</v>
      </c>
      <c r="BA257" s="534">
        <f t="shared" si="488"/>
        <v>0</v>
      </c>
      <c r="BB257" s="567" t="str">
        <f t="shared" si="467"/>
        <v/>
      </c>
      <c r="BC257" s="541">
        <f t="shared" si="489"/>
        <v>0</v>
      </c>
      <c r="BD257" s="541">
        <f t="shared" si="490"/>
        <v>0</v>
      </c>
      <c r="BE257" s="750"/>
      <c r="BF257" s="532" t="str">
        <f t="shared" si="468"/>
        <v/>
      </c>
      <c r="BG257" s="532" t="str">
        <f t="shared" si="491"/>
        <v>oui</v>
      </c>
      <c r="BH257" s="395" t="str">
        <f t="shared" si="469"/>
        <v/>
      </c>
      <c r="BI257" s="24" t="str">
        <f t="shared" si="470"/>
        <v/>
      </c>
      <c r="BJ257" s="1403"/>
      <c r="BK257" s="1403"/>
      <c r="BL257" s="1403"/>
      <c r="BM257" s="1403"/>
      <c r="BN257" s="1403"/>
      <c r="BO257" s="1403"/>
      <c r="BP257" s="1403"/>
      <c r="BQ257" s="1403"/>
      <c r="BS257" s="1392">
        <f t="shared" si="437"/>
        <v>45829</v>
      </c>
      <c r="BT257" s="27" t="str">
        <f t="shared" si="499"/>
        <v/>
      </c>
      <c r="BU257" s="1402"/>
      <c r="BV257" s="1402"/>
      <c r="BW257" s="1402"/>
      <c r="BX257" s="1402"/>
      <c r="BY257" s="1402"/>
      <c r="BZ257" s="1402"/>
      <c r="CA257" s="1402"/>
      <c r="CB257" s="1402"/>
      <c r="CD257" s="1408">
        <f t="shared" si="492"/>
        <v>0</v>
      </c>
      <c r="DC257" s="16" t="str">
        <f>Juin!FC40</f>
        <v>non</v>
      </c>
      <c r="DG257" s="333">
        <f t="shared" si="493"/>
        <v>1</v>
      </c>
      <c r="DH257" s="129">
        <f t="shared" si="471"/>
        <v>10</v>
      </c>
      <c r="DI257" s="129">
        <f t="shared" si="494"/>
        <v>1</v>
      </c>
      <c r="DK257" s="16">
        <f>+IF(AND(Juin!$DP$8&lt;&gt;52,AR257=S.CAL!$BJ$4),10,1)</f>
        <v>1</v>
      </c>
      <c r="DN257" s="16">
        <f t="shared" si="472"/>
        <v>1</v>
      </c>
      <c r="DU257" s="1296" t="str">
        <f t="shared" si="495"/>
        <v>Fiche infoA645829</v>
      </c>
      <c r="DV257" s="1384">
        <f t="shared" si="473"/>
        <v>0</v>
      </c>
      <c r="DW257" s="1385">
        <f t="shared" si="474"/>
        <v>0</v>
      </c>
      <c r="DX257" s="1385">
        <f t="shared" si="475"/>
        <v>0</v>
      </c>
      <c r="DY257" s="1385">
        <f t="shared" si="476"/>
        <v>0</v>
      </c>
      <c r="DZ257" s="1385">
        <f t="shared" si="477"/>
        <v>0</v>
      </c>
      <c r="EA257" s="1385">
        <f t="shared" si="478"/>
        <v>0</v>
      </c>
      <c r="EB257" s="1385">
        <f t="shared" si="479"/>
        <v>0</v>
      </c>
      <c r="EC257" s="1385">
        <f t="shared" si="480"/>
        <v>0</v>
      </c>
      <c r="ED257" s="1385">
        <f t="shared" si="496"/>
        <v>0</v>
      </c>
      <c r="EE257" s="1386">
        <f t="shared" si="497"/>
        <v>0</v>
      </c>
      <c r="EG257" s="16" t="str">
        <f t="shared" si="498"/>
        <v>252025</v>
      </c>
      <c r="EH257" s="16" t="str">
        <f t="shared" si="481"/>
        <v>Fiche infoA6</v>
      </c>
      <c r="EI257" s="16" t="str">
        <f t="shared" si="482"/>
        <v/>
      </c>
    </row>
    <row r="258" spans="1:145" x14ac:dyDescent="0.2">
      <c r="A258" s="1395" t="str">
        <f>Juin!BJ41</f>
        <v>Fiche infoA7</v>
      </c>
      <c r="B258" s="829">
        <f>Juin!AB41</f>
        <v>45830</v>
      </c>
      <c r="C258" s="1394"/>
      <c r="D258" s="1001">
        <f t="shared" si="438"/>
        <v>0</v>
      </c>
      <c r="E258" s="452">
        <f t="shared" si="439"/>
        <v>0</v>
      </c>
      <c r="F258" s="452">
        <f t="shared" si="440"/>
        <v>0</v>
      </c>
      <c r="G258" s="452">
        <f t="shared" si="441"/>
        <v>0</v>
      </c>
      <c r="H258" s="452">
        <f t="shared" si="442"/>
        <v>0</v>
      </c>
      <c r="I258" s="452">
        <f t="shared" si="443"/>
        <v>0</v>
      </c>
      <c r="J258" s="452">
        <f t="shared" si="444"/>
        <v>0</v>
      </c>
      <c r="K258" s="452">
        <f t="shared" si="445"/>
        <v>0</v>
      </c>
      <c r="L258" s="452">
        <f t="shared" si="483"/>
        <v>0</v>
      </c>
      <c r="M258" s="1002">
        <f t="shared" si="484"/>
        <v>0</v>
      </c>
      <c r="N258" s="1396"/>
      <c r="O258" s="1001">
        <f t="shared" si="500"/>
        <v>0</v>
      </c>
      <c r="P258" s="452">
        <f t="shared" si="501"/>
        <v>0</v>
      </c>
      <c r="Q258" s="452">
        <f t="shared" si="502"/>
        <v>0</v>
      </c>
      <c r="R258" s="452">
        <f t="shared" si="503"/>
        <v>0</v>
      </c>
      <c r="S258" s="452">
        <f t="shared" si="504"/>
        <v>0</v>
      </c>
      <c r="T258" s="452">
        <f t="shared" si="505"/>
        <v>0</v>
      </c>
      <c r="U258" s="452">
        <f t="shared" si="506"/>
        <v>0</v>
      </c>
      <c r="V258" s="452">
        <f t="shared" si="507"/>
        <v>0</v>
      </c>
      <c r="W258" s="452">
        <f t="shared" si="454"/>
        <v>0</v>
      </c>
      <c r="X258" s="1002">
        <f t="shared" si="455"/>
        <v>0</v>
      </c>
      <c r="Y258" s="1397"/>
      <c r="Z258" s="1398">
        <f t="shared" si="456"/>
        <v>0</v>
      </c>
      <c r="AA258" s="1398">
        <f t="shared" si="457"/>
        <v>0</v>
      </c>
      <c r="AB258" s="1398">
        <f t="shared" si="458"/>
        <v>0</v>
      </c>
      <c r="AC258" s="1398">
        <f t="shared" si="459"/>
        <v>0</v>
      </c>
      <c r="AD258" s="1398">
        <f t="shared" si="460"/>
        <v>0</v>
      </c>
      <c r="AE258" s="1398">
        <f t="shared" si="461"/>
        <v>0</v>
      </c>
      <c r="AF258" s="1398">
        <f t="shared" si="462"/>
        <v>0</v>
      </c>
      <c r="AG258" s="1398">
        <f t="shared" si="463"/>
        <v>0</v>
      </c>
      <c r="AH258" s="1396"/>
      <c r="AI258" s="462">
        <f t="shared" si="508"/>
        <v>0</v>
      </c>
      <c r="AJ258" s="1112"/>
      <c r="AK258" s="1399"/>
      <c r="AL258" s="829">
        <f t="shared" si="465"/>
        <v>45830</v>
      </c>
      <c r="AM258" s="684">
        <f>IFERROR(IF(AND(AT258="",AR258&lt;&gt;S.CAL!$BJ$3,AR258&lt;&gt;S.CAL!$BJ$4,$AR$230="NON"),M258-BD258,IF(AND(AT258="",AR258&lt;&gt;S.CAL!$BJ$3,AR258&lt;&gt;S.CAL!$BJ$4,$AR$230="OUI"),X258-AI258,IF(AT258&lt;&gt;0,AT258,IF(OR(AR258=S.CAL!$BJ$3,AR258=S.CAL!$BJ$4),AR258,"")))),"")</f>
        <v>0</v>
      </c>
      <c r="AN258" s="1115"/>
      <c r="AO258" s="1116"/>
      <c r="AP258" s="684">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400">
        <f t="shared" si="485"/>
        <v>0</v>
      </c>
      <c r="AR258" s="1120"/>
      <c r="AS258" s="1396"/>
      <c r="AT258" s="1123"/>
      <c r="AU258" s="831"/>
      <c r="AV258" s="1392">
        <f t="shared" si="466"/>
        <v>45830</v>
      </c>
      <c r="AW258" s="1396"/>
      <c r="AX258" s="529">
        <f t="shared" si="486"/>
        <v>45830</v>
      </c>
      <c r="AY258" s="541">
        <f t="shared" si="487"/>
        <v>0</v>
      </c>
      <c r="AZ258" s="538" t="s">
        <v>146</v>
      </c>
      <c r="BA258" s="534">
        <f t="shared" si="488"/>
        <v>0</v>
      </c>
      <c r="BB258" s="567" t="str">
        <f t="shared" si="467"/>
        <v/>
      </c>
      <c r="BC258" s="541">
        <f t="shared" si="489"/>
        <v>0</v>
      </c>
      <c r="BD258" s="541">
        <f t="shared" si="490"/>
        <v>0</v>
      </c>
      <c r="BE258" s="750"/>
      <c r="BF258" s="532" t="str">
        <f t="shared" si="468"/>
        <v/>
      </c>
      <c r="BG258" s="532" t="str">
        <f t="shared" si="491"/>
        <v>oui</v>
      </c>
      <c r="BH258" s="395" t="str">
        <f t="shared" si="469"/>
        <v/>
      </c>
      <c r="BI258" s="24" t="str">
        <f t="shared" si="470"/>
        <v/>
      </c>
      <c r="BJ258" s="1404"/>
      <c r="BK258" s="1404"/>
      <c r="BL258" s="1404"/>
      <c r="BM258" s="1404"/>
      <c r="BN258" s="1404"/>
      <c r="BO258" s="1404"/>
      <c r="BP258" s="1404"/>
      <c r="BQ258" s="1404"/>
      <c r="BR258" s="1405"/>
      <c r="BS258" s="1392">
        <f t="shared" si="437"/>
        <v>45830</v>
      </c>
      <c r="BT258" s="1406" t="str">
        <f t="shared" si="499"/>
        <v/>
      </c>
      <c r="BU258" s="1404"/>
      <c r="BV258" s="1404"/>
      <c r="BW258" s="1404"/>
      <c r="BX258" s="1404"/>
      <c r="BY258" s="1404"/>
      <c r="BZ258" s="1404"/>
      <c r="CA258" s="1404"/>
      <c r="CB258" s="1404"/>
      <c r="CD258" s="1408">
        <f t="shared" si="492"/>
        <v>0</v>
      </c>
      <c r="DC258" s="16" t="str">
        <f>Juin!FC41</f>
        <v>non</v>
      </c>
      <c r="DG258" s="333">
        <f t="shared" si="493"/>
        <v>1</v>
      </c>
      <c r="DH258" s="129">
        <f t="shared" si="471"/>
        <v>10</v>
      </c>
      <c r="DI258" s="129">
        <f t="shared" si="494"/>
        <v>1</v>
      </c>
      <c r="DK258" s="16">
        <f>+IF(AND(Juin!$DP$8&lt;&gt;52,AR258=S.CAL!$BJ$4),10,1)</f>
        <v>1</v>
      </c>
      <c r="DN258" s="16">
        <f t="shared" si="472"/>
        <v>1</v>
      </c>
      <c r="DU258" s="1296" t="str">
        <f t="shared" si="495"/>
        <v>Fiche infoA745830</v>
      </c>
      <c r="DV258" s="1384">
        <f t="shared" si="473"/>
        <v>0</v>
      </c>
      <c r="DW258" s="1385">
        <f t="shared" si="474"/>
        <v>0</v>
      </c>
      <c r="DX258" s="1385">
        <f t="shared" si="475"/>
        <v>0</v>
      </c>
      <c r="DY258" s="1385">
        <f t="shared" si="476"/>
        <v>0</v>
      </c>
      <c r="DZ258" s="1385">
        <f t="shared" si="477"/>
        <v>0</v>
      </c>
      <c r="EA258" s="1385">
        <f t="shared" si="478"/>
        <v>0</v>
      </c>
      <c r="EB258" s="1385">
        <f t="shared" si="479"/>
        <v>0</v>
      </c>
      <c r="EC258" s="1385">
        <f t="shared" si="480"/>
        <v>0</v>
      </c>
      <c r="ED258" s="1385">
        <f t="shared" si="496"/>
        <v>0</v>
      </c>
      <c r="EE258" s="1386">
        <f t="shared" si="497"/>
        <v>0</v>
      </c>
      <c r="EG258" s="16" t="str">
        <f t="shared" si="498"/>
        <v>252025</v>
      </c>
      <c r="EH258" s="16" t="str">
        <f t="shared" si="481"/>
        <v>Fiche infoA7</v>
      </c>
      <c r="EI258" s="16" t="str">
        <f t="shared" si="482"/>
        <v/>
      </c>
    </row>
    <row r="259" spans="1:145" x14ac:dyDescent="0.2">
      <c r="A259" s="24" t="str">
        <f>Juin!BJ42</f>
        <v>Fiche infoA1</v>
      </c>
      <c r="B259" s="829">
        <f>Juin!AB42</f>
        <v>45831</v>
      </c>
      <c r="C259" s="1393"/>
      <c r="D259" s="1001">
        <f t="shared" si="438"/>
        <v>0</v>
      </c>
      <c r="E259" s="452">
        <f t="shared" si="439"/>
        <v>0</v>
      </c>
      <c r="F259" s="452">
        <f t="shared" si="440"/>
        <v>0</v>
      </c>
      <c r="G259" s="452">
        <f t="shared" si="441"/>
        <v>0</v>
      </c>
      <c r="H259" s="452">
        <f t="shared" si="442"/>
        <v>0</v>
      </c>
      <c r="I259" s="452">
        <f t="shared" si="443"/>
        <v>0</v>
      </c>
      <c r="J259" s="452">
        <f t="shared" si="444"/>
        <v>0</v>
      </c>
      <c r="K259" s="452">
        <f t="shared" si="445"/>
        <v>0</v>
      </c>
      <c r="L259" s="452">
        <f t="shared" si="483"/>
        <v>0</v>
      </c>
      <c r="M259" s="1002">
        <f t="shared" si="484"/>
        <v>0</v>
      </c>
      <c r="O259" s="1001">
        <f t="shared" si="500"/>
        <v>0</v>
      </c>
      <c r="P259" s="452">
        <f t="shared" si="501"/>
        <v>0</v>
      </c>
      <c r="Q259" s="452">
        <f t="shared" si="502"/>
        <v>0</v>
      </c>
      <c r="R259" s="452">
        <f t="shared" si="503"/>
        <v>0</v>
      </c>
      <c r="S259" s="452">
        <f t="shared" si="504"/>
        <v>0</v>
      </c>
      <c r="T259" s="452">
        <f t="shared" si="505"/>
        <v>0</v>
      </c>
      <c r="U259" s="452">
        <f t="shared" si="506"/>
        <v>0</v>
      </c>
      <c r="V259" s="452">
        <f t="shared" si="507"/>
        <v>0</v>
      </c>
      <c r="W259" s="452">
        <f t="shared" si="454"/>
        <v>0</v>
      </c>
      <c r="X259" s="1002">
        <f t="shared" si="455"/>
        <v>0</v>
      </c>
      <c r="Y259" s="459"/>
      <c r="Z259" s="291">
        <f t="shared" si="456"/>
        <v>0</v>
      </c>
      <c r="AA259" s="291">
        <f t="shared" si="457"/>
        <v>0</v>
      </c>
      <c r="AB259" s="291">
        <f t="shared" si="458"/>
        <v>0</v>
      </c>
      <c r="AC259" s="291">
        <f t="shared" si="459"/>
        <v>0</v>
      </c>
      <c r="AD259" s="291">
        <f t="shared" si="460"/>
        <v>0</v>
      </c>
      <c r="AE259" s="291">
        <f t="shared" si="461"/>
        <v>0</v>
      </c>
      <c r="AF259" s="291">
        <f t="shared" si="462"/>
        <v>0</v>
      </c>
      <c r="AG259" s="291">
        <f t="shared" si="463"/>
        <v>0</v>
      </c>
      <c r="AI259" s="462">
        <f t="shared" si="508"/>
        <v>0</v>
      </c>
      <c r="AJ259" s="1112"/>
      <c r="AK259" s="507"/>
      <c r="AL259" s="829">
        <f t="shared" si="465"/>
        <v>45831</v>
      </c>
      <c r="AM259" s="684">
        <f>IFERROR(IF(AND(AT259="",AR259&lt;&gt;S.CAL!$BJ$3,AR259&lt;&gt;S.CAL!$BJ$4,$AR$230="NON"),M259-BD259,IF(AND(AT259="",AR259&lt;&gt;S.CAL!$BJ$3,AR259&lt;&gt;S.CAL!$BJ$4,$AR$230="OUI"),X259-AI259,IF(AT259&lt;&gt;0,AT259,IF(OR(AR259=S.CAL!$BJ$3,AR259=S.CAL!$BJ$4),AR259,"")))),"")</f>
        <v>0</v>
      </c>
      <c r="AN259" s="1115"/>
      <c r="AO259" s="1116"/>
      <c r="AP259" s="684">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516">
        <f t="shared" si="485"/>
        <v>0</v>
      </c>
      <c r="AR259" s="1120"/>
      <c r="AT259" s="1123"/>
      <c r="AU259" s="831"/>
      <c r="AV259" s="1392">
        <f t="shared" si="466"/>
        <v>45831</v>
      </c>
      <c r="AX259" s="529">
        <f t="shared" si="486"/>
        <v>45831</v>
      </c>
      <c r="AY259" s="541">
        <f t="shared" si="487"/>
        <v>0</v>
      </c>
      <c r="AZ259" s="538" t="s">
        <v>146</v>
      </c>
      <c r="BA259" s="534">
        <f t="shared" si="488"/>
        <v>0</v>
      </c>
      <c r="BB259" s="567" t="str">
        <f t="shared" si="467"/>
        <v/>
      </c>
      <c r="BC259" s="541">
        <f t="shared" si="489"/>
        <v>0</v>
      </c>
      <c r="BD259" s="541">
        <f t="shared" si="490"/>
        <v>0</v>
      </c>
      <c r="BE259" s="750"/>
      <c r="BF259" s="532" t="str">
        <f t="shared" si="468"/>
        <v/>
      </c>
      <c r="BG259" s="532" t="str">
        <f t="shared" si="491"/>
        <v>oui</v>
      </c>
      <c r="BH259" s="395" t="str">
        <f t="shared" si="469"/>
        <v/>
      </c>
      <c r="BI259" s="24" t="str">
        <f t="shared" si="470"/>
        <v/>
      </c>
      <c r="BJ259" s="1403"/>
      <c r="BK259" s="1403"/>
      <c r="BL259" s="1403"/>
      <c r="BM259" s="1403"/>
      <c r="BN259" s="1403"/>
      <c r="BO259" s="1403"/>
      <c r="BP259" s="1403"/>
      <c r="BQ259" s="1403"/>
      <c r="BS259" s="1392">
        <f t="shared" si="437"/>
        <v>45831</v>
      </c>
      <c r="BT259" s="27">
        <f t="shared" si="499"/>
        <v>26</v>
      </c>
      <c r="BU259" s="1402"/>
      <c r="BV259" s="1402"/>
      <c r="BW259" s="1402"/>
      <c r="BX259" s="1402"/>
      <c r="BY259" s="1402"/>
      <c r="BZ259" s="1402"/>
      <c r="CA259" s="1402"/>
      <c r="CB259" s="1402"/>
      <c r="CD259" s="1408">
        <f t="shared" si="492"/>
        <v>0</v>
      </c>
      <c r="DC259" s="16" t="str">
        <f>Juin!FC42</f>
        <v>non</v>
      </c>
      <c r="DG259" s="333">
        <f t="shared" si="493"/>
        <v>1</v>
      </c>
      <c r="DH259" s="129">
        <f t="shared" si="471"/>
        <v>10</v>
      </c>
      <c r="DI259" s="129">
        <f t="shared" si="494"/>
        <v>1</v>
      </c>
      <c r="DK259" s="16">
        <f>+IF(AND(Juin!$DP$8&lt;&gt;52,AR259=S.CAL!$BJ$4),10,1)</f>
        <v>1</v>
      </c>
      <c r="DN259" s="16">
        <f t="shared" si="472"/>
        <v>1</v>
      </c>
      <c r="DU259" s="1296" t="str">
        <f t="shared" si="495"/>
        <v>Fiche infoA145831</v>
      </c>
      <c r="DV259" s="1384">
        <f t="shared" si="473"/>
        <v>0</v>
      </c>
      <c r="DW259" s="1385">
        <f t="shared" si="474"/>
        <v>0</v>
      </c>
      <c r="DX259" s="1385">
        <f t="shared" si="475"/>
        <v>0</v>
      </c>
      <c r="DY259" s="1385">
        <f t="shared" si="476"/>
        <v>0</v>
      </c>
      <c r="DZ259" s="1385">
        <f t="shared" si="477"/>
        <v>0</v>
      </c>
      <c r="EA259" s="1385">
        <f t="shared" si="478"/>
        <v>0</v>
      </c>
      <c r="EB259" s="1385">
        <f t="shared" si="479"/>
        <v>0</v>
      </c>
      <c r="EC259" s="1385">
        <f t="shared" si="480"/>
        <v>0</v>
      </c>
      <c r="ED259" s="1385">
        <f t="shared" si="496"/>
        <v>0</v>
      </c>
      <c r="EE259" s="1386">
        <f t="shared" si="497"/>
        <v>0</v>
      </c>
      <c r="EG259" s="16" t="str">
        <f t="shared" si="498"/>
        <v>262025</v>
      </c>
      <c r="EH259" s="16" t="str">
        <f t="shared" si="481"/>
        <v>Fiche infoA1</v>
      </c>
      <c r="EI259" s="16" t="str">
        <f t="shared" si="482"/>
        <v/>
      </c>
    </row>
    <row r="260" spans="1:145" x14ac:dyDescent="0.2">
      <c r="A260" s="1395" t="str">
        <f>Juin!BJ43</f>
        <v>Fiche infoA2</v>
      </c>
      <c r="B260" s="829">
        <f>Juin!AB43</f>
        <v>45832</v>
      </c>
      <c r="C260" s="1394"/>
      <c r="D260" s="1001">
        <f t="shared" si="438"/>
        <v>0</v>
      </c>
      <c r="E260" s="452">
        <f t="shared" si="439"/>
        <v>0</v>
      </c>
      <c r="F260" s="452">
        <f t="shared" si="440"/>
        <v>0</v>
      </c>
      <c r="G260" s="452">
        <f t="shared" si="441"/>
        <v>0</v>
      </c>
      <c r="H260" s="452">
        <f t="shared" si="442"/>
        <v>0</v>
      </c>
      <c r="I260" s="452">
        <f t="shared" si="443"/>
        <v>0</v>
      </c>
      <c r="J260" s="452">
        <f t="shared" si="444"/>
        <v>0</v>
      </c>
      <c r="K260" s="452">
        <f t="shared" si="445"/>
        <v>0</v>
      </c>
      <c r="L260" s="452">
        <f t="shared" si="483"/>
        <v>0</v>
      </c>
      <c r="M260" s="1002">
        <f t="shared" si="484"/>
        <v>0</v>
      </c>
      <c r="N260" s="1396"/>
      <c r="O260" s="1001">
        <f t="shared" si="500"/>
        <v>0</v>
      </c>
      <c r="P260" s="452">
        <f t="shared" si="501"/>
        <v>0</v>
      </c>
      <c r="Q260" s="452">
        <f t="shared" si="502"/>
        <v>0</v>
      </c>
      <c r="R260" s="452">
        <f t="shared" si="503"/>
        <v>0</v>
      </c>
      <c r="S260" s="452">
        <f t="shared" si="504"/>
        <v>0</v>
      </c>
      <c r="T260" s="452">
        <f t="shared" si="505"/>
        <v>0</v>
      </c>
      <c r="U260" s="452">
        <f t="shared" si="506"/>
        <v>0</v>
      </c>
      <c r="V260" s="452">
        <f t="shared" si="507"/>
        <v>0</v>
      </c>
      <c r="W260" s="452">
        <f t="shared" si="454"/>
        <v>0</v>
      </c>
      <c r="X260" s="1002">
        <f t="shared" si="455"/>
        <v>0</v>
      </c>
      <c r="Y260" s="1397"/>
      <c r="Z260" s="1398">
        <f t="shared" si="456"/>
        <v>0</v>
      </c>
      <c r="AA260" s="1398">
        <f t="shared" si="457"/>
        <v>0</v>
      </c>
      <c r="AB260" s="1398">
        <f t="shared" si="458"/>
        <v>0</v>
      </c>
      <c r="AC260" s="1398">
        <f t="shared" si="459"/>
        <v>0</v>
      </c>
      <c r="AD260" s="1398">
        <f t="shared" si="460"/>
        <v>0</v>
      </c>
      <c r="AE260" s="1398">
        <f t="shared" si="461"/>
        <v>0</v>
      </c>
      <c r="AF260" s="1398">
        <f t="shared" si="462"/>
        <v>0</v>
      </c>
      <c r="AG260" s="1398">
        <f t="shared" si="463"/>
        <v>0</v>
      </c>
      <c r="AH260" s="1396"/>
      <c r="AI260" s="462">
        <f t="shared" si="508"/>
        <v>0</v>
      </c>
      <c r="AJ260" s="1112"/>
      <c r="AK260" s="1399"/>
      <c r="AL260" s="829">
        <f t="shared" si="465"/>
        <v>45832</v>
      </c>
      <c r="AM260" s="684">
        <f>IFERROR(IF(AND(AT260="",AR260&lt;&gt;S.CAL!$BJ$3,AR260&lt;&gt;S.CAL!$BJ$4,$AR$230="NON"),M260-BD260,IF(AND(AT260="",AR260&lt;&gt;S.CAL!$BJ$3,AR260&lt;&gt;S.CAL!$BJ$4,$AR$230="OUI"),X260-AI260,IF(AT260&lt;&gt;0,AT260,IF(OR(AR260=S.CAL!$BJ$3,AR260=S.CAL!$BJ$4),AR260,"")))),"")</f>
        <v>0</v>
      </c>
      <c r="AN260" s="1115"/>
      <c r="AO260" s="1116"/>
      <c r="AP260" s="684">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400">
        <f t="shared" si="485"/>
        <v>0</v>
      </c>
      <c r="AR260" s="1120"/>
      <c r="AS260" s="1396"/>
      <c r="AT260" s="1123"/>
      <c r="AU260" s="831"/>
      <c r="AV260" s="1392">
        <f t="shared" si="466"/>
        <v>45832</v>
      </c>
      <c r="AW260" s="1396"/>
      <c r="AX260" s="529">
        <f t="shared" si="486"/>
        <v>45832</v>
      </c>
      <c r="AY260" s="541">
        <f t="shared" si="487"/>
        <v>0</v>
      </c>
      <c r="AZ260" s="538" t="s">
        <v>146</v>
      </c>
      <c r="BA260" s="534">
        <f t="shared" si="488"/>
        <v>0</v>
      </c>
      <c r="BB260" s="567" t="str">
        <f t="shared" si="467"/>
        <v/>
      </c>
      <c r="BC260" s="541">
        <f t="shared" si="489"/>
        <v>0</v>
      </c>
      <c r="BD260" s="541">
        <f t="shared" si="490"/>
        <v>0</v>
      </c>
      <c r="BE260" s="750"/>
      <c r="BF260" s="532" t="str">
        <f t="shared" si="468"/>
        <v/>
      </c>
      <c r="BG260" s="532" t="str">
        <f t="shared" si="491"/>
        <v>oui</v>
      </c>
      <c r="BH260" s="395" t="str">
        <f t="shared" si="469"/>
        <v/>
      </c>
      <c r="BI260" s="24" t="str">
        <f t="shared" si="470"/>
        <v/>
      </c>
      <c r="BJ260" s="1404"/>
      <c r="BK260" s="1404"/>
      <c r="BL260" s="1404"/>
      <c r="BM260" s="1404"/>
      <c r="BN260" s="1404"/>
      <c r="BO260" s="1404"/>
      <c r="BP260" s="1404"/>
      <c r="BQ260" s="1404"/>
      <c r="BR260" s="1405"/>
      <c r="BS260" s="1392">
        <f t="shared" si="437"/>
        <v>45832</v>
      </c>
      <c r="BT260" s="1406" t="str">
        <f t="shared" si="499"/>
        <v/>
      </c>
      <c r="BU260" s="1404"/>
      <c r="BV260" s="1404"/>
      <c r="BW260" s="1404"/>
      <c r="BX260" s="1404"/>
      <c r="BY260" s="1404"/>
      <c r="BZ260" s="1404"/>
      <c r="CA260" s="1404"/>
      <c r="CB260" s="1404"/>
      <c r="CD260" s="1408">
        <f t="shared" si="492"/>
        <v>0</v>
      </c>
      <c r="DC260" s="16" t="str">
        <f>Juin!FC43</f>
        <v>non</v>
      </c>
      <c r="DG260" s="333">
        <f t="shared" si="493"/>
        <v>1</v>
      </c>
      <c r="DH260" s="129">
        <f t="shared" si="471"/>
        <v>10</v>
      </c>
      <c r="DI260" s="129">
        <f t="shared" si="494"/>
        <v>1</v>
      </c>
      <c r="DK260" s="16">
        <f>+IF(AND(Juin!$DP$8&lt;&gt;52,AR260=S.CAL!$BJ$4),10,1)</f>
        <v>1</v>
      </c>
      <c r="DN260" s="16">
        <f t="shared" si="472"/>
        <v>1</v>
      </c>
      <c r="DU260" s="1296" t="str">
        <f t="shared" si="495"/>
        <v>Fiche infoA245832</v>
      </c>
      <c r="DV260" s="1384">
        <f t="shared" si="473"/>
        <v>0</v>
      </c>
      <c r="DW260" s="1385">
        <f t="shared" si="474"/>
        <v>0</v>
      </c>
      <c r="DX260" s="1385">
        <f t="shared" si="475"/>
        <v>0</v>
      </c>
      <c r="DY260" s="1385">
        <f t="shared" si="476"/>
        <v>0</v>
      </c>
      <c r="DZ260" s="1385">
        <f t="shared" si="477"/>
        <v>0</v>
      </c>
      <c r="EA260" s="1385">
        <f t="shared" si="478"/>
        <v>0</v>
      </c>
      <c r="EB260" s="1385">
        <f t="shared" si="479"/>
        <v>0</v>
      </c>
      <c r="EC260" s="1385">
        <f t="shared" si="480"/>
        <v>0</v>
      </c>
      <c r="ED260" s="1385">
        <f t="shared" si="496"/>
        <v>0</v>
      </c>
      <c r="EE260" s="1386">
        <f t="shared" si="497"/>
        <v>0</v>
      </c>
      <c r="EG260" s="16" t="str">
        <f t="shared" si="498"/>
        <v>262025</v>
      </c>
      <c r="EH260" s="16" t="str">
        <f t="shared" si="481"/>
        <v>Fiche infoA2</v>
      </c>
      <c r="EI260" s="16" t="str">
        <f t="shared" si="482"/>
        <v/>
      </c>
    </row>
    <row r="261" spans="1:145" x14ac:dyDescent="0.2">
      <c r="A261" s="24" t="str">
        <f>Juin!BJ44</f>
        <v>Fiche infoA3</v>
      </c>
      <c r="B261" s="829">
        <f>Juin!AB44</f>
        <v>45833</v>
      </c>
      <c r="C261" s="1393"/>
      <c r="D261" s="1001">
        <f t="shared" si="438"/>
        <v>0</v>
      </c>
      <c r="E261" s="452">
        <f t="shared" si="439"/>
        <v>0</v>
      </c>
      <c r="F261" s="452">
        <f t="shared" si="440"/>
        <v>0</v>
      </c>
      <c r="G261" s="452">
        <f t="shared" si="441"/>
        <v>0</v>
      </c>
      <c r="H261" s="452">
        <f t="shared" si="442"/>
        <v>0</v>
      </c>
      <c r="I261" s="452">
        <f t="shared" si="443"/>
        <v>0</v>
      </c>
      <c r="J261" s="452">
        <f t="shared" si="444"/>
        <v>0</v>
      </c>
      <c r="K261" s="452">
        <f t="shared" si="445"/>
        <v>0</v>
      </c>
      <c r="L261" s="452">
        <f t="shared" si="483"/>
        <v>0</v>
      </c>
      <c r="M261" s="1002">
        <f t="shared" si="484"/>
        <v>0</v>
      </c>
      <c r="O261" s="1001">
        <f t="shared" si="500"/>
        <v>0</v>
      </c>
      <c r="P261" s="452">
        <f t="shared" si="501"/>
        <v>0</v>
      </c>
      <c r="Q261" s="452">
        <f t="shared" si="502"/>
        <v>0</v>
      </c>
      <c r="R261" s="452">
        <f t="shared" si="503"/>
        <v>0</v>
      </c>
      <c r="S261" s="452">
        <f t="shared" si="504"/>
        <v>0</v>
      </c>
      <c r="T261" s="452">
        <f t="shared" si="505"/>
        <v>0</v>
      </c>
      <c r="U261" s="452">
        <f t="shared" si="506"/>
        <v>0</v>
      </c>
      <c r="V261" s="452">
        <f t="shared" si="507"/>
        <v>0</v>
      </c>
      <c r="W261" s="452">
        <f t="shared" si="454"/>
        <v>0</v>
      </c>
      <c r="X261" s="1002">
        <f t="shared" si="455"/>
        <v>0</v>
      </c>
      <c r="Y261" s="459"/>
      <c r="Z261" s="291">
        <f t="shared" si="456"/>
        <v>0</v>
      </c>
      <c r="AA261" s="291">
        <f t="shared" si="457"/>
        <v>0</v>
      </c>
      <c r="AB261" s="291">
        <f t="shared" si="458"/>
        <v>0</v>
      </c>
      <c r="AC261" s="291">
        <f t="shared" si="459"/>
        <v>0</v>
      </c>
      <c r="AD261" s="291">
        <f t="shared" si="460"/>
        <v>0</v>
      </c>
      <c r="AE261" s="291">
        <f t="shared" si="461"/>
        <v>0</v>
      </c>
      <c r="AF261" s="291">
        <f t="shared" si="462"/>
        <v>0</v>
      </c>
      <c r="AG261" s="291">
        <f t="shared" si="463"/>
        <v>0</v>
      </c>
      <c r="AI261" s="462">
        <f t="shared" si="508"/>
        <v>0</v>
      </c>
      <c r="AJ261" s="1112"/>
      <c r="AK261" s="507"/>
      <c r="AL261" s="829">
        <f t="shared" si="465"/>
        <v>45833</v>
      </c>
      <c r="AM261" s="684">
        <f>IFERROR(IF(AND(AT261="",AR261&lt;&gt;S.CAL!$BJ$3,AR261&lt;&gt;S.CAL!$BJ$4,$AR$230="NON"),M261-BD261,IF(AND(AT261="",AR261&lt;&gt;S.CAL!$BJ$3,AR261&lt;&gt;S.CAL!$BJ$4,$AR$230="OUI"),X261-AI261,IF(AT261&lt;&gt;0,AT261,IF(OR(AR261=S.CAL!$BJ$3,AR261=S.CAL!$BJ$4),AR261,"")))),"")</f>
        <v>0</v>
      </c>
      <c r="AN261" s="1115"/>
      <c r="AO261" s="1116"/>
      <c r="AP261" s="684">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516">
        <f t="shared" si="485"/>
        <v>0</v>
      </c>
      <c r="AR261" s="1120"/>
      <c r="AT261" s="1123"/>
      <c r="AU261" s="831"/>
      <c r="AV261" s="1392">
        <f t="shared" si="466"/>
        <v>45833</v>
      </c>
      <c r="AX261" s="529">
        <f t="shared" si="486"/>
        <v>45833</v>
      </c>
      <c r="AY261" s="541">
        <f t="shared" si="487"/>
        <v>0</v>
      </c>
      <c r="AZ261" s="538" t="s">
        <v>146</v>
      </c>
      <c r="BA261" s="534">
        <f t="shared" si="488"/>
        <v>0</v>
      </c>
      <c r="BB261" s="567" t="str">
        <f t="shared" si="467"/>
        <v/>
      </c>
      <c r="BC261" s="541">
        <f t="shared" si="489"/>
        <v>0</v>
      </c>
      <c r="BD261" s="541">
        <f t="shared" si="490"/>
        <v>0</v>
      </c>
      <c r="BE261" s="750"/>
      <c r="BF261" s="532" t="str">
        <f t="shared" si="468"/>
        <v/>
      </c>
      <c r="BG261" s="532" t="str">
        <f t="shared" si="491"/>
        <v>oui</v>
      </c>
      <c r="BH261" s="395" t="str">
        <f t="shared" si="469"/>
        <v/>
      </c>
      <c r="BI261" s="24" t="str">
        <f t="shared" si="470"/>
        <v/>
      </c>
      <c r="BJ261" s="1403"/>
      <c r="BK261" s="1403"/>
      <c r="BL261" s="1403"/>
      <c r="BM261" s="1403"/>
      <c r="BN261" s="1403"/>
      <c r="BO261" s="1403"/>
      <c r="BP261" s="1403"/>
      <c r="BQ261" s="1403"/>
      <c r="BS261" s="1392">
        <f t="shared" si="437"/>
        <v>45833</v>
      </c>
      <c r="BT261" s="27" t="str">
        <f t="shared" si="499"/>
        <v/>
      </c>
      <c r="BU261" s="1402"/>
      <c r="BV261" s="1402"/>
      <c r="BW261" s="1402"/>
      <c r="BX261" s="1402"/>
      <c r="BY261" s="1402"/>
      <c r="BZ261" s="1402"/>
      <c r="CA261" s="1402"/>
      <c r="CB261" s="1402"/>
      <c r="CD261" s="1408">
        <f t="shared" si="492"/>
        <v>0</v>
      </c>
      <c r="DC261" s="16" t="str">
        <f>Juin!FC44</f>
        <v>non</v>
      </c>
      <c r="DG261" s="333">
        <f t="shared" si="493"/>
        <v>1</v>
      </c>
      <c r="DH261" s="129">
        <f t="shared" si="471"/>
        <v>10</v>
      </c>
      <c r="DI261" s="129">
        <f t="shared" si="494"/>
        <v>1</v>
      </c>
      <c r="DK261" s="16">
        <f>+IF(AND(Juin!$DP$8&lt;&gt;52,AR261=S.CAL!$BJ$4),10,1)</f>
        <v>1</v>
      </c>
      <c r="DN261" s="16">
        <f t="shared" si="472"/>
        <v>1</v>
      </c>
      <c r="DU261" s="1296" t="str">
        <f t="shared" si="495"/>
        <v>Fiche infoA345833</v>
      </c>
      <c r="DV261" s="1384">
        <f t="shared" si="473"/>
        <v>0</v>
      </c>
      <c r="DW261" s="1385">
        <f t="shared" si="474"/>
        <v>0</v>
      </c>
      <c r="DX261" s="1385">
        <f t="shared" si="475"/>
        <v>0</v>
      </c>
      <c r="DY261" s="1385">
        <f t="shared" si="476"/>
        <v>0</v>
      </c>
      <c r="DZ261" s="1385">
        <f t="shared" si="477"/>
        <v>0</v>
      </c>
      <c r="EA261" s="1385">
        <f t="shared" si="478"/>
        <v>0</v>
      </c>
      <c r="EB261" s="1385">
        <f t="shared" si="479"/>
        <v>0</v>
      </c>
      <c r="EC261" s="1385">
        <f t="shared" si="480"/>
        <v>0</v>
      </c>
      <c r="ED261" s="1385">
        <f t="shared" si="496"/>
        <v>0</v>
      </c>
      <c r="EE261" s="1386">
        <f t="shared" si="497"/>
        <v>0</v>
      </c>
      <c r="EG261" s="16" t="str">
        <f t="shared" si="498"/>
        <v>262025</v>
      </c>
      <c r="EH261" s="16" t="str">
        <f t="shared" si="481"/>
        <v>Fiche infoA3</v>
      </c>
      <c r="EI261" s="16" t="str">
        <f t="shared" si="482"/>
        <v/>
      </c>
    </row>
    <row r="262" spans="1:145" x14ac:dyDescent="0.2">
      <c r="A262" s="1395" t="str">
        <f>Juin!BJ45</f>
        <v>Fiche infoA4</v>
      </c>
      <c r="B262" s="829">
        <f>Juin!AB45</f>
        <v>45834</v>
      </c>
      <c r="C262" s="1394"/>
      <c r="D262" s="1001">
        <f t="shared" si="438"/>
        <v>0</v>
      </c>
      <c r="E262" s="452">
        <f t="shared" si="439"/>
        <v>0</v>
      </c>
      <c r="F262" s="452">
        <f t="shared" si="440"/>
        <v>0</v>
      </c>
      <c r="G262" s="452">
        <f t="shared" si="441"/>
        <v>0</v>
      </c>
      <c r="H262" s="452">
        <f t="shared" si="442"/>
        <v>0</v>
      </c>
      <c r="I262" s="452">
        <f t="shared" si="443"/>
        <v>0</v>
      </c>
      <c r="J262" s="452">
        <f t="shared" si="444"/>
        <v>0</v>
      </c>
      <c r="K262" s="452">
        <f t="shared" si="445"/>
        <v>0</v>
      </c>
      <c r="L262" s="452">
        <f t="shared" si="483"/>
        <v>0</v>
      </c>
      <c r="M262" s="1002">
        <f t="shared" si="484"/>
        <v>0</v>
      </c>
      <c r="N262" s="1396"/>
      <c r="O262" s="1001">
        <f t="shared" si="500"/>
        <v>0</v>
      </c>
      <c r="P262" s="452">
        <f t="shared" si="501"/>
        <v>0</v>
      </c>
      <c r="Q262" s="452">
        <f t="shared" si="502"/>
        <v>0</v>
      </c>
      <c r="R262" s="452">
        <f t="shared" si="503"/>
        <v>0</v>
      </c>
      <c r="S262" s="452">
        <f t="shared" si="504"/>
        <v>0</v>
      </c>
      <c r="T262" s="452">
        <f t="shared" si="505"/>
        <v>0</v>
      </c>
      <c r="U262" s="452">
        <f t="shared" si="506"/>
        <v>0</v>
      </c>
      <c r="V262" s="452">
        <f t="shared" si="507"/>
        <v>0</v>
      </c>
      <c r="W262" s="452">
        <f t="shared" si="454"/>
        <v>0</v>
      </c>
      <c r="X262" s="1002">
        <f t="shared" si="455"/>
        <v>0</v>
      </c>
      <c r="Y262" s="1397"/>
      <c r="Z262" s="1398">
        <f t="shared" si="456"/>
        <v>0</v>
      </c>
      <c r="AA262" s="1398">
        <f t="shared" si="457"/>
        <v>0</v>
      </c>
      <c r="AB262" s="1398">
        <f t="shared" si="458"/>
        <v>0</v>
      </c>
      <c r="AC262" s="1398">
        <f t="shared" si="459"/>
        <v>0</v>
      </c>
      <c r="AD262" s="1398">
        <f t="shared" si="460"/>
        <v>0</v>
      </c>
      <c r="AE262" s="1398">
        <f t="shared" si="461"/>
        <v>0</v>
      </c>
      <c r="AF262" s="1398">
        <f t="shared" si="462"/>
        <v>0</v>
      </c>
      <c r="AG262" s="1398">
        <f t="shared" si="463"/>
        <v>0</v>
      </c>
      <c r="AH262" s="1396"/>
      <c r="AI262" s="462">
        <f t="shared" si="508"/>
        <v>0</v>
      </c>
      <c r="AJ262" s="1112"/>
      <c r="AK262" s="1399"/>
      <c r="AL262" s="829">
        <f t="shared" si="465"/>
        <v>45834</v>
      </c>
      <c r="AM262" s="684">
        <f>IFERROR(IF(AND(AT262="",AR262&lt;&gt;S.CAL!$BJ$3,AR262&lt;&gt;S.CAL!$BJ$4,$AR$230="NON"),M262-BD262,IF(AND(AT262="",AR262&lt;&gt;S.CAL!$BJ$3,AR262&lt;&gt;S.CAL!$BJ$4,$AR$230="OUI"),X262-AI262,IF(AT262&lt;&gt;0,AT262,IF(OR(AR262=S.CAL!$BJ$3,AR262=S.CAL!$BJ$4),AR262,"")))),"")</f>
        <v>0</v>
      </c>
      <c r="AN262" s="1115"/>
      <c r="AO262" s="1116"/>
      <c r="AP262" s="684">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400">
        <f t="shared" si="485"/>
        <v>0</v>
      </c>
      <c r="AR262" s="1120"/>
      <c r="AS262" s="1396"/>
      <c r="AT262" s="1123"/>
      <c r="AU262" s="831"/>
      <c r="AV262" s="1392">
        <f t="shared" si="466"/>
        <v>45834</v>
      </c>
      <c r="AW262" s="1396"/>
      <c r="AX262" s="529">
        <f t="shared" si="486"/>
        <v>45834</v>
      </c>
      <c r="AY262" s="541">
        <f t="shared" si="487"/>
        <v>0</v>
      </c>
      <c r="AZ262" s="538" t="s">
        <v>146</v>
      </c>
      <c r="BA262" s="534">
        <f t="shared" si="488"/>
        <v>0</v>
      </c>
      <c r="BB262" s="567" t="str">
        <f t="shared" si="467"/>
        <v/>
      </c>
      <c r="BC262" s="541">
        <f t="shared" si="489"/>
        <v>0</v>
      </c>
      <c r="BD262" s="541">
        <f t="shared" si="490"/>
        <v>0</v>
      </c>
      <c r="BE262" s="750"/>
      <c r="BF262" s="532" t="str">
        <f t="shared" si="468"/>
        <v/>
      </c>
      <c r="BG262" s="532" t="str">
        <f t="shared" si="491"/>
        <v>oui</v>
      </c>
      <c r="BH262" s="395" t="str">
        <f t="shared" si="469"/>
        <v/>
      </c>
      <c r="BI262" s="24" t="str">
        <f t="shared" si="470"/>
        <v/>
      </c>
      <c r="BJ262" s="1404"/>
      <c r="BK262" s="1404"/>
      <c r="BL262" s="1404"/>
      <c r="BM262" s="1404"/>
      <c r="BN262" s="1404"/>
      <c r="BO262" s="1404"/>
      <c r="BP262" s="1404"/>
      <c r="BQ262" s="1404"/>
      <c r="BR262" s="1405"/>
      <c r="BS262" s="1392">
        <f t="shared" si="437"/>
        <v>45834</v>
      </c>
      <c r="BT262" s="1406" t="str">
        <f t="shared" si="499"/>
        <v/>
      </c>
      <c r="BU262" s="1404"/>
      <c r="BV262" s="1404"/>
      <c r="BW262" s="1404"/>
      <c r="BX262" s="1404"/>
      <c r="BY262" s="1404"/>
      <c r="BZ262" s="1404"/>
      <c r="CA262" s="1404"/>
      <c r="CB262" s="1404"/>
      <c r="CD262" s="1408">
        <f t="shared" si="492"/>
        <v>0</v>
      </c>
      <c r="DC262" s="16" t="str">
        <f>Juin!FC45</f>
        <v>non</v>
      </c>
      <c r="DG262" s="333">
        <f t="shared" si="493"/>
        <v>1</v>
      </c>
      <c r="DH262" s="129">
        <f t="shared" si="471"/>
        <v>10</v>
      </c>
      <c r="DI262" s="129">
        <f t="shared" si="494"/>
        <v>1</v>
      </c>
      <c r="DK262" s="16">
        <f>+IF(AND(Juin!$DP$8&lt;&gt;52,AR262=S.CAL!$BJ$4),10,1)</f>
        <v>1</v>
      </c>
      <c r="DN262" s="16">
        <f t="shared" si="472"/>
        <v>1</v>
      </c>
      <c r="DU262" s="1296" t="str">
        <f t="shared" si="495"/>
        <v>Fiche infoA445834</v>
      </c>
      <c r="DV262" s="1384">
        <f t="shared" si="473"/>
        <v>0</v>
      </c>
      <c r="DW262" s="1385">
        <f t="shared" si="474"/>
        <v>0</v>
      </c>
      <c r="DX262" s="1385">
        <f t="shared" si="475"/>
        <v>0</v>
      </c>
      <c r="DY262" s="1385">
        <f t="shared" si="476"/>
        <v>0</v>
      </c>
      <c r="DZ262" s="1385">
        <f t="shared" si="477"/>
        <v>0</v>
      </c>
      <c r="EA262" s="1385">
        <f t="shared" si="478"/>
        <v>0</v>
      </c>
      <c r="EB262" s="1385">
        <f t="shared" si="479"/>
        <v>0</v>
      </c>
      <c r="EC262" s="1385">
        <f t="shared" si="480"/>
        <v>0</v>
      </c>
      <c r="ED262" s="1385">
        <f t="shared" si="496"/>
        <v>0</v>
      </c>
      <c r="EE262" s="1386">
        <f t="shared" si="497"/>
        <v>0</v>
      </c>
      <c r="EG262" s="16" t="str">
        <f t="shared" si="498"/>
        <v>262025</v>
      </c>
      <c r="EH262" s="16" t="str">
        <f t="shared" si="481"/>
        <v>Fiche infoA4</v>
      </c>
      <c r="EI262" s="16" t="str">
        <f t="shared" si="482"/>
        <v/>
      </c>
    </row>
    <row r="263" spans="1:145" x14ac:dyDescent="0.2">
      <c r="A263" s="24" t="str">
        <f>Juin!BJ46</f>
        <v>Fiche infoA5</v>
      </c>
      <c r="B263" s="829">
        <f>Juin!AB46</f>
        <v>45835</v>
      </c>
      <c r="C263" s="1393"/>
      <c r="D263" s="1001">
        <f t="shared" si="438"/>
        <v>0</v>
      </c>
      <c r="E263" s="452">
        <f t="shared" si="439"/>
        <v>0</v>
      </c>
      <c r="F263" s="452">
        <f t="shared" si="440"/>
        <v>0</v>
      </c>
      <c r="G263" s="452">
        <f t="shared" si="441"/>
        <v>0</v>
      </c>
      <c r="H263" s="452">
        <f t="shared" si="442"/>
        <v>0</v>
      </c>
      <c r="I263" s="452">
        <f t="shared" si="443"/>
        <v>0</v>
      </c>
      <c r="J263" s="452">
        <f t="shared" si="444"/>
        <v>0</v>
      </c>
      <c r="K263" s="452">
        <f t="shared" si="445"/>
        <v>0</v>
      </c>
      <c r="L263" s="452">
        <f t="shared" si="483"/>
        <v>0</v>
      </c>
      <c r="M263" s="1002">
        <f t="shared" si="484"/>
        <v>0</v>
      </c>
      <c r="O263" s="1001">
        <f t="shared" si="500"/>
        <v>0</v>
      </c>
      <c r="P263" s="452">
        <f t="shared" si="501"/>
        <v>0</v>
      </c>
      <c r="Q263" s="452">
        <f t="shared" si="502"/>
        <v>0</v>
      </c>
      <c r="R263" s="452">
        <f t="shared" si="503"/>
        <v>0</v>
      </c>
      <c r="S263" s="452">
        <f t="shared" si="504"/>
        <v>0</v>
      </c>
      <c r="T263" s="452">
        <f t="shared" si="505"/>
        <v>0</v>
      </c>
      <c r="U263" s="452">
        <f t="shared" si="506"/>
        <v>0</v>
      </c>
      <c r="V263" s="452">
        <f t="shared" si="507"/>
        <v>0</v>
      </c>
      <c r="W263" s="452">
        <f t="shared" si="454"/>
        <v>0</v>
      </c>
      <c r="X263" s="1002">
        <f t="shared" si="455"/>
        <v>0</v>
      </c>
      <c r="Y263" s="459"/>
      <c r="Z263" s="291">
        <f t="shared" si="456"/>
        <v>0</v>
      </c>
      <c r="AA263" s="291">
        <f t="shared" si="457"/>
        <v>0</v>
      </c>
      <c r="AB263" s="291">
        <f t="shared" si="458"/>
        <v>0</v>
      </c>
      <c r="AC263" s="291">
        <f t="shared" si="459"/>
        <v>0</v>
      </c>
      <c r="AD263" s="291">
        <f t="shared" si="460"/>
        <v>0</v>
      </c>
      <c r="AE263" s="291">
        <f t="shared" si="461"/>
        <v>0</v>
      </c>
      <c r="AF263" s="291">
        <f t="shared" si="462"/>
        <v>0</v>
      </c>
      <c r="AG263" s="291">
        <f t="shared" si="463"/>
        <v>0</v>
      </c>
      <c r="AI263" s="462">
        <f t="shared" si="508"/>
        <v>0</v>
      </c>
      <c r="AJ263" s="1112"/>
      <c r="AK263" s="507"/>
      <c r="AL263" s="829">
        <f t="shared" si="465"/>
        <v>45835</v>
      </c>
      <c r="AM263" s="684">
        <f>IFERROR(IF(AND(AT263="",AR263&lt;&gt;S.CAL!$BJ$3,AR263&lt;&gt;S.CAL!$BJ$4,$AR$230="NON"),M263-BD263,IF(AND(AT263="",AR263&lt;&gt;S.CAL!$BJ$3,AR263&lt;&gt;S.CAL!$BJ$4,$AR$230="OUI"),X263-AI263,IF(AT263&lt;&gt;0,AT263,IF(OR(AR263=S.CAL!$BJ$3,AR263=S.CAL!$BJ$4),AR263,"")))),"")</f>
        <v>0</v>
      </c>
      <c r="AN263" s="1115"/>
      <c r="AO263" s="1116"/>
      <c r="AP263" s="684">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516">
        <f t="shared" si="485"/>
        <v>0</v>
      </c>
      <c r="AR263" s="1120"/>
      <c r="AT263" s="1123"/>
      <c r="AU263" s="831"/>
      <c r="AV263" s="1392">
        <f t="shared" si="466"/>
        <v>45835</v>
      </c>
      <c r="AX263" s="529">
        <f t="shared" si="486"/>
        <v>45835</v>
      </c>
      <c r="AY263" s="541">
        <f t="shared" si="487"/>
        <v>0</v>
      </c>
      <c r="AZ263" s="538" t="s">
        <v>146</v>
      </c>
      <c r="BA263" s="534">
        <f t="shared" si="488"/>
        <v>0</v>
      </c>
      <c r="BB263" s="567" t="str">
        <f t="shared" si="467"/>
        <v/>
      </c>
      <c r="BC263" s="541">
        <f t="shared" si="489"/>
        <v>0</v>
      </c>
      <c r="BD263" s="541">
        <f t="shared" si="490"/>
        <v>0</v>
      </c>
      <c r="BE263" s="750"/>
      <c r="BF263" s="532" t="str">
        <f t="shared" si="468"/>
        <v/>
      </c>
      <c r="BG263" s="532" t="str">
        <f t="shared" si="491"/>
        <v>oui</v>
      </c>
      <c r="BH263" s="395" t="str">
        <f t="shared" si="469"/>
        <v/>
      </c>
      <c r="BI263" s="24" t="str">
        <f t="shared" si="470"/>
        <v/>
      </c>
      <c r="BJ263" s="1403"/>
      <c r="BK263" s="1403"/>
      <c r="BL263" s="1403"/>
      <c r="BM263" s="1403"/>
      <c r="BN263" s="1403"/>
      <c r="BO263" s="1403"/>
      <c r="BP263" s="1403"/>
      <c r="BQ263" s="1403"/>
      <c r="BS263" s="1392">
        <f t="shared" si="437"/>
        <v>45835</v>
      </c>
      <c r="BT263" s="27" t="str">
        <f t="shared" si="499"/>
        <v/>
      </c>
      <c r="BU263" s="1402"/>
      <c r="BV263" s="1402"/>
      <c r="BW263" s="1402"/>
      <c r="BX263" s="1402"/>
      <c r="BY263" s="1402"/>
      <c r="BZ263" s="1402"/>
      <c r="CA263" s="1402"/>
      <c r="CB263" s="1402"/>
      <c r="CD263" s="1408">
        <f t="shared" si="492"/>
        <v>0</v>
      </c>
      <c r="DC263" s="16" t="str">
        <f>Juin!FC46</f>
        <v>non</v>
      </c>
      <c r="DG263" s="333">
        <f t="shared" si="493"/>
        <v>1</v>
      </c>
      <c r="DH263" s="129">
        <f t="shared" si="471"/>
        <v>10</v>
      </c>
      <c r="DI263" s="129">
        <f t="shared" si="494"/>
        <v>1</v>
      </c>
      <c r="DK263" s="16">
        <f>+IF(AND(Juin!$DP$8&lt;&gt;52,AR263=S.CAL!$BJ$4),10,1)</f>
        <v>1</v>
      </c>
      <c r="DN263" s="16">
        <f t="shared" si="472"/>
        <v>1</v>
      </c>
      <c r="DU263" s="1296" t="str">
        <f t="shared" si="495"/>
        <v>Fiche infoA545835</v>
      </c>
      <c r="DV263" s="1384">
        <f t="shared" si="473"/>
        <v>0</v>
      </c>
      <c r="DW263" s="1385">
        <f t="shared" si="474"/>
        <v>0</v>
      </c>
      <c r="DX263" s="1385">
        <f t="shared" si="475"/>
        <v>0</v>
      </c>
      <c r="DY263" s="1385">
        <f t="shared" si="476"/>
        <v>0</v>
      </c>
      <c r="DZ263" s="1385">
        <f t="shared" si="477"/>
        <v>0</v>
      </c>
      <c r="EA263" s="1385">
        <f t="shared" si="478"/>
        <v>0</v>
      </c>
      <c r="EB263" s="1385">
        <f t="shared" si="479"/>
        <v>0</v>
      </c>
      <c r="EC263" s="1385">
        <f t="shared" si="480"/>
        <v>0</v>
      </c>
      <c r="ED263" s="1385">
        <f t="shared" si="496"/>
        <v>0</v>
      </c>
      <c r="EE263" s="1386">
        <f t="shared" si="497"/>
        <v>0</v>
      </c>
      <c r="EG263" s="16" t="str">
        <f t="shared" si="498"/>
        <v>262025</v>
      </c>
      <c r="EH263" s="16" t="str">
        <f t="shared" si="481"/>
        <v>Fiche infoA5</v>
      </c>
      <c r="EI263" s="16" t="str">
        <f t="shared" si="482"/>
        <v/>
      </c>
    </row>
    <row r="264" spans="1:145" x14ac:dyDescent="0.2">
      <c r="A264" s="1395" t="str">
        <f>Juin!BJ47</f>
        <v>Fiche infoA6</v>
      </c>
      <c r="B264" s="829">
        <f>Juin!AB47</f>
        <v>45836</v>
      </c>
      <c r="C264" s="1394"/>
      <c r="D264" s="1001">
        <f t="shared" si="438"/>
        <v>0</v>
      </c>
      <c r="E264" s="452">
        <f t="shared" si="439"/>
        <v>0</v>
      </c>
      <c r="F264" s="452">
        <f t="shared" si="440"/>
        <v>0</v>
      </c>
      <c r="G264" s="452">
        <f t="shared" si="441"/>
        <v>0</v>
      </c>
      <c r="H264" s="452">
        <f t="shared" si="442"/>
        <v>0</v>
      </c>
      <c r="I264" s="452">
        <f t="shared" si="443"/>
        <v>0</v>
      </c>
      <c r="J264" s="452">
        <f t="shared" si="444"/>
        <v>0</v>
      </c>
      <c r="K264" s="452">
        <f t="shared" si="445"/>
        <v>0</v>
      </c>
      <c r="L264" s="452">
        <f t="shared" si="483"/>
        <v>0</v>
      </c>
      <c r="M264" s="1002">
        <f t="shared" si="484"/>
        <v>0</v>
      </c>
      <c r="N264" s="1396"/>
      <c r="O264" s="1001">
        <f t="shared" si="500"/>
        <v>0</v>
      </c>
      <c r="P264" s="452">
        <f t="shared" si="501"/>
        <v>0</v>
      </c>
      <c r="Q264" s="452">
        <f t="shared" si="502"/>
        <v>0</v>
      </c>
      <c r="R264" s="452">
        <f t="shared" si="503"/>
        <v>0</v>
      </c>
      <c r="S264" s="452">
        <f t="shared" si="504"/>
        <v>0</v>
      </c>
      <c r="T264" s="452">
        <f t="shared" si="505"/>
        <v>0</v>
      </c>
      <c r="U264" s="452">
        <f t="shared" si="506"/>
        <v>0</v>
      </c>
      <c r="V264" s="452">
        <f t="shared" si="507"/>
        <v>0</v>
      </c>
      <c r="W264" s="452">
        <f t="shared" si="454"/>
        <v>0</v>
      </c>
      <c r="X264" s="1002">
        <f t="shared" si="455"/>
        <v>0</v>
      </c>
      <c r="Y264" s="1397"/>
      <c r="Z264" s="1398">
        <f t="shared" si="456"/>
        <v>0</v>
      </c>
      <c r="AA264" s="1398">
        <f t="shared" si="457"/>
        <v>0</v>
      </c>
      <c r="AB264" s="1398">
        <f t="shared" si="458"/>
        <v>0</v>
      </c>
      <c r="AC264" s="1398">
        <f t="shared" si="459"/>
        <v>0</v>
      </c>
      <c r="AD264" s="1398">
        <f t="shared" si="460"/>
        <v>0</v>
      </c>
      <c r="AE264" s="1398">
        <f t="shared" si="461"/>
        <v>0</v>
      </c>
      <c r="AF264" s="1398">
        <f t="shared" si="462"/>
        <v>0</v>
      </c>
      <c r="AG264" s="1398">
        <f t="shared" si="463"/>
        <v>0</v>
      </c>
      <c r="AH264" s="1396"/>
      <c r="AI264" s="462">
        <f t="shared" si="508"/>
        <v>0</v>
      </c>
      <c r="AJ264" s="1112"/>
      <c r="AK264" s="1399"/>
      <c r="AL264" s="829">
        <f t="shared" si="465"/>
        <v>45836</v>
      </c>
      <c r="AM264" s="684">
        <f>IFERROR(IF(AND(AT264="",AR264&lt;&gt;S.CAL!$BJ$3,AR264&lt;&gt;S.CAL!$BJ$4,$AR$230="NON"),M264-BD264,IF(AND(AT264="",AR264&lt;&gt;S.CAL!$BJ$3,AR264&lt;&gt;S.CAL!$BJ$4,$AR$230="OUI"),X264-AI264,IF(AT264&lt;&gt;0,AT264,IF(OR(AR264=S.CAL!$BJ$3,AR264=S.CAL!$BJ$4),AR264,"")))),"")</f>
        <v>0</v>
      </c>
      <c r="AN264" s="1115"/>
      <c r="AO264" s="1116"/>
      <c r="AP264" s="684">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400">
        <f t="shared" si="485"/>
        <v>0</v>
      </c>
      <c r="AR264" s="1120"/>
      <c r="AS264" s="1396"/>
      <c r="AT264" s="1123"/>
      <c r="AU264" s="831"/>
      <c r="AV264" s="1392">
        <f t="shared" si="466"/>
        <v>45836</v>
      </c>
      <c r="AW264" s="1396"/>
      <c r="AX264" s="529">
        <f t="shared" si="486"/>
        <v>45836</v>
      </c>
      <c r="AY264" s="541">
        <f t="shared" si="487"/>
        <v>0</v>
      </c>
      <c r="AZ264" s="538" t="s">
        <v>146</v>
      </c>
      <c r="BA264" s="534">
        <f t="shared" si="488"/>
        <v>0</v>
      </c>
      <c r="BB264" s="567" t="str">
        <f t="shared" si="467"/>
        <v/>
      </c>
      <c r="BC264" s="541">
        <f t="shared" si="489"/>
        <v>0</v>
      </c>
      <c r="BD264" s="541">
        <f t="shared" si="490"/>
        <v>0</v>
      </c>
      <c r="BE264" s="750"/>
      <c r="BF264" s="532" t="str">
        <f t="shared" si="468"/>
        <v/>
      </c>
      <c r="BG264" s="532" t="str">
        <f t="shared" si="491"/>
        <v>oui</v>
      </c>
      <c r="BH264" s="395" t="str">
        <f t="shared" si="469"/>
        <v/>
      </c>
      <c r="BI264" s="24" t="str">
        <f t="shared" si="470"/>
        <v/>
      </c>
      <c r="BJ264" s="1404"/>
      <c r="BK264" s="1404"/>
      <c r="BL264" s="1404"/>
      <c r="BM264" s="1404"/>
      <c r="BN264" s="1404"/>
      <c r="BO264" s="1404"/>
      <c r="BP264" s="1404"/>
      <c r="BQ264" s="1404"/>
      <c r="BR264" s="1405"/>
      <c r="BS264" s="1392">
        <f t="shared" si="437"/>
        <v>45836</v>
      </c>
      <c r="BT264" s="1406" t="str">
        <f t="shared" si="499"/>
        <v/>
      </c>
      <c r="BU264" s="1404"/>
      <c r="BV264" s="1404"/>
      <c r="BW264" s="1404"/>
      <c r="BX264" s="1404"/>
      <c r="BY264" s="1404"/>
      <c r="BZ264" s="1404"/>
      <c r="CA264" s="1404"/>
      <c r="CB264" s="1404"/>
      <c r="CD264" s="1408">
        <f t="shared" si="492"/>
        <v>0</v>
      </c>
      <c r="DC264" s="16" t="str">
        <f>Juin!FC47</f>
        <v>non</v>
      </c>
      <c r="DG264" s="333">
        <f t="shared" si="493"/>
        <v>1</v>
      </c>
      <c r="DH264" s="129">
        <f t="shared" si="471"/>
        <v>10</v>
      </c>
      <c r="DI264" s="129">
        <f t="shared" si="494"/>
        <v>1</v>
      </c>
      <c r="DK264" s="16">
        <f>+IF(AND(Juin!$DP$8&lt;&gt;52,AR264=S.CAL!$BJ$4),10,1)</f>
        <v>1</v>
      </c>
      <c r="DN264" s="16">
        <f t="shared" si="472"/>
        <v>1</v>
      </c>
      <c r="DU264" s="1296" t="str">
        <f t="shared" si="495"/>
        <v>Fiche infoA645836</v>
      </c>
      <c r="DV264" s="1384">
        <f t="shared" si="473"/>
        <v>0</v>
      </c>
      <c r="DW264" s="1385">
        <f t="shared" si="474"/>
        <v>0</v>
      </c>
      <c r="DX264" s="1385">
        <f t="shared" si="475"/>
        <v>0</v>
      </c>
      <c r="DY264" s="1385">
        <f t="shared" si="476"/>
        <v>0</v>
      </c>
      <c r="DZ264" s="1385">
        <f t="shared" si="477"/>
        <v>0</v>
      </c>
      <c r="EA264" s="1385">
        <f t="shared" si="478"/>
        <v>0</v>
      </c>
      <c r="EB264" s="1385">
        <f t="shared" si="479"/>
        <v>0</v>
      </c>
      <c r="EC264" s="1385">
        <f t="shared" si="480"/>
        <v>0</v>
      </c>
      <c r="ED264" s="1385">
        <f t="shared" si="496"/>
        <v>0</v>
      </c>
      <c r="EE264" s="1386">
        <f t="shared" si="497"/>
        <v>0</v>
      </c>
      <c r="EG264" s="16" t="str">
        <f t="shared" si="498"/>
        <v>262025</v>
      </c>
      <c r="EH264" s="16" t="str">
        <f t="shared" si="481"/>
        <v>Fiche infoA6</v>
      </c>
      <c r="EI264" s="16" t="str">
        <f t="shared" si="482"/>
        <v/>
      </c>
    </row>
    <row r="265" spans="1:145" x14ac:dyDescent="0.2">
      <c r="A265" s="24" t="str">
        <f>Juin!BJ48</f>
        <v>Fiche infoA7</v>
      </c>
      <c r="B265" s="829">
        <f>Juin!AB48</f>
        <v>45837</v>
      </c>
      <c r="C265" s="1393"/>
      <c r="D265" s="1001">
        <f t="shared" si="438"/>
        <v>0</v>
      </c>
      <c r="E265" s="452">
        <f t="shared" si="439"/>
        <v>0</v>
      </c>
      <c r="F265" s="452">
        <f t="shared" si="440"/>
        <v>0</v>
      </c>
      <c r="G265" s="452">
        <f t="shared" si="441"/>
        <v>0</v>
      </c>
      <c r="H265" s="452">
        <f t="shared" si="442"/>
        <v>0</v>
      </c>
      <c r="I265" s="452">
        <f t="shared" si="443"/>
        <v>0</v>
      </c>
      <c r="J265" s="452">
        <f t="shared" si="444"/>
        <v>0</v>
      </c>
      <c r="K265" s="452">
        <f t="shared" si="445"/>
        <v>0</v>
      </c>
      <c r="L265" s="452">
        <f t="shared" si="483"/>
        <v>0</v>
      </c>
      <c r="M265" s="1002">
        <f t="shared" si="484"/>
        <v>0</v>
      </c>
      <c r="O265" s="1001">
        <f t="shared" si="500"/>
        <v>0</v>
      </c>
      <c r="P265" s="452">
        <f t="shared" si="501"/>
        <v>0</v>
      </c>
      <c r="Q265" s="452">
        <f t="shared" si="502"/>
        <v>0</v>
      </c>
      <c r="R265" s="452">
        <f t="shared" si="503"/>
        <v>0</v>
      </c>
      <c r="S265" s="452">
        <f t="shared" si="504"/>
        <v>0</v>
      </c>
      <c r="T265" s="452">
        <f t="shared" si="505"/>
        <v>0</v>
      </c>
      <c r="U265" s="452">
        <f t="shared" si="506"/>
        <v>0</v>
      </c>
      <c r="V265" s="452">
        <f t="shared" si="507"/>
        <v>0</v>
      </c>
      <c r="W265" s="452">
        <f t="shared" si="454"/>
        <v>0</v>
      </c>
      <c r="X265" s="1002">
        <f t="shared" si="455"/>
        <v>0</v>
      </c>
      <c r="Y265" s="459"/>
      <c r="Z265" s="291">
        <f t="shared" si="456"/>
        <v>0</v>
      </c>
      <c r="AA265" s="291">
        <f t="shared" si="457"/>
        <v>0</v>
      </c>
      <c r="AB265" s="291">
        <f t="shared" si="458"/>
        <v>0</v>
      </c>
      <c r="AC265" s="291">
        <f t="shared" si="459"/>
        <v>0</v>
      </c>
      <c r="AD265" s="291">
        <f t="shared" si="460"/>
        <v>0</v>
      </c>
      <c r="AE265" s="291">
        <f t="shared" si="461"/>
        <v>0</v>
      </c>
      <c r="AF265" s="291">
        <f t="shared" si="462"/>
        <v>0</v>
      </c>
      <c r="AG265" s="291">
        <f t="shared" si="463"/>
        <v>0</v>
      </c>
      <c r="AI265" s="462">
        <f t="shared" si="508"/>
        <v>0</v>
      </c>
      <c r="AJ265" s="1112"/>
      <c r="AK265" s="507"/>
      <c r="AL265" s="829">
        <f t="shared" si="465"/>
        <v>45837</v>
      </c>
      <c r="AM265" s="684">
        <f>IFERROR(IF(AND(AT265="",AR265&lt;&gt;S.CAL!$BJ$3,AR265&lt;&gt;S.CAL!$BJ$4,$AR$230="NON"),M265-BD265,IF(AND(AT265="",AR265&lt;&gt;S.CAL!$BJ$3,AR265&lt;&gt;S.CAL!$BJ$4,$AR$230="OUI"),X265-AI265,IF(AT265&lt;&gt;0,AT265,IF(OR(AR265=S.CAL!$BJ$3,AR265=S.CAL!$BJ$4),AR265,"")))),"")</f>
        <v>0</v>
      </c>
      <c r="AN265" s="1115"/>
      <c r="AO265" s="1116"/>
      <c r="AP265" s="684">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516">
        <f t="shared" si="485"/>
        <v>0</v>
      </c>
      <c r="AR265" s="1120"/>
      <c r="AT265" s="1123"/>
      <c r="AU265" s="831"/>
      <c r="AV265" s="1392">
        <f t="shared" si="466"/>
        <v>45837</v>
      </c>
      <c r="AX265" s="529">
        <f t="shared" si="486"/>
        <v>45837</v>
      </c>
      <c r="AY265" s="541">
        <f t="shared" si="487"/>
        <v>0</v>
      </c>
      <c r="AZ265" s="538" t="s">
        <v>146</v>
      </c>
      <c r="BA265" s="534">
        <f t="shared" si="488"/>
        <v>0</v>
      </c>
      <c r="BB265" s="567" t="str">
        <f t="shared" si="467"/>
        <v/>
      </c>
      <c r="BC265" s="541">
        <f t="shared" si="489"/>
        <v>0</v>
      </c>
      <c r="BD265" s="541">
        <f t="shared" si="490"/>
        <v>0</v>
      </c>
      <c r="BE265" s="750"/>
      <c r="BF265" s="532" t="str">
        <f t="shared" si="468"/>
        <v/>
      </c>
      <c r="BG265" s="532" t="str">
        <f t="shared" si="491"/>
        <v>oui</v>
      </c>
      <c r="BH265" s="395" t="str">
        <f t="shared" si="469"/>
        <v/>
      </c>
      <c r="BI265" s="24" t="str">
        <f t="shared" si="470"/>
        <v/>
      </c>
      <c r="BJ265" s="1403"/>
      <c r="BK265" s="1403"/>
      <c r="BL265" s="1403"/>
      <c r="BM265" s="1403"/>
      <c r="BN265" s="1403"/>
      <c r="BO265" s="1403"/>
      <c r="BP265" s="1403"/>
      <c r="BQ265" s="1403"/>
      <c r="BS265" s="1392">
        <f t="shared" si="437"/>
        <v>45837</v>
      </c>
      <c r="BT265" s="27" t="str">
        <f t="shared" si="499"/>
        <v/>
      </c>
      <c r="BU265" s="1402"/>
      <c r="BV265" s="1402"/>
      <c r="BW265" s="1402"/>
      <c r="BX265" s="1402"/>
      <c r="BY265" s="1402"/>
      <c r="BZ265" s="1402"/>
      <c r="CA265" s="1402"/>
      <c r="CB265" s="1402"/>
      <c r="CD265" s="1408">
        <f t="shared" si="492"/>
        <v>0</v>
      </c>
      <c r="DC265" s="16" t="str">
        <f>Juin!FC48</f>
        <v>non</v>
      </c>
      <c r="DG265" s="333">
        <f t="shared" si="493"/>
        <v>1</v>
      </c>
      <c r="DH265" s="129">
        <f t="shared" si="471"/>
        <v>10</v>
      </c>
      <c r="DI265" s="129">
        <f t="shared" si="494"/>
        <v>1</v>
      </c>
      <c r="DK265" s="16">
        <f>+IF(AND(Juin!$DP$8&lt;&gt;52,AR265=S.CAL!$BJ$4),10,1)</f>
        <v>1</v>
      </c>
      <c r="DN265" s="16">
        <f t="shared" si="472"/>
        <v>1</v>
      </c>
      <c r="DU265" s="1296" t="str">
        <f t="shared" si="495"/>
        <v>Fiche infoA745837</v>
      </c>
      <c r="DV265" s="1384">
        <f t="shared" si="473"/>
        <v>0</v>
      </c>
      <c r="DW265" s="1385">
        <f t="shared" si="474"/>
        <v>0</v>
      </c>
      <c r="DX265" s="1385">
        <f t="shared" si="475"/>
        <v>0</v>
      </c>
      <c r="DY265" s="1385">
        <f t="shared" si="476"/>
        <v>0</v>
      </c>
      <c r="DZ265" s="1385">
        <f t="shared" si="477"/>
        <v>0</v>
      </c>
      <c r="EA265" s="1385">
        <f t="shared" si="478"/>
        <v>0</v>
      </c>
      <c r="EB265" s="1385">
        <f t="shared" si="479"/>
        <v>0</v>
      </c>
      <c r="EC265" s="1385">
        <f t="shared" si="480"/>
        <v>0</v>
      </c>
      <c r="ED265" s="1385">
        <f t="shared" si="496"/>
        <v>0</v>
      </c>
      <c r="EE265" s="1386">
        <f t="shared" si="497"/>
        <v>0</v>
      </c>
      <c r="EG265" s="16" t="str">
        <f t="shared" si="498"/>
        <v>262025</v>
      </c>
      <c r="EH265" s="16" t="str">
        <f t="shared" si="481"/>
        <v>Fiche infoA7</v>
      </c>
      <c r="EI265" s="16" t="str">
        <f t="shared" si="482"/>
        <v/>
      </c>
    </row>
    <row r="266" spans="1:145" x14ac:dyDescent="0.2">
      <c r="A266" s="1395" t="str">
        <f>Juin!BJ49</f>
        <v>Fiche infoA1</v>
      </c>
      <c r="B266" s="829">
        <f>Juin!AB49</f>
        <v>45838</v>
      </c>
      <c r="C266" s="1394"/>
      <c r="D266" s="1001">
        <f t="shared" si="438"/>
        <v>0</v>
      </c>
      <c r="E266" s="452">
        <f t="shared" si="439"/>
        <v>0</v>
      </c>
      <c r="F266" s="452">
        <f t="shared" si="440"/>
        <v>0</v>
      </c>
      <c r="G266" s="452">
        <f t="shared" si="441"/>
        <v>0</v>
      </c>
      <c r="H266" s="452">
        <f t="shared" si="442"/>
        <v>0</v>
      </c>
      <c r="I266" s="452">
        <f t="shared" si="443"/>
        <v>0</v>
      </c>
      <c r="J266" s="452">
        <f t="shared" si="444"/>
        <v>0</v>
      </c>
      <c r="K266" s="452">
        <f t="shared" si="445"/>
        <v>0</v>
      </c>
      <c r="L266" s="452">
        <f t="shared" si="483"/>
        <v>0</v>
      </c>
      <c r="M266" s="1002">
        <f t="shared" si="484"/>
        <v>0</v>
      </c>
      <c r="N266" s="1396"/>
      <c r="O266" s="1001">
        <f t="shared" si="500"/>
        <v>0</v>
      </c>
      <c r="P266" s="452">
        <f t="shared" si="501"/>
        <v>0</v>
      </c>
      <c r="Q266" s="452">
        <f t="shared" si="502"/>
        <v>0</v>
      </c>
      <c r="R266" s="452">
        <f t="shared" si="503"/>
        <v>0</v>
      </c>
      <c r="S266" s="452">
        <f t="shared" si="504"/>
        <v>0</v>
      </c>
      <c r="T266" s="452">
        <f t="shared" si="505"/>
        <v>0</v>
      </c>
      <c r="U266" s="452">
        <f t="shared" si="506"/>
        <v>0</v>
      </c>
      <c r="V266" s="452">
        <f t="shared" si="507"/>
        <v>0</v>
      </c>
      <c r="W266" s="452">
        <f t="shared" si="454"/>
        <v>0</v>
      </c>
      <c r="X266" s="1002">
        <f t="shared" si="455"/>
        <v>0</v>
      </c>
      <c r="Y266" s="1397"/>
      <c r="Z266" s="1398">
        <f t="shared" si="456"/>
        <v>0</v>
      </c>
      <c r="AA266" s="1398">
        <f t="shared" si="457"/>
        <v>0</v>
      </c>
      <c r="AB266" s="1398">
        <f t="shared" si="458"/>
        <v>0</v>
      </c>
      <c r="AC266" s="1398">
        <f t="shared" si="459"/>
        <v>0</v>
      </c>
      <c r="AD266" s="1398">
        <f t="shared" si="460"/>
        <v>0</v>
      </c>
      <c r="AE266" s="1398">
        <f t="shared" si="461"/>
        <v>0</v>
      </c>
      <c r="AF266" s="1398">
        <f t="shared" si="462"/>
        <v>0</v>
      </c>
      <c r="AG266" s="1398">
        <f t="shared" si="463"/>
        <v>0</v>
      </c>
      <c r="AH266" s="1396"/>
      <c r="AI266" s="462">
        <f t="shared" si="508"/>
        <v>0</v>
      </c>
      <c r="AJ266" s="1112"/>
      <c r="AK266" s="1399"/>
      <c r="AL266" s="829">
        <f t="shared" si="465"/>
        <v>45838</v>
      </c>
      <c r="AM266" s="684">
        <f>IFERROR(IF(AND(AT266="",AR266&lt;&gt;S.CAL!$BJ$3,AR266&lt;&gt;S.CAL!$BJ$4,$AR$230="NON"),M266-BD266,IF(AND(AT266="",AR266&lt;&gt;S.CAL!$BJ$3,AR266&lt;&gt;S.CAL!$BJ$4,$AR$230="OUI"),X266-AI266,IF(AT266&lt;&gt;0,AT266,IF(OR(AR266=S.CAL!$BJ$3,AR266=S.CAL!$BJ$4),AR266,"")))),"")</f>
        <v>0</v>
      </c>
      <c r="AN266" s="1115"/>
      <c r="AO266" s="1116"/>
      <c r="AP266" s="684">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400">
        <f t="shared" si="485"/>
        <v>0</v>
      </c>
      <c r="AR266" s="1120"/>
      <c r="AS266" s="1396"/>
      <c r="AT266" s="1123"/>
      <c r="AU266" s="831"/>
      <c r="AV266" s="1392">
        <f t="shared" si="466"/>
        <v>45838</v>
      </c>
      <c r="AW266" s="1396"/>
      <c r="AX266" s="529">
        <f t="shared" si="486"/>
        <v>45838</v>
      </c>
      <c r="AY266" s="541">
        <f t="shared" si="487"/>
        <v>0</v>
      </c>
      <c r="AZ266" s="538" t="s">
        <v>146</v>
      </c>
      <c r="BA266" s="534">
        <f t="shared" si="488"/>
        <v>0</v>
      </c>
      <c r="BB266" s="567" t="str">
        <f t="shared" si="467"/>
        <v/>
      </c>
      <c r="BC266" s="541">
        <f t="shared" si="489"/>
        <v>0</v>
      </c>
      <c r="BD266" s="541">
        <f t="shared" si="490"/>
        <v>0</v>
      </c>
      <c r="BE266" s="750"/>
      <c r="BF266" s="532" t="str">
        <f t="shared" si="468"/>
        <v/>
      </c>
      <c r="BG266" s="532" t="str">
        <f t="shared" si="491"/>
        <v>oui</v>
      </c>
      <c r="BH266" s="395" t="str">
        <f t="shared" si="469"/>
        <v/>
      </c>
      <c r="BI266" s="24" t="str">
        <f t="shared" si="470"/>
        <v/>
      </c>
      <c r="BJ266" s="1404"/>
      <c r="BK266" s="1404"/>
      <c r="BL266" s="1404"/>
      <c r="BM266" s="1404"/>
      <c r="BN266" s="1404"/>
      <c r="BO266" s="1404"/>
      <c r="BP266" s="1404"/>
      <c r="BQ266" s="1404"/>
      <c r="BR266" s="1405"/>
      <c r="BS266" s="1392">
        <f t="shared" si="437"/>
        <v>45838</v>
      </c>
      <c r="BT266" s="1406">
        <f t="shared" si="499"/>
        <v>27</v>
      </c>
      <c r="BU266" s="1404"/>
      <c r="BV266" s="1404"/>
      <c r="BW266" s="1404"/>
      <c r="BX266" s="1404"/>
      <c r="BY266" s="1404"/>
      <c r="BZ266" s="1404"/>
      <c r="CA266" s="1404"/>
      <c r="CB266" s="1404"/>
      <c r="CD266" s="1408">
        <f t="shared" si="492"/>
        <v>0</v>
      </c>
      <c r="DC266" s="16" t="str">
        <f>Juin!FC49</f>
        <v>non</v>
      </c>
      <c r="DG266" s="333">
        <f t="shared" si="493"/>
        <v>1</v>
      </c>
      <c r="DH266" s="129">
        <f t="shared" si="471"/>
        <v>10</v>
      </c>
      <c r="DI266" s="129">
        <f t="shared" si="494"/>
        <v>1</v>
      </c>
      <c r="DK266" s="16">
        <f>+IF(AND(Juin!$DP$8&lt;&gt;52,AR266=S.CAL!$BJ$4),10,1)</f>
        <v>1</v>
      </c>
      <c r="DN266" s="16">
        <f t="shared" si="472"/>
        <v>1</v>
      </c>
      <c r="DU266" s="1296" t="str">
        <f t="shared" si="495"/>
        <v>Fiche infoA145838</v>
      </c>
      <c r="DV266" s="1384">
        <f t="shared" si="473"/>
        <v>0</v>
      </c>
      <c r="DW266" s="1385">
        <f t="shared" si="474"/>
        <v>0</v>
      </c>
      <c r="DX266" s="1385">
        <f t="shared" si="475"/>
        <v>0</v>
      </c>
      <c r="DY266" s="1385">
        <f t="shared" si="476"/>
        <v>0</v>
      </c>
      <c r="DZ266" s="1385">
        <f t="shared" si="477"/>
        <v>0</v>
      </c>
      <c r="EA266" s="1385">
        <f t="shared" si="478"/>
        <v>0</v>
      </c>
      <c r="EB266" s="1385">
        <f t="shared" si="479"/>
        <v>0</v>
      </c>
      <c r="EC266" s="1385">
        <f t="shared" si="480"/>
        <v>0</v>
      </c>
      <c r="ED266" s="1385">
        <f t="shared" si="496"/>
        <v>0</v>
      </c>
      <c r="EE266" s="1386">
        <f t="shared" si="497"/>
        <v>0</v>
      </c>
      <c r="EG266" s="16" t="str">
        <f t="shared" si="498"/>
        <v>272025</v>
      </c>
      <c r="EH266" s="16" t="str">
        <f t="shared" si="481"/>
        <v>Fiche infoA1</v>
      </c>
      <c r="EI266" s="16" t="str">
        <f t="shared" si="482"/>
        <v/>
      </c>
    </row>
    <row r="267" spans="1:145" x14ac:dyDescent="0.2">
      <c r="A267" s="24" t="str">
        <f>Juin!BJ50</f>
        <v>Fiche infoA0</v>
      </c>
      <c r="B267" s="830" t="str">
        <f>Juin!AB50</f>
        <v/>
      </c>
      <c r="C267" s="1393"/>
      <c r="D267" s="1003">
        <f t="shared" si="438"/>
        <v>0</v>
      </c>
      <c r="E267" s="1004">
        <f t="shared" si="439"/>
        <v>0</v>
      </c>
      <c r="F267" s="1004">
        <f t="shared" si="440"/>
        <v>0</v>
      </c>
      <c r="G267" s="1004">
        <f t="shared" si="441"/>
        <v>0</v>
      </c>
      <c r="H267" s="1004">
        <f t="shared" si="442"/>
        <v>0</v>
      </c>
      <c r="I267" s="1004">
        <f t="shared" si="443"/>
        <v>0</v>
      </c>
      <c r="J267" s="1004">
        <f t="shared" si="444"/>
        <v>0</v>
      </c>
      <c r="K267" s="1004">
        <f t="shared" si="445"/>
        <v>0</v>
      </c>
      <c r="L267" s="1004">
        <f t="shared" si="483"/>
        <v>0</v>
      </c>
      <c r="M267" s="1005">
        <f t="shared" si="484"/>
        <v>0</v>
      </c>
      <c r="O267" s="1003">
        <f t="shared" si="500"/>
        <v>0</v>
      </c>
      <c r="P267" s="1004">
        <f t="shared" si="501"/>
        <v>0</v>
      </c>
      <c r="Q267" s="1004">
        <f t="shared" si="502"/>
        <v>0</v>
      </c>
      <c r="R267" s="1004">
        <f t="shared" si="503"/>
        <v>0</v>
      </c>
      <c r="S267" s="1004">
        <f t="shared" si="504"/>
        <v>0</v>
      </c>
      <c r="T267" s="1004">
        <f t="shared" si="505"/>
        <v>0</v>
      </c>
      <c r="U267" s="1004">
        <f t="shared" si="506"/>
        <v>0</v>
      </c>
      <c r="V267" s="1004">
        <f t="shared" si="507"/>
        <v>0</v>
      </c>
      <c r="W267" s="1004">
        <f t="shared" si="454"/>
        <v>0</v>
      </c>
      <c r="X267" s="1005">
        <f t="shared" si="455"/>
        <v>0</v>
      </c>
      <c r="Y267" s="459"/>
      <c r="Z267" s="291">
        <f t="shared" si="456"/>
        <v>0</v>
      </c>
      <c r="AA267" s="291">
        <f t="shared" si="457"/>
        <v>0</v>
      </c>
      <c r="AB267" s="291">
        <f t="shared" si="458"/>
        <v>0</v>
      </c>
      <c r="AC267" s="291">
        <f t="shared" si="459"/>
        <v>0</v>
      </c>
      <c r="AD267" s="291">
        <f t="shared" si="460"/>
        <v>0</v>
      </c>
      <c r="AE267" s="291">
        <f t="shared" si="461"/>
        <v>0</v>
      </c>
      <c r="AF267" s="291">
        <f t="shared" si="462"/>
        <v>0</v>
      </c>
      <c r="AG267" s="291">
        <f t="shared" si="463"/>
        <v>0</v>
      </c>
      <c r="AI267" s="462">
        <f t="shared" si="508"/>
        <v>0</v>
      </c>
      <c r="AJ267" s="1112"/>
      <c r="AK267" s="507"/>
      <c r="AL267" s="830" t="str">
        <f t="shared" si="465"/>
        <v/>
      </c>
      <c r="AM267" s="517">
        <f>IFERROR(IF(AND(AT267="",AR267&lt;&gt;S.CAL!$BJ$3,AR267&lt;&gt;S.CAL!$BJ$4,$AR$230="NON"),M267-BD267,IF(AND(AT267="",AR267&lt;&gt;S.CAL!$BJ$3,AR267&lt;&gt;S.CAL!$BJ$4,$AR$230="OUI"),X267-AI267,IF(AT267&lt;&gt;0,AT267,IF(OR(AR267=S.CAL!$BJ$3,AR267=S.CAL!$BJ$4),AR267,"")))),"")</f>
        <v>0</v>
      </c>
      <c r="AN267" s="1117"/>
      <c r="AO267" s="1118"/>
      <c r="AP267" s="517">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516">
        <f t="shared" si="485"/>
        <v>0</v>
      </c>
      <c r="AR267" s="523"/>
      <c r="AT267" s="997"/>
      <c r="AU267" s="832"/>
      <c r="AV267" s="830" t="str">
        <f t="shared" si="466"/>
        <v/>
      </c>
      <c r="AX267" s="529" t="str">
        <f t="shared" si="486"/>
        <v/>
      </c>
      <c r="AY267" s="542">
        <f t="shared" si="487"/>
        <v>0</v>
      </c>
      <c r="AZ267" s="539" t="s">
        <v>146</v>
      </c>
      <c r="BA267" s="552">
        <f t="shared" si="488"/>
        <v>0</v>
      </c>
      <c r="BB267" s="540" t="str">
        <f t="shared" si="467"/>
        <v/>
      </c>
      <c r="BC267" s="542">
        <f t="shared" si="489"/>
        <v>0</v>
      </c>
      <c r="BD267" s="542">
        <f t="shared" si="490"/>
        <v>0</v>
      </c>
      <c r="BE267" s="509"/>
      <c r="BF267" s="532" t="str">
        <f t="shared" si="468"/>
        <v/>
      </c>
      <c r="BG267" s="532" t="str">
        <f t="shared" si="491"/>
        <v>oui</v>
      </c>
      <c r="BH267" s="395" t="str">
        <f t="shared" si="469"/>
        <v/>
      </c>
      <c r="BI267" s="24" t="str">
        <f t="shared" si="470"/>
        <v/>
      </c>
      <c r="BJ267" s="1403"/>
      <c r="BK267" s="1403"/>
      <c r="BL267" s="1403"/>
      <c r="BM267" s="1403"/>
      <c r="BN267" s="1403"/>
      <c r="BO267" s="1403"/>
      <c r="BP267" s="1403"/>
      <c r="BQ267" s="1403"/>
      <c r="BS267" s="830" t="str">
        <f t="shared" si="437"/>
        <v/>
      </c>
      <c r="BT267" s="27" t="str">
        <f t="shared" si="499"/>
        <v/>
      </c>
      <c r="BU267" s="1402"/>
      <c r="BV267" s="1402"/>
      <c r="BW267" s="1402"/>
      <c r="BX267" s="1402"/>
      <c r="BY267" s="1402"/>
      <c r="BZ267" s="1402"/>
      <c r="CA267" s="1402"/>
      <c r="CB267" s="1402"/>
      <c r="CD267" s="1409">
        <f t="shared" si="492"/>
        <v>0</v>
      </c>
      <c r="DC267" s="16" t="str">
        <f>Juin!FC50</f>
        <v/>
      </c>
      <c r="DG267" s="333">
        <f t="shared" si="493"/>
        <v>1</v>
      </c>
      <c r="DH267" s="129">
        <f t="shared" si="471"/>
        <v>10</v>
      </c>
      <c r="DI267" s="129">
        <f t="shared" si="494"/>
        <v>1</v>
      </c>
      <c r="DK267" s="16">
        <f>+IF(AND(Juin!$DP$8&lt;&gt;52,AR267=S.CAL!$BJ$4),10,1)</f>
        <v>1</v>
      </c>
      <c r="DN267" s="16">
        <f t="shared" si="472"/>
        <v>1</v>
      </c>
      <c r="DU267" s="1296" t="str">
        <f t="shared" si="495"/>
        <v>Fiche infoA0</v>
      </c>
      <c r="DV267" s="1384">
        <f t="shared" si="473"/>
        <v>0</v>
      </c>
      <c r="DW267" s="1385">
        <f t="shared" si="474"/>
        <v>0</v>
      </c>
      <c r="DX267" s="1385">
        <f t="shared" si="475"/>
        <v>0</v>
      </c>
      <c r="DY267" s="1385">
        <f t="shared" si="476"/>
        <v>0</v>
      </c>
      <c r="DZ267" s="1385">
        <f t="shared" si="477"/>
        <v>0</v>
      </c>
      <c r="EA267" s="1385">
        <f t="shared" si="478"/>
        <v>0</v>
      </c>
      <c r="EB267" s="1385">
        <f t="shared" si="479"/>
        <v>0</v>
      </c>
      <c r="EC267" s="1385">
        <f t="shared" si="480"/>
        <v>0</v>
      </c>
      <c r="ED267" s="1385">
        <f t="shared" si="496"/>
        <v>0</v>
      </c>
      <c r="EE267" s="1386">
        <f t="shared" si="497"/>
        <v>0</v>
      </c>
      <c r="EG267" s="16" t="e">
        <f t="shared" si="498"/>
        <v>#VALUE!</v>
      </c>
      <c r="EH267" s="16" t="str">
        <f t="shared" si="481"/>
        <v>Fiche infoA0</v>
      </c>
      <c r="EI267" s="16" t="e">
        <f t="shared" si="482"/>
        <v>#N/A</v>
      </c>
    </row>
    <row r="268" spans="1:145" x14ac:dyDescent="0.2">
      <c r="AM268" s="554">
        <f>SUM(AM237:AM267)</f>
        <v>0</v>
      </c>
      <c r="AN268" s="518">
        <f>SUM(AN237:AN267)</f>
        <v>0</v>
      </c>
      <c r="AO268" s="518">
        <f>SUM(AO237:AO267)</f>
        <v>0</v>
      </c>
      <c r="AP268" s="519">
        <f>SUM(AP237:AP267)</f>
        <v>0</v>
      </c>
      <c r="BD268" s="555">
        <f>SUM(BD237:BD267)</f>
        <v>0</v>
      </c>
      <c r="EE268" s="1386"/>
    </row>
    <row r="269" spans="1:145" x14ac:dyDescent="0.2">
      <c r="X269" s="29" t="s">
        <v>450</v>
      </c>
      <c r="Y269" s="29"/>
      <c r="Z269" s="29"/>
      <c r="AA269" s="29"/>
      <c r="AB269" s="29"/>
      <c r="AC269" s="29"/>
      <c r="AD269" s="29"/>
      <c r="AE269" s="29"/>
      <c r="AF269" s="29"/>
      <c r="AG269" s="29"/>
      <c r="AI269" s="463">
        <f>SUM(AI237:AI267)</f>
        <v>0</v>
      </c>
      <c r="AJ269" s="19"/>
      <c r="AK269" s="19"/>
      <c r="AL269" s="19"/>
      <c r="AM269" s="19"/>
      <c r="AN269" s="19"/>
      <c r="AO269" s="19"/>
      <c r="AP269" s="19"/>
      <c r="AQ269" s="512"/>
    </row>
    <row r="271" spans="1:145" ht="23.25" x14ac:dyDescent="0.35">
      <c r="B271" s="453" t="s">
        <v>806</v>
      </c>
      <c r="C271" s="453"/>
      <c r="D271" s="453"/>
      <c r="BS271" s="19" t="s">
        <v>1552</v>
      </c>
      <c r="EK271" s="16" t="str">
        <f>+EG281</f>
        <v>numero sem</v>
      </c>
      <c r="EL271" s="27" t="s">
        <v>1546</v>
      </c>
      <c r="EM271" s="27" t="s">
        <v>1547</v>
      </c>
      <c r="EN271" s="16" t="s">
        <v>1548</v>
      </c>
    </row>
    <row r="272" spans="1:145" ht="13.5" thickBot="1" x14ac:dyDescent="0.25">
      <c r="AR272" s="1713" t="s">
        <v>1003</v>
      </c>
      <c r="AS272" s="1714"/>
      <c r="AT272" s="1715"/>
      <c r="BT272" s="29" t="s">
        <v>1555</v>
      </c>
      <c r="BU272" s="27" t="str">
        <f>+IFERROR(EJ272,"")</f>
        <v>27</v>
      </c>
      <c r="BV272" s="53" t="str">
        <f>IF(BU272="","",+EN272)</f>
        <v>non</v>
      </c>
      <c r="BW272" s="1711" t="str">
        <f>+IF(BV272="oui", "Ecart "&amp;EO272&amp;" hrs","")</f>
        <v/>
      </c>
      <c r="BX272" s="1711"/>
      <c r="EJ272" s="16" t="str">
        <f>LEFT(EK272,LEN(EK272)-4)</f>
        <v>27</v>
      </c>
      <c r="EK272" s="16" t="str" cm="1">
        <f t="array" ref="EK272">IFERROR(INDEX(EG282:EG312,MATCH(0,INDEX(COUNTIF(EK271:EK271,EG282:EG312),0,0),0)),"")</f>
        <v>272025</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805</v>
      </c>
      <c r="D273" s="1710">
        <f>+Identification!$B$7</f>
        <v>0</v>
      </c>
      <c r="E273" s="1710"/>
      <c r="F273" s="1710"/>
      <c r="G273" s="1710"/>
      <c r="O273" s="454" t="s">
        <v>84</v>
      </c>
      <c r="P273" s="32"/>
      <c r="Q273" s="33"/>
      <c r="R273" s="454" t="s">
        <v>149</v>
      </c>
      <c r="S273" s="32"/>
      <c r="T273" s="32"/>
      <c r="U273" s="32"/>
      <c r="V273" s="32"/>
      <c r="W273" s="32"/>
      <c r="X273" s="33"/>
      <c r="AR273" s="1716"/>
      <c r="AS273" s="1717"/>
      <c r="AT273" s="1718"/>
      <c r="BU273" s="27" t="str">
        <f t="shared" ref="BU273:BU277" si="510">+IFERROR(EJ273,"")</f>
        <v>28</v>
      </c>
      <c r="BV273" s="53" t="str">
        <f t="shared" ref="BV273:BV277" si="511">IF(BU273="","",+EN273)</f>
        <v>non</v>
      </c>
      <c r="BW273" s="1711" t="str">
        <f t="shared" ref="BW273:BW277" si="512">+IF(BV273="oui", "Ecart "&amp;EO273&amp;" hrs","")</f>
        <v/>
      </c>
      <c r="BX273" s="1711"/>
      <c r="EJ273" s="16" t="str">
        <f t="shared" ref="EJ273:EJ278" si="513">LEFT(EK273,LEN(EK273)-4)</f>
        <v>28</v>
      </c>
      <c r="EK273" s="16" t="str" cm="1">
        <f t="array" ref="EK273">IFERROR(INDEX(EG282:EG312,MATCH(0,INDEX(COUNTIF(EK271:EK272,EG282:EG312),0,0),0)),"")</f>
        <v>282025</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21"/>
      <c r="S274" s="1722"/>
      <c r="T274" s="1722"/>
      <c r="U274" s="1722"/>
      <c r="V274" s="1722"/>
      <c r="W274" s="1722"/>
      <c r="X274" s="1723"/>
      <c r="Y274" s="460"/>
      <c r="Z274" s="460"/>
      <c r="AA274" s="460"/>
      <c r="AB274" s="460"/>
      <c r="AC274" s="460"/>
      <c r="AD274" s="460"/>
      <c r="AE274" s="460"/>
      <c r="AF274" s="460"/>
      <c r="AG274" s="460"/>
      <c r="AR274" s="1716"/>
      <c r="AS274" s="1717"/>
      <c r="AT274" s="1718"/>
      <c r="BU274" s="27" t="str">
        <f t="shared" si="510"/>
        <v>29</v>
      </c>
      <c r="BV274" s="53" t="str">
        <f t="shared" si="511"/>
        <v>non</v>
      </c>
      <c r="BW274" s="1711" t="str">
        <f t="shared" si="512"/>
        <v/>
      </c>
      <c r="BX274" s="1711"/>
      <c r="EJ274" s="16" t="str">
        <f t="shared" si="513"/>
        <v>29</v>
      </c>
      <c r="EK274" s="16" t="str">
        <f t="array" ref="EK274">IFERROR(INDEX(EG282:EG312,MATCH(0,INDEX(COUNTIF(EK271:EK273,EG282:EG312),0,0),0)),"")</f>
        <v>292025</v>
      </c>
      <c r="EL274" s="27">
        <f t="shared" si="514"/>
        <v>0</v>
      </c>
      <c r="EM274" s="27">
        <f t="shared" si="515"/>
        <v>0</v>
      </c>
      <c r="EN274" s="16" t="str">
        <f t="shared" si="509"/>
        <v>non</v>
      </c>
      <c r="EO274" s="16">
        <f t="shared" si="516"/>
        <v>0</v>
      </c>
    </row>
    <row r="275" spans="1:145" x14ac:dyDescent="0.2">
      <c r="C275" s="39" t="s">
        <v>29</v>
      </c>
      <c r="D275" s="1710">
        <f>+Identification!$B$25</f>
        <v>0</v>
      </c>
      <c r="E275" s="1710"/>
      <c r="O275" s="35"/>
      <c r="Q275" s="36"/>
      <c r="R275" s="1721"/>
      <c r="S275" s="1722"/>
      <c r="T275" s="1722"/>
      <c r="U275" s="1722"/>
      <c r="V275" s="1722"/>
      <c r="W275" s="1722"/>
      <c r="X275" s="1723"/>
      <c r="Y275" s="460"/>
      <c r="Z275" s="460"/>
      <c r="AA275" s="460"/>
      <c r="AB275" s="460"/>
      <c r="AC275" s="460"/>
      <c r="AD275" s="460"/>
      <c r="AE275" s="460"/>
      <c r="AF275" s="460"/>
      <c r="AG275" s="460"/>
      <c r="AL275" s="16" t="str">
        <f t="shared" ref="AL275" si="517">C278</f>
        <v>Mois :</v>
      </c>
      <c r="AM275" s="1712">
        <f t="shared" ref="AM275" si="518">D278</f>
        <v>45839</v>
      </c>
      <c r="AN275" s="1712">
        <f t="shared" ref="AN275" si="519">E278</f>
        <v>0</v>
      </c>
      <c r="AR275" s="557" t="str">
        <f>IF(AT275="",AR230,AT275)</f>
        <v>NON</v>
      </c>
      <c r="AS275" s="556" t="s">
        <v>503</v>
      </c>
      <c r="AT275" s="1105"/>
      <c r="BJ275" s="16" t="str">
        <f t="shared" ref="BJ275" si="520">AL275</f>
        <v>Mois :</v>
      </c>
      <c r="BK275" s="1712">
        <f t="shared" ref="BK275" si="521">AM275</f>
        <v>45839</v>
      </c>
      <c r="BL275" s="1712"/>
      <c r="BU275" s="27" t="str">
        <f t="shared" si="510"/>
        <v>30</v>
      </c>
      <c r="BV275" s="53" t="str">
        <f t="shared" si="511"/>
        <v>non</v>
      </c>
      <c r="BW275" s="1711" t="str">
        <f t="shared" si="512"/>
        <v/>
      </c>
      <c r="BX275" s="1711"/>
      <c r="EJ275" s="16" t="str">
        <f t="shared" si="513"/>
        <v>30</v>
      </c>
      <c r="EK275" s="16" t="str">
        <f t="array" ref="EK275">IFERROR(INDEX(EG282:EG312,MATCH(0,INDEX(COUNTIF(EK271:EK274,EG282:EG312),0,0),0)),"")</f>
        <v>302025</v>
      </c>
      <c r="EL275" s="27">
        <f t="shared" si="514"/>
        <v>0</v>
      </c>
      <c r="EM275" s="27">
        <f t="shared" si="515"/>
        <v>0</v>
      </c>
      <c r="EN275" s="16" t="str">
        <f t="shared" si="509"/>
        <v>non</v>
      </c>
      <c r="EO275" s="16">
        <f t="shared" si="516"/>
        <v>0</v>
      </c>
    </row>
    <row r="276" spans="1:145" ht="13.5" thickBot="1" x14ac:dyDescent="0.25">
      <c r="O276" s="42"/>
      <c r="P276" s="43"/>
      <c r="Q276" s="44"/>
      <c r="R276" s="1724"/>
      <c r="S276" s="1725"/>
      <c r="T276" s="1725"/>
      <c r="U276" s="1725"/>
      <c r="V276" s="1725"/>
      <c r="W276" s="1725"/>
      <c r="X276" s="1726"/>
      <c r="Y276" s="460"/>
      <c r="Z276" s="460"/>
      <c r="AA276" s="460"/>
      <c r="AB276" s="460"/>
      <c r="AC276" s="460"/>
      <c r="AD276" s="460"/>
      <c r="AE276" s="460"/>
      <c r="AF276" s="460"/>
      <c r="AG276" s="460"/>
      <c r="BU276" s="27" t="str">
        <f t="shared" si="510"/>
        <v>31</v>
      </c>
      <c r="BV276" s="53" t="str">
        <f t="shared" si="511"/>
        <v>non</v>
      </c>
      <c r="BW276" s="1711" t="str">
        <f t="shared" si="512"/>
        <v/>
      </c>
      <c r="BX276" s="1711"/>
      <c r="EJ276" s="16" t="str">
        <f t="shared" si="513"/>
        <v>31</v>
      </c>
      <c r="EK276" s="16" t="str">
        <f t="array" ref="EK276">IFERROR(INDEX(EG282:EG312,MATCH(0,INDEX(COUNTIF(EK271:EK275,EG282:EG312),0,0),0)),"")</f>
        <v>312025</v>
      </c>
      <c r="EL276" s="27">
        <f t="shared" si="514"/>
        <v>0</v>
      </c>
      <c r="EM276" s="27">
        <f t="shared" si="515"/>
        <v>0</v>
      </c>
      <c r="EN276" s="16" t="str">
        <f t="shared" si="509"/>
        <v>non</v>
      </c>
      <c r="EO276" s="16">
        <f t="shared" si="516"/>
        <v>0</v>
      </c>
    </row>
    <row r="277" spans="1:145" ht="13.5" thickTop="1" x14ac:dyDescent="0.2">
      <c r="AI277" s="553" t="s">
        <v>1000</v>
      </c>
      <c r="BU277" s="27" t="str">
        <f t="shared" si="510"/>
        <v/>
      </c>
      <c r="BV277" s="53" t="str">
        <f t="shared" si="511"/>
        <v/>
      </c>
      <c r="BW277" s="1711" t="str">
        <f t="shared" si="512"/>
        <v/>
      </c>
      <c r="BX277" s="1711"/>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32</v>
      </c>
      <c r="D278" s="1712">
        <f>+Juillet!X3</f>
        <v>45839</v>
      </c>
      <c r="E278" s="1712"/>
      <c r="F278" s="39" t="s">
        <v>12</v>
      </c>
      <c r="G278" s="63">
        <f>+Juillet!X4</f>
        <v>2025</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20" t="s">
        <v>974</v>
      </c>
      <c r="AM279" s="1720"/>
      <c r="AN279" s="1720"/>
      <c r="AO279" s="1720"/>
      <c r="AP279" s="1720"/>
      <c r="AQ279" s="510"/>
      <c r="AT279" s="1719" t="s">
        <v>761</v>
      </c>
      <c r="AU279" s="1719"/>
      <c r="AV279" s="1719"/>
      <c r="AW279" s="63"/>
      <c r="AX279" s="63"/>
      <c r="AY279" s="535" t="s">
        <v>989</v>
      </c>
      <c r="AZ279" s="536"/>
      <c r="BA279" s="536"/>
      <c r="BB279" s="536"/>
      <c r="BC279" s="537"/>
      <c r="BD279" s="537"/>
      <c r="BE279" s="537"/>
      <c r="BF279" s="530"/>
      <c r="BG279" s="530"/>
      <c r="BJ279" s="455"/>
      <c r="BK279" s="455"/>
      <c r="BL279" s="455"/>
      <c r="BM279" s="455"/>
      <c r="BN279" s="455"/>
      <c r="BO279" s="455"/>
      <c r="BP279" s="455"/>
      <c r="BQ279" s="455"/>
      <c r="BU279" s="456"/>
      <c r="BV279" s="456"/>
      <c r="BW279" s="456"/>
      <c r="BX279" s="456"/>
      <c r="BY279" s="456"/>
      <c r="BZ279" s="456"/>
      <c r="CA279" s="456"/>
      <c r="CB279" s="456"/>
    </row>
    <row r="280" spans="1:145" ht="15" customHeight="1" x14ac:dyDescent="0.2">
      <c r="D280" s="457" t="s">
        <v>803</v>
      </c>
      <c r="E280" s="456"/>
      <c r="F280" s="456"/>
      <c r="G280" s="456"/>
      <c r="H280" s="456"/>
      <c r="I280" s="456"/>
      <c r="J280" s="456"/>
      <c r="K280" s="456"/>
      <c r="L280" s="456"/>
      <c r="M280" s="456"/>
      <c r="O280" s="458" t="s">
        <v>802</v>
      </c>
      <c r="P280" s="455"/>
      <c r="Q280" s="455"/>
      <c r="R280" s="455"/>
      <c r="S280" s="455"/>
      <c r="T280" s="455"/>
      <c r="U280" s="455"/>
      <c r="V280" s="455"/>
      <c r="W280" s="455"/>
      <c r="X280" s="455"/>
      <c r="BJ280" s="1109" t="s">
        <v>804</v>
      </c>
      <c r="BK280" s="1110"/>
      <c r="BL280" s="1110"/>
      <c r="BM280" s="1110"/>
      <c r="BN280" s="1110"/>
      <c r="BO280" s="1110"/>
      <c r="BP280" s="1110"/>
      <c r="BQ280" s="1110"/>
      <c r="BU280" s="1109" t="s">
        <v>1394</v>
      </c>
      <c r="BV280" s="1110"/>
      <c r="BW280" s="1110"/>
      <c r="BX280" s="1110"/>
      <c r="BY280" s="1110"/>
      <c r="BZ280" s="1110"/>
      <c r="CA280" s="1110"/>
      <c r="CB280" s="1110"/>
      <c r="DG280" s="333" t="s">
        <v>1349</v>
      </c>
      <c r="DH280" s="129"/>
      <c r="DI280" s="129"/>
      <c r="DK280" s="129" t="s">
        <v>1354</v>
      </c>
      <c r="DN280" s="16" t="s">
        <v>1357</v>
      </c>
      <c r="DV280" s="843" t="s">
        <v>1549</v>
      </c>
      <c r="DW280" s="843"/>
      <c r="DX280" s="843"/>
      <c r="DY280" s="843"/>
      <c r="DZ280" s="843"/>
      <c r="EA280" s="843"/>
      <c r="EB280" s="843"/>
      <c r="EC280" s="843"/>
      <c r="ED280" s="843"/>
      <c r="EE280" s="843"/>
    </row>
    <row r="281" spans="1:145" ht="56.25" customHeight="1" x14ac:dyDescent="0.2">
      <c r="A281" s="24" t="s">
        <v>801</v>
      </c>
      <c r="B281" s="450" t="s">
        <v>16</v>
      </c>
      <c r="C281" s="451"/>
      <c r="D281" s="450" t="s">
        <v>228</v>
      </c>
      <c r="E281" s="450" t="s">
        <v>229</v>
      </c>
      <c r="F281" s="450" t="s">
        <v>230</v>
      </c>
      <c r="G281" s="450" t="s">
        <v>231</v>
      </c>
      <c r="H281" s="450" t="s">
        <v>533</v>
      </c>
      <c r="I281" s="450" t="s">
        <v>534</v>
      </c>
      <c r="J281" s="450" t="s">
        <v>535</v>
      </c>
      <c r="K281" s="450" t="s">
        <v>536</v>
      </c>
      <c r="L281" s="450" t="s">
        <v>191</v>
      </c>
      <c r="M281" s="450" t="s">
        <v>192</v>
      </c>
      <c r="N281" s="451"/>
      <c r="O281" s="450" t="s">
        <v>228</v>
      </c>
      <c r="P281" s="450" t="s">
        <v>229</v>
      </c>
      <c r="Q281" s="450" t="s">
        <v>230</v>
      </c>
      <c r="R281" s="450" t="s">
        <v>231</v>
      </c>
      <c r="S281" s="450" t="s">
        <v>533</v>
      </c>
      <c r="T281" s="450" t="s">
        <v>534</v>
      </c>
      <c r="U281" s="450" t="s">
        <v>535</v>
      </c>
      <c r="V281" s="450" t="s">
        <v>536</v>
      </c>
      <c r="W281" s="450" t="s">
        <v>191</v>
      </c>
      <c r="X281" s="450" t="s">
        <v>192</v>
      </c>
      <c r="Y281" s="451"/>
      <c r="Z281" s="450" t="s">
        <v>808</v>
      </c>
      <c r="AA281" s="450" t="s">
        <v>809</v>
      </c>
      <c r="AB281" s="450" t="s">
        <v>810</v>
      </c>
      <c r="AC281" s="450" t="s">
        <v>811</v>
      </c>
      <c r="AD281" s="450" t="s">
        <v>812</v>
      </c>
      <c r="AE281" s="450" t="s">
        <v>813</v>
      </c>
      <c r="AF281" s="450" t="s">
        <v>814</v>
      </c>
      <c r="AG281" s="450" t="s">
        <v>815</v>
      </c>
      <c r="AI281" s="450" t="s">
        <v>816</v>
      </c>
      <c r="AJ281" s="450" t="s">
        <v>807</v>
      </c>
      <c r="AK281" s="451"/>
      <c r="AL281" s="513" t="s">
        <v>16</v>
      </c>
      <c r="AM281" s="548" t="s">
        <v>1017</v>
      </c>
      <c r="AN281" s="1106" t="s">
        <v>972</v>
      </c>
      <c r="AO281" s="1107" t="s">
        <v>973</v>
      </c>
      <c r="AP281" s="514" t="s">
        <v>1018</v>
      </c>
      <c r="AQ281" s="511"/>
      <c r="AR281" s="1108" t="s">
        <v>696</v>
      </c>
      <c r="AT281" s="1108" t="s">
        <v>1356</v>
      </c>
      <c r="AU281" s="1107" t="s">
        <v>1019</v>
      </c>
      <c r="AV281" s="450" t="s">
        <v>16</v>
      </c>
      <c r="AW281" s="451"/>
      <c r="AX281" s="451"/>
      <c r="AY281" s="547" t="s">
        <v>986</v>
      </c>
      <c r="AZ281" s="548" t="s">
        <v>992</v>
      </c>
      <c r="BA281" s="531" t="s">
        <v>990</v>
      </c>
      <c r="BB281" s="568" t="s">
        <v>991</v>
      </c>
      <c r="BC281" s="569" t="s">
        <v>1021</v>
      </c>
      <c r="BD281" s="568" t="s">
        <v>993</v>
      </c>
      <c r="BE281" s="570" t="s">
        <v>1020</v>
      </c>
      <c r="BF281" s="531" t="s">
        <v>994</v>
      </c>
      <c r="BG281" s="531" t="s">
        <v>999</v>
      </c>
      <c r="BI281" s="24" t="s">
        <v>1027</v>
      </c>
      <c r="BJ281" s="450" t="s">
        <v>228</v>
      </c>
      <c r="BK281" s="450" t="s">
        <v>229</v>
      </c>
      <c r="BL281" s="450" t="s">
        <v>230</v>
      </c>
      <c r="BM281" s="450" t="s">
        <v>231</v>
      </c>
      <c r="BN281" s="450" t="s">
        <v>533</v>
      </c>
      <c r="BO281" s="450" t="s">
        <v>534</v>
      </c>
      <c r="BP281" s="450" t="s">
        <v>535</v>
      </c>
      <c r="BQ281" s="450" t="s">
        <v>536</v>
      </c>
      <c r="BS281" s="1383" t="str">
        <f t="shared" ref="BS281:BS312" si="522">AV281</f>
        <v>Jours</v>
      </c>
      <c r="BU281" s="450" t="s">
        <v>228</v>
      </c>
      <c r="BV281" s="450" t="s">
        <v>229</v>
      </c>
      <c r="BW281" s="450" t="s">
        <v>230</v>
      </c>
      <c r="BX281" s="450" t="s">
        <v>231</v>
      </c>
      <c r="BY281" s="450" t="s">
        <v>533</v>
      </c>
      <c r="BZ281" s="450" t="s">
        <v>534</v>
      </c>
      <c r="CA281" s="450" t="s">
        <v>535</v>
      </c>
      <c r="CB281" s="450" t="s">
        <v>536</v>
      </c>
      <c r="CD281" s="1383" t="s">
        <v>1554</v>
      </c>
      <c r="CS281" s="506"/>
      <c r="CT281" s="506"/>
      <c r="CU281" s="506"/>
      <c r="CV281" s="506"/>
      <c r="DG281" s="333" t="s">
        <v>1350</v>
      </c>
      <c r="DH281" s="129" t="s">
        <v>1351</v>
      </c>
      <c r="DI281" s="129" t="s">
        <v>1353</v>
      </c>
      <c r="DK281" s="129" t="s">
        <v>1355</v>
      </c>
      <c r="DU281" s="1383" t="s">
        <v>247</v>
      </c>
      <c r="DV281" s="1383" t="s">
        <v>228</v>
      </c>
      <c r="DW281" s="1383" t="s">
        <v>229</v>
      </c>
      <c r="DX281" s="1383" t="s">
        <v>230</v>
      </c>
      <c r="DY281" s="1383" t="s">
        <v>231</v>
      </c>
      <c r="DZ281" s="1383" t="s">
        <v>533</v>
      </c>
      <c r="EA281" s="1383" t="s">
        <v>534</v>
      </c>
      <c r="EB281" s="1383" t="s">
        <v>535</v>
      </c>
      <c r="EC281" s="1383" t="s">
        <v>536</v>
      </c>
      <c r="ED281" s="1383" t="s">
        <v>191</v>
      </c>
      <c r="EE281" s="1383" t="s">
        <v>192</v>
      </c>
      <c r="EG281" s="1383" t="s">
        <v>1244</v>
      </c>
      <c r="EH281" s="1383" t="s">
        <v>1550</v>
      </c>
      <c r="EI281" s="1383" t="s">
        <v>1551</v>
      </c>
    </row>
    <row r="282" spans="1:145" x14ac:dyDescent="0.2">
      <c r="A282" s="24" t="str">
        <f>Juillet!BJ20</f>
        <v>Fiche infoA2</v>
      </c>
      <c r="B282" s="828">
        <f>Juillet!AB20</f>
        <v>45839</v>
      </c>
      <c r="C282" s="1393"/>
      <c r="D282" s="998">
        <f t="shared" ref="D282:D312" si="523">IF(AR282&lt;&gt;"",0,IF(DN282=10,0,IFERROR(+IF(BU282="",VLOOKUP(A282,base_horaire,2,FALSE),BU282),0)))</f>
        <v>0</v>
      </c>
      <c r="E282" s="999">
        <f t="shared" ref="E282:E312" si="524">IF(AR282&lt;&gt;"",0,IF(DN282=10,0,IFERROR(+IF(BV282="",VLOOKUP(A282,base_horaire,3,FALSE),BV282),0)))</f>
        <v>0</v>
      </c>
      <c r="F282" s="999">
        <f t="shared" ref="F282:F312" si="525">IF(AR282&lt;&gt;"",0,IF(DN282=10,0,IFERROR(+IF(BW282="",VLOOKUP(A282,base_horaire,4,FALSE),BW282),0)))</f>
        <v>0</v>
      </c>
      <c r="G282" s="999">
        <f t="shared" ref="G282:G312" si="526">IF(AR282&lt;&gt;"",0,IF(DN282=10,0,IFERROR(+IF(BX282="",VLOOKUP(A282,base_horaire,5,FALSE),BX282),0)))</f>
        <v>0</v>
      </c>
      <c r="H282" s="999">
        <f t="shared" ref="H282:H312" si="527">IF(AR282&lt;&gt;"",0,IF(DN282=10,0,IFERROR(+IF(BY282="",VLOOKUP(A282,base_horaire,6,FALSE),BY282),0)))</f>
        <v>0</v>
      </c>
      <c r="I282" s="999">
        <f t="shared" ref="I282:I312" si="528">IF(AR282&lt;&gt;"",0,IF(DN282=10,0,IFERROR(+IF(BZ282="",VLOOKUP(A282,base_horaire,7,FALSE),BZ282),0)))</f>
        <v>0</v>
      </c>
      <c r="J282" s="999">
        <f t="shared" ref="J282:J312" si="529">IF(AR282&lt;&gt;"",0,IF(DN282=10,0,IFERROR(+IF(CA282="",VLOOKUP(A282,base_horaire,8,FALSE),CA282),0)))</f>
        <v>0</v>
      </c>
      <c r="K282" s="999">
        <f t="shared" ref="K282:K312" si="530">IF(AR282&lt;&gt;"",0,IF(DN282=10,0,IFERROR(+IF(CB282="",VLOOKUP(A282,base_horaire,9,FALSE),CB282),0)))</f>
        <v>0</v>
      </c>
      <c r="L282" s="999">
        <f>+E282-D282+G282-F282+I282-H282+K282-J282</f>
        <v>0</v>
      </c>
      <c r="M282" s="1000">
        <f>ROUND(+L282*24,2)</f>
        <v>0</v>
      </c>
      <c r="O282" s="998">
        <f t="shared" ref="O282:O289" si="531">IF(AR282&lt;&gt;"",0,IF(DC282="oui",0,IF(AND(ISTEXT(AT282)=TRUE,BJ282=""),0,IF(BJ282="",D282,BJ282))))</f>
        <v>0</v>
      </c>
      <c r="P282" s="999">
        <f t="shared" ref="P282:P289" si="532">IF(AR282&lt;&gt;"",0,IF(DC282="oui",0,IF(AND(ISTEXT(AT282)=TRUE,BK282=""),0,IF(BK282="",E282,BK282))))</f>
        <v>0</v>
      </c>
      <c r="Q282" s="999">
        <f t="shared" ref="Q282:Q289" si="533">IF(AR282&lt;&gt;"",0,IF(DC282="oui",0,IF(AND(ISTEXT(AT282)=TRUE,BL282=""),0,IF(BL282="",F282,BL282))))</f>
        <v>0</v>
      </c>
      <c r="R282" s="999">
        <f t="shared" ref="R282:R289" si="534">IF(AR282&lt;&gt;"",0,IF(DC282="oui",0,IF(AND(ISTEXT(AT282)=TRUE,BM282=""),0,IF(BM282="",G282,BM282))))</f>
        <v>0</v>
      </c>
      <c r="S282" s="999">
        <f t="shared" ref="S282:S289" si="535">IF(AR282&lt;&gt;"",0,IF(DC282="oui",0,IF(AND(ISTEXT(AT282)=TRUE,BN282=""),0,IF(BN282="",H282,BN282))))</f>
        <v>0</v>
      </c>
      <c r="T282" s="999">
        <f t="shared" ref="T282:T289" si="536">IF(AR282&lt;&gt;"",0,IF(DC282="oui",0,IF(AND(ISTEXT(AT282)=TRUE,BO282=""),0,IF(BO282="",I282,BO282))))</f>
        <v>0</v>
      </c>
      <c r="U282" s="999">
        <f t="shared" ref="U282:U289" si="537">IF(AR282&lt;&gt;"",0,IF(DC282="oui",0,IF(AND(ISTEXT(AT282)=TRUE,BP282=""),0,IF(BP282="",J282,BP282))))</f>
        <v>0</v>
      </c>
      <c r="V282" s="999">
        <f t="shared" ref="V282:V289" si="538">IF(AR282&lt;&gt;"",0,IF(DC282="oui",0,IF(AND(ISTEXT(AT282)=TRUE,BQ282=""),0,IF(BQ282="",K282,BQ282))))</f>
        <v>0</v>
      </c>
      <c r="W282" s="999">
        <f t="shared" ref="W282:W312" si="539">+P282-O282+R282-Q282+T282-S282+V282-U282</f>
        <v>0</v>
      </c>
      <c r="X282" s="1000">
        <f t="shared" ref="X282:X312" si="540">ROUND(+W282*24,2)</f>
        <v>0</v>
      </c>
      <c r="Y282" s="459"/>
      <c r="Z282" s="291">
        <f t="shared" ref="Z282:Z312" si="541">+IF(AND(O282&gt;D282,D282&gt;0),D282,O282)</f>
        <v>0</v>
      </c>
      <c r="AA282" s="291">
        <f t="shared" ref="AA282:AA312" si="542">+IF(P282&gt;E282,P282,E282)</f>
        <v>0</v>
      </c>
      <c r="AB282" s="291">
        <f t="shared" ref="AB282:AB312" si="543">+IF(AND(Q282&gt;F282,F282&gt;0),F282,Q282)</f>
        <v>0</v>
      </c>
      <c r="AC282" s="291">
        <f t="shared" ref="AC282:AC312" si="544">+IF(R282&gt;G282,R282,G282)</f>
        <v>0</v>
      </c>
      <c r="AD282" s="291">
        <f t="shared" ref="AD282:AD312" si="545">+IF(AND(S282&gt;H282,H282&gt;0),H282,S282)</f>
        <v>0</v>
      </c>
      <c r="AE282" s="291">
        <f t="shared" ref="AE282:AE312" si="546">+IF(T282&gt;I282,T282,I282)</f>
        <v>0</v>
      </c>
      <c r="AF282" s="291">
        <f t="shared" ref="AF282:AF312" si="547">+IF(AND(U282&gt;J282,J282&gt;0),J282,U282)</f>
        <v>0</v>
      </c>
      <c r="AG282" s="291">
        <f t="shared" ref="AG282:AG312" si="548">+IF(V282&gt;K282,V282,K282)</f>
        <v>0</v>
      </c>
      <c r="AI282" s="461">
        <f t="shared" ref="AI282:AI289" si="549">IF(DC282="oui",0,IF(AND(ISTEXT(AT282)=TRUE,OR(X282=0,X282="")),0,ROUND(((((AA282-Z282)-(E282-D282))+((AC282-AB282)-(G282-F282))+((AE282-AD282)-(I282-H282))+(AG282-AF282)-(K282-J282))*24),2)))</f>
        <v>0</v>
      </c>
      <c r="AJ282" s="1111"/>
      <c r="AK282" s="507"/>
      <c r="AL282" s="828">
        <f t="shared" ref="AL282:AL312" si="550">B282</f>
        <v>45839</v>
      </c>
      <c r="AM282" s="515">
        <f>IFERROR(IF(AND(AT282="",AR282&lt;&gt;S.CAL!$BJ$3,AR282&lt;&gt;S.CAL!$BJ$4,$AR$275="NON"),M282-BD282,IF(AND(AT282="",AR282&lt;&gt;S.CAL!$BJ$3,AR282&lt;&gt;S.CAL!$BJ$4,$AR$275="OUI"),X282-AI282,IF(AT282&lt;&gt;0,AT282,IF(OR(AR282=S.CAL!$BJ$3,AR282=S.CAL!$BJ$4),AR282,"")))),"")</f>
        <v>0</v>
      </c>
      <c r="AN282" s="1113"/>
      <c r="AO282" s="1114"/>
      <c r="AP282" s="515">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516">
        <f>AI282-SUM(AN282:AO282)</f>
        <v>0</v>
      </c>
      <c r="AR282" s="1119"/>
      <c r="AT282" s="1122"/>
      <c r="AU282" s="831"/>
      <c r="AV282" s="1391">
        <f t="shared" ref="AV282:AV312" si="551">B282</f>
        <v>45839</v>
      </c>
      <c r="AX282" s="529">
        <f>+AV282</f>
        <v>45839</v>
      </c>
      <c r="AY282" s="546">
        <f>+IF(M282-X282&lt;0,0,M282-X282)</f>
        <v>0</v>
      </c>
      <c r="AZ282" s="549" t="s">
        <v>146</v>
      </c>
      <c r="BA282" s="550">
        <f>+IF(AZ282="OUI",AY282,0)</f>
        <v>0</v>
      </c>
      <c r="BB282" s="551" t="str">
        <f t="shared" ref="BB282:BB312" si="552">IF(AND(BE282="",+IFERROR(VLOOKUP(AT282,Liste_motif_formule,5,FALSE),0)="OUI"),"OUI",IF(AND(BE282="",IFERROR(VLOOKUP(AT282,Liste_motif_formule,5,FALSE),0)="NON"),"NON",IF(AND(BE282="",IFERROR(M282-AT282&gt;=0,0),AT282&lt;&gt;""),"OUI",IF(AND(BE282="",DC282="oui"),"OUI",IF(BE282&lt;&gt;"",BE282,"")))))</f>
        <v/>
      </c>
      <c r="BC282" s="546">
        <f>+IF(BB282="OUI",IFERROR(M282-AT282,M282),0)</f>
        <v>0</v>
      </c>
      <c r="BD282" s="546">
        <f>+BC282+BA282</f>
        <v>0</v>
      </c>
      <c r="BE282" s="508"/>
      <c r="BF282" s="532" t="str">
        <f t="shared" ref="BF282:BF312" si="553">+IF(AND(AZ282="OUI",BB282="OUI"),"ERREUR","")</f>
        <v/>
      </c>
      <c r="BG282" s="532" t="str">
        <f>+IF(AND(M282=0,AT282=""),"oui","non")</f>
        <v>oui</v>
      </c>
      <c r="BH282" s="395" t="str">
        <f t="shared" ref="BH282:BH312" si="554">IFERROR(+VLOOKUP(AT282,Liste_motif_formule,4,FALSE),"")</f>
        <v/>
      </c>
      <c r="BI282" s="24" t="str">
        <f t="shared" ref="BI282:BI312" si="555">IFERROR(+VLOOKUP(AT282,Liste_motif_formule,5,FALSE),"")</f>
        <v/>
      </c>
      <c r="BJ282" s="1403"/>
      <c r="BK282" s="1403"/>
      <c r="BL282" s="1403"/>
      <c r="BM282" s="1403"/>
      <c r="BN282" s="1403"/>
      <c r="BO282" s="1403"/>
      <c r="BP282" s="1403"/>
      <c r="BQ282" s="1403"/>
      <c r="BS282" s="1391">
        <f t="shared" si="522"/>
        <v>45839</v>
      </c>
      <c r="BT282" s="27">
        <f>IFERROR(WEEKNUM(BS282,21),"")</f>
        <v>27</v>
      </c>
      <c r="BU282" s="1401"/>
      <c r="BV282" s="1401"/>
      <c r="BW282" s="1401"/>
      <c r="BX282" s="1401"/>
      <c r="BY282" s="1401"/>
      <c r="BZ282" s="1401"/>
      <c r="CA282" s="1401"/>
      <c r="CB282" s="1401"/>
      <c r="CD282" s="1407">
        <f>+M282</f>
        <v>0</v>
      </c>
      <c r="DC282" s="16" t="str">
        <f>Juillet!FC20</f>
        <v>non</v>
      </c>
      <c r="DG282" s="333">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96" t="str">
        <f>+A282&amp;B282</f>
        <v>Fiche infoA245839</v>
      </c>
      <c r="DV282" s="1384">
        <f t="shared" ref="DV282:DV312" si="558">+IFERROR(+IF(BU282="",VLOOKUP(A282,base_horaire,2,FALSE),BU282),0)</f>
        <v>0</v>
      </c>
      <c r="DW282" s="1385">
        <f t="shared" ref="DW282:DW312" si="559">+IFERROR(+IF(BV282="",VLOOKUP(A282,base_horaire,3,FALSE),BV282),0)</f>
        <v>0</v>
      </c>
      <c r="DX282" s="1385">
        <f t="shared" ref="DX282:DX312" si="560">+IFERROR(+IF(BW282="",VLOOKUP(A282,base_horaire,4,FALSE),BW282),0)</f>
        <v>0</v>
      </c>
      <c r="DY282" s="1385">
        <f t="shared" ref="DY282:DY312" si="561">+IFERROR(+IF(BX282="",VLOOKUP(A282,base_horaire,5,FALSE),BX282),0)</f>
        <v>0</v>
      </c>
      <c r="DZ282" s="1385">
        <f t="shared" ref="DZ282:DZ312" si="562">+IFERROR(+IF(BY282="",VLOOKUP(A282,base_horaire,6,FALSE),BY282),0)</f>
        <v>0</v>
      </c>
      <c r="EA282" s="1385">
        <f t="shared" ref="EA282:EA312" si="563">IFERROR(+IF(BZ282="",VLOOKUP(A282,base_horaire,7,FALSE),BZ282),0)</f>
        <v>0</v>
      </c>
      <c r="EB282" s="1385">
        <f t="shared" ref="EB282:EB312" si="564">IFERROR(+IF(CA282="",VLOOKUP(A282,base_horaire,8,FALSE),CA282),0)</f>
        <v>0</v>
      </c>
      <c r="EC282" s="1385">
        <f t="shared" ref="EC282:EC312" si="565">IFERROR(+IF(CB282="",VLOOKUP(A282,base_horaire,9,FALSE),CB282),0)</f>
        <v>0</v>
      </c>
      <c r="ED282" s="1385">
        <f>+DW282-DV282+DY282-DX282+EA282-DZ282+EC282-EB282</f>
        <v>0</v>
      </c>
      <c r="EE282" s="1386">
        <f>ROUND(+ED282*24,2)</f>
        <v>0</v>
      </c>
      <c r="EG282" s="16" t="str">
        <f>+WEEKNUM(B282,21)&amp;YEAR(B282)</f>
        <v>272025</v>
      </c>
      <c r="EH282" s="16" t="str">
        <f t="shared" ref="EH282:EH312" si="566">+A282</f>
        <v>Fiche infoA2</v>
      </c>
      <c r="EI282" s="16" t="str">
        <f t="shared" ref="EI282:EI312" si="567">+VLOOKUP(EH282,Base_heures,6,FALSE)</f>
        <v/>
      </c>
    </row>
    <row r="283" spans="1:145" x14ac:dyDescent="0.2">
      <c r="A283" s="1395" t="str">
        <f>Juillet!BJ21</f>
        <v>Fiche infoA3</v>
      </c>
      <c r="B283" s="829">
        <f>Juillet!AB21</f>
        <v>45840</v>
      </c>
      <c r="C283" s="1394"/>
      <c r="D283" s="1001">
        <f t="shared" si="523"/>
        <v>0</v>
      </c>
      <c r="E283" s="452">
        <f t="shared" si="524"/>
        <v>0</v>
      </c>
      <c r="F283" s="452">
        <f t="shared" si="525"/>
        <v>0</v>
      </c>
      <c r="G283" s="452">
        <f t="shared" si="526"/>
        <v>0</v>
      </c>
      <c r="H283" s="452">
        <f t="shared" si="527"/>
        <v>0</v>
      </c>
      <c r="I283" s="452">
        <f t="shared" si="528"/>
        <v>0</v>
      </c>
      <c r="J283" s="452">
        <f t="shared" si="529"/>
        <v>0</v>
      </c>
      <c r="K283" s="452">
        <f t="shared" si="530"/>
        <v>0</v>
      </c>
      <c r="L283" s="452">
        <f t="shared" ref="L283:L312" si="568">+E283-D283+G283-F283+I283-H283+K283-J283</f>
        <v>0</v>
      </c>
      <c r="M283" s="1002">
        <f t="shared" ref="M283:M312" si="569">ROUND(+L283*24,2)</f>
        <v>0</v>
      </c>
      <c r="N283" s="1396"/>
      <c r="O283" s="1001">
        <f t="shared" si="531"/>
        <v>0</v>
      </c>
      <c r="P283" s="452">
        <f t="shared" si="532"/>
        <v>0</v>
      </c>
      <c r="Q283" s="452">
        <f t="shared" si="533"/>
        <v>0</v>
      </c>
      <c r="R283" s="452">
        <f t="shared" si="534"/>
        <v>0</v>
      </c>
      <c r="S283" s="452">
        <f t="shared" si="535"/>
        <v>0</v>
      </c>
      <c r="T283" s="452">
        <f t="shared" si="536"/>
        <v>0</v>
      </c>
      <c r="U283" s="452">
        <f t="shared" si="537"/>
        <v>0</v>
      </c>
      <c r="V283" s="452">
        <f t="shared" si="538"/>
        <v>0</v>
      </c>
      <c r="W283" s="452">
        <f t="shared" si="539"/>
        <v>0</v>
      </c>
      <c r="X283" s="1002">
        <f t="shared" si="540"/>
        <v>0</v>
      </c>
      <c r="Y283" s="1397"/>
      <c r="Z283" s="1398">
        <f t="shared" si="541"/>
        <v>0</v>
      </c>
      <c r="AA283" s="1398">
        <f t="shared" si="542"/>
        <v>0</v>
      </c>
      <c r="AB283" s="1398">
        <f t="shared" si="543"/>
        <v>0</v>
      </c>
      <c r="AC283" s="1398">
        <f t="shared" si="544"/>
        <v>0</v>
      </c>
      <c r="AD283" s="1398">
        <f t="shared" si="545"/>
        <v>0</v>
      </c>
      <c r="AE283" s="1398">
        <f t="shared" si="546"/>
        <v>0</v>
      </c>
      <c r="AF283" s="1398">
        <f t="shared" si="547"/>
        <v>0</v>
      </c>
      <c r="AG283" s="1398">
        <f t="shared" si="548"/>
        <v>0</v>
      </c>
      <c r="AH283" s="1396"/>
      <c r="AI283" s="462">
        <f t="shared" si="549"/>
        <v>0</v>
      </c>
      <c r="AJ283" s="1112"/>
      <c r="AK283" s="1399"/>
      <c r="AL283" s="829">
        <f t="shared" si="550"/>
        <v>45840</v>
      </c>
      <c r="AM283" s="684">
        <f>IFERROR(IF(AND(AT283="",AR283&lt;&gt;S.CAL!$BJ$3,AR283&lt;&gt;S.CAL!$BJ$4,$AR$275="NON"),M283-BD283,IF(AND(AT283="",AR283&lt;&gt;S.CAL!$BJ$3,AR283&lt;&gt;S.CAL!$BJ$4,$AR$275="OUI"),X283-AI283,IF(AT283&lt;&gt;0,AT283,IF(OR(AR283=S.CAL!$BJ$3,AR283=S.CAL!$BJ$4),AR283,"")))),"")</f>
        <v>0</v>
      </c>
      <c r="AN283" s="1115"/>
      <c r="AO283" s="1116"/>
      <c r="AP283" s="684">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400">
        <f t="shared" ref="AQ283:AQ312" si="570">AI283-SUM(AN283:AO283)</f>
        <v>0</v>
      </c>
      <c r="AR283" s="1120"/>
      <c r="AS283" s="1396"/>
      <c r="AT283" s="1123"/>
      <c r="AU283" s="831"/>
      <c r="AV283" s="1392">
        <f t="shared" si="551"/>
        <v>45840</v>
      </c>
      <c r="AW283" s="1396"/>
      <c r="AX283" s="529">
        <f t="shared" ref="AX283:AX312" si="571">+AV283</f>
        <v>45840</v>
      </c>
      <c r="AY283" s="541">
        <f t="shared" ref="AY283:AY312" si="572">+IF(M283-X283&lt;0,0,M283-X283)</f>
        <v>0</v>
      </c>
      <c r="AZ283" s="538" t="s">
        <v>146</v>
      </c>
      <c r="BA283" s="534">
        <f t="shared" ref="BA283:BA312" si="573">+IF(AZ283="OUI",AY283,0)</f>
        <v>0</v>
      </c>
      <c r="BB283" s="567" t="str">
        <f t="shared" si="552"/>
        <v/>
      </c>
      <c r="BC283" s="541">
        <f t="shared" ref="BC283:BC312" si="574">+IF(BB283="OUI",IFERROR(M283-AT283,M283),0)</f>
        <v>0</v>
      </c>
      <c r="BD283" s="541">
        <f t="shared" ref="BD283:BD312" si="575">+BC283+BA283</f>
        <v>0</v>
      </c>
      <c r="BE283" s="750"/>
      <c r="BF283" s="532" t="str">
        <f t="shared" si="553"/>
        <v/>
      </c>
      <c r="BG283" s="532" t="str">
        <f t="shared" ref="BG283:BG312" si="576">+IF(AND(M283=0,AT283=""),"oui","non")</f>
        <v>oui</v>
      </c>
      <c r="BH283" s="395" t="str">
        <f t="shared" si="554"/>
        <v/>
      </c>
      <c r="BI283" s="24" t="str">
        <f t="shared" si="555"/>
        <v/>
      </c>
      <c r="BJ283" s="1404"/>
      <c r="BK283" s="1404"/>
      <c r="BL283" s="1404"/>
      <c r="BM283" s="1404"/>
      <c r="BN283" s="1404"/>
      <c r="BO283" s="1404"/>
      <c r="BP283" s="1404"/>
      <c r="BQ283" s="1404"/>
      <c r="BR283" s="1405"/>
      <c r="BS283" s="1392">
        <f t="shared" si="522"/>
        <v>45840</v>
      </c>
      <c r="BT283" s="1406" t="str">
        <f>IFERROR(IF(WEEKDAY(BS283,11)=1,WEEKNUM(BS283,21),""),"")</f>
        <v/>
      </c>
      <c r="BU283" s="1404"/>
      <c r="BV283" s="1404"/>
      <c r="BW283" s="1404"/>
      <c r="BX283" s="1404"/>
      <c r="BY283" s="1404"/>
      <c r="BZ283" s="1404"/>
      <c r="CA283" s="1404"/>
      <c r="CB283" s="1404"/>
      <c r="CD283" s="1408">
        <f t="shared" ref="CD283:CD312" si="577">+M283</f>
        <v>0</v>
      </c>
      <c r="DC283" s="16" t="str">
        <f>Juillet!FC21</f>
        <v>non</v>
      </c>
      <c r="DG283" s="333">
        <f t="shared" ref="DG283:DG312" si="578">IF(OR(AT283=0,AT283=""),1,10)</f>
        <v>1</v>
      </c>
      <c r="DH283" s="129">
        <f t="shared" si="556"/>
        <v>10</v>
      </c>
      <c r="DI283" s="129">
        <f t="shared" ref="DI283:DI312" si="579">+IF(OR(DG283=1,DH283=1),1,10)</f>
        <v>1</v>
      </c>
      <c r="DK283" s="16">
        <f>+IF(AND(Juillet!$DP$8&lt;&gt;52,AR283=S.CAL!$BJ$4),10,1)</f>
        <v>1</v>
      </c>
      <c r="DN283" s="16">
        <f t="shared" si="557"/>
        <v>1</v>
      </c>
      <c r="DU283" s="1296" t="str">
        <f t="shared" ref="DU283:DU312" si="580">+A283&amp;B283</f>
        <v>Fiche infoA345840</v>
      </c>
      <c r="DV283" s="1384">
        <f t="shared" si="558"/>
        <v>0</v>
      </c>
      <c r="DW283" s="1385">
        <f t="shared" si="559"/>
        <v>0</v>
      </c>
      <c r="DX283" s="1385">
        <f t="shared" si="560"/>
        <v>0</v>
      </c>
      <c r="DY283" s="1385">
        <f t="shared" si="561"/>
        <v>0</v>
      </c>
      <c r="DZ283" s="1385">
        <f t="shared" si="562"/>
        <v>0</v>
      </c>
      <c r="EA283" s="1385">
        <f t="shared" si="563"/>
        <v>0</v>
      </c>
      <c r="EB283" s="1385">
        <f t="shared" si="564"/>
        <v>0</v>
      </c>
      <c r="EC283" s="1385">
        <f t="shared" si="565"/>
        <v>0</v>
      </c>
      <c r="ED283" s="1385">
        <f t="shared" ref="ED283:ED312" si="581">+DW283-DV283+DY283-DX283+EA283-DZ283+EC283-EB283</f>
        <v>0</v>
      </c>
      <c r="EE283" s="1386">
        <f t="shared" ref="EE283:EE312" si="582">ROUND(+ED283*24,2)</f>
        <v>0</v>
      </c>
      <c r="EG283" s="16" t="str">
        <f t="shared" ref="EG283:EG312" si="583">+WEEKNUM(B283,21)&amp;YEAR(B283)</f>
        <v>272025</v>
      </c>
      <c r="EH283" s="16" t="str">
        <f t="shared" si="566"/>
        <v>Fiche infoA3</v>
      </c>
      <c r="EI283" s="16" t="str">
        <f t="shared" si="567"/>
        <v/>
      </c>
    </row>
    <row r="284" spans="1:145" x14ac:dyDescent="0.2">
      <c r="A284" s="24" t="str">
        <f>Juillet!BJ22</f>
        <v>Fiche infoA4</v>
      </c>
      <c r="B284" s="829">
        <f>Juillet!AB22</f>
        <v>45841</v>
      </c>
      <c r="C284" s="1393"/>
      <c r="D284" s="1001">
        <f t="shared" si="523"/>
        <v>0</v>
      </c>
      <c r="E284" s="452">
        <f t="shared" si="524"/>
        <v>0</v>
      </c>
      <c r="F284" s="452">
        <f t="shared" si="525"/>
        <v>0</v>
      </c>
      <c r="G284" s="452">
        <f t="shared" si="526"/>
        <v>0</v>
      </c>
      <c r="H284" s="452">
        <f t="shared" si="527"/>
        <v>0</v>
      </c>
      <c r="I284" s="452">
        <f t="shared" si="528"/>
        <v>0</v>
      </c>
      <c r="J284" s="452">
        <f t="shared" si="529"/>
        <v>0</v>
      </c>
      <c r="K284" s="452">
        <f t="shared" si="530"/>
        <v>0</v>
      </c>
      <c r="L284" s="452">
        <f t="shared" si="568"/>
        <v>0</v>
      </c>
      <c r="M284" s="1002">
        <f t="shared" si="569"/>
        <v>0</v>
      </c>
      <c r="O284" s="1001">
        <f t="shared" si="531"/>
        <v>0</v>
      </c>
      <c r="P284" s="452">
        <f t="shared" si="532"/>
        <v>0</v>
      </c>
      <c r="Q284" s="452">
        <f t="shared" si="533"/>
        <v>0</v>
      </c>
      <c r="R284" s="452">
        <f t="shared" si="534"/>
        <v>0</v>
      </c>
      <c r="S284" s="452">
        <f t="shared" si="535"/>
        <v>0</v>
      </c>
      <c r="T284" s="452">
        <f t="shared" si="536"/>
        <v>0</v>
      </c>
      <c r="U284" s="452">
        <f t="shared" si="537"/>
        <v>0</v>
      </c>
      <c r="V284" s="452">
        <f t="shared" si="538"/>
        <v>0</v>
      </c>
      <c r="W284" s="452">
        <f t="shared" si="539"/>
        <v>0</v>
      </c>
      <c r="X284" s="1002">
        <f t="shared" si="540"/>
        <v>0</v>
      </c>
      <c r="Y284" s="459"/>
      <c r="Z284" s="291">
        <f t="shared" si="541"/>
        <v>0</v>
      </c>
      <c r="AA284" s="291">
        <f t="shared" si="542"/>
        <v>0</v>
      </c>
      <c r="AB284" s="291">
        <f t="shared" si="543"/>
        <v>0</v>
      </c>
      <c r="AC284" s="291">
        <f t="shared" si="544"/>
        <v>0</v>
      </c>
      <c r="AD284" s="291">
        <f t="shared" si="545"/>
        <v>0</v>
      </c>
      <c r="AE284" s="291">
        <f t="shared" si="546"/>
        <v>0</v>
      </c>
      <c r="AF284" s="291">
        <f t="shared" si="547"/>
        <v>0</v>
      </c>
      <c r="AG284" s="291">
        <f t="shared" si="548"/>
        <v>0</v>
      </c>
      <c r="AI284" s="462">
        <f t="shared" si="549"/>
        <v>0</v>
      </c>
      <c r="AJ284" s="1112"/>
      <c r="AK284" s="507"/>
      <c r="AL284" s="829">
        <f t="shared" si="550"/>
        <v>45841</v>
      </c>
      <c r="AM284" s="684">
        <f>IFERROR(IF(AND(AT284="",AR284&lt;&gt;S.CAL!$BJ$3,AR284&lt;&gt;S.CAL!$BJ$4,$AR$275="NON"),M284-BD284,IF(AND(AT284="",AR284&lt;&gt;S.CAL!$BJ$3,AR284&lt;&gt;S.CAL!$BJ$4,$AR$275="OUI"),X284-AI284,IF(AT284&lt;&gt;0,AT284,IF(OR(AR284=S.CAL!$BJ$3,AR284=S.CAL!$BJ$4),AR284,"")))),"")</f>
        <v>0</v>
      </c>
      <c r="AN284" s="1115"/>
      <c r="AO284" s="1116"/>
      <c r="AP284" s="684">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516">
        <f t="shared" si="570"/>
        <v>0</v>
      </c>
      <c r="AR284" s="1120"/>
      <c r="AT284" s="1123"/>
      <c r="AU284" s="831"/>
      <c r="AV284" s="1392">
        <f t="shared" si="551"/>
        <v>45841</v>
      </c>
      <c r="AX284" s="529">
        <f t="shared" si="571"/>
        <v>45841</v>
      </c>
      <c r="AY284" s="541">
        <f t="shared" si="572"/>
        <v>0</v>
      </c>
      <c r="AZ284" s="538" t="s">
        <v>146</v>
      </c>
      <c r="BA284" s="534">
        <f t="shared" si="573"/>
        <v>0</v>
      </c>
      <c r="BB284" s="567" t="str">
        <f t="shared" si="552"/>
        <v/>
      </c>
      <c r="BC284" s="541">
        <f t="shared" si="574"/>
        <v>0</v>
      </c>
      <c r="BD284" s="541">
        <f t="shared" si="575"/>
        <v>0</v>
      </c>
      <c r="BE284" s="750"/>
      <c r="BF284" s="532" t="str">
        <f t="shared" si="553"/>
        <v/>
      </c>
      <c r="BG284" s="532" t="str">
        <f t="shared" si="576"/>
        <v>oui</v>
      </c>
      <c r="BH284" s="395" t="str">
        <f t="shared" si="554"/>
        <v/>
      </c>
      <c r="BI284" s="24" t="str">
        <f t="shared" si="555"/>
        <v/>
      </c>
      <c r="BJ284" s="1403"/>
      <c r="BK284" s="1403"/>
      <c r="BL284" s="1403"/>
      <c r="BM284" s="1403"/>
      <c r="BN284" s="1403"/>
      <c r="BO284" s="1403"/>
      <c r="BP284" s="1403"/>
      <c r="BQ284" s="1403"/>
      <c r="BS284" s="1392">
        <f t="shared" si="522"/>
        <v>45841</v>
      </c>
      <c r="BT284" s="27" t="str">
        <f t="shared" ref="BT284:BT312" si="584">IFERROR(IF(WEEKDAY(BS284,11)=1,WEEKNUM(BS284,21),""),"")</f>
        <v/>
      </c>
      <c r="BU284" s="1402"/>
      <c r="BV284" s="1402"/>
      <c r="BW284" s="1402"/>
      <c r="BX284" s="1402"/>
      <c r="BY284" s="1402"/>
      <c r="BZ284" s="1402"/>
      <c r="CA284" s="1402"/>
      <c r="CB284" s="1402"/>
      <c r="CD284" s="1408">
        <f t="shared" si="577"/>
        <v>0</v>
      </c>
      <c r="DC284" s="16" t="str">
        <f>Juillet!FC22</f>
        <v>non</v>
      </c>
      <c r="DG284" s="333">
        <f t="shared" si="578"/>
        <v>1</v>
      </c>
      <c r="DH284" s="129">
        <f t="shared" si="556"/>
        <v>10</v>
      </c>
      <c r="DI284" s="129">
        <f t="shared" si="579"/>
        <v>1</v>
      </c>
      <c r="DK284" s="16">
        <f>+IF(AND(Juillet!$DP$8&lt;&gt;52,AR284=S.CAL!$BJ$4),10,1)</f>
        <v>1</v>
      </c>
      <c r="DN284" s="16">
        <f t="shared" si="557"/>
        <v>1</v>
      </c>
      <c r="DU284" s="1296" t="str">
        <f t="shared" si="580"/>
        <v>Fiche infoA445841</v>
      </c>
      <c r="DV284" s="1384">
        <f t="shared" si="558"/>
        <v>0</v>
      </c>
      <c r="DW284" s="1385">
        <f t="shared" si="559"/>
        <v>0</v>
      </c>
      <c r="DX284" s="1385">
        <f t="shared" si="560"/>
        <v>0</v>
      </c>
      <c r="DY284" s="1385">
        <f t="shared" si="561"/>
        <v>0</v>
      </c>
      <c r="DZ284" s="1385">
        <f t="shared" si="562"/>
        <v>0</v>
      </c>
      <c r="EA284" s="1385">
        <f t="shared" si="563"/>
        <v>0</v>
      </c>
      <c r="EB284" s="1385">
        <f t="shared" si="564"/>
        <v>0</v>
      </c>
      <c r="EC284" s="1385">
        <f t="shared" si="565"/>
        <v>0</v>
      </c>
      <c r="ED284" s="1385">
        <f t="shared" si="581"/>
        <v>0</v>
      </c>
      <c r="EE284" s="1386">
        <f t="shared" si="582"/>
        <v>0</v>
      </c>
      <c r="EG284" s="16" t="str">
        <f t="shared" si="583"/>
        <v>272025</v>
      </c>
      <c r="EH284" s="16" t="str">
        <f t="shared" si="566"/>
        <v>Fiche infoA4</v>
      </c>
      <c r="EI284" s="16" t="str">
        <f t="shared" si="567"/>
        <v/>
      </c>
    </row>
    <row r="285" spans="1:145" x14ac:dyDescent="0.2">
      <c r="A285" s="1395" t="str">
        <f>Juillet!BJ23</f>
        <v>Fiche infoA5</v>
      </c>
      <c r="B285" s="829">
        <f>Juillet!AB23</f>
        <v>45842</v>
      </c>
      <c r="C285" s="1394"/>
      <c r="D285" s="1001">
        <f t="shared" si="523"/>
        <v>0</v>
      </c>
      <c r="E285" s="452">
        <f t="shared" si="524"/>
        <v>0</v>
      </c>
      <c r="F285" s="452">
        <f t="shared" si="525"/>
        <v>0</v>
      </c>
      <c r="G285" s="452">
        <f t="shared" si="526"/>
        <v>0</v>
      </c>
      <c r="H285" s="452">
        <f t="shared" si="527"/>
        <v>0</v>
      </c>
      <c r="I285" s="452">
        <f t="shared" si="528"/>
        <v>0</v>
      </c>
      <c r="J285" s="452">
        <f t="shared" si="529"/>
        <v>0</v>
      </c>
      <c r="K285" s="452">
        <f t="shared" si="530"/>
        <v>0</v>
      </c>
      <c r="L285" s="452">
        <f t="shared" si="568"/>
        <v>0</v>
      </c>
      <c r="M285" s="1002">
        <f t="shared" si="569"/>
        <v>0</v>
      </c>
      <c r="N285" s="1396"/>
      <c r="O285" s="1001">
        <f t="shared" si="531"/>
        <v>0</v>
      </c>
      <c r="P285" s="452">
        <f t="shared" si="532"/>
        <v>0</v>
      </c>
      <c r="Q285" s="452">
        <f t="shared" si="533"/>
        <v>0</v>
      </c>
      <c r="R285" s="452">
        <f t="shared" si="534"/>
        <v>0</v>
      </c>
      <c r="S285" s="452">
        <f t="shared" si="535"/>
        <v>0</v>
      </c>
      <c r="T285" s="452">
        <f t="shared" si="536"/>
        <v>0</v>
      </c>
      <c r="U285" s="452">
        <f t="shared" si="537"/>
        <v>0</v>
      </c>
      <c r="V285" s="452">
        <f t="shared" si="538"/>
        <v>0</v>
      </c>
      <c r="W285" s="452">
        <f t="shared" si="539"/>
        <v>0</v>
      </c>
      <c r="X285" s="1002">
        <f t="shared" si="540"/>
        <v>0</v>
      </c>
      <c r="Y285" s="1397"/>
      <c r="Z285" s="1398">
        <f t="shared" si="541"/>
        <v>0</v>
      </c>
      <c r="AA285" s="1398">
        <f t="shared" si="542"/>
        <v>0</v>
      </c>
      <c r="AB285" s="1398">
        <f t="shared" si="543"/>
        <v>0</v>
      </c>
      <c r="AC285" s="1398">
        <f t="shared" si="544"/>
        <v>0</v>
      </c>
      <c r="AD285" s="1398">
        <f t="shared" si="545"/>
        <v>0</v>
      </c>
      <c r="AE285" s="1398">
        <f t="shared" si="546"/>
        <v>0</v>
      </c>
      <c r="AF285" s="1398">
        <f t="shared" si="547"/>
        <v>0</v>
      </c>
      <c r="AG285" s="1398">
        <f t="shared" si="548"/>
        <v>0</v>
      </c>
      <c r="AH285" s="1396"/>
      <c r="AI285" s="462">
        <f t="shared" si="549"/>
        <v>0</v>
      </c>
      <c r="AJ285" s="1112"/>
      <c r="AK285" s="1399"/>
      <c r="AL285" s="829">
        <f t="shared" si="550"/>
        <v>45842</v>
      </c>
      <c r="AM285" s="684">
        <f>IFERROR(IF(AND(AT285="",AR285&lt;&gt;S.CAL!$BJ$3,AR285&lt;&gt;S.CAL!$BJ$4,$AR$275="NON"),M285-BD285,IF(AND(AT285="",AR285&lt;&gt;S.CAL!$BJ$3,AR285&lt;&gt;S.CAL!$BJ$4,$AR$275="OUI"),X285-AI285,IF(AT285&lt;&gt;0,AT285,IF(OR(AR285=S.CAL!$BJ$3,AR285=S.CAL!$BJ$4),AR285,"")))),"")</f>
        <v>0</v>
      </c>
      <c r="AN285" s="1115"/>
      <c r="AO285" s="1116"/>
      <c r="AP285" s="684">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400">
        <f t="shared" si="570"/>
        <v>0</v>
      </c>
      <c r="AR285" s="1120"/>
      <c r="AS285" s="1396"/>
      <c r="AT285" s="1123"/>
      <c r="AU285" s="831"/>
      <c r="AV285" s="1392">
        <f t="shared" si="551"/>
        <v>45842</v>
      </c>
      <c r="AW285" s="1396"/>
      <c r="AX285" s="529">
        <f t="shared" si="571"/>
        <v>45842</v>
      </c>
      <c r="AY285" s="541">
        <f t="shared" si="572"/>
        <v>0</v>
      </c>
      <c r="AZ285" s="538" t="s">
        <v>146</v>
      </c>
      <c r="BA285" s="534">
        <f t="shared" si="573"/>
        <v>0</v>
      </c>
      <c r="BB285" s="567" t="str">
        <f t="shared" si="552"/>
        <v/>
      </c>
      <c r="BC285" s="541">
        <f t="shared" si="574"/>
        <v>0</v>
      </c>
      <c r="BD285" s="541">
        <f t="shared" si="575"/>
        <v>0</v>
      </c>
      <c r="BE285" s="750"/>
      <c r="BF285" s="532" t="str">
        <f t="shared" si="553"/>
        <v/>
      </c>
      <c r="BG285" s="532" t="str">
        <f t="shared" si="576"/>
        <v>oui</v>
      </c>
      <c r="BH285" s="395" t="str">
        <f t="shared" si="554"/>
        <v/>
      </c>
      <c r="BI285" s="24" t="str">
        <f t="shared" si="555"/>
        <v/>
      </c>
      <c r="BJ285" s="1404"/>
      <c r="BK285" s="1404"/>
      <c r="BL285" s="1404"/>
      <c r="BM285" s="1404"/>
      <c r="BN285" s="1404"/>
      <c r="BO285" s="1404"/>
      <c r="BP285" s="1404"/>
      <c r="BQ285" s="1404"/>
      <c r="BR285" s="1405"/>
      <c r="BS285" s="1392">
        <f t="shared" si="522"/>
        <v>45842</v>
      </c>
      <c r="BT285" s="1406" t="str">
        <f t="shared" si="584"/>
        <v/>
      </c>
      <c r="BU285" s="1404"/>
      <c r="BV285" s="1404"/>
      <c r="BW285" s="1404"/>
      <c r="BX285" s="1404"/>
      <c r="BY285" s="1404"/>
      <c r="BZ285" s="1404"/>
      <c r="CA285" s="1404"/>
      <c r="CB285" s="1404"/>
      <c r="CD285" s="1408">
        <f t="shared" si="577"/>
        <v>0</v>
      </c>
      <c r="DC285" s="16" t="str">
        <f>Juillet!FC23</f>
        <v>non</v>
      </c>
      <c r="DG285" s="333">
        <f t="shared" si="578"/>
        <v>1</v>
      </c>
      <c r="DH285" s="129">
        <f t="shared" si="556"/>
        <v>10</v>
      </c>
      <c r="DI285" s="129">
        <f t="shared" si="579"/>
        <v>1</v>
      </c>
      <c r="DK285" s="16">
        <f>+IF(AND(Juillet!$DP$8&lt;&gt;52,AR285=S.CAL!$BJ$4),10,1)</f>
        <v>1</v>
      </c>
      <c r="DN285" s="16">
        <f t="shared" si="557"/>
        <v>1</v>
      </c>
      <c r="DU285" s="1296" t="str">
        <f t="shared" si="580"/>
        <v>Fiche infoA545842</v>
      </c>
      <c r="DV285" s="1384">
        <f t="shared" si="558"/>
        <v>0</v>
      </c>
      <c r="DW285" s="1385">
        <f t="shared" si="559"/>
        <v>0</v>
      </c>
      <c r="DX285" s="1385">
        <f t="shared" si="560"/>
        <v>0</v>
      </c>
      <c r="DY285" s="1385">
        <f t="shared" si="561"/>
        <v>0</v>
      </c>
      <c r="DZ285" s="1385">
        <f t="shared" si="562"/>
        <v>0</v>
      </c>
      <c r="EA285" s="1385">
        <f t="shared" si="563"/>
        <v>0</v>
      </c>
      <c r="EB285" s="1385">
        <f t="shared" si="564"/>
        <v>0</v>
      </c>
      <c r="EC285" s="1385">
        <f t="shared" si="565"/>
        <v>0</v>
      </c>
      <c r="ED285" s="1385">
        <f t="shared" si="581"/>
        <v>0</v>
      </c>
      <c r="EE285" s="1386">
        <f t="shared" si="582"/>
        <v>0</v>
      </c>
      <c r="EG285" s="16" t="str">
        <f t="shared" si="583"/>
        <v>272025</v>
      </c>
      <c r="EH285" s="16" t="str">
        <f t="shared" si="566"/>
        <v>Fiche infoA5</v>
      </c>
      <c r="EI285" s="16" t="str">
        <f t="shared" si="567"/>
        <v/>
      </c>
    </row>
    <row r="286" spans="1:145" x14ac:dyDescent="0.2">
      <c r="A286" s="24" t="str">
        <f>Juillet!BJ24</f>
        <v>Fiche infoA6</v>
      </c>
      <c r="B286" s="829">
        <f>Juillet!AB24</f>
        <v>45843</v>
      </c>
      <c r="C286" s="1393"/>
      <c r="D286" s="1001">
        <f t="shared" si="523"/>
        <v>0</v>
      </c>
      <c r="E286" s="452">
        <f t="shared" si="524"/>
        <v>0</v>
      </c>
      <c r="F286" s="452">
        <f t="shared" si="525"/>
        <v>0</v>
      </c>
      <c r="G286" s="452">
        <f t="shared" si="526"/>
        <v>0</v>
      </c>
      <c r="H286" s="452">
        <f t="shared" si="527"/>
        <v>0</v>
      </c>
      <c r="I286" s="452">
        <f t="shared" si="528"/>
        <v>0</v>
      </c>
      <c r="J286" s="452">
        <f t="shared" si="529"/>
        <v>0</v>
      </c>
      <c r="K286" s="452">
        <f t="shared" si="530"/>
        <v>0</v>
      </c>
      <c r="L286" s="452">
        <f t="shared" si="568"/>
        <v>0</v>
      </c>
      <c r="M286" s="1002">
        <f t="shared" si="569"/>
        <v>0</v>
      </c>
      <c r="O286" s="1001">
        <f t="shared" si="531"/>
        <v>0</v>
      </c>
      <c r="P286" s="452">
        <f t="shared" si="532"/>
        <v>0</v>
      </c>
      <c r="Q286" s="452">
        <f t="shared" si="533"/>
        <v>0</v>
      </c>
      <c r="R286" s="452">
        <f t="shared" si="534"/>
        <v>0</v>
      </c>
      <c r="S286" s="452">
        <f t="shared" si="535"/>
        <v>0</v>
      </c>
      <c r="T286" s="452">
        <f t="shared" si="536"/>
        <v>0</v>
      </c>
      <c r="U286" s="452">
        <f t="shared" si="537"/>
        <v>0</v>
      </c>
      <c r="V286" s="452">
        <f t="shared" si="538"/>
        <v>0</v>
      </c>
      <c r="W286" s="452">
        <f t="shared" si="539"/>
        <v>0</v>
      </c>
      <c r="X286" s="1002">
        <f t="shared" si="540"/>
        <v>0</v>
      </c>
      <c r="Y286" s="459"/>
      <c r="Z286" s="291">
        <f t="shared" si="541"/>
        <v>0</v>
      </c>
      <c r="AA286" s="291">
        <f t="shared" si="542"/>
        <v>0</v>
      </c>
      <c r="AB286" s="291">
        <f t="shared" si="543"/>
        <v>0</v>
      </c>
      <c r="AC286" s="291">
        <f t="shared" si="544"/>
        <v>0</v>
      </c>
      <c r="AD286" s="291">
        <f t="shared" si="545"/>
        <v>0</v>
      </c>
      <c r="AE286" s="291">
        <f t="shared" si="546"/>
        <v>0</v>
      </c>
      <c r="AF286" s="291">
        <f t="shared" si="547"/>
        <v>0</v>
      </c>
      <c r="AG286" s="291">
        <f t="shared" si="548"/>
        <v>0</v>
      </c>
      <c r="AI286" s="462">
        <f t="shared" si="549"/>
        <v>0</v>
      </c>
      <c r="AJ286" s="1112"/>
      <c r="AK286" s="507"/>
      <c r="AL286" s="829">
        <f t="shared" si="550"/>
        <v>45843</v>
      </c>
      <c r="AM286" s="684">
        <f>IFERROR(IF(AND(AT286="",AR286&lt;&gt;S.CAL!$BJ$3,AR286&lt;&gt;S.CAL!$BJ$4,$AR$275="NON"),M286-BD286,IF(AND(AT286="",AR286&lt;&gt;S.CAL!$BJ$3,AR286&lt;&gt;S.CAL!$BJ$4,$AR$275="OUI"),X286-AI286,IF(AT286&lt;&gt;0,AT286,IF(OR(AR286=S.CAL!$BJ$3,AR286=S.CAL!$BJ$4),AR286,"")))),"")</f>
        <v>0</v>
      </c>
      <c r="AN286" s="1115"/>
      <c r="AO286" s="1116"/>
      <c r="AP286" s="684">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516">
        <f t="shared" si="570"/>
        <v>0</v>
      </c>
      <c r="AR286" s="1120"/>
      <c r="AT286" s="1123"/>
      <c r="AU286" s="831"/>
      <c r="AV286" s="1392">
        <f t="shared" si="551"/>
        <v>45843</v>
      </c>
      <c r="AX286" s="529">
        <f t="shared" si="571"/>
        <v>45843</v>
      </c>
      <c r="AY286" s="541">
        <f t="shared" si="572"/>
        <v>0</v>
      </c>
      <c r="AZ286" s="538" t="s">
        <v>146</v>
      </c>
      <c r="BA286" s="534">
        <f t="shared" si="573"/>
        <v>0</v>
      </c>
      <c r="BB286" s="567" t="str">
        <f t="shared" si="552"/>
        <v/>
      </c>
      <c r="BC286" s="541">
        <f t="shared" si="574"/>
        <v>0</v>
      </c>
      <c r="BD286" s="541">
        <f t="shared" si="575"/>
        <v>0</v>
      </c>
      <c r="BE286" s="750"/>
      <c r="BF286" s="532" t="str">
        <f t="shared" si="553"/>
        <v/>
      </c>
      <c r="BG286" s="532" t="str">
        <f t="shared" si="576"/>
        <v>oui</v>
      </c>
      <c r="BH286" s="395" t="str">
        <f t="shared" si="554"/>
        <v/>
      </c>
      <c r="BI286" s="24" t="str">
        <f t="shared" si="555"/>
        <v/>
      </c>
      <c r="BJ286" s="1403"/>
      <c r="BK286" s="1403"/>
      <c r="BL286" s="1403"/>
      <c r="BM286" s="1403"/>
      <c r="BN286" s="1403"/>
      <c r="BO286" s="1403"/>
      <c r="BP286" s="1403"/>
      <c r="BQ286" s="1403"/>
      <c r="BS286" s="1392">
        <f t="shared" si="522"/>
        <v>45843</v>
      </c>
      <c r="BT286" s="27" t="str">
        <f t="shared" si="584"/>
        <v/>
      </c>
      <c r="BU286" s="1402"/>
      <c r="BV286" s="1402"/>
      <c r="BW286" s="1402"/>
      <c r="BX286" s="1402"/>
      <c r="BY286" s="1402"/>
      <c r="BZ286" s="1402"/>
      <c r="CA286" s="1402"/>
      <c r="CB286" s="1402"/>
      <c r="CD286" s="1408">
        <f t="shared" si="577"/>
        <v>0</v>
      </c>
      <c r="DC286" s="16" t="str">
        <f>Juillet!FC24</f>
        <v>non</v>
      </c>
      <c r="DG286" s="333">
        <f t="shared" si="578"/>
        <v>1</v>
      </c>
      <c r="DH286" s="129">
        <f t="shared" si="556"/>
        <v>10</v>
      </c>
      <c r="DI286" s="129">
        <f t="shared" si="579"/>
        <v>1</v>
      </c>
      <c r="DK286" s="16">
        <f>+IF(AND(Juillet!$DP$8&lt;&gt;52,AR286=S.CAL!$BJ$4),10,1)</f>
        <v>1</v>
      </c>
      <c r="DN286" s="16">
        <f t="shared" si="557"/>
        <v>1</v>
      </c>
      <c r="DU286" s="1296" t="str">
        <f t="shared" si="580"/>
        <v>Fiche infoA645843</v>
      </c>
      <c r="DV286" s="1384">
        <f t="shared" si="558"/>
        <v>0</v>
      </c>
      <c r="DW286" s="1385">
        <f t="shared" si="559"/>
        <v>0</v>
      </c>
      <c r="DX286" s="1385">
        <f t="shared" si="560"/>
        <v>0</v>
      </c>
      <c r="DY286" s="1385">
        <f t="shared" si="561"/>
        <v>0</v>
      </c>
      <c r="DZ286" s="1385">
        <f t="shared" si="562"/>
        <v>0</v>
      </c>
      <c r="EA286" s="1385">
        <f t="shared" si="563"/>
        <v>0</v>
      </c>
      <c r="EB286" s="1385">
        <f t="shared" si="564"/>
        <v>0</v>
      </c>
      <c r="EC286" s="1385">
        <f t="shared" si="565"/>
        <v>0</v>
      </c>
      <c r="ED286" s="1385">
        <f t="shared" si="581"/>
        <v>0</v>
      </c>
      <c r="EE286" s="1386">
        <f t="shared" si="582"/>
        <v>0</v>
      </c>
      <c r="EG286" s="16" t="str">
        <f t="shared" si="583"/>
        <v>272025</v>
      </c>
      <c r="EH286" s="16" t="str">
        <f t="shared" si="566"/>
        <v>Fiche infoA6</v>
      </c>
      <c r="EI286" s="16" t="str">
        <f t="shared" si="567"/>
        <v/>
      </c>
    </row>
    <row r="287" spans="1:145" x14ac:dyDescent="0.2">
      <c r="A287" s="1395" t="str">
        <f>Juillet!BJ25</f>
        <v>Fiche infoA7</v>
      </c>
      <c r="B287" s="829">
        <f>Juillet!AB25</f>
        <v>45844</v>
      </c>
      <c r="C287" s="1394"/>
      <c r="D287" s="1001">
        <f t="shared" si="523"/>
        <v>0</v>
      </c>
      <c r="E287" s="452">
        <f t="shared" si="524"/>
        <v>0</v>
      </c>
      <c r="F287" s="452">
        <f t="shared" si="525"/>
        <v>0</v>
      </c>
      <c r="G287" s="452">
        <f t="shared" si="526"/>
        <v>0</v>
      </c>
      <c r="H287" s="452">
        <f t="shared" si="527"/>
        <v>0</v>
      </c>
      <c r="I287" s="452">
        <f t="shared" si="528"/>
        <v>0</v>
      </c>
      <c r="J287" s="452">
        <f t="shared" si="529"/>
        <v>0</v>
      </c>
      <c r="K287" s="452">
        <f t="shared" si="530"/>
        <v>0</v>
      </c>
      <c r="L287" s="452">
        <f t="shared" si="568"/>
        <v>0</v>
      </c>
      <c r="M287" s="1002">
        <f t="shared" si="569"/>
        <v>0</v>
      </c>
      <c r="N287" s="1396"/>
      <c r="O287" s="1001">
        <f t="shared" si="531"/>
        <v>0</v>
      </c>
      <c r="P287" s="452">
        <f t="shared" si="532"/>
        <v>0</v>
      </c>
      <c r="Q287" s="452">
        <f t="shared" si="533"/>
        <v>0</v>
      </c>
      <c r="R287" s="452">
        <f t="shared" si="534"/>
        <v>0</v>
      </c>
      <c r="S287" s="452">
        <f t="shared" si="535"/>
        <v>0</v>
      </c>
      <c r="T287" s="452">
        <f t="shared" si="536"/>
        <v>0</v>
      </c>
      <c r="U287" s="452">
        <f t="shared" si="537"/>
        <v>0</v>
      </c>
      <c r="V287" s="452">
        <f t="shared" si="538"/>
        <v>0</v>
      </c>
      <c r="W287" s="452">
        <f t="shared" si="539"/>
        <v>0</v>
      </c>
      <c r="X287" s="1002">
        <f t="shared" si="540"/>
        <v>0</v>
      </c>
      <c r="Y287" s="1397"/>
      <c r="Z287" s="1398">
        <f t="shared" si="541"/>
        <v>0</v>
      </c>
      <c r="AA287" s="1398">
        <f t="shared" si="542"/>
        <v>0</v>
      </c>
      <c r="AB287" s="1398">
        <f t="shared" si="543"/>
        <v>0</v>
      </c>
      <c r="AC287" s="1398">
        <f t="shared" si="544"/>
        <v>0</v>
      </c>
      <c r="AD287" s="1398">
        <f t="shared" si="545"/>
        <v>0</v>
      </c>
      <c r="AE287" s="1398">
        <f t="shared" si="546"/>
        <v>0</v>
      </c>
      <c r="AF287" s="1398">
        <f t="shared" si="547"/>
        <v>0</v>
      </c>
      <c r="AG287" s="1398">
        <f t="shared" si="548"/>
        <v>0</v>
      </c>
      <c r="AH287" s="1396"/>
      <c r="AI287" s="462">
        <f t="shared" si="549"/>
        <v>0</v>
      </c>
      <c r="AJ287" s="1112"/>
      <c r="AK287" s="1399"/>
      <c r="AL287" s="829">
        <f t="shared" si="550"/>
        <v>45844</v>
      </c>
      <c r="AM287" s="684">
        <f>IFERROR(IF(AND(AT287="",AR287&lt;&gt;S.CAL!$BJ$3,AR287&lt;&gt;S.CAL!$BJ$4,$AR$275="NON"),M287-BD287,IF(AND(AT287="",AR287&lt;&gt;S.CAL!$BJ$3,AR287&lt;&gt;S.CAL!$BJ$4,$AR$275="OUI"),X287-AI287,IF(AT287&lt;&gt;0,AT287,IF(OR(AR287=S.CAL!$BJ$3,AR287=S.CAL!$BJ$4),AR287,"")))),"")</f>
        <v>0</v>
      </c>
      <c r="AN287" s="1115"/>
      <c r="AO287" s="1116"/>
      <c r="AP287" s="684">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400">
        <f t="shared" si="570"/>
        <v>0</v>
      </c>
      <c r="AR287" s="1120"/>
      <c r="AS287" s="1396"/>
      <c r="AT287" s="1123"/>
      <c r="AU287" s="831"/>
      <c r="AV287" s="1392">
        <f t="shared" si="551"/>
        <v>45844</v>
      </c>
      <c r="AW287" s="1396"/>
      <c r="AX287" s="529">
        <f t="shared" si="571"/>
        <v>45844</v>
      </c>
      <c r="AY287" s="541">
        <f t="shared" si="572"/>
        <v>0</v>
      </c>
      <c r="AZ287" s="538" t="s">
        <v>146</v>
      </c>
      <c r="BA287" s="534">
        <f t="shared" si="573"/>
        <v>0</v>
      </c>
      <c r="BB287" s="567" t="str">
        <f t="shared" si="552"/>
        <v/>
      </c>
      <c r="BC287" s="541">
        <f t="shared" si="574"/>
        <v>0</v>
      </c>
      <c r="BD287" s="541">
        <f t="shared" si="575"/>
        <v>0</v>
      </c>
      <c r="BE287" s="750"/>
      <c r="BF287" s="532" t="str">
        <f t="shared" si="553"/>
        <v/>
      </c>
      <c r="BG287" s="532" t="str">
        <f t="shared" si="576"/>
        <v>oui</v>
      </c>
      <c r="BH287" s="395" t="str">
        <f t="shared" si="554"/>
        <v/>
      </c>
      <c r="BI287" s="24" t="str">
        <f t="shared" si="555"/>
        <v/>
      </c>
      <c r="BJ287" s="1404"/>
      <c r="BK287" s="1404"/>
      <c r="BL287" s="1404"/>
      <c r="BM287" s="1404"/>
      <c r="BN287" s="1404"/>
      <c r="BO287" s="1404"/>
      <c r="BP287" s="1404"/>
      <c r="BQ287" s="1404"/>
      <c r="BR287" s="1405"/>
      <c r="BS287" s="1392">
        <f t="shared" si="522"/>
        <v>45844</v>
      </c>
      <c r="BT287" s="1406" t="str">
        <f t="shared" si="584"/>
        <v/>
      </c>
      <c r="BU287" s="1404"/>
      <c r="BV287" s="1404"/>
      <c r="BW287" s="1404"/>
      <c r="BX287" s="1404"/>
      <c r="BY287" s="1404"/>
      <c r="BZ287" s="1404"/>
      <c r="CA287" s="1404"/>
      <c r="CB287" s="1404"/>
      <c r="CD287" s="1408">
        <f t="shared" si="577"/>
        <v>0</v>
      </c>
      <c r="DC287" s="16" t="str">
        <f>Juillet!FC25</f>
        <v>non</v>
      </c>
      <c r="DG287" s="333">
        <f t="shared" si="578"/>
        <v>1</v>
      </c>
      <c r="DH287" s="129">
        <f t="shared" si="556"/>
        <v>10</v>
      </c>
      <c r="DI287" s="129">
        <f t="shared" si="579"/>
        <v>1</v>
      </c>
      <c r="DK287" s="16">
        <f>+IF(AND(Juillet!$DP$8&lt;&gt;52,AR287=S.CAL!$BJ$4),10,1)</f>
        <v>1</v>
      </c>
      <c r="DN287" s="16">
        <f t="shared" si="557"/>
        <v>1</v>
      </c>
      <c r="DU287" s="1296" t="str">
        <f t="shared" si="580"/>
        <v>Fiche infoA745844</v>
      </c>
      <c r="DV287" s="1384">
        <f t="shared" si="558"/>
        <v>0</v>
      </c>
      <c r="DW287" s="1385">
        <f t="shared" si="559"/>
        <v>0</v>
      </c>
      <c r="DX287" s="1385">
        <f t="shared" si="560"/>
        <v>0</v>
      </c>
      <c r="DY287" s="1385">
        <f t="shared" si="561"/>
        <v>0</v>
      </c>
      <c r="DZ287" s="1385">
        <f t="shared" si="562"/>
        <v>0</v>
      </c>
      <c r="EA287" s="1385">
        <f t="shared" si="563"/>
        <v>0</v>
      </c>
      <c r="EB287" s="1385">
        <f t="shared" si="564"/>
        <v>0</v>
      </c>
      <c r="EC287" s="1385">
        <f t="shared" si="565"/>
        <v>0</v>
      </c>
      <c r="ED287" s="1385">
        <f t="shared" si="581"/>
        <v>0</v>
      </c>
      <c r="EE287" s="1386">
        <f t="shared" si="582"/>
        <v>0</v>
      </c>
      <c r="EG287" s="16" t="str">
        <f t="shared" si="583"/>
        <v>272025</v>
      </c>
      <c r="EH287" s="16" t="str">
        <f t="shared" si="566"/>
        <v>Fiche infoA7</v>
      </c>
      <c r="EI287" s="16" t="str">
        <f t="shared" si="567"/>
        <v/>
      </c>
    </row>
    <row r="288" spans="1:145" x14ac:dyDescent="0.2">
      <c r="A288" s="24" t="str">
        <f>Juillet!BJ26</f>
        <v>Fiche infoA1</v>
      </c>
      <c r="B288" s="829">
        <f>Juillet!AB26</f>
        <v>45845</v>
      </c>
      <c r="C288" s="1393"/>
      <c r="D288" s="1001">
        <f t="shared" si="523"/>
        <v>0</v>
      </c>
      <c r="E288" s="452">
        <f t="shared" si="524"/>
        <v>0</v>
      </c>
      <c r="F288" s="452">
        <f t="shared" si="525"/>
        <v>0</v>
      </c>
      <c r="G288" s="452">
        <f t="shared" si="526"/>
        <v>0</v>
      </c>
      <c r="H288" s="452">
        <f t="shared" si="527"/>
        <v>0</v>
      </c>
      <c r="I288" s="452">
        <f t="shared" si="528"/>
        <v>0</v>
      </c>
      <c r="J288" s="452">
        <f t="shared" si="529"/>
        <v>0</v>
      </c>
      <c r="K288" s="452">
        <f t="shared" si="530"/>
        <v>0</v>
      </c>
      <c r="L288" s="452">
        <f t="shared" si="568"/>
        <v>0</v>
      </c>
      <c r="M288" s="1002">
        <f t="shared" si="569"/>
        <v>0</v>
      </c>
      <c r="O288" s="1001">
        <f t="shared" si="531"/>
        <v>0</v>
      </c>
      <c r="P288" s="452">
        <f t="shared" si="532"/>
        <v>0</v>
      </c>
      <c r="Q288" s="452">
        <f t="shared" si="533"/>
        <v>0</v>
      </c>
      <c r="R288" s="452">
        <f t="shared" si="534"/>
        <v>0</v>
      </c>
      <c r="S288" s="452">
        <f t="shared" si="535"/>
        <v>0</v>
      </c>
      <c r="T288" s="452">
        <f t="shared" si="536"/>
        <v>0</v>
      </c>
      <c r="U288" s="452">
        <f t="shared" si="537"/>
        <v>0</v>
      </c>
      <c r="V288" s="452">
        <f t="shared" si="538"/>
        <v>0</v>
      </c>
      <c r="W288" s="452">
        <f t="shared" si="539"/>
        <v>0</v>
      </c>
      <c r="X288" s="1002">
        <f t="shared" si="540"/>
        <v>0</v>
      </c>
      <c r="Y288" s="459"/>
      <c r="Z288" s="291">
        <f t="shared" si="541"/>
        <v>0</v>
      </c>
      <c r="AA288" s="291">
        <f t="shared" si="542"/>
        <v>0</v>
      </c>
      <c r="AB288" s="291">
        <f t="shared" si="543"/>
        <v>0</v>
      </c>
      <c r="AC288" s="291">
        <f t="shared" si="544"/>
        <v>0</v>
      </c>
      <c r="AD288" s="291">
        <f t="shared" si="545"/>
        <v>0</v>
      </c>
      <c r="AE288" s="291">
        <f t="shared" si="546"/>
        <v>0</v>
      </c>
      <c r="AF288" s="291">
        <f t="shared" si="547"/>
        <v>0</v>
      </c>
      <c r="AG288" s="291">
        <f t="shared" si="548"/>
        <v>0</v>
      </c>
      <c r="AI288" s="462">
        <f t="shared" si="549"/>
        <v>0</v>
      </c>
      <c r="AJ288" s="1112"/>
      <c r="AK288" s="507"/>
      <c r="AL288" s="829">
        <f t="shared" si="550"/>
        <v>45845</v>
      </c>
      <c r="AM288" s="684">
        <f>IFERROR(IF(AND(AT288="",AR288&lt;&gt;S.CAL!$BJ$3,AR288&lt;&gt;S.CAL!$BJ$4,$AR$275="NON"),M288-BD288,IF(AND(AT288="",AR288&lt;&gt;S.CAL!$BJ$3,AR288&lt;&gt;S.CAL!$BJ$4,$AR$275="OUI"),X288-AI288,IF(AT288&lt;&gt;0,AT288,IF(OR(AR288=S.CAL!$BJ$3,AR288=S.CAL!$BJ$4),AR288,"")))),"")</f>
        <v>0</v>
      </c>
      <c r="AN288" s="1115"/>
      <c r="AO288" s="1116"/>
      <c r="AP288" s="684">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516">
        <f t="shared" si="570"/>
        <v>0</v>
      </c>
      <c r="AR288" s="1120"/>
      <c r="AT288" s="1123"/>
      <c r="AU288" s="831"/>
      <c r="AV288" s="1392">
        <f t="shared" si="551"/>
        <v>45845</v>
      </c>
      <c r="AX288" s="529">
        <f t="shared" si="571"/>
        <v>45845</v>
      </c>
      <c r="AY288" s="541">
        <f t="shared" si="572"/>
        <v>0</v>
      </c>
      <c r="AZ288" s="538" t="s">
        <v>146</v>
      </c>
      <c r="BA288" s="534">
        <f t="shared" si="573"/>
        <v>0</v>
      </c>
      <c r="BB288" s="567" t="str">
        <f t="shared" si="552"/>
        <v/>
      </c>
      <c r="BC288" s="541">
        <f t="shared" si="574"/>
        <v>0</v>
      </c>
      <c r="BD288" s="541">
        <f t="shared" si="575"/>
        <v>0</v>
      </c>
      <c r="BE288" s="750"/>
      <c r="BF288" s="532" t="str">
        <f t="shared" si="553"/>
        <v/>
      </c>
      <c r="BG288" s="532" t="str">
        <f t="shared" si="576"/>
        <v>oui</v>
      </c>
      <c r="BH288" s="395" t="str">
        <f t="shared" si="554"/>
        <v/>
      </c>
      <c r="BI288" s="24" t="str">
        <f t="shared" si="555"/>
        <v/>
      </c>
      <c r="BJ288" s="1403"/>
      <c r="BK288" s="1403"/>
      <c r="BL288" s="1403"/>
      <c r="BM288" s="1403"/>
      <c r="BN288" s="1403"/>
      <c r="BO288" s="1403"/>
      <c r="BP288" s="1403"/>
      <c r="BQ288" s="1403"/>
      <c r="BS288" s="1392">
        <f t="shared" si="522"/>
        <v>45845</v>
      </c>
      <c r="BT288" s="27">
        <f t="shared" si="584"/>
        <v>28</v>
      </c>
      <c r="BU288" s="1402"/>
      <c r="BV288" s="1402"/>
      <c r="BW288" s="1402"/>
      <c r="BX288" s="1402"/>
      <c r="BY288" s="1402"/>
      <c r="BZ288" s="1402"/>
      <c r="CA288" s="1402"/>
      <c r="CB288" s="1402"/>
      <c r="CD288" s="1408">
        <f t="shared" si="577"/>
        <v>0</v>
      </c>
      <c r="DC288" s="16" t="str">
        <f>Juillet!FC26</f>
        <v>non</v>
      </c>
      <c r="DG288" s="333">
        <f t="shared" si="578"/>
        <v>1</v>
      </c>
      <c r="DH288" s="129">
        <f t="shared" si="556"/>
        <v>10</v>
      </c>
      <c r="DI288" s="129">
        <f t="shared" si="579"/>
        <v>1</v>
      </c>
      <c r="DK288" s="16">
        <f>+IF(AND(Juillet!$DP$8&lt;&gt;52,AR288=S.CAL!$BJ$4),10,1)</f>
        <v>1</v>
      </c>
      <c r="DN288" s="16">
        <f t="shared" si="557"/>
        <v>1</v>
      </c>
      <c r="DU288" s="1296" t="str">
        <f t="shared" si="580"/>
        <v>Fiche infoA145845</v>
      </c>
      <c r="DV288" s="1384">
        <f t="shared" si="558"/>
        <v>0</v>
      </c>
      <c r="DW288" s="1385">
        <f t="shared" si="559"/>
        <v>0</v>
      </c>
      <c r="DX288" s="1385">
        <f t="shared" si="560"/>
        <v>0</v>
      </c>
      <c r="DY288" s="1385">
        <f t="shared" si="561"/>
        <v>0</v>
      </c>
      <c r="DZ288" s="1385">
        <f t="shared" si="562"/>
        <v>0</v>
      </c>
      <c r="EA288" s="1385">
        <f t="shared" si="563"/>
        <v>0</v>
      </c>
      <c r="EB288" s="1385">
        <f t="shared" si="564"/>
        <v>0</v>
      </c>
      <c r="EC288" s="1385">
        <f t="shared" si="565"/>
        <v>0</v>
      </c>
      <c r="ED288" s="1385">
        <f t="shared" si="581"/>
        <v>0</v>
      </c>
      <c r="EE288" s="1386">
        <f t="shared" si="582"/>
        <v>0</v>
      </c>
      <c r="EG288" s="16" t="str">
        <f t="shared" si="583"/>
        <v>282025</v>
      </c>
      <c r="EH288" s="16" t="str">
        <f t="shared" si="566"/>
        <v>Fiche infoA1</v>
      </c>
      <c r="EI288" s="16" t="str">
        <f t="shared" si="567"/>
        <v/>
      </c>
    </row>
    <row r="289" spans="1:139" x14ac:dyDescent="0.2">
      <c r="A289" s="1395" t="str">
        <f>Juillet!BJ27</f>
        <v>Fiche infoA2</v>
      </c>
      <c r="B289" s="829">
        <f>Juillet!AB27</f>
        <v>45846</v>
      </c>
      <c r="C289" s="1394"/>
      <c r="D289" s="1001">
        <f t="shared" si="523"/>
        <v>0</v>
      </c>
      <c r="E289" s="452">
        <f t="shared" si="524"/>
        <v>0</v>
      </c>
      <c r="F289" s="452">
        <f t="shared" si="525"/>
        <v>0</v>
      </c>
      <c r="G289" s="452">
        <f t="shared" si="526"/>
        <v>0</v>
      </c>
      <c r="H289" s="452">
        <f t="shared" si="527"/>
        <v>0</v>
      </c>
      <c r="I289" s="452">
        <f t="shared" si="528"/>
        <v>0</v>
      </c>
      <c r="J289" s="452">
        <f t="shared" si="529"/>
        <v>0</v>
      </c>
      <c r="K289" s="452">
        <f t="shared" si="530"/>
        <v>0</v>
      </c>
      <c r="L289" s="452">
        <f t="shared" si="568"/>
        <v>0</v>
      </c>
      <c r="M289" s="1002">
        <f t="shared" si="569"/>
        <v>0</v>
      </c>
      <c r="N289" s="1396"/>
      <c r="O289" s="1001">
        <f t="shared" si="531"/>
        <v>0</v>
      </c>
      <c r="P289" s="452">
        <f t="shared" si="532"/>
        <v>0</v>
      </c>
      <c r="Q289" s="452">
        <f t="shared" si="533"/>
        <v>0</v>
      </c>
      <c r="R289" s="452">
        <f t="shared" si="534"/>
        <v>0</v>
      </c>
      <c r="S289" s="452">
        <f t="shared" si="535"/>
        <v>0</v>
      </c>
      <c r="T289" s="452">
        <f t="shared" si="536"/>
        <v>0</v>
      </c>
      <c r="U289" s="452">
        <f t="shared" si="537"/>
        <v>0</v>
      </c>
      <c r="V289" s="452">
        <f t="shared" si="538"/>
        <v>0</v>
      </c>
      <c r="W289" s="452">
        <f t="shared" si="539"/>
        <v>0</v>
      </c>
      <c r="X289" s="1002">
        <f t="shared" si="540"/>
        <v>0</v>
      </c>
      <c r="Y289" s="1397"/>
      <c r="Z289" s="1398">
        <f t="shared" si="541"/>
        <v>0</v>
      </c>
      <c r="AA289" s="1398">
        <f t="shared" si="542"/>
        <v>0</v>
      </c>
      <c r="AB289" s="1398">
        <f t="shared" si="543"/>
        <v>0</v>
      </c>
      <c r="AC289" s="1398">
        <f t="shared" si="544"/>
        <v>0</v>
      </c>
      <c r="AD289" s="1398">
        <f t="shared" si="545"/>
        <v>0</v>
      </c>
      <c r="AE289" s="1398">
        <f t="shared" si="546"/>
        <v>0</v>
      </c>
      <c r="AF289" s="1398">
        <f t="shared" si="547"/>
        <v>0</v>
      </c>
      <c r="AG289" s="1398">
        <f t="shared" si="548"/>
        <v>0</v>
      </c>
      <c r="AH289" s="1396"/>
      <c r="AI289" s="462">
        <f t="shared" si="549"/>
        <v>0</v>
      </c>
      <c r="AJ289" s="1112"/>
      <c r="AK289" s="1399"/>
      <c r="AL289" s="829">
        <f t="shared" si="550"/>
        <v>45846</v>
      </c>
      <c r="AM289" s="684">
        <f>IFERROR(IF(AND(AT289="",AR289&lt;&gt;S.CAL!$BJ$3,AR289&lt;&gt;S.CAL!$BJ$4,$AR$275="NON"),M289-BD289,IF(AND(AT289="",AR289&lt;&gt;S.CAL!$BJ$3,AR289&lt;&gt;S.CAL!$BJ$4,$AR$275="OUI"),X289-AI289,IF(AT289&lt;&gt;0,AT289,IF(OR(AR289=S.CAL!$BJ$3,AR289=S.CAL!$BJ$4),AR289,"")))),"")</f>
        <v>0</v>
      </c>
      <c r="AN289" s="1115"/>
      <c r="AO289" s="1116"/>
      <c r="AP289" s="684">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400">
        <f t="shared" si="570"/>
        <v>0</v>
      </c>
      <c r="AR289" s="1120"/>
      <c r="AS289" s="1396"/>
      <c r="AT289" s="1123"/>
      <c r="AU289" s="831"/>
      <c r="AV289" s="1392">
        <f t="shared" si="551"/>
        <v>45846</v>
      </c>
      <c r="AW289" s="1396"/>
      <c r="AX289" s="529">
        <f t="shared" si="571"/>
        <v>45846</v>
      </c>
      <c r="AY289" s="541">
        <f t="shared" si="572"/>
        <v>0</v>
      </c>
      <c r="AZ289" s="538" t="s">
        <v>146</v>
      </c>
      <c r="BA289" s="534">
        <f t="shared" si="573"/>
        <v>0</v>
      </c>
      <c r="BB289" s="567" t="str">
        <f t="shared" si="552"/>
        <v/>
      </c>
      <c r="BC289" s="541">
        <f t="shared" si="574"/>
        <v>0</v>
      </c>
      <c r="BD289" s="541">
        <f t="shared" si="575"/>
        <v>0</v>
      </c>
      <c r="BE289" s="750"/>
      <c r="BF289" s="532" t="str">
        <f t="shared" si="553"/>
        <v/>
      </c>
      <c r="BG289" s="532" t="str">
        <f t="shared" si="576"/>
        <v>oui</v>
      </c>
      <c r="BH289" s="395" t="str">
        <f t="shared" si="554"/>
        <v/>
      </c>
      <c r="BI289" s="24" t="str">
        <f t="shared" si="555"/>
        <v/>
      </c>
      <c r="BJ289" s="1404"/>
      <c r="BK289" s="1404"/>
      <c r="BL289" s="1404"/>
      <c r="BM289" s="1404"/>
      <c r="BN289" s="1404"/>
      <c r="BO289" s="1404"/>
      <c r="BP289" s="1404"/>
      <c r="BQ289" s="1404"/>
      <c r="BR289" s="1405"/>
      <c r="BS289" s="1392">
        <f t="shared" si="522"/>
        <v>45846</v>
      </c>
      <c r="BT289" s="1406" t="str">
        <f t="shared" si="584"/>
        <v/>
      </c>
      <c r="BU289" s="1404"/>
      <c r="BV289" s="1404"/>
      <c r="BW289" s="1404"/>
      <c r="BX289" s="1404"/>
      <c r="BY289" s="1404"/>
      <c r="BZ289" s="1404"/>
      <c r="CA289" s="1404"/>
      <c r="CB289" s="1404"/>
      <c r="CD289" s="1408">
        <f t="shared" si="577"/>
        <v>0</v>
      </c>
      <c r="DC289" s="16" t="str">
        <f>Juillet!FC27</f>
        <v>non</v>
      </c>
      <c r="DG289" s="333">
        <f t="shared" si="578"/>
        <v>1</v>
      </c>
      <c r="DH289" s="129">
        <f t="shared" si="556"/>
        <v>10</v>
      </c>
      <c r="DI289" s="129">
        <f t="shared" si="579"/>
        <v>1</v>
      </c>
      <c r="DK289" s="16">
        <f>+IF(AND(Juillet!$DP$8&lt;&gt;52,AR289=S.CAL!$BJ$4),10,1)</f>
        <v>1</v>
      </c>
      <c r="DN289" s="16">
        <f t="shared" si="557"/>
        <v>1</v>
      </c>
      <c r="DU289" s="1296" t="str">
        <f t="shared" si="580"/>
        <v>Fiche infoA245846</v>
      </c>
      <c r="DV289" s="1384">
        <f t="shared" si="558"/>
        <v>0</v>
      </c>
      <c r="DW289" s="1385">
        <f t="shared" si="559"/>
        <v>0</v>
      </c>
      <c r="DX289" s="1385">
        <f t="shared" si="560"/>
        <v>0</v>
      </c>
      <c r="DY289" s="1385">
        <f t="shared" si="561"/>
        <v>0</v>
      </c>
      <c r="DZ289" s="1385">
        <f t="shared" si="562"/>
        <v>0</v>
      </c>
      <c r="EA289" s="1385">
        <f t="shared" si="563"/>
        <v>0</v>
      </c>
      <c r="EB289" s="1385">
        <f t="shared" si="564"/>
        <v>0</v>
      </c>
      <c r="EC289" s="1385">
        <f t="shared" si="565"/>
        <v>0</v>
      </c>
      <c r="ED289" s="1385">
        <f t="shared" si="581"/>
        <v>0</v>
      </c>
      <c r="EE289" s="1386">
        <f t="shared" si="582"/>
        <v>0</v>
      </c>
      <c r="EG289" s="16" t="str">
        <f t="shared" si="583"/>
        <v>282025</v>
      </c>
      <c r="EH289" s="16" t="str">
        <f t="shared" si="566"/>
        <v>Fiche infoA2</v>
      </c>
      <c r="EI289" s="16" t="str">
        <f t="shared" si="567"/>
        <v/>
      </c>
    </row>
    <row r="290" spans="1:139" x14ac:dyDescent="0.2">
      <c r="A290" s="24" t="str">
        <f>Juillet!BJ28</f>
        <v>Fiche infoA3</v>
      </c>
      <c r="B290" s="829">
        <f>Juillet!AB28</f>
        <v>45847</v>
      </c>
      <c r="C290" s="1393"/>
      <c r="D290" s="1001">
        <f t="shared" si="523"/>
        <v>0</v>
      </c>
      <c r="E290" s="452">
        <f t="shared" si="524"/>
        <v>0</v>
      </c>
      <c r="F290" s="452">
        <f t="shared" si="525"/>
        <v>0</v>
      </c>
      <c r="G290" s="452">
        <f t="shared" si="526"/>
        <v>0</v>
      </c>
      <c r="H290" s="452">
        <f t="shared" si="527"/>
        <v>0</v>
      </c>
      <c r="I290" s="452">
        <f t="shared" si="528"/>
        <v>0</v>
      </c>
      <c r="J290" s="452">
        <f t="shared" si="529"/>
        <v>0</v>
      </c>
      <c r="K290" s="452">
        <f t="shared" si="530"/>
        <v>0</v>
      </c>
      <c r="L290" s="452">
        <f t="shared" si="568"/>
        <v>0</v>
      </c>
      <c r="M290" s="1002">
        <f t="shared" si="569"/>
        <v>0</v>
      </c>
      <c r="O290" s="1001">
        <f>IF(AR290&lt;&gt;"",0,IF(DC290="oui",0,IF(AND(ISTEXT(AT290)=TRUE,BJ290=""),0,IF(BJ290="",D290,BJ290))))</f>
        <v>0</v>
      </c>
      <c r="P290" s="452">
        <f>IF(AR290&lt;&gt;"",0,IF(DC290="oui",0,IF(AND(ISTEXT(AT290)=TRUE,BK290=""),0,IF(BK290="",E290,BK290))))</f>
        <v>0</v>
      </c>
      <c r="Q290" s="452">
        <f>IF(AR290&lt;&gt;"",0,IF(DC290="oui",0,IF(AND(ISTEXT(AT290)=TRUE,BL290=""),0,IF(BL290="",F290,BL290))))</f>
        <v>0</v>
      </c>
      <c r="R290" s="452">
        <f>IF(AR290&lt;&gt;"",0,IF(DC290="oui",0,IF(AND(ISTEXT(AT290)=TRUE,BM290=""),0,IF(BM290="",G290,BM290))))</f>
        <v>0</v>
      </c>
      <c r="S290" s="452">
        <f>IF(AR290&lt;&gt;"",0,IF(DC290="oui",0,IF(AND(ISTEXT(AT290)=TRUE,BN290=""),0,IF(BN290="",H290,BN290))))</f>
        <v>0</v>
      </c>
      <c r="T290" s="452">
        <f>IF(AR290&lt;&gt;"",0,IF(DC290="oui",0,IF(AND(ISTEXT(AT290)=TRUE,BO290=""),0,IF(BO290="",I290,BO290))))</f>
        <v>0</v>
      </c>
      <c r="U290" s="452">
        <f>IF(AR290&lt;&gt;"",0,IF(DC290="oui",0,IF(AND(ISTEXT(AT290)=TRUE,BP290=""),0,IF(BP290="",J290,BP290))))</f>
        <v>0</v>
      </c>
      <c r="V290" s="452">
        <f>IF(AR290&lt;&gt;"",0,IF(DC290="oui",0,IF(AND(ISTEXT(AT290)=TRUE,BQ290=""),0,IF(BQ290="",K290,BQ290))))</f>
        <v>0</v>
      </c>
      <c r="W290" s="452">
        <f t="shared" si="539"/>
        <v>0</v>
      </c>
      <c r="X290" s="1002">
        <f t="shared" si="540"/>
        <v>0</v>
      </c>
      <c r="Y290" s="459"/>
      <c r="Z290" s="291">
        <f t="shared" si="541"/>
        <v>0</v>
      </c>
      <c r="AA290" s="291">
        <f t="shared" si="542"/>
        <v>0</v>
      </c>
      <c r="AB290" s="291">
        <f t="shared" si="543"/>
        <v>0</v>
      </c>
      <c r="AC290" s="291">
        <f t="shared" si="544"/>
        <v>0</v>
      </c>
      <c r="AD290" s="291">
        <f t="shared" si="545"/>
        <v>0</v>
      </c>
      <c r="AE290" s="291">
        <f t="shared" si="546"/>
        <v>0</v>
      </c>
      <c r="AF290" s="291">
        <f t="shared" si="547"/>
        <v>0</v>
      </c>
      <c r="AG290" s="291">
        <f t="shared" si="548"/>
        <v>0</v>
      </c>
      <c r="AI290" s="462">
        <f>IF(DC290="oui",0,IF(AND(ISTEXT(AT290)=TRUE,OR(X290=0,X290="")),0,ROUND(((((AA290-Z290)-(E290-D290))+((AC290-AB290)-(G290-F290))+((AE290-AD290)-(I290-H290))+(AG290-AF290)-(K290-J290))*24),2)))</f>
        <v>0</v>
      </c>
      <c r="AJ290" s="1112"/>
      <c r="AK290" s="507"/>
      <c r="AL290" s="829">
        <f t="shared" si="550"/>
        <v>45847</v>
      </c>
      <c r="AM290" s="684">
        <f>IFERROR(IF(AND(AT290="",AR290&lt;&gt;S.CAL!$BJ$3,AR290&lt;&gt;S.CAL!$BJ$4,$AR$275="NON"),M290-BD290,IF(AND(AT290="",AR290&lt;&gt;S.CAL!$BJ$3,AR290&lt;&gt;S.CAL!$BJ$4,$AR$275="OUI"),X290-AI290,IF(AT290&lt;&gt;0,AT290,IF(OR(AR290=S.CAL!$BJ$3,AR290=S.CAL!$BJ$4),AR290,"")))),"")</f>
        <v>0</v>
      </c>
      <c r="AN290" s="1115"/>
      <c r="AO290" s="1116"/>
      <c r="AP290" s="684">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516">
        <f t="shared" si="570"/>
        <v>0</v>
      </c>
      <c r="AR290" s="1120"/>
      <c r="AT290" s="1123"/>
      <c r="AU290" s="831"/>
      <c r="AV290" s="1392">
        <f t="shared" si="551"/>
        <v>45847</v>
      </c>
      <c r="AX290" s="529">
        <f t="shared" si="571"/>
        <v>45847</v>
      </c>
      <c r="AY290" s="541">
        <f t="shared" si="572"/>
        <v>0</v>
      </c>
      <c r="AZ290" s="538" t="s">
        <v>146</v>
      </c>
      <c r="BA290" s="534">
        <f t="shared" si="573"/>
        <v>0</v>
      </c>
      <c r="BB290" s="567" t="str">
        <f t="shared" si="552"/>
        <v/>
      </c>
      <c r="BC290" s="541">
        <f t="shared" si="574"/>
        <v>0</v>
      </c>
      <c r="BD290" s="541">
        <f t="shared" si="575"/>
        <v>0</v>
      </c>
      <c r="BE290" s="750"/>
      <c r="BF290" s="532" t="str">
        <f t="shared" si="553"/>
        <v/>
      </c>
      <c r="BG290" s="532" t="str">
        <f t="shared" si="576"/>
        <v>oui</v>
      </c>
      <c r="BH290" s="395" t="str">
        <f t="shared" si="554"/>
        <v/>
      </c>
      <c r="BI290" s="24" t="str">
        <f t="shared" si="555"/>
        <v/>
      </c>
      <c r="BJ290" s="1403"/>
      <c r="BK290" s="1403"/>
      <c r="BL290" s="1403"/>
      <c r="BM290" s="1403"/>
      <c r="BN290" s="1403"/>
      <c r="BO290" s="1403"/>
      <c r="BP290" s="1403"/>
      <c r="BQ290" s="1403"/>
      <c r="BS290" s="1392">
        <f t="shared" si="522"/>
        <v>45847</v>
      </c>
      <c r="BT290" s="27" t="str">
        <f t="shared" si="584"/>
        <v/>
      </c>
      <c r="BU290" s="1402"/>
      <c r="BV290" s="1402"/>
      <c r="BW290" s="1402"/>
      <c r="BX290" s="1402"/>
      <c r="BY290" s="1402"/>
      <c r="BZ290" s="1402"/>
      <c r="CA290" s="1402"/>
      <c r="CB290" s="1402"/>
      <c r="CD290" s="1408">
        <f t="shared" si="577"/>
        <v>0</v>
      </c>
      <c r="DC290" s="16" t="str">
        <f>Juillet!FC28</f>
        <v>non</v>
      </c>
      <c r="DG290" s="333">
        <f t="shared" si="578"/>
        <v>1</v>
      </c>
      <c r="DH290" s="129">
        <f t="shared" si="556"/>
        <v>10</v>
      </c>
      <c r="DI290" s="129">
        <f t="shared" si="579"/>
        <v>1</v>
      </c>
      <c r="DK290" s="16">
        <f>+IF(AND(Juillet!$DP$8&lt;&gt;52,AR290=S.CAL!$BJ$4),10,1)</f>
        <v>1</v>
      </c>
      <c r="DN290" s="16">
        <f t="shared" si="557"/>
        <v>1</v>
      </c>
      <c r="DU290" s="1296" t="str">
        <f t="shared" si="580"/>
        <v>Fiche infoA345847</v>
      </c>
      <c r="DV290" s="1384">
        <f t="shared" si="558"/>
        <v>0</v>
      </c>
      <c r="DW290" s="1385">
        <f t="shared" si="559"/>
        <v>0</v>
      </c>
      <c r="DX290" s="1385">
        <f t="shared" si="560"/>
        <v>0</v>
      </c>
      <c r="DY290" s="1385">
        <f t="shared" si="561"/>
        <v>0</v>
      </c>
      <c r="DZ290" s="1385">
        <f t="shared" si="562"/>
        <v>0</v>
      </c>
      <c r="EA290" s="1385">
        <f t="shared" si="563"/>
        <v>0</v>
      </c>
      <c r="EB290" s="1385">
        <f t="shared" si="564"/>
        <v>0</v>
      </c>
      <c r="EC290" s="1385">
        <f t="shared" si="565"/>
        <v>0</v>
      </c>
      <c r="ED290" s="1385">
        <f t="shared" si="581"/>
        <v>0</v>
      </c>
      <c r="EE290" s="1386">
        <f t="shared" si="582"/>
        <v>0</v>
      </c>
      <c r="EG290" s="16" t="str">
        <f t="shared" si="583"/>
        <v>282025</v>
      </c>
      <c r="EH290" s="16" t="str">
        <f t="shared" si="566"/>
        <v>Fiche infoA3</v>
      </c>
      <c r="EI290" s="16" t="str">
        <f t="shared" si="567"/>
        <v/>
      </c>
    </row>
    <row r="291" spans="1:139" x14ac:dyDescent="0.2">
      <c r="A291" s="1395" t="str">
        <f>Juillet!BJ29</f>
        <v>Fiche infoA4</v>
      </c>
      <c r="B291" s="829">
        <f>Juillet!AB29</f>
        <v>45848</v>
      </c>
      <c r="C291" s="1394"/>
      <c r="D291" s="1001">
        <f t="shared" si="523"/>
        <v>0</v>
      </c>
      <c r="E291" s="452">
        <f t="shared" si="524"/>
        <v>0</v>
      </c>
      <c r="F291" s="452">
        <f t="shared" si="525"/>
        <v>0</v>
      </c>
      <c r="G291" s="452">
        <f t="shared" si="526"/>
        <v>0</v>
      </c>
      <c r="H291" s="452">
        <f t="shared" si="527"/>
        <v>0</v>
      </c>
      <c r="I291" s="452">
        <f t="shared" si="528"/>
        <v>0</v>
      </c>
      <c r="J291" s="452">
        <f t="shared" si="529"/>
        <v>0</v>
      </c>
      <c r="K291" s="452">
        <f t="shared" si="530"/>
        <v>0</v>
      </c>
      <c r="L291" s="452">
        <f t="shared" si="568"/>
        <v>0</v>
      </c>
      <c r="M291" s="1002">
        <f t="shared" si="569"/>
        <v>0</v>
      </c>
      <c r="N291" s="1396"/>
      <c r="O291" s="1001">
        <f t="shared" ref="O291:O312" si="585">IF(AR291&lt;&gt;"",0,IF(DC291="oui",0,IF(AND(ISTEXT(AT291)=TRUE,BJ291=""),0,IF(BJ291="",D291,BJ291))))</f>
        <v>0</v>
      </c>
      <c r="P291" s="452">
        <f t="shared" ref="P291:P312" si="586">IF(AR291&lt;&gt;"",0,IF(DC291="oui",0,IF(AND(ISTEXT(AT291)=TRUE,BK291=""),0,IF(BK291="",E291,BK291))))</f>
        <v>0</v>
      </c>
      <c r="Q291" s="452">
        <f t="shared" ref="Q291:Q312" si="587">IF(AR291&lt;&gt;"",0,IF(DC291="oui",0,IF(AND(ISTEXT(AT291)=TRUE,BL291=""),0,IF(BL291="",F291,BL291))))</f>
        <v>0</v>
      </c>
      <c r="R291" s="452">
        <f t="shared" ref="R291:R312" si="588">IF(AR291&lt;&gt;"",0,IF(DC291="oui",0,IF(AND(ISTEXT(AT291)=TRUE,BM291=""),0,IF(BM291="",G291,BM291))))</f>
        <v>0</v>
      </c>
      <c r="S291" s="452">
        <f t="shared" ref="S291:S312" si="589">IF(AR291&lt;&gt;"",0,IF(DC291="oui",0,IF(AND(ISTEXT(AT291)=TRUE,BN291=""),0,IF(BN291="",H291,BN291))))</f>
        <v>0</v>
      </c>
      <c r="T291" s="452">
        <f t="shared" ref="T291:T312" si="590">IF(AR291&lt;&gt;"",0,IF(DC291="oui",0,IF(AND(ISTEXT(AT291)=TRUE,BO291=""),0,IF(BO291="",I291,BO291))))</f>
        <v>0</v>
      </c>
      <c r="U291" s="452">
        <f t="shared" ref="U291:U312" si="591">IF(AR291&lt;&gt;"",0,IF(DC291="oui",0,IF(AND(ISTEXT(AT291)=TRUE,BP291=""),0,IF(BP291="",J291,BP291))))</f>
        <v>0</v>
      </c>
      <c r="V291" s="452">
        <f t="shared" ref="V291:V312" si="592">IF(AR291&lt;&gt;"",0,IF(DC291="oui",0,IF(AND(ISTEXT(AT291)=TRUE,BQ291=""),0,IF(BQ291="",K291,BQ291))))</f>
        <v>0</v>
      </c>
      <c r="W291" s="452">
        <f t="shared" si="539"/>
        <v>0</v>
      </c>
      <c r="X291" s="1002">
        <f t="shared" si="540"/>
        <v>0</v>
      </c>
      <c r="Y291" s="1397"/>
      <c r="Z291" s="1398">
        <f t="shared" si="541"/>
        <v>0</v>
      </c>
      <c r="AA291" s="1398">
        <f t="shared" si="542"/>
        <v>0</v>
      </c>
      <c r="AB291" s="1398">
        <f t="shared" si="543"/>
        <v>0</v>
      </c>
      <c r="AC291" s="1398">
        <f t="shared" si="544"/>
        <v>0</v>
      </c>
      <c r="AD291" s="1398">
        <f t="shared" si="545"/>
        <v>0</v>
      </c>
      <c r="AE291" s="1398">
        <f t="shared" si="546"/>
        <v>0</v>
      </c>
      <c r="AF291" s="1398">
        <f t="shared" si="547"/>
        <v>0</v>
      </c>
      <c r="AG291" s="1398">
        <f t="shared" si="548"/>
        <v>0</v>
      </c>
      <c r="AH291" s="1396"/>
      <c r="AI291" s="462">
        <f t="shared" ref="AI291:AI312" si="593">IF(DC291="oui",0,IF(AND(ISTEXT(AT291)=TRUE,OR(X291=0,X291="")),0,ROUND(((((AA291-Z291)-(E291-D291))+((AC291-AB291)-(G291-F291))+((AE291-AD291)-(I291-H291))+(AG291-AF291)-(K291-J291))*24),2)))</f>
        <v>0</v>
      </c>
      <c r="AJ291" s="1112"/>
      <c r="AK291" s="1399"/>
      <c r="AL291" s="829">
        <f t="shared" si="550"/>
        <v>45848</v>
      </c>
      <c r="AM291" s="684">
        <f>IFERROR(IF(AND(AT291="",AR291&lt;&gt;S.CAL!$BJ$3,AR291&lt;&gt;S.CAL!$BJ$4,$AR$275="NON"),M291-BD291,IF(AND(AT291="",AR291&lt;&gt;S.CAL!$BJ$3,AR291&lt;&gt;S.CAL!$BJ$4,$AR$275="OUI"),X291-AI291,IF(AT291&lt;&gt;0,AT291,IF(OR(AR291=S.CAL!$BJ$3,AR291=S.CAL!$BJ$4),AR291,"")))),"")</f>
        <v>0</v>
      </c>
      <c r="AN291" s="1115"/>
      <c r="AO291" s="1116"/>
      <c r="AP291" s="684">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400">
        <f t="shared" si="570"/>
        <v>0</v>
      </c>
      <c r="AR291" s="1120"/>
      <c r="AS291" s="1396"/>
      <c r="AT291" s="1123"/>
      <c r="AU291" s="831"/>
      <c r="AV291" s="1392">
        <f t="shared" si="551"/>
        <v>45848</v>
      </c>
      <c r="AW291" s="1396"/>
      <c r="AX291" s="529">
        <f t="shared" si="571"/>
        <v>45848</v>
      </c>
      <c r="AY291" s="541">
        <f t="shared" si="572"/>
        <v>0</v>
      </c>
      <c r="AZ291" s="538" t="s">
        <v>146</v>
      </c>
      <c r="BA291" s="534">
        <f t="shared" si="573"/>
        <v>0</v>
      </c>
      <c r="BB291" s="567" t="str">
        <f t="shared" si="552"/>
        <v/>
      </c>
      <c r="BC291" s="541">
        <f t="shared" si="574"/>
        <v>0</v>
      </c>
      <c r="BD291" s="541">
        <f t="shared" si="575"/>
        <v>0</v>
      </c>
      <c r="BE291" s="750"/>
      <c r="BF291" s="532" t="str">
        <f t="shared" si="553"/>
        <v/>
      </c>
      <c r="BG291" s="532" t="str">
        <f t="shared" si="576"/>
        <v>oui</v>
      </c>
      <c r="BH291" s="395" t="str">
        <f t="shared" si="554"/>
        <v/>
      </c>
      <c r="BI291" s="24" t="str">
        <f t="shared" si="555"/>
        <v/>
      </c>
      <c r="BJ291" s="1404"/>
      <c r="BK291" s="1404"/>
      <c r="BL291" s="1404"/>
      <c r="BM291" s="1404"/>
      <c r="BN291" s="1404"/>
      <c r="BO291" s="1404"/>
      <c r="BP291" s="1404"/>
      <c r="BQ291" s="1404"/>
      <c r="BR291" s="1405"/>
      <c r="BS291" s="1392">
        <f t="shared" si="522"/>
        <v>45848</v>
      </c>
      <c r="BT291" s="1406" t="str">
        <f t="shared" si="584"/>
        <v/>
      </c>
      <c r="BU291" s="1404"/>
      <c r="BV291" s="1404"/>
      <c r="BW291" s="1404"/>
      <c r="BX291" s="1404"/>
      <c r="BY291" s="1404"/>
      <c r="BZ291" s="1404"/>
      <c r="CA291" s="1404"/>
      <c r="CB291" s="1404"/>
      <c r="CD291" s="1408">
        <f t="shared" si="577"/>
        <v>0</v>
      </c>
      <c r="DC291" s="16" t="str">
        <f>Juillet!FC29</f>
        <v>non</v>
      </c>
      <c r="DG291" s="333">
        <f t="shared" si="578"/>
        <v>1</v>
      </c>
      <c r="DH291" s="129">
        <f t="shared" si="556"/>
        <v>10</v>
      </c>
      <c r="DI291" s="129">
        <f t="shared" si="579"/>
        <v>1</v>
      </c>
      <c r="DK291" s="16">
        <f>+IF(AND(Juillet!$DP$8&lt;&gt;52,AR291=S.CAL!$BJ$4),10,1)</f>
        <v>1</v>
      </c>
      <c r="DN291" s="16">
        <f t="shared" si="557"/>
        <v>1</v>
      </c>
      <c r="DU291" s="1296" t="str">
        <f t="shared" si="580"/>
        <v>Fiche infoA445848</v>
      </c>
      <c r="DV291" s="1384">
        <f t="shared" si="558"/>
        <v>0</v>
      </c>
      <c r="DW291" s="1385">
        <f t="shared" si="559"/>
        <v>0</v>
      </c>
      <c r="DX291" s="1385">
        <f t="shared" si="560"/>
        <v>0</v>
      </c>
      <c r="DY291" s="1385">
        <f t="shared" si="561"/>
        <v>0</v>
      </c>
      <c r="DZ291" s="1385">
        <f t="shared" si="562"/>
        <v>0</v>
      </c>
      <c r="EA291" s="1385">
        <f t="shared" si="563"/>
        <v>0</v>
      </c>
      <c r="EB291" s="1385">
        <f t="shared" si="564"/>
        <v>0</v>
      </c>
      <c r="EC291" s="1385">
        <f t="shared" si="565"/>
        <v>0</v>
      </c>
      <c r="ED291" s="1385">
        <f t="shared" si="581"/>
        <v>0</v>
      </c>
      <c r="EE291" s="1386">
        <f t="shared" si="582"/>
        <v>0</v>
      </c>
      <c r="EG291" s="16" t="str">
        <f t="shared" si="583"/>
        <v>282025</v>
      </c>
      <c r="EH291" s="16" t="str">
        <f t="shared" si="566"/>
        <v>Fiche infoA4</v>
      </c>
      <c r="EI291" s="16" t="str">
        <f t="shared" si="567"/>
        <v/>
      </c>
    </row>
    <row r="292" spans="1:139" x14ac:dyDescent="0.2">
      <c r="A292" s="24" t="str">
        <f>Juillet!BJ30</f>
        <v>Fiche infoA5</v>
      </c>
      <c r="B292" s="829">
        <f>Juillet!AB30</f>
        <v>45849</v>
      </c>
      <c r="C292" s="1393"/>
      <c r="D292" s="1001">
        <f t="shared" si="523"/>
        <v>0</v>
      </c>
      <c r="E292" s="452">
        <f t="shared" si="524"/>
        <v>0</v>
      </c>
      <c r="F292" s="452">
        <f t="shared" si="525"/>
        <v>0</v>
      </c>
      <c r="G292" s="452">
        <f t="shared" si="526"/>
        <v>0</v>
      </c>
      <c r="H292" s="452">
        <f t="shared" si="527"/>
        <v>0</v>
      </c>
      <c r="I292" s="452">
        <f t="shared" si="528"/>
        <v>0</v>
      </c>
      <c r="J292" s="452">
        <f t="shared" si="529"/>
        <v>0</v>
      </c>
      <c r="K292" s="452">
        <f t="shared" si="530"/>
        <v>0</v>
      </c>
      <c r="L292" s="452">
        <f t="shared" si="568"/>
        <v>0</v>
      </c>
      <c r="M292" s="1002">
        <f t="shared" si="569"/>
        <v>0</v>
      </c>
      <c r="O292" s="1001">
        <f t="shared" si="585"/>
        <v>0</v>
      </c>
      <c r="P292" s="452">
        <f t="shared" si="586"/>
        <v>0</v>
      </c>
      <c r="Q292" s="452">
        <f t="shared" si="587"/>
        <v>0</v>
      </c>
      <c r="R292" s="452">
        <f t="shared" si="588"/>
        <v>0</v>
      </c>
      <c r="S292" s="452">
        <f t="shared" si="589"/>
        <v>0</v>
      </c>
      <c r="T292" s="452">
        <f t="shared" si="590"/>
        <v>0</v>
      </c>
      <c r="U292" s="452">
        <f t="shared" si="591"/>
        <v>0</v>
      </c>
      <c r="V292" s="452">
        <f t="shared" si="592"/>
        <v>0</v>
      </c>
      <c r="W292" s="452">
        <f t="shared" si="539"/>
        <v>0</v>
      </c>
      <c r="X292" s="1002">
        <f t="shared" si="540"/>
        <v>0</v>
      </c>
      <c r="Y292" s="459"/>
      <c r="Z292" s="291">
        <f t="shared" si="541"/>
        <v>0</v>
      </c>
      <c r="AA292" s="291">
        <f t="shared" si="542"/>
        <v>0</v>
      </c>
      <c r="AB292" s="291">
        <f t="shared" si="543"/>
        <v>0</v>
      </c>
      <c r="AC292" s="291">
        <f t="shared" si="544"/>
        <v>0</v>
      </c>
      <c r="AD292" s="291">
        <f t="shared" si="545"/>
        <v>0</v>
      </c>
      <c r="AE292" s="291">
        <f t="shared" si="546"/>
        <v>0</v>
      </c>
      <c r="AF292" s="291">
        <f t="shared" si="547"/>
        <v>0</v>
      </c>
      <c r="AG292" s="291">
        <f t="shared" si="548"/>
        <v>0</v>
      </c>
      <c r="AI292" s="462">
        <f t="shared" si="593"/>
        <v>0</v>
      </c>
      <c r="AJ292" s="1112"/>
      <c r="AK292" s="507"/>
      <c r="AL292" s="829">
        <f t="shared" si="550"/>
        <v>45849</v>
      </c>
      <c r="AM292" s="684">
        <f>IFERROR(IF(AND(AT292="",AR292&lt;&gt;S.CAL!$BJ$3,AR292&lt;&gt;S.CAL!$BJ$4,$AR$275="NON"),M292-BD292,IF(AND(AT292="",AR292&lt;&gt;S.CAL!$BJ$3,AR292&lt;&gt;S.CAL!$BJ$4,$AR$275="OUI"),X292-AI292,IF(AT292&lt;&gt;0,AT292,IF(OR(AR292=S.CAL!$BJ$3,AR292=S.CAL!$BJ$4),AR292,"")))),"")</f>
        <v>0</v>
      </c>
      <c r="AN292" s="1115"/>
      <c r="AO292" s="1116"/>
      <c r="AP292" s="684">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516">
        <f t="shared" si="570"/>
        <v>0</v>
      </c>
      <c r="AR292" s="1120"/>
      <c r="AT292" s="1123"/>
      <c r="AU292" s="831"/>
      <c r="AV292" s="1392">
        <f t="shared" si="551"/>
        <v>45849</v>
      </c>
      <c r="AX292" s="529">
        <f t="shared" si="571"/>
        <v>45849</v>
      </c>
      <c r="AY292" s="541">
        <f t="shared" si="572"/>
        <v>0</v>
      </c>
      <c r="AZ292" s="538" t="s">
        <v>146</v>
      </c>
      <c r="BA292" s="534">
        <f t="shared" si="573"/>
        <v>0</v>
      </c>
      <c r="BB292" s="567" t="str">
        <f t="shared" si="552"/>
        <v/>
      </c>
      <c r="BC292" s="541">
        <f t="shared" si="574"/>
        <v>0</v>
      </c>
      <c r="BD292" s="541">
        <f t="shared" si="575"/>
        <v>0</v>
      </c>
      <c r="BE292" s="750"/>
      <c r="BF292" s="532" t="str">
        <f t="shared" si="553"/>
        <v/>
      </c>
      <c r="BG292" s="532" t="str">
        <f t="shared" si="576"/>
        <v>oui</v>
      </c>
      <c r="BH292" s="395" t="str">
        <f t="shared" si="554"/>
        <v/>
      </c>
      <c r="BI292" s="24" t="str">
        <f t="shared" si="555"/>
        <v/>
      </c>
      <c r="BJ292" s="1403"/>
      <c r="BK292" s="1403"/>
      <c r="BL292" s="1403"/>
      <c r="BM292" s="1403"/>
      <c r="BN292" s="1403"/>
      <c r="BO292" s="1403"/>
      <c r="BP292" s="1403"/>
      <c r="BQ292" s="1403"/>
      <c r="BS292" s="1392">
        <f t="shared" si="522"/>
        <v>45849</v>
      </c>
      <c r="BT292" s="27" t="str">
        <f t="shared" si="584"/>
        <v/>
      </c>
      <c r="BU292" s="1402"/>
      <c r="BV292" s="1402"/>
      <c r="BW292" s="1402"/>
      <c r="BX292" s="1402"/>
      <c r="BY292" s="1402"/>
      <c r="BZ292" s="1402"/>
      <c r="CA292" s="1402"/>
      <c r="CB292" s="1402"/>
      <c r="CD292" s="1408">
        <f t="shared" si="577"/>
        <v>0</v>
      </c>
      <c r="DC292" s="16" t="str">
        <f>Juillet!FC30</f>
        <v>non</v>
      </c>
      <c r="DG292" s="333">
        <f t="shared" si="578"/>
        <v>1</v>
      </c>
      <c r="DH292" s="129">
        <f t="shared" si="556"/>
        <v>10</v>
      </c>
      <c r="DI292" s="129">
        <f t="shared" si="579"/>
        <v>1</v>
      </c>
      <c r="DK292" s="16">
        <f>+IF(AND(Juillet!$DP$8&lt;&gt;52,AR292=S.CAL!$BJ$4),10,1)</f>
        <v>1</v>
      </c>
      <c r="DN292" s="16">
        <f t="shared" si="557"/>
        <v>1</v>
      </c>
      <c r="DU292" s="1296" t="str">
        <f t="shared" si="580"/>
        <v>Fiche infoA545849</v>
      </c>
      <c r="DV292" s="1384">
        <f t="shared" si="558"/>
        <v>0</v>
      </c>
      <c r="DW292" s="1385">
        <f t="shared" si="559"/>
        <v>0</v>
      </c>
      <c r="DX292" s="1385">
        <f t="shared" si="560"/>
        <v>0</v>
      </c>
      <c r="DY292" s="1385">
        <f t="shared" si="561"/>
        <v>0</v>
      </c>
      <c r="DZ292" s="1385">
        <f t="shared" si="562"/>
        <v>0</v>
      </c>
      <c r="EA292" s="1385">
        <f t="shared" si="563"/>
        <v>0</v>
      </c>
      <c r="EB292" s="1385">
        <f t="shared" si="564"/>
        <v>0</v>
      </c>
      <c r="EC292" s="1385">
        <f t="shared" si="565"/>
        <v>0</v>
      </c>
      <c r="ED292" s="1385">
        <f t="shared" si="581"/>
        <v>0</v>
      </c>
      <c r="EE292" s="1386">
        <f t="shared" si="582"/>
        <v>0</v>
      </c>
      <c r="EG292" s="16" t="str">
        <f t="shared" si="583"/>
        <v>282025</v>
      </c>
      <c r="EH292" s="16" t="str">
        <f t="shared" si="566"/>
        <v>Fiche infoA5</v>
      </c>
      <c r="EI292" s="16" t="str">
        <f t="shared" si="567"/>
        <v/>
      </c>
    </row>
    <row r="293" spans="1:139" x14ac:dyDescent="0.2">
      <c r="A293" s="1395" t="str">
        <f>Juillet!BJ31</f>
        <v>Fiche infoA6</v>
      </c>
      <c r="B293" s="829">
        <f>Juillet!AB31</f>
        <v>45850</v>
      </c>
      <c r="C293" s="1394"/>
      <c r="D293" s="1001">
        <f t="shared" si="523"/>
        <v>0</v>
      </c>
      <c r="E293" s="452">
        <f t="shared" si="524"/>
        <v>0</v>
      </c>
      <c r="F293" s="452">
        <f t="shared" si="525"/>
        <v>0</v>
      </c>
      <c r="G293" s="452">
        <f t="shared" si="526"/>
        <v>0</v>
      </c>
      <c r="H293" s="452">
        <f t="shared" si="527"/>
        <v>0</v>
      </c>
      <c r="I293" s="452">
        <f t="shared" si="528"/>
        <v>0</v>
      </c>
      <c r="J293" s="452">
        <f t="shared" si="529"/>
        <v>0</v>
      </c>
      <c r="K293" s="452">
        <f t="shared" si="530"/>
        <v>0</v>
      </c>
      <c r="L293" s="452">
        <f t="shared" si="568"/>
        <v>0</v>
      </c>
      <c r="M293" s="1002">
        <f t="shared" si="569"/>
        <v>0</v>
      </c>
      <c r="N293" s="1396"/>
      <c r="O293" s="1001">
        <f t="shared" si="585"/>
        <v>0</v>
      </c>
      <c r="P293" s="452">
        <f t="shared" si="586"/>
        <v>0</v>
      </c>
      <c r="Q293" s="452">
        <f t="shared" si="587"/>
        <v>0</v>
      </c>
      <c r="R293" s="452">
        <f t="shared" si="588"/>
        <v>0</v>
      </c>
      <c r="S293" s="452">
        <f t="shared" si="589"/>
        <v>0</v>
      </c>
      <c r="T293" s="452">
        <f t="shared" si="590"/>
        <v>0</v>
      </c>
      <c r="U293" s="452">
        <f t="shared" si="591"/>
        <v>0</v>
      </c>
      <c r="V293" s="452">
        <f t="shared" si="592"/>
        <v>0</v>
      </c>
      <c r="W293" s="452">
        <f t="shared" si="539"/>
        <v>0</v>
      </c>
      <c r="X293" s="1002">
        <f t="shared" si="540"/>
        <v>0</v>
      </c>
      <c r="Y293" s="1397"/>
      <c r="Z293" s="1398">
        <f t="shared" si="541"/>
        <v>0</v>
      </c>
      <c r="AA293" s="1398">
        <f t="shared" si="542"/>
        <v>0</v>
      </c>
      <c r="AB293" s="1398">
        <f t="shared" si="543"/>
        <v>0</v>
      </c>
      <c r="AC293" s="1398">
        <f t="shared" si="544"/>
        <v>0</v>
      </c>
      <c r="AD293" s="1398">
        <f t="shared" si="545"/>
        <v>0</v>
      </c>
      <c r="AE293" s="1398">
        <f t="shared" si="546"/>
        <v>0</v>
      </c>
      <c r="AF293" s="1398">
        <f t="shared" si="547"/>
        <v>0</v>
      </c>
      <c r="AG293" s="1398">
        <f t="shared" si="548"/>
        <v>0</v>
      </c>
      <c r="AH293" s="1396"/>
      <c r="AI293" s="462">
        <f t="shared" si="593"/>
        <v>0</v>
      </c>
      <c r="AJ293" s="1112"/>
      <c r="AK293" s="1399"/>
      <c r="AL293" s="829">
        <f t="shared" si="550"/>
        <v>45850</v>
      </c>
      <c r="AM293" s="684">
        <f>IFERROR(IF(AND(AT293="",AR293&lt;&gt;S.CAL!$BJ$3,AR293&lt;&gt;S.CAL!$BJ$4,$AR$275="NON"),M293-BD293,IF(AND(AT293="",AR293&lt;&gt;S.CAL!$BJ$3,AR293&lt;&gt;S.CAL!$BJ$4,$AR$275="OUI"),X293-AI293,IF(AT293&lt;&gt;0,AT293,IF(OR(AR293=S.CAL!$BJ$3,AR293=S.CAL!$BJ$4),AR293,"")))),"")</f>
        <v>0</v>
      </c>
      <c r="AN293" s="1115"/>
      <c r="AO293" s="1116"/>
      <c r="AP293" s="684">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400">
        <f t="shared" si="570"/>
        <v>0</v>
      </c>
      <c r="AR293" s="1120"/>
      <c r="AS293" s="1396"/>
      <c r="AT293" s="1123"/>
      <c r="AU293" s="831"/>
      <c r="AV293" s="1392">
        <f t="shared" si="551"/>
        <v>45850</v>
      </c>
      <c r="AW293" s="1396"/>
      <c r="AX293" s="529">
        <f t="shared" si="571"/>
        <v>45850</v>
      </c>
      <c r="AY293" s="541">
        <f t="shared" si="572"/>
        <v>0</v>
      </c>
      <c r="AZ293" s="538" t="s">
        <v>146</v>
      </c>
      <c r="BA293" s="534">
        <f t="shared" si="573"/>
        <v>0</v>
      </c>
      <c r="BB293" s="567" t="str">
        <f t="shared" si="552"/>
        <v/>
      </c>
      <c r="BC293" s="541">
        <f t="shared" si="574"/>
        <v>0</v>
      </c>
      <c r="BD293" s="541">
        <f t="shared" si="575"/>
        <v>0</v>
      </c>
      <c r="BE293" s="750"/>
      <c r="BF293" s="532" t="str">
        <f t="shared" si="553"/>
        <v/>
      </c>
      <c r="BG293" s="532" t="str">
        <f t="shared" si="576"/>
        <v>oui</v>
      </c>
      <c r="BH293" s="395" t="str">
        <f t="shared" si="554"/>
        <v/>
      </c>
      <c r="BI293" s="24" t="str">
        <f t="shared" si="555"/>
        <v/>
      </c>
      <c r="BJ293" s="1404"/>
      <c r="BK293" s="1404"/>
      <c r="BL293" s="1404"/>
      <c r="BM293" s="1404"/>
      <c r="BN293" s="1404"/>
      <c r="BO293" s="1404"/>
      <c r="BP293" s="1404"/>
      <c r="BQ293" s="1404"/>
      <c r="BR293" s="1405"/>
      <c r="BS293" s="1392">
        <f t="shared" si="522"/>
        <v>45850</v>
      </c>
      <c r="BT293" s="1406" t="str">
        <f t="shared" si="584"/>
        <v/>
      </c>
      <c r="BU293" s="1404"/>
      <c r="BV293" s="1404"/>
      <c r="BW293" s="1404"/>
      <c r="BX293" s="1404"/>
      <c r="BY293" s="1404"/>
      <c r="BZ293" s="1404"/>
      <c r="CA293" s="1404"/>
      <c r="CB293" s="1404"/>
      <c r="CD293" s="1408">
        <f t="shared" si="577"/>
        <v>0</v>
      </c>
      <c r="DC293" s="16" t="str">
        <f>Juillet!FC31</f>
        <v>non</v>
      </c>
      <c r="DG293" s="333">
        <f t="shared" si="578"/>
        <v>1</v>
      </c>
      <c r="DH293" s="129">
        <f t="shared" si="556"/>
        <v>10</v>
      </c>
      <c r="DI293" s="129">
        <f t="shared" si="579"/>
        <v>1</v>
      </c>
      <c r="DK293" s="16">
        <f>+IF(AND(Juillet!$DP$8&lt;&gt;52,AR293=S.CAL!$BJ$4),10,1)</f>
        <v>1</v>
      </c>
      <c r="DN293" s="16">
        <f t="shared" si="557"/>
        <v>1</v>
      </c>
      <c r="DU293" s="1296" t="str">
        <f t="shared" si="580"/>
        <v>Fiche infoA645850</v>
      </c>
      <c r="DV293" s="1384">
        <f t="shared" si="558"/>
        <v>0</v>
      </c>
      <c r="DW293" s="1385">
        <f t="shared" si="559"/>
        <v>0</v>
      </c>
      <c r="DX293" s="1385">
        <f t="shared" si="560"/>
        <v>0</v>
      </c>
      <c r="DY293" s="1385">
        <f t="shared" si="561"/>
        <v>0</v>
      </c>
      <c r="DZ293" s="1385">
        <f t="shared" si="562"/>
        <v>0</v>
      </c>
      <c r="EA293" s="1385">
        <f t="shared" si="563"/>
        <v>0</v>
      </c>
      <c r="EB293" s="1385">
        <f t="shared" si="564"/>
        <v>0</v>
      </c>
      <c r="EC293" s="1385">
        <f t="shared" si="565"/>
        <v>0</v>
      </c>
      <c r="ED293" s="1385">
        <f t="shared" si="581"/>
        <v>0</v>
      </c>
      <c r="EE293" s="1386">
        <f t="shared" si="582"/>
        <v>0</v>
      </c>
      <c r="EG293" s="16" t="str">
        <f t="shared" si="583"/>
        <v>282025</v>
      </c>
      <c r="EH293" s="16" t="str">
        <f t="shared" si="566"/>
        <v>Fiche infoA6</v>
      </c>
      <c r="EI293" s="16" t="str">
        <f t="shared" si="567"/>
        <v/>
      </c>
    </row>
    <row r="294" spans="1:139" x14ac:dyDescent="0.2">
      <c r="A294" s="24" t="str">
        <f>Juillet!BJ32</f>
        <v>Fiche infoA7</v>
      </c>
      <c r="B294" s="829">
        <f>Juillet!AB32</f>
        <v>45851</v>
      </c>
      <c r="C294" s="1393"/>
      <c r="D294" s="1001">
        <f t="shared" si="523"/>
        <v>0</v>
      </c>
      <c r="E294" s="452">
        <f t="shared" si="524"/>
        <v>0</v>
      </c>
      <c r="F294" s="452">
        <f t="shared" si="525"/>
        <v>0</v>
      </c>
      <c r="G294" s="452">
        <f t="shared" si="526"/>
        <v>0</v>
      </c>
      <c r="H294" s="452">
        <f t="shared" si="527"/>
        <v>0</v>
      </c>
      <c r="I294" s="452">
        <f t="shared" si="528"/>
        <v>0</v>
      </c>
      <c r="J294" s="452">
        <f t="shared" si="529"/>
        <v>0</v>
      </c>
      <c r="K294" s="452">
        <f t="shared" si="530"/>
        <v>0</v>
      </c>
      <c r="L294" s="452">
        <f t="shared" si="568"/>
        <v>0</v>
      </c>
      <c r="M294" s="1002">
        <f t="shared" si="569"/>
        <v>0</v>
      </c>
      <c r="O294" s="1001">
        <f t="shared" si="585"/>
        <v>0</v>
      </c>
      <c r="P294" s="452">
        <f t="shared" si="586"/>
        <v>0</v>
      </c>
      <c r="Q294" s="452">
        <f t="shared" si="587"/>
        <v>0</v>
      </c>
      <c r="R294" s="452">
        <f t="shared" si="588"/>
        <v>0</v>
      </c>
      <c r="S294" s="452">
        <f t="shared" si="589"/>
        <v>0</v>
      </c>
      <c r="T294" s="452">
        <f t="shared" si="590"/>
        <v>0</v>
      </c>
      <c r="U294" s="452">
        <f t="shared" si="591"/>
        <v>0</v>
      </c>
      <c r="V294" s="452">
        <f t="shared" si="592"/>
        <v>0</v>
      </c>
      <c r="W294" s="452">
        <f t="shared" si="539"/>
        <v>0</v>
      </c>
      <c r="X294" s="1002">
        <f t="shared" si="540"/>
        <v>0</v>
      </c>
      <c r="Y294" s="459"/>
      <c r="Z294" s="291">
        <f t="shared" si="541"/>
        <v>0</v>
      </c>
      <c r="AA294" s="291">
        <f t="shared" si="542"/>
        <v>0</v>
      </c>
      <c r="AB294" s="291">
        <f t="shared" si="543"/>
        <v>0</v>
      </c>
      <c r="AC294" s="291">
        <f t="shared" si="544"/>
        <v>0</v>
      </c>
      <c r="AD294" s="291">
        <f t="shared" si="545"/>
        <v>0</v>
      </c>
      <c r="AE294" s="291">
        <f t="shared" si="546"/>
        <v>0</v>
      </c>
      <c r="AF294" s="291">
        <f t="shared" si="547"/>
        <v>0</v>
      </c>
      <c r="AG294" s="291">
        <f t="shared" si="548"/>
        <v>0</v>
      </c>
      <c r="AI294" s="462">
        <f t="shared" si="593"/>
        <v>0</v>
      </c>
      <c r="AJ294" s="1112"/>
      <c r="AK294" s="507"/>
      <c r="AL294" s="829">
        <f t="shared" si="550"/>
        <v>45851</v>
      </c>
      <c r="AM294" s="684">
        <f>IFERROR(IF(AND(AT294="",AR294&lt;&gt;S.CAL!$BJ$3,AR294&lt;&gt;S.CAL!$BJ$4,$AR$275="NON"),M294-BD294,IF(AND(AT294="",AR294&lt;&gt;S.CAL!$BJ$3,AR294&lt;&gt;S.CAL!$BJ$4,$AR$275="OUI"),X294-AI294,IF(AT294&lt;&gt;0,AT294,IF(OR(AR294=S.CAL!$BJ$3,AR294=S.CAL!$BJ$4),AR294,"")))),"")</f>
        <v>0</v>
      </c>
      <c r="AN294" s="1115"/>
      <c r="AO294" s="1116"/>
      <c r="AP294" s="684">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516">
        <f t="shared" si="570"/>
        <v>0</v>
      </c>
      <c r="AR294" s="1120"/>
      <c r="AT294" s="1123"/>
      <c r="AU294" s="831"/>
      <c r="AV294" s="1392">
        <f t="shared" si="551"/>
        <v>45851</v>
      </c>
      <c r="AX294" s="529">
        <f t="shared" si="571"/>
        <v>45851</v>
      </c>
      <c r="AY294" s="541">
        <f t="shared" si="572"/>
        <v>0</v>
      </c>
      <c r="AZ294" s="538" t="s">
        <v>146</v>
      </c>
      <c r="BA294" s="534">
        <f t="shared" si="573"/>
        <v>0</v>
      </c>
      <c r="BB294" s="567" t="str">
        <f t="shared" si="552"/>
        <v/>
      </c>
      <c r="BC294" s="541">
        <f t="shared" si="574"/>
        <v>0</v>
      </c>
      <c r="BD294" s="541">
        <f t="shared" si="575"/>
        <v>0</v>
      </c>
      <c r="BE294" s="750"/>
      <c r="BF294" s="532" t="str">
        <f t="shared" si="553"/>
        <v/>
      </c>
      <c r="BG294" s="532" t="str">
        <f t="shared" si="576"/>
        <v>oui</v>
      </c>
      <c r="BH294" s="395" t="str">
        <f t="shared" si="554"/>
        <v/>
      </c>
      <c r="BI294" s="24" t="str">
        <f t="shared" si="555"/>
        <v/>
      </c>
      <c r="BJ294" s="1403"/>
      <c r="BK294" s="1403"/>
      <c r="BL294" s="1403"/>
      <c r="BM294" s="1403"/>
      <c r="BN294" s="1403"/>
      <c r="BO294" s="1403"/>
      <c r="BP294" s="1403"/>
      <c r="BQ294" s="1403"/>
      <c r="BS294" s="1392">
        <f t="shared" si="522"/>
        <v>45851</v>
      </c>
      <c r="BT294" s="27" t="str">
        <f t="shared" si="584"/>
        <v/>
      </c>
      <c r="BU294" s="1402"/>
      <c r="BV294" s="1402"/>
      <c r="BW294" s="1402"/>
      <c r="BX294" s="1402"/>
      <c r="BY294" s="1402"/>
      <c r="BZ294" s="1402"/>
      <c r="CA294" s="1402"/>
      <c r="CB294" s="1402"/>
      <c r="CD294" s="1408">
        <f t="shared" si="577"/>
        <v>0</v>
      </c>
      <c r="DC294" s="16" t="str">
        <f>Juillet!FC32</f>
        <v>non</v>
      </c>
      <c r="DG294" s="333">
        <f t="shared" si="578"/>
        <v>1</v>
      </c>
      <c r="DH294" s="129">
        <f t="shared" si="556"/>
        <v>10</v>
      </c>
      <c r="DI294" s="129">
        <f t="shared" si="579"/>
        <v>1</v>
      </c>
      <c r="DK294" s="16">
        <f>+IF(AND(Juillet!$DP$8&lt;&gt;52,AR294=S.CAL!$BJ$4),10,1)</f>
        <v>1</v>
      </c>
      <c r="DN294" s="16">
        <f t="shared" si="557"/>
        <v>1</v>
      </c>
      <c r="DU294" s="1296" t="str">
        <f t="shared" si="580"/>
        <v>Fiche infoA745851</v>
      </c>
      <c r="DV294" s="1384">
        <f t="shared" si="558"/>
        <v>0</v>
      </c>
      <c r="DW294" s="1385">
        <f t="shared" si="559"/>
        <v>0</v>
      </c>
      <c r="DX294" s="1385">
        <f t="shared" si="560"/>
        <v>0</v>
      </c>
      <c r="DY294" s="1385">
        <f t="shared" si="561"/>
        <v>0</v>
      </c>
      <c r="DZ294" s="1385">
        <f t="shared" si="562"/>
        <v>0</v>
      </c>
      <c r="EA294" s="1385">
        <f t="shared" si="563"/>
        <v>0</v>
      </c>
      <c r="EB294" s="1385">
        <f t="shared" si="564"/>
        <v>0</v>
      </c>
      <c r="EC294" s="1385">
        <f t="shared" si="565"/>
        <v>0</v>
      </c>
      <c r="ED294" s="1385">
        <f t="shared" si="581"/>
        <v>0</v>
      </c>
      <c r="EE294" s="1386">
        <f t="shared" si="582"/>
        <v>0</v>
      </c>
      <c r="EG294" s="16" t="str">
        <f t="shared" si="583"/>
        <v>282025</v>
      </c>
      <c r="EH294" s="16" t="str">
        <f t="shared" si="566"/>
        <v>Fiche infoA7</v>
      </c>
      <c r="EI294" s="16" t="str">
        <f t="shared" si="567"/>
        <v/>
      </c>
    </row>
    <row r="295" spans="1:139" x14ac:dyDescent="0.2">
      <c r="A295" s="1395" t="str">
        <f>Juillet!BJ33</f>
        <v>Fiche infoA1</v>
      </c>
      <c r="B295" s="829">
        <f>Juillet!AB33</f>
        <v>45852</v>
      </c>
      <c r="C295" s="1394"/>
      <c r="D295" s="1001">
        <f t="shared" si="523"/>
        <v>0</v>
      </c>
      <c r="E295" s="452">
        <f t="shared" si="524"/>
        <v>0</v>
      </c>
      <c r="F295" s="452">
        <f t="shared" si="525"/>
        <v>0</v>
      </c>
      <c r="G295" s="452">
        <f t="shared" si="526"/>
        <v>0</v>
      </c>
      <c r="H295" s="452">
        <f t="shared" si="527"/>
        <v>0</v>
      </c>
      <c r="I295" s="452">
        <f t="shared" si="528"/>
        <v>0</v>
      </c>
      <c r="J295" s="452">
        <f t="shared" si="529"/>
        <v>0</v>
      </c>
      <c r="K295" s="452">
        <f t="shared" si="530"/>
        <v>0</v>
      </c>
      <c r="L295" s="452">
        <f t="shared" si="568"/>
        <v>0</v>
      </c>
      <c r="M295" s="1002">
        <f t="shared" si="569"/>
        <v>0</v>
      </c>
      <c r="N295" s="1396"/>
      <c r="O295" s="1001">
        <f t="shared" si="585"/>
        <v>0</v>
      </c>
      <c r="P295" s="452">
        <f t="shared" si="586"/>
        <v>0</v>
      </c>
      <c r="Q295" s="452">
        <f t="shared" si="587"/>
        <v>0</v>
      </c>
      <c r="R295" s="452">
        <f t="shared" si="588"/>
        <v>0</v>
      </c>
      <c r="S295" s="452">
        <f t="shared" si="589"/>
        <v>0</v>
      </c>
      <c r="T295" s="452">
        <f t="shared" si="590"/>
        <v>0</v>
      </c>
      <c r="U295" s="452">
        <f t="shared" si="591"/>
        <v>0</v>
      </c>
      <c r="V295" s="452">
        <f t="shared" si="592"/>
        <v>0</v>
      </c>
      <c r="W295" s="452">
        <f t="shared" si="539"/>
        <v>0</v>
      </c>
      <c r="X295" s="1002">
        <f t="shared" si="540"/>
        <v>0</v>
      </c>
      <c r="Y295" s="1397"/>
      <c r="Z295" s="1398">
        <f t="shared" si="541"/>
        <v>0</v>
      </c>
      <c r="AA295" s="1398">
        <f t="shared" si="542"/>
        <v>0</v>
      </c>
      <c r="AB295" s="1398">
        <f t="shared" si="543"/>
        <v>0</v>
      </c>
      <c r="AC295" s="1398">
        <f t="shared" si="544"/>
        <v>0</v>
      </c>
      <c r="AD295" s="1398">
        <f t="shared" si="545"/>
        <v>0</v>
      </c>
      <c r="AE295" s="1398">
        <f t="shared" si="546"/>
        <v>0</v>
      </c>
      <c r="AF295" s="1398">
        <f t="shared" si="547"/>
        <v>0</v>
      </c>
      <c r="AG295" s="1398">
        <f t="shared" si="548"/>
        <v>0</v>
      </c>
      <c r="AH295" s="1396"/>
      <c r="AI295" s="462">
        <f t="shared" si="593"/>
        <v>0</v>
      </c>
      <c r="AJ295" s="1112"/>
      <c r="AK295" s="1399"/>
      <c r="AL295" s="829">
        <f t="shared" si="550"/>
        <v>45852</v>
      </c>
      <c r="AM295" s="684">
        <f>IFERROR(IF(AND(AT295="",AR295&lt;&gt;S.CAL!$BJ$3,AR295&lt;&gt;S.CAL!$BJ$4,$AR$275="NON"),M295-BD295,IF(AND(AT295="",AR295&lt;&gt;S.CAL!$BJ$3,AR295&lt;&gt;S.CAL!$BJ$4,$AR$275="OUI"),X295-AI295,IF(AT295&lt;&gt;0,AT295,IF(OR(AR295=S.CAL!$BJ$3,AR295=S.CAL!$BJ$4),AR295,"")))),"")</f>
        <v>0</v>
      </c>
      <c r="AN295" s="1115"/>
      <c r="AO295" s="1116"/>
      <c r="AP295" s="684">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400">
        <f t="shared" si="570"/>
        <v>0</v>
      </c>
      <c r="AR295" s="1120"/>
      <c r="AS295" s="1396"/>
      <c r="AT295" s="1123"/>
      <c r="AU295" s="831"/>
      <c r="AV295" s="1392">
        <f t="shared" si="551"/>
        <v>45852</v>
      </c>
      <c r="AW295" s="1396"/>
      <c r="AX295" s="529">
        <f t="shared" si="571"/>
        <v>45852</v>
      </c>
      <c r="AY295" s="541">
        <f t="shared" si="572"/>
        <v>0</v>
      </c>
      <c r="AZ295" s="538" t="s">
        <v>146</v>
      </c>
      <c r="BA295" s="534">
        <f t="shared" si="573"/>
        <v>0</v>
      </c>
      <c r="BB295" s="567" t="str">
        <f t="shared" si="552"/>
        <v/>
      </c>
      <c r="BC295" s="541">
        <f t="shared" si="574"/>
        <v>0</v>
      </c>
      <c r="BD295" s="541">
        <f t="shared" si="575"/>
        <v>0</v>
      </c>
      <c r="BE295" s="750"/>
      <c r="BF295" s="532" t="str">
        <f t="shared" si="553"/>
        <v/>
      </c>
      <c r="BG295" s="532" t="str">
        <f t="shared" si="576"/>
        <v>oui</v>
      </c>
      <c r="BH295" s="395" t="str">
        <f t="shared" si="554"/>
        <v/>
      </c>
      <c r="BI295" s="24" t="str">
        <f t="shared" si="555"/>
        <v/>
      </c>
      <c r="BJ295" s="1404"/>
      <c r="BK295" s="1404"/>
      <c r="BL295" s="1404"/>
      <c r="BM295" s="1404"/>
      <c r="BN295" s="1404"/>
      <c r="BO295" s="1404"/>
      <c r="BP295" s="1404"/>
      <c r="BQ295" s="1404"/>
      <c r="BR295" s="1405"/>
      <c r="BS295" s="1392">
        <f t="shared" si="522"/>
        <v>45852</v>
      </c>
      <c r="BT295" s="1406">
        <f t="shared" si="584"/>
        <v>29</v>
      </c>
      <c r="BU295" s="1404"/>
      <c r="BV295" s="1404"/>
      <c r="BW295" s="1404"/>
      <c r="BX295" s="1404"/>
      <c r="BY295" s="1404"/>
      <c r="BZ295" s="1404"/>
      <c r="CA295" s="1404"/>
      <c r="CB295" s="1404"/>
      <c r="CD295" s="1408">
        <f t="shared" si="577"/>
        <v>0</v>
      </c>
      <c r="DC295" s="16" t="str">
        <f>Juillet!FC33</f>
        <v>non</v>
      </c>
      <c r="DG295" s="333">
        <f t="shared" si="578"/>
        <v>1</v>
      </c>
      <c r="DH295" s="129">
        <f t="shared" si="556"/>
        <v>10</v>
      </c>
      <c r="DI295" s="129">
        <f t="shared" si="579"/>
        <v>1</v>
      </c>
      <c r="DK295" s="16">
        <f>+IF(AND(Juillet!$DP$8&lt;&gt;52,AR295=S.CAL!$BJ$4),10,1)</f>
        <v>1</v>
      </c>
      <c r="DN295" s="16">
        <f t="shared" si="557"/>
        <v>1</v>
      </c>
      <c r="DU295" s="1296" t="str">
        <f t="shared" si="580"/>
        <v>Fiche infoA145852</v>
      </c>
      <c r="DV295" s="1384">
        <f t="shared" si="558"/>
        <v>0</v>
      </c>
      <c r="DW295" s="1385">
        <f t="shared" si="559"/>
        <v>0</v>
      </c>
      <c r="DX295" s="1385">
        <f t="shared" si="560"/>
        <v>0</v>
      </c>
      <c r="DY295" s="1385">
        <f t="shared" si="561"/>
        <v>0</v>
      </c>
      <c r="DZ295" s="1385">
        <f t="shared" si="562"/>
        <v>0</v>
      </c>
      <c r="EA295" s="1385">
        <f t="shared" si="563"/>
        <v>0</v>
      </c>
      <c r="EB295" s="1385">
        <f t="shared" si="564"/>
        <v>0</v>
      </c>
      <c r="EC295" s="1385">
        <f t="shared" si="565"/>
        <v>0</v>
      </c>
      <c r="ED295" s="1385">
        <f t="shared" si="581"/>
        <v>0</v>
      </c>
      <c r="EE295" s="1386">
        <f t="shared" si="582"/>
        <v>0</v>
      </c>
      <c r="EG295" s="16" t="str">
        <f t="shared" si="583"/>
        <v>292025</v>
      </c>
      <c r="EH295" s="16" t="str">
        <f t="shared" si="566"/>
        <v>Fiche infoA1</v>
      </c>
      <c r="EI295" s="16" t="str">
        <f t="shared" si="567"/>
        <v/>
      </c>
    </row>
    <row r="296" spans="1:139" x14ac:dyDescent="0.2">
      <c r="A296" s="24" t="str">
        <f>Juillet!BJ34</f>
        <v>Fiche infoA2</v>
      </c>
      <c r="B296" s="829">
        <f>Juillet!AB34</f>
        <v>45853</v>
      </c>
      <c r="C296" s="1393"/>
      <c r="D296" s="1001">
        <f t="shared" si="523"/>
        <v>0</v>
      </c>
      <c r="E296" s="452">
        <f t="shared" si="524"/>
        <v>0</v>
      </c>
      <c r="F296" s="452">
        <f t="shared" si="525"/>
        <v>0</v>
      </c>
      <c r="G296" s="452">
        <f t="shared" si="526"/>
        <v>0</v>
      </c>
      <c r="H296" s="452">
        <f t="shared" si="527"/>
        <v>0</v>
      </c>
      <c r="I296" s="452">
        <f t="shared" si="528"/>
        <v>0</v>
      </c>
      <c r="J296" s="452">
        <f t="shared" si="529"/>
        <v>0</v>
      </c>
      <c r="K296" s="452">
        <f t="shared" si="530"/>
        <v>0</v>
      </c>
      <c r="L296" s="452">
        <f t="shared" si="568"/>
        <v>0</v>
      </c>
      <c r="M296" s="1002">
        <f t="shared" si="569"/>
        <v>0</v>
      </c>
      <c r="O296" s="1001">
        <f t="shared" si="585"/>
        <v>0</v>
      </c>
      <c r="P296" s="452">
        <f t="shared" si="586"/>
        <v>0</v>
      </c>
      <c r="Q296" s="452">
        <f t="shared" si="587"/>
        <v>0</v>
      </c>
      <c r="R296" s="452">
        <f t="shared" si="588"/>
        <v>0</v>
      </c>
      <c r="S296" s="452">
        <f t="shared" si="589"/>
        <v>0</v>
      </c>
      <c r="T296" s="452">
        <f t="shared" si="590"/>
        <v>0</v>
      </c>
      <c r="U296" s="452">
        <f t="shared" si="591"/>
        <v>0</v>
      </c>
      <c r="V296" s="452">
        <f t="shared" si="592"/>
        <v>0</v>
      </c>
      <c r="W296" s="452">
        <f t="shared" si="539"/>
        <v>0</v>
      </c>
      <c r="X296" s="1002">
        <f t="shared" si="540"/>
        <v>0</v>
      </c>
      <c r="Y296" s="459"/>
      <c r="Z296" s="291">
        <f t="shared" si="541"/>
        <v>0</v>
      </c>
      <c r="AA296" s="291">
        <f t="shared" si="542"/>
        <v>0</v>
      </c>
      <c r="AB296" s="291">
        <f t="shared" si="543"/>
        <v>0</v>
      </c>
      <c r="AC296" s="291">
        <f t="shared" si="544"/>
        <v>0</v>
      </c>
      <c r="AD296" s="291">
        <f t="shared" si="545"/>
        <v>0</v>
      </c>
      <c r="AE296" s="291">
        <f t="shared" si="546"/>
        <v>0</v>
      </c>
      <c r="AF296" s="291">
        <f t="shared" si="547"/>
        <v>0</v>
      </c>
      <c r="AG296" s="291">
        <f t="shared" si="548"/>
        <v>0</v>
      </c>
      <c r="AI296" s="462">
        <f t="shared" si="593"/>
        <v>0</v>
      </c>
      <c r="AJ296" s="1112"/>
      <c r="AK296" s="507"/>
      <c r="AL296" s="829">
        <f t="shared" si="550"/>
        <v>45853</v>
      </c>
      <c r="AM296" s="684">
        <f>IFERROR(IF(AND(AT296="",AR296&lt;&gt;S.CAL!$BJ$3,AR296&lt;&gt;S.CAL!$BJ$4,$AR$275="NON"),M296-BD296,IF(AND(AT296="",AR296&lt;&gt;S.CAL!$BJ$3,AR296&lt;&gt;S.CAL!$BJ$4,$AR$275="OUI"),X296-AI296,IF(AT296&lt;&gt;0,AT296,IF(OR(AR296=S.CAL!$BJ$3,AR296=S.CAL!$BJ$4),AR296,"")))),"")</f>
        <v>0</v>
      </c>
      <c r="AN296" s="1115"/>
      <c r="AO296" s="1116"/>
      <c r="AP296" s="684">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516">
        <f t="shared" si="570"/>
        <v>0</v>
      </c>
      <c r="AR296" s="1120"/>
      <c r="AT296" s="1123"/>
      <c r="AU296" s="831"/>
      <c r="AV296" s="1392">
        <f t="shared" si="551"/>
        <v>45853</v>
      </c>
      <c r="AX296" s="529">
        <f t="shared" si="571"/>
        <v>45853</v>
      </c>
      <c r="AY296" s="541">
        <f t="shared" si="572"/>
        <v>0</v>
      </c>
      <c r="AZ296" s="538" t="s">
        <v>146</v>
      </c>
      <c r="BA296" s="534">
        <f t="shared" si="573"/>
        <v>0</v>
      </c>
      <c r="BB296" s="567" t="str">
        <f t="shared" si="552"/>
        <v/>
      </c>
      <c r="BC296" s="541">
        <f t="shared" si="574"/>
        <v>0</v>
      </c>
      <c r="BD296" s="541">
        <f t="shared" si="575"/>
        <v>0</v>
      </c>
      <c r="BE296" s="750"/>
      <c r="BF296" s="532" t="str">
        <f t="shared" si="553"/>
        <v/>
      </c>
      <c r="BG296" s="532" t="str">
        <f t="shared" si="576"/>
        <v>oui</v>
      </c>
      <c r="BH296" s="395" t="str">
        <f t="shared" si="554"/>
        <v/>
      </c>
      <c r="BI296" s="24" t="str">
        <f t="shared" si="555"/>
        <v/>
      </c>
      <c r="BJ296" s="1403"/>
      <c r="BK296" s="1403"/>
      <c r="BL296" s="1403"/>
      <c r="BM296" s="1403"/>
      <c r="BN296" s="1403"/>
      <c r="BO296" s="1403"/>
      <c r="BP296" s="1403"/>
      <c r="BQ296" s="1403"/>
      <c r="BS296" s="1392">
        <f t="shared" si="522"/>
        <v>45853</v>
      </c>
      <c r="BT296" s="27" t="str">
        <f t="shared" si="584"/>
        <v/>
      </c>
      <c r="BU296" s="1402"/>
      <c r="BV296" s="1402"/>
      <c r="BW296" s="1402"/>
      <c r="BX296" s="1402"/>
      <c r="BY296" s="1402"/>
      <c r="BZ296" s="1402"/>
      <c r="CA296" s="1402"/>
      <c r="CB296" s="1402"/>
      <c r="CD296" s="1408">
        <f t="shared" si="577"/>
        <v>0</v>
      </c>
      <c r="DC296" s="16" t="str">
        <f>Juillet!FC34</f>
        <v>non</v>
      </c>
      <c r="DG296" s="333">
        <f t="shared" si="578"/>
        <v>1</v>
      </c>
      <c r="DH296" s="129">
        <f t="shared" si="556"/>
        <v>10</v>
      </c>
      <c r="DI296" s="129">
        <f t="shared" si="579"/>
        <v>1</v>
      </c>
      <c r="DK296" s="16">
        <f>+IF(AND(Juillet!$DP$8&lt;&gt;52,AR296=S.CAL!$BJ$4),10,1)</f>
        <v>1</v>
      </c>
      <c r="DN296" s="16">
        <f t="shared" si="557"/>
        <v>1</v>
      </c>
      <c r="DU296" s="1296" t="str">
        <f t="shared" si="580"/>
        <v>Fiche infoA245853</v>
      </c>
      <c r="DV296" s="1384">
        <f t="shared" si="558"/>
        <v>0</v>
      </c>
      <c r="DW296" s="1385">
        <f t="shared" si="559"/>
        <v>0</v>
      </c>
      <c r="DX296" s="1385">
        <f t="shared" si="560"/>
        <v>0</v>
      </c>
      <c r="DY296" s="1385">
        <f t="shared" si="561"/>
        <v>0</v>
      </c>
      <c r="DZ296" s="1385">
        <f t="shared" si="562"/>
        <v>0</v>
      </c>
      <c r="EA296" s="1385">
        <f t="shared" si="563"/>
        <v>0</v>
      </c>
      <c r="EB296" s="1385">
        <f t="shared" si="564"/>
        <v>0</v>
      </c>
      <c r="EC296" s="1385">
        <f t="shared" si="565"/>
        <v>0</v>
      </c>
      <c r="ED296" s="1385">
        <f t="shared" si="581"/>
        <v>0</v>
      </c>
      <c r="EE296" s="1386">
        <f t="shared" si="582"/>
        <v>0</v>
      </c>
      <c r="EG296" s="16" t="str">
        <f t="shared" si="583"/>
        <v>292025</v>
      </c>
      <c r="EH296" s="16" t="str">
        <f t="shared" si="566"/>
        <v>Fiche infoA2</v>
      </c>
      <c r="EI296" s="16" t="str">
        <f t="shared" si="567"/>
        <v/>
      </c>
    </row>
    <row r="297" spans="1:139" x14ac:dyDescent="0.2">
      <c r="A297" s="1395" t="str">
        <f>Juillet!BJ35</f>
        <v>Fiche infoA3</v>
      </c>
      <c r="B297" s="829">
        <f>Juillet!AB35</f>
        <v>45854</v>
      </c>
      <c r="C297" s="1394"/>
      <c r="D297" s="1001">
        <f t="shared" si="523"/>
        <v>0</v>
      </c>
      <c r="E297" s="452">
        <f t="shared" si="524"/>
        <v>0</v>
      </c>
      <c r="F297" s="452">
        <f t="shared" si="525"/>
        <v>0</v>
      </c>
      <c r="G297" s="452">
        <f t="shared" si="526"/>
        <v>0</v>
      </c>
      <c r="H297" s="452">
        <f t="shared" si="527"/>
        <v>0</v>
      </c>
      <c r="I297" s="452">
        <f t="shared" si="528"/>
        <v>0</v>
      </c>
      <c r="J297" s="452">
        <f t="shared" si="529"/>
        <v>0</v>
      </c>
      <c r="K297" s="452">
        <f t="shared" si="530"/>
        <v>0</v>
      </c>
      <c r="L297" s="452">
        <f t="shared" si="568"/>
        <v>0</v>
      </c>
      <c r="M297" s="1002">
        <f t="shared" si="569"/>
        <v>0</v>
      </c>
      <c r="N297" s="1396"/>
      <c r="O297" s="1001">
        <f t="shared" si="585"/>
        <v>0</v>
      </c>
      <c r="P297" s="452">
        <f t="shared" si="586"/>
        <v>0</v>
      </c>
      <c r="Q297" s="452">
        <f t="shared" si="587"/>
        <v>0</v>
      </c>
      <c r="R297" s="452">
        <f t="shared" si="588"/>
        <v>0</v>
      </c>
      <c r="S297" s="452">
        <f t="shared" si="589"/>
        <v>0</v>
      </c>
      <c r="T297" s="452">
        <f t="shared" si="590"/>
        <v>0</v>
      </c>
      <c r="U297" s="452">
        <f t="shared" si="591"/>
        <v>0</v>
      </c>
      <c r="V297" s="452">
        <f t="shared" si="592"/>
        <v>0</v>
      </c>
      <c r="W297" s="452">
        <f t="shared" si="539"/>
        <v>0</v>
      </c>
      <c r="X297" s="1002">
        <f t="shared" si="540"/>
        <v>0</v>
      </c>
      <c r="Y297" s="1397"/>
      <c r="Z297" s="1398">
        <f t="shared" si="541"/>
        <v>0</v>
      </c>
      <c r="AA297" s="1398">
        <f t="shared" si="542"/>
        <v>0</v>
      </c>
      <c r="AB297" s="1398">
        <f t="shared" si="543"/>
        <v>0</v>
      </c>
      <c r="AC297" s="1398">
        <f t="shared" si="544"/>
        <v>0</v>
      </c>
      <c r="AD297" s="1398">
        <f t="shared" si="545"/>
        <v>0</v>
      </c>
      <c r="AE297" s="1398">
        <f t="shared" si="546"/>
        <v>0</v>
      </c>
      <c r="AF297" s="1398">
        <f t="shared" si="547"/>
        <v>0</v>
      </c>
      <c r="AG297" s="1398">
        <f t="shared" si="548"/>
        <v>0</v>
      </c>
      <c r="AH297" s="1396"/>
      <c r="AI297" s="462">
        <f t="shared" si="593"/>
        <v>0</v>
      </c>
      <c r="AJ297" s="1112"/>
      <c r="AK297" s="1399"/>
      <c r="AL297" s="829">
        <f t="shared" si="550"/>
        <v>45854</v>
      </c>
      <c r="AM297" s="684">
        <f>IFERROR(IF(AND(AT297="",AR297&lt;&gt;S.CAL!$BJ$3,AR297&lt;&gt;S.CAL!$BJ$4,$AR$275="NON"),M297-BD297,IF(AND(AT297="",AR297&lt;&gt;S.CAL!$BJ$3,AR297&lt;&gt;S.CAL!$BJ$4,$AR$275="OUI"),X297-AI297,IF(AT297&lt;&gt;0,AT297,IF(OR(AR297=S.CAL!$BJ$3,AR297=S.CAL!$BJ$4),AR297,"")))),"")</f>
        <v>0</v>
      </c>
      <c r="AN297" s="1115"/>
      <c r="AO297" s="1116"/>
      <c r="AP297" s="684">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400">
        <f t="shared" si="570"/>
        <v>0</v>
      </c>
      <c r="AR297" s="1120"/>
      <c r="AS297" s="1396"/>
      <c r="AT297" s="1123"/>
      <c r="AU297" s="831"/>
      <c r="AV297" s="1392">
        <f t="shared" si="551"/>
        <v>45854</v>
      </c>
      <c r="AW297" s="1396"/>
      <c r="AX297" s="529">
        <f t="shared" si="571"/>
        <v>45854</v>
      </c>
      <c r="AY297" s="541">
        <f t="shared" si="572"/>
        <v>0</v>
      </c>
      <c r="AZ297" s="538" t="s">
        <v>146</v>
      </c>
      <c r="BA297" s="534">
        <f t="shared" si="573"/>
        <v>0</v>
      </c>
      <c r="BB297" s="567" t="str">
        <f t="shared" si="552"/>
        <v/>
      </c>
      <c r="BC297" s="541">
        <f t="shared" si="574"/>
        <v>0</v>
      </c>
      <c r="BD297" s="541">
        <f t="shared" si="575"/>
        <v>0</v>
      </c>
      <c r="BE297" s="750"/>
      <c r="BF297" s="532" t="str">
        <f t="shared" si="553"/>
        <v/>
      </c>
      <c r="BG297" s="532" t="str">
        <f t="shared" si="576"/>
        <v>oui</v>
      </c>
      <c r="BH297" s="395" t="str">
        <f t="shared" si="554"/>
        <v/>
      </c>
      <c r="BI297" s="24" t="str">
        <f t="shared" si="555"/>
        <v/>
      </c>
      <c r="BJ297" s="1404"/>
      <c r="BK297" s="1404"/>
      <c r="BL297" s="1404"/>
      <c r="BM297" s="1404"/>
      <c r="BN297" s="1404"/>
      <c r="BO297" s="1404"/>
      <c r="BP297" s="1404"/>
      <c r="BQ297" s="1404"/>
      <c r="BR297" s="1405"/>
      <c r="BS297" s="1392">
        <f t="shared" si="522"/>
        <v>45854</v>
      </c>
      <c r="BT297" s="1406" t="str">
        <f t="shared" si="584"/>
        <v/>
      </c>
      <c r="BU297" s="1404"/>
      <c r="BV297" s="1404"/>
      <c r="BW297" s="1404"/>
      <c r="BX297" s="1404"/>
      <c r="BY297" s="1404"/>
      <c r="BZ297" s="1404"/>
      <c r="CA297" s="1404"/>
      <c r="CB297" s="1404"/>
      <c r="CD297" s="1408">
        <f t="shared" si="577"/>
        <v>0</v>
      </c>
      <c r="DC297" s="16" t="str">
        <f>Juillet!FC35</f>
        <v>non</v>
      </c>
      <c r="DG297" s="333">
        <f t="shared" si="578"/>
        <v>1</v>
      </c>
      <c r="DH297" s="129">
        <f t="shared" si="556"/>
        <v>10</v>
      </c>
      <c r="DI297" s="129">
        <f t="shared" si="579"/>
        <v>1</v>
      </c>
      <c r="DK297" s="16">
        <f>+IF(AND(Juillet!$DP$8&lt;&gt;52,AR297=S.CAL!$BJ$4),10,1)</f>
        <v>1</v>
      </c>
      <c r="DN297" s="16">
        <f t="shared" si="557"/>
        <v>1</v>
      </c>
      <c r="DU297" s="1296" t="str">
        <f t="shared" si="580"/>
        <v>Fiche infoA345854</v>
      </c>
      <c r="DV297" s="1384">
        <f t="shared" si="558"/>
        <v>0</v>
      </c>
      <c r="DW297" s="1385">
        <f t="shared" si="559"/>
        <v>0</v>
      </c>
      <c r="DX297" s="1385">
        <f t="shared" si="560"/>
        <v>0</v>
      </c>
      <c r="DY297" s="1385">
        <f t="shared" si="561"/>
        <v>0</v>
      </c>
      <c r="DZ297" s="1385">
        <f t="shared" si="562"/>
        <v>0</v>
      </c>
      <c r="EA297" s="1385">
        <f t="shared" si="563"/>
        <v>0</v>
      </c>
      <c r="EB297" s="1385">
        <f t="shared" si="564"/>
        <v>0</v>
      </c>
      <c r="EC297" s="1385">
        <f t="shared" si="565"/>
        <v>0</v>
      </c>
      <c r="ED297" s="1385">
        <f t="shared" si="581"/>
        <v>0</v>
      </c>
      <c r="EE297" s="1386">
        <f t="shared" si="582"/>
        <v>0</v>
      </c>
      <c r="EG297" s="16" t="str">
        <f t="shared" si="583"/>
        <v>292025</v>
      </c>
      <c r="EH297" s="16" t="str">
        <f t="shared" si="566"/>
        <v>Fiche infoA3</v>
      </c>
      <c r="EI297" s="16" t="str">
        <f t="shared" si="567"/>
        <v/>
      </c>
    </row>
    <row r="298" spans="1:139" x14ac:dyDescent="0.2">
      <c r="A298" s="24" t="str">
        <f>Juillet!BJ36</f>
        <v>Fiche infoA4</v>
      </c>
      <c r="B298" s="829">
        <f>Juillet!AB36</f>
        <v>45855</v>
      </c>
      <c r="C298" s="1393"/>
      <c r="D298" s="1001">
        <f t="shared" si="523"/>
        <v>0</v>
      </c>
      <c r="E298" s="452">
        <f t="shared" si="524"/>
        <v>0</v>
      </c>
      <c r="F298" s="452">
        <f t="shared" si="525"/>
        <v>0</v>
      </c>
      <c r="G298" s="452">
        <f t="shared" si="526"/>
        <v>0</v>
      </c>
      <c r="H298" s="452">
        <f t="shared" si="527"/>
        <v>0</v>
      </c>
      <c r="I298" s="452">
        <f t="shared" si="528"/>
        <v>0</v>
      </c>
      <c r="J298" s="452">
        <f t="shared" si="529"/>
        <v>0</v>
      </c>
      <c r="K298" s="452">
        <f t="shared" si="530"/>
        <v>0</v>
      </c>
      <c r="L298" s="452">
        <f t="shared" si="568"/>
        <v>0</v>
      </c>
      <c r="M298" s="1002">
        <f t="shared" si="569"/>
        <v>0</v>
      </c>
      <c r="O298" s="1001">
        <f t="shared" si="585"/>
        <v>0</v>
      </c>
      <c r="P298" s="452">
        <f t="shared" si="586"/>
        <v>0</v>
      </c>
      <c r="Q298" s="452">
        <f t="shared" si="587"/>
        <v>0</v>
      </c>
      <c r="R298" s="452">
        <f t="shared" si="588"/>
        <v>0</v>
      </c>
      <c r="S298" s="452">
        <f t="shared" si="589"/>
        <v>0</v>
      </c>
      <c r="T298" s="452">
        <f t="shared" si="590"/>
        <v>0</v>
      </c>
      <c r="U298" s="452">
        <f t="shared" si="591"/>
        <v>0</v>
      </c>
      <c r="V298" s="452">
        <f t="shared" si="592"/>
        <v>0</v>
      </c>
      <c r="W298" s="452">
        <f t="shared" si="539"/>
        <v>0</v>
      </c>
      <c r="X298" s="1002">
        <f t="shared" si="540"/>
        <v>0</v>
      </c>
      <c r="Y298" s="459"/>
      <c r="Z298" s="291">
        <f t="shared" si="541"/>
        <v>0</v>
      </c>
      <c r="AA298" s="291">
        <f t="shared" si="542"/>
        <v>0</v>
      </c>
      <c r="AB298" s="291">
        <f t="shared" si="543"/>
        <v>0</v>
      </c>
      <c r="AC298" s="291">
        <f t="shared" si="544"/>
        <v>0</v>
      </c>
      <c r="AD298" s="291">
        <f t="shared" si="545"/>
        <v>0</v>
      </c>
      <c r="AE298" s="291">
        <f t="shared" si="546"/>
        <v>0</v>
      </c>
      <c r="AF298" s="291">
        <f t="shared" si="547"/>
        <v>0</v>
      </c>
      <c r="AG298" s="291">
        <f t="shared" si="548"/>
        <v>0</v>
      </c>
      <c r="AI298" s="462">
        <f t="shared" si="593"/>
        <v>0</v>
      </c>
      <c r="AJ298" s="1112"/>
      <c r="AK298" s="507"/>
      <c r="AL298" s="829">
        <f t="shared" si="550"/>
        <v>45855</v>
      </c>
      <c r="AM298" s="684">
        <f>IFERROR(IF(AND(AT298="",AR298&lt;&gt;S.CAL!$BJ$3,AR298&lt;&gt;S.CAL!$BJ$4,$AR$275="NON"),M298-BD298,IF(AND(AT298="",AR298&lt;&gt;S.CAL!$BJ$3,AR298&lt;&gt;S.CAL!$BJ$4,$AR$275="OUI"),X298-AI298,IF(AT298&lt;&gt;0,AT298,IF(OR(AR298=S.CAL!$BJ$3,AR298=S.CAL!$BJ$4),AR298,"")))),"")</f>
        <v>0</v>
      </c>
      <c r="AN298" s="1115"/>
      <c r="AO298" s="1116"/>
      <c r="AP298" s="684">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516">
        <f t="shared" si="570"/>
        <v>0</v>
      </c>
      <c r="AR298" s="1120"/>
      <c r="AT298" s="1123"/>
      <c r="AU298" s="831"/>
      <c r="AV298" s="1392">
        <f t="shared" si="551"/>
        <v>45855</v>
      </c>
      <c r="AX298" s="529">
        <f t="shared" si="571"/>
        <v>45855</v>
      </c>
      <c r="AY298" s="541">
        <f t="shared" si="572"/>
        <v>0</v>
      </c>
      <c r="AZ298" s="538" t="s">
        <v>146</v>
      </c>
      <c r="BA298" s="534">
        <f t="shared" si="573"/>
        <v>0</v>
      </c>
      <c r="BB298" s="567" t="str">
        <f t="shared" si="552"/>
        <v/>
      </c>
      <c r="BC298" s="541">
        <f t="shared" si="574"/>
        <v>0</v>
      </c>
      <c r="BD298" s="541">
        <f t="shared" si="575"/>
        <v>0</v>
      </c>
      <c r="BE298" s="750"/>
      <c r="BF298" s="532" t="str">
        <f t="shared" si="553"/>
        <v/>
      </c>
      <c r="BG298" s="532" t="str">
        <f t="shared" si="576"/>
        <v>oui</v>
      </c>
      <c r="BH298" s="395" t="str">
        <f t="shared" si="554"/>
        <v/>
      </c>
      <c r="BI298" s="24" t="str">
        <f t="shared" si="555"/>
        <v/>
      </c>
      <c r="BJ298" s="1403"/>
      <c r="BK298" s="1403"/>
      <c r="BL298" s="1403"/>
      <c r="BM298" s="1403"/>
      <c r="BN298" s="1403"/>
      <c r="BO298" s="1403"/>
      <c r="BP298" s="1403"/>
      <c r="BQ298" s="1403"/>
      <c r="BS298" s="1392">
        <f t="shared" si="522"/>
        <v>45855</v>
      </c>
      <c r="BT298" s="27" t="str">
        <f t="shared" si="584"/>
        <v/>
      </c>
      <c r="BU298" s="1402"/>
      <c r="BV298" s="1402"/>
      <c r="BW298" s="1402"/>
      <c r="BX298" s="1402"/>
      <c r="BY298" s="1402"/>
      <c r="BZ298" s="1402"/>
      <c r="CA298" s="1402"/>
      <c r="CB298" s="1402"/>
      <c r="CD298" s="1408">
        <f t="shared" si="577"/>
        <v>0</v>
      </c>
      <c r="DC298" s="16" t="str">
        <f>Juillet!FC36</f>
        <v>non</v>
      </c>
      <c r="DG298" s="333">
        <f t="shared" si="578"/>
        <v>1</v>
      </c>
      <c r="DH298" s="129">
        <f t="shared" si="556"/>
        <v>10</v>
      </c>
      <c r="DI298" s="129">
        <f t="shared" si="579"/>
        <v>1</v>
      </c>
      <c r="DK298" s="16">
        <f>+IF(AND(Juillet!$DP$8&lt;&gt;52,AR298=S.CAL!$BJ$4),10,1)</f>
        <v>1</v>
      </c>
      <c r="DN298" s="16">
        <f t="shared" si="557"/>
        <v>1</v>
      </c>
      <c r="DU298" s="1296" t="str">
        <f t="shared" si="580"/>
        <v>Fiche infoA445855</v>
      </c>
      <c r="DV298" s="1384">
        <f t="shared" si="558"/>
        <v>0</v>
      </c>
      <c r="DW298" s="1385">
        <f t="shared" si="559"/>
        <v>0</v>
      </c>
      <c r="DX298" s="1385">
        <f t="shared" si="560"/>
        <v>0</v>
      </c>
      <c r="DY298" s="1385">
        <f t="shared" si="561"/>
        <v>0</v>
      </c>
      <c r="DZ298" s="1385">
        <f t="shared" si="562"/>
        <v>0</v>
      </c>
      <c r="EA298" s="1385">
        <f t="shared" si="563"/>
        <v>0</v>
      </c>
      <c r="EB298" s="1385">
        <f t="shared" si="564"/>
        <v>0</v>
      </c>
      <c r="EC298" s="1385">
        <f t="shared" si="565"/>
        <v>0</v>
      </c>
      <c r="ED298" s="1385">
        <f t="shared" si="581"/>
        <v>0</v>
      </c>
      <c r="EE298" s="1386">
        <f t="shared" si="582"/>
        <v>0</v>
      </c>
      <c r="EG298" s="16" t="str">
        <f t="shared" si="583"/>
        <v>292025</v>
      </c>
      <c r="EH298" s="16" t="str">
        <f t="shared" si="566"/>
        <v>Fiche infoA4</v>
      </c>
      <c r="EI298" s="16" t="str">
        <f t="shared" si="567"/>
        <v/>
      </c>
    </row>
    <row r="299" spans="1:139" x14ac:dyDescent="0.2">
      <c r="A299" s="1395" t="str">
        <f>Juillet!BJ37</f>
        <v>Fiche infoA5</v>
      </c>
      <c r="B299" s="829">
        <f>Juillet!AB37</f>
        <v>45856</v>
      </c>
      <c r="C299" s="1394"/>
      <c r="D299" s="1001">
        <f t="shared" si="523"/>
        <v>0</v>
      </c>
      <c r="E299" s="452">
        <f t="shared" si="524"/>
        <v>0</v>
      </c>
      <c r="F299" s="452">
        <f t="shared" si="525"/>
        <v>0</v>
      </c>
      <c r="G299" s="452">
        <f t="shared" si="526"/>
        <v>0</v>
      </c>
      <c r="H299" s="452">
        <f t="shared" si="527"/>
        <v>0</v>
      </c>
      <c r="I299" s="452">
        <f t="shared" si="528"/>
        <v>0</v>
      </c>
      <c r="J299" s="452">
        <f t="shared" si="529"/>
        <v>0</v>
      </c>
      <c r="K299" s="452">
        <f t="shared" si="530"/>
        <v>0</v>
      </c>
      <c r="L299" s="452">
        <f t="shared" si="568"/>
        <v>0</v>
      </c>
      <c r="M299" s="1002">
        <f t="shared" si="569"/>
        <v>0</v>
      </c>
      <c r="N299" s="1396"/>
      <c r="O299" s="1001">
        <f t="shared" si="585"/>
        <v>0</v>
      </c>
      <c r="P299" s="452">
        <f t="shared" si="586"/>
        <v>0</v>
      </c>
      <c r="Q299" s="452">
        <f t="shared" si="587"/>
        <v>0</v>
      </c>
      <c r="R299" s="452">
        <f t="shared" si="588"/>
        <v>0</v>
      </c>
      <c r="S299" s="452">
        <f t="shared" si="589"/>
        <v>0</v>
      </c>
      <c r="T299" s="452">
        <f t="shared" si="590"/>
        <v>0</v>
      </c>
      <c r="U299" s="452">
        <f t="shared" si="591"/>
        <v>0</v>
      </c>
      <c r="V299" s="452">
        <f t="shared" si="592"/>
        <v>0</v>
      </c>
      <c r="W299" s="452">
        <f t="shared" si="539"/>
        <v>0</v>
      </c>
      <c r="X299" s="1002">
        <f t="shared" si="540"/>
        <v>0</v>
      </c>
      <c r="Y299" s="1397"/>
      <c r="Z299" s="1398">
        <f t="shared" si="541"/>
        <v>0</v>
      </c>
      <c r="AA299" s="1398">
        <f t="shared" si="542"/>
        <v>0</v>
      </c>
      <c r="AB299" s="1398">
        <f t="shared" si="543"/>
        <v>0</v>
      </c>
      <c r="AC299" s="1398">
        <f t="shared" si="544"/>
        <v>0</v>
      </c>
      <c r="AD299" s="1398">
        <f t="shared" si="545"/>
        <v>0</v>
      </c>
      <c r="AE299" s="1398">
        <f t="shared" si="546"/>
        <v>0</v>
      </c>
      <c r="AF299" s="1398">
        <f t="shared" si="547"/>
        <v>0</v>
      </c>
      <c r="AG299" s="1398">
        <f t="shared" si="548"/>
        <v>0</v>
      </c>
      <c r="AH299" s="1396"/>
      <c r="AI299" s="462">
        <f t="shared" si="593"/>
        <v>0</v>
      </c>
      <c r="AJ299" s="1112"/>
      <c r="AK299" s="1399"/>
      <c r="AL299" s="829">
        <f t="shared" si="550"/>
        <v>45856</v>
      </c>
      <c r="AM299" s="684">
        <f>IFERROR(IF(AND(AT299="",AR299&lt;&gt;S.CAL!$BJ$3,AR299&lt;&gt;S.CAL!$BJ$4,$AR$275="NON"),M299-BD299,IF(AND(AT299="",AR299&lt;&gt;S.CAL!$BJ$3,AR299&lt;&gt;S.CAL!$BJ$4,$AR$275="OUI"),X299-AI299,IF(AT299&lt;&gt;0,AT299,IF(OR(AR299=S.CAL!$BJ$3,AR299=S.CAL!$BJ$4),AR299,"")))),"")</f>
        <v>0</v>
      </c>
      <c r="AN299" s="1115"/>
      <c r="AO299" s="1116"/>
      <c r="AP299" s="684">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400">
        <f t="shared" si="570"/>
        <v>0</v>
      </c>
      <c r="AR299" s="1120"/>
      <c r="AS299" s="1396"/>
      <c r="AT299" s="1123"/>
      <c r="AU299" s="831"/>
      <c r="AV299" s="1392">
        <f t="shared" si="551"/>
        <v>45856</v>
      </c>
      <c r="AW299" s="1396"/>
      <c r="AX299" s="529">
        <f t="shared" si="571"/>
        <v>45856</v>
      </c>
      <c r="AY299" s="541">
        <f t="shared" si="572"/>
        <v>0</v>
      </c>
      <c r="AZ299" s="538" t="s">
        <v>146</v>
      </c>
      <c r="BA299" s="534">
        <f t="shared" si="573"/>
        <v>0</v>
      </c>
      <c r="BB299" s="567" t="str">
        <f t="shared" si="552"/>
        <v/>
      </c>
      <c r="BC299" s="541">
        <f t="shared" si="574"/>
        <v>0</v>
      </c>
      <c r="BD299" s="541">
        <f t="shared" si="575"/>
        <v>0</v>
      </c>
      <c r="BE299" s="750"/>
      <c r="BF299" s="532" t="str">
        <f t="shared" si="553"/>
        <v/>
      </c>
      <c r="BG299" s="532" t="str">
        <f t="shared" si="576"/>
        <v>oui</v>
      </c>
      <c r="BH299" s="395" t="str">
        <f t="shared" si="554"/>
        <v/>
      </c>
      <c r="BI299" s="24" t="str">
        <f t="shared" si="555"/>
        <v/>
      </c>
      <c r="BJ299" s="1404"/>
      <c r="BK299" s="1404"/>
      <c r="BL299" s="1404"/>
      <c r="BM299" s="1404"/>
      <c r="BN299" s="1404"/>
      <c r="BO299" s="1404"/>
      <c r="BP299" s="1404"/>
      <c r="BQ299" s="1404"/>
      <c r="BR299" s="1405"/>
      <c r="BS299" s="1392">
        <f t="shared" si="522"/>
        <v>45856</v>
      </c>
      <c r="BT299" s="1406" t="str">
        <f t="shared" si="584"/>
        <v/>
      </c>
      <c r="BU299" s="1404"/>
      <c r="BV299" s="1404"/>
      <c r="BW299" s="1404"/>
      <c r="BX299" s="1404"/>
      <c r="BY299" s="1404"/>
      <c r="BZ299" s="1404"/>
      <c r="CA299" s="1404"/>
      <c r="CB299" s="1404"/>
      <c r="CD299" s="1408">
        <f t="shared" si="577"/>
        <v>0</v>
      </c>
      <c r="DC299" s="16" t="str">
        <f>Juillet!FC37</f>
        <v>non</v>
      </c>
      <c r="DG299" s="333">
        <f t="shared" si="578"/>
        <v>1</v>
      </c>
      <c r="DH299" s="129">
        <f t="shared" si="556"/>
        <v>10</v>
      </c>
      <c r="DI299" s="129">
        <f t="shared" si="579"/>
        <v>1</v>
      </c>
      <c r="DK299" s="16">
        <f>+IF(AND(Juillet!$DP$8&lt;&gt;52,AR299=S.CAL!$BJ$4),10,1)</f>
        <v>1</v>
      </c>
      <c r="DN299" s="16">
        <f t="shared" si="557"/>
        <v>1</v>
      </c>
      <c r="DU299" s="1296" t="str">
        <f t="shared" si="580"/>
        <v>Fiche infoA545856</v>
      </c>
      <c r="DV299" s="1384">
        <f t="shared" si="558"/>
        <v>0</v>
      </c>
      <c r="DW299" s="1385">
        <f t="shared" si="559"/>
        <v>0</v>
      </c>
      <c r="DX299" s="1385">
        <f t="shared" si="560"/>
        <v>0</v>
      </c>
      <c r="DY299" s="1385">
        <f t="shared" si="561"/>
        <v>0</v>
      </c>
      <c r="DZ299" s="1385">
        <f t="shared" si="562"/>
        <v>0</v>
      </c>
      <c r="EA299" s="1385">
        <f t="shared" si="563"/>
        <v>0</v>
      </c>
      <c r="EB299" s="1385">
        <f t="shared" si="564"/>
        <v>0</v>
      </c>
      <c r="EC299" s="1385">
        <f t="shared" si="565"/>
        <v>0</v>
      </c>
      <c r="ED299" s="1385">
        <f t="shared" si="581"/>
        <v>0</v>
      </c>
      <c r="EE299" s="1386">
        <f t="shared" si="582"/>
        <v>0</v>
      </c>
      <c r="EG299" s="16" t="str">
        <f t="shared" si="583"/>
        <v>292025</v>
      </c>
      <c r="EH299" s="16" t="str">
        <f t="shared" si="566"/>
        <v>Fiche infoA5</v>
      </c>
      <c r="EI299" s="16" t="str">
        <f t="shared" si="567"/>
        <v/>
      </c>
    </row>
    <row r="300" spans="1:139" x14ac:dyDescent="0.2">
      <c r="A300" s="24" t="str">
        <f>Juillet!BJ38</f>
        <v>Fiche infoA6</v>
      </c>
      <c r="B300" s="829">
        <f>Juillet!AB38</f>
        <v>45857</v>
      </c>
      <c r="C300" s="1393"/>
      <c r="D300" s="1001">
        <f t="shared" si="523"/>
        <v>0</v>
      </c>
      <c r="E300" s="452">
        <f t="shared" si="524"/>
        <v>0</v>
      </c>
      <c r="F300" s="452">
        <f t="shared" si="525"/>
        <v>0</v>
      </c>
      <c r="G300" s="452">
        <f t="shared" si="526"/>
        <v>0</v>
      </c>
      <c r="H300" s="452">
        <f t="shared" si="527"/>
        <v>0</v>
      </c>
      <c r="I300" s="452">
        <f t="shared" si="528"/>
        <v>0</v>
      </c>
      <c r="J300" s="452">
        <f t="shared" si="529"/>
        <v>0</v>
      </c>
      <c r="K300" s="452">
        <f t="shared" si="530"/>
        <v>0</v>
      </c>
      <c r="L300" s="452">
        <f t="shared" si="568"/>
        <v>0</v>
      </c>
      <c r="M300" s="1002">
        <f t="shared" si="569"/>
        <v>0</v>
      </c>
      <c r="O300" s="1001">
        <f t="shared" si="585"/>
        <v>0</v>
      </c>
      <c r="P300" s="452">
        <f t="shared" si="586"/>
        <v>0</v>
      </c>
      <c r="Q300" s="452">
        <f t="shared" si="587"/>
        <v>0</v>
      </c>
      <c r="R300" s="452">
        <f t="shared" si="588"/>
        <v>0</v>
      </c>
      <c r="S300" s="452">
        <f t="shared" si="589"/>
        <v>0</v>
      </c>
      <c r="T300" s="452">
        <f t="shared" si="590"/>
        <v>0</v>
      </c>
      <c r="U300" s="452">
        <f t="shared" si="591"/>
        <v>0</v>
      </c>
      <c r="V300" s="452">
        <f t="shared" si="592"/>
        <v>0</v>
      </c>
      <c r="W300" s="452">
        <f t="shared" si="539"/>
        <v>0</v>
      </c>
      <c r="X300" s="1002">
        <f t="shared" si="540"/>
        <v>0</v>
      </c>
      <c r="Y300" s="459"/>
      <c r="Z300" s="291">
        <f t="shared" si="541"/>
        <v>0</v>
      </c>
      <c r="AA300" s="291">
        <f t="shared" si="542"/>
        <v>0</v>
      </c>
      <c r="AB300" s="291">
        <f t="shared" si="543"/>
        <v>0</v>
      </c>
      <c r="AC300" s="291">
        <f t="shared" si="544"/>
        <v>0</v>
      </c>
      <c r="AD300" s="291">
        <f t="shared" si="545"/>
        <v>0</v>
      </c>
      <c r="AE300" s="291">
        <f t="shared" si="546"/>
        <v>0</v>
      </c>
      <c r="AF300" s="291">
        <f t="shared" si="547"/>
        <v>0</v>
      </c>
      <c r="AG300" s="291">
        <f t="shared" si="548"/>
        <v>0</v>
      </c>
      <c r="AI300" s="462">
        <f t="shared" si="593"/>
        <v>0</v>
      </c>
      <c r="AJ300" s="1112"/>
      <c r="AK300" s="507"/>
      <c r="AL300" s="829">
        <f t="shared" si="550"/>
        <v>45857</v>
      </c>
      <c r="AM300" s="684">
        <f>IFERROR(IF(AND(AT300="",AR300&lt;&gt;S.CAL!$BJ$3,AR300&lt;&gt;S.CAL!$BJ$4,$AR$275="NON"),M300-BD300,IF(AND(AT300="",AR300&lt;&gt;S.CAL!$BJ$3,AR300&lt;&gt;S.CAL!$BJ$4,$AR$275="OUI"),X300-AI300,IF(AT300&lt;&gt;0,AT300,IF(OR(AR300=S.CAL!$BJ$3,AR300=S.CAL!$BJ$4),AR300,"")))),"")</f>
        <v>0</v>
      </c>
      <c r="AN300" s="1115"/>
      <c r="AO300" s="1116"/>
      <c r="AP300" s="684">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516">
        <f t="shared" si="570"/>
        <v>0</v>
      </c>
      <c r="AR300" s="1120"/>
      <c r="AT300" s="1123"/>
      <c r="AU300" s="831"/>
      <c r="AV300" s="1392">
        <f t="shared" si="551"/>
        <v>45857</v>
      </c>
      <c r="AX300" s="529">
        <f t="shared" si="571"/>
        <v>45857</v>
      </c>
      <c r="AY300" s="541">
        <f t="shared" si="572"/>
        <v>0</v>
      </c>
      <c r="AZ300" s="538" t="s">
        <v>146</v>
      </c>
      <c r="BA300" s="534">
        <f t="shared" si="573"/>
        <v>0</v>
      </c>
      <c r="BB300" s="567" t="str">
        <f t="shared" si="552"/>
        <v/>
      </c>
      <c r="BC300" s="541">
        <f t="shared" si="574"/>
        <v>0</v>
      </c>
      <c r="BD300" s="541">
        <f t="shared" si="575"/>
        <v>0</v>
      </c>
      <c r="BE300" s="750"/>
      <c r="BF300" s="532" t="str">
        <f t="shared" si="553"/>
        <v/>
      </c>
      <c r="BG300" s="532" t="str">
        <f t="shared" si="576"/>
        <v>oui</v>
      </c>
      <c r="BH300" s="395" t="str">
        <f t="shared" si="554"/>
        <v/>
      </c>
      <c r="BI300" s="24" t="str">
        <f t="shared" si="555"/>
        <v/>
      </c>
      <c r="BJ300" s="1403"/>
      <c r="BK300" s="1403"/>
      <c r="BL300" s="1403"/>
      <c r="BM300" s="1403"/>
      <c r="BN300" s="1403"/>
      <c r="BO300" s="1403"/>
      <c r="BP300" s="1403"/>
      <c r="BQ300" s="1403"/>
      <c r="BS300" s="1392">
        <f t="shared" si="522"/>
        <v>45857</v>
      </c>
      <c r="BT300" s="27" t="str">
        <f t="shared" si="584"/>
        <v/>
      </c>
      <c r="BU300" s="1402"/>
      <c r="BV300" s="1402"/>
      <c r="BW300" s="1402"/>
      <c r="BX300" s="1402"/>
      <c r="BY300" s="1402"/>
      <c r="BZ300" s="1402"/>
      <c r="CA300" s="1402"/>
      <c r="CB300" s="1402"/>
      <c r="CD300" s="1408">
        <f t="shared" si="577"/>
        <v>0</v>
      </c>
      <c r="DC300" s="16" t="str">
        <f>Juillet!FC38</f>
        <v>non</v>
      </c>
      <c r="DG300" s="333">
        <f t="shared" si="578"/>
        <v>1</v>
      </c>
      <c r="DH300" s="129">
        <f t="shared" si="556"/>
        <v>10</v>
      </c>
      <c r="DI300" s="129">
        <f t="shared" si="579"/>
        <v>1</v>
      </c>
      <c r="DK300" s="16">
        <f>+IF(AND(Juillet!$DP$8&lt;&gt;52,AR300=S.CAL!$BJ$4),10,1)</f>
        <v>1</v>
      </c>
      <c r="DN300" s="16">
        <f t="shared" si="557"/>
        <v>1</v>
      </c>
      <c r="DU300" s="1296" t="str">
        <f t="shared" si="580"/>
        <v>Fiche infoA645857</v>
      </c>
      <c r="DV300" s="1384">
        <f t="shared" si="558"/>
        <v>0</v>
      </c>
      <c r="DW300" s="1385">
        <f t="shared" si="559"/>
        <v>0</v>
      </c>
      <c r="DX300" s="1385">
        <f t="shared" si="560"/>
        <v>0</v>
      </c>
      <c r="DY300" s="1385">
        <f t="shared" si="561"/>
        <v>0</v>
      </c>
      <c r="DZ300" s="1385">
        <f t="shared" si="562"/>
        <v>0</v>
      </c>
      <c r="EA300" s="1385">
        <f t="shared" si="563"/>
        <v>0</v>
      </c>
      <c r="EB300" s="1385">
        <f t="shared" si="564"/>
        <v>0</v>
      </c>
      <c r="EC300" s="1385">
        <f t="shared" si="565"/>
        <v>0</v>
      </c>
      <c r="ED300" s="1385">
        <f t="shared" si="581"/>
        <v>0</v>
      </c>
      <c r="EE300" s="1386">
        <f t="shared" si="582"/>
        <v>0</v>
      </c>
      <c r="EG300" s="16" t="str">
        <f t="shared" si="583"/>
        <v>292025</v>
      </c>
      <c r="EH300" s="16" t="str">
        <f t="shared" si="566"/>
        <v>Fiche infoA6</v>
      </c>
      <c r="EI300" s="16" t="str">
        <f t="shared" si="567"/>
        <v/>
      </c>
    </row>
    <row r="301" spans="1:139" x14ac:dyDescent="0.2">
      <c r="A301" s="1395" t="str">
        <f>Juillet!BJ39</f>
        <v>Fiche infoA7</v>
      </c>
      <c r="B301" s="829">
        <f>Juillet!AB39</f>
        <v>45858</v>
      </c>
      <c r="C301" s="1394"/>
      <c r="D301" s="1001">
        <f t="shared" si="523"/>
        <v>0</v>
      </c>
      <c r="E301" s="452">
        <f t="shared" si="524"/>
        <v>0</v>
      </c>
      <c r="F301" s="452">
        <f t="shared" si="525"/>
        <v>0</v>
      </c>
      <c r="G301" s="452">
        <f t="shared" si="526"/>
        <v>0</v>
      </c>
      <c r="H301" s="452">
        <f t="shared" si="527"/>
        <v>0</v>
      </c>
      <c r="I301" s="452">
        <f t="shared" si="528"/>
        <v>0</v>
      </c>
      <c r="J301" s="452">
        <f t="shared" si="529"/>
        <v>0</v>
      </c>
      <c r="K301" s="452">
        <f t="shared" si="530"/>
        <v>0</v>
      </c>
      <c r="L301" s="452">
        <f t="shared" si="568"/>
        <v>0</v>
      </c>
      <c r="M301" s="1002">
        <f t="shared" si="569"/>
        <v>0</v>
      </c>
      <c r="N301" s="1396"/>
      <c r="O301" s="1001">
        <f t="shared" si="585"/>
        <v>0</v>
      </c>
      <c r="P301" s="452">
        <f t="shared" si="586"/>
        <v>0</v>
      </c>
      <c r="Q301" s="452">
        <f t="shared" si="587"/>
        <v>0</v>
      </c>
      <c r="R301" s="452">
        <f t="shared" si="588"/>
        <v>0</v>
      </c>
      <c r="S301" s="452">
        <f t="shared" si="589"/>
        <v>0</v>
      </c>
      <c r="T301" s="452">
        <f t="shared" si="590"/>
        <v>0</v>
      </c>
      <c r="U301" s="452">
        <f t="shared" si="591"/>
        <v>0</v>
      </c>
      <c r="V301" s="452">
        <f t="shared" si="592"/>
        <v>0</v>
      </c>
      <c r="W301" s="452">
        <f t="shared" si="539"/>
        <v>0</v>
      </c>
      <c r="X301" s="1002">
        <f t="shared" si="540"/>
        <v>0</v>
      </c>
      <c r="Y301" s="1397"/>
      <c r="Z301" s="1398">
        <f t="shared" si="541"/>
        <v>0</v>
      </c>
      <c r="AA301" s="1398">
        <f t="shared" si="542"/>
        <v>0</v>
      </c>
      <c r="AB301" s="1398">
        <f t="shared" si="543"/>
        <v>0</v>
      </c>
      <c r="AC301" s="1398">
        <f t="shared" si="544"/>
        <v>0</v>
      </c>
      <c r="AD301" s="1398">
        <f t="shared" si="545"/>
        <v>0</v>
      </c>
      <c r="AE301" s="1398">
        <f t="shared" si="546"/>
        <v>0</v>
      </c>
      <c r="AF301" s="1398">
        <f t="shared" si="547"/>
        <v>0</v>
      </c>
      <c r="AG301" s="1398">
        <f t="shared" si="548"/>
        <v>0</v>
      </c>
      <c r="AH301" s="1396"/>
      <c r="AI301" s="462">
        <f t="shared" si="593"/>
        <v>0</v>
      </c>
      <c r="AJ301" s="1112"/>
      <c r="AK301" s="1399"/>
      <c r="AL301" s="829">
        <f t="shared" si="550"/>
        <v>45858</v>
      </c>
      <c r="AM301" s="684">
        <f>IFERROR(IF(AND(AT301="",AR301&lt;&gt;S.CAL!$BJ$3,AR301&lt;&gt;S.CAL!$BJ$4,$AR$275="NON"),M301-BD301,IF(AND(AT301="",AR301&lt;&gt;S.CAL!$BJ$3,AR301&lt;&gt;S.CAL!$BJ$4,$AR$275="OUI"),X301-AI301,IF(AT301&lt;&gt;0,AT301,IF(OR(AR301=S.CAL!$BJ$3,AR301=S.CAL!$BJ$4),AR301,"")))),"")</f>
        <v>0</v>
      </c>
      <c r="AN301" s="1115"/>
      <c r="AO301" s="1116"/>
      <c r="AP301" s="684">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400">
        <f t="shared" si="570"/>
        <v>0</v>
      </c>
      <c r="AR301" s="1120"/>
      <c r="AS301" s="1396"/>
      <c r="AT301" s="1123"/>
      <c r="AU301" s="831"/>
      <c r="AV301" s="1392">
        <f t="shared" si="551"/>
        <v>45858</v>
      </c>
      <c r="AW301" s="1396"/>
      <c r="AX301" s="529">
        <f t="shared" si="571"/>
        <v>45858</v>
      </c>
      <c r="AY301" s="541">
        <f t="shared" si="572"/>
        <v>0</v>
      </c>
      <c r="AZ301" s="538" t="s">
        <v>146</v>
      </c>
      <c r="BA301" s="534">
        <f t="shared" si="573"/>
        <v>0</v>
      </c>
      <c r="BB301" s="567" t="str">
        <f t="shared" si="552"/>
        <v/>
      </c>
      <c r="BC301" s="541">
        <f t="shared" si="574"/>
        <v>0</v>
      </c>
      <c r="BD301" s="541">
        <f t="shared" si="575"/>
        <v>0</v>
      </c>
      <c r="BE301" s="750"/>
      <c r="BF301" s="532" t="str">
        <f t="shared" si="553"/>
        <v/>
      </c>
      <c r="BG301" s="532" t="str">
        <f t="shared" si="576"/>
        <v>oui</v>
      </c>
      <c r="BH301" s="395" t="str">
        <f t="shared" si="554"/>
        <v/>
      </c>
      <c r="BI301" s="24" t="str">
        <f t="shared" si="555"/>
        <v/>
      </c>
      <c r="BJ301" s="1404"/>
      <c r="BK301" s="1404"/>
      <c r="BL301" s="1404"/>
      <c r="BM301" s="1404"/>
      <c r="BN301" s="1404"/>
      <c r="BO301" s="1404"/>
      <c r="BP301" s="1404"/>
      <c r="BQ301" s="1404"/>
      <c r="BR301" s="1405"/>
      <c r="BS301" s="1392">
        <f t="shared" si="522"/>
        <v>45858</v>
      </c>
      <c r="BT301" s="1406" t="str">
        <f t="shared" si="584"/>
        <v/>
      </c>
      <c r="BU301" s="1404"/>
      <c r="BV301" s="1404"/>
      <c r="BW301" s="1404"/>
      <c r="BX301" s="1404"/>
      <c r="BY301" s="1404"/>
      <c r="BZ301" s="1404"/>
      <c r="CA301" s="1404"/>
      <c r="CB301" s="1404"/>
      <c r="CD301" s="1408">
        <f t="shared" si="577"/>
        <v>0</v>
      </c>
      <c r="DC301" s="16" t="str">
        <f>Juillet!FC39</f>
        <v>non</v>
      </c>
      <c r="DG301" s="333">
        <f t="shared" si="578"/>
        <v>1</v>
      </c>
      <c r="DH301" s="129">
        <f t="shared" si="556"/>
        <v>10</v>
      </c>
      <c r="DI301" s="129">
        <f t="shared" si="579"/>
        <v>1</v>
      </c>
      <c r="DK301" s="16">
        <f>+IF(AND(Juillet!$DP$8&lt;&gt;52,AR301=S.CAL!$BJ$4),10,1)</f>
        <v>1</v>
      </c>
      <c r="DN301" s="16">
        <f t="shared" si="557"/>
        <v>1</v>
      </c>
      <c r="DU301" s="1296" t="str">
        <f t="shared" si="580"/>
        <v>Fiche infoA745858</v>
      </c>
      <c r="DV301" s="1384">
        <f t="shared" si="558"/>
        <v>0</v>
      </c>
      <c r="DW301" s="1385">
        <f t="shared" si="559"/>
        <v>0</v>
      </c>
      <c r="DX301" s="1385">
        <f t="shared" si="560"/>
        <v>0</v>
      </c>
      <c r="DY301" s="1385">
        <f t="shared" si="561"/>
        <v>0</v>
      </c>
      <c r="DZ301" s="1385">
        <f t="shared" si="562"/>
        <v>0</v>
      </c>
      <c r="EA301" s="1385">
        <f t="shared" si="563"/>
        <v>0</v>
      </c>
      <c r="EB301" s="1385">
        <f t="shared" si="564"/>
        <v>0</v>
      </c>
      <c r="EC301" s="1385">
        <f t="shared" si="565"/>
        <v>0</v>
      </c>
      <c r="ED301" s="1385">
        <f t="shared" si="581"/>
        <v>0</v>
      </c>
      <c r="EE301" s="1386">
        <f t="shared" si="582"/>
        <v>0</v>
      </c>
      <c r="EG301" s="16" t="str">
        <f t="shared" si="583"/>
        <v>292025</v>
      </c>
      <c r="EH301" s="16" t="str">
        <f t="shared" si="566"/>
        <v>Fiche infoA7</v>
      </c>
      <c r="EI301" s="16" t="str">
        <f t="shared" si="567"/>
        <v/>
      </c>
    </row>
    <row r="302" spans="1:139" x14ac:dyDescent="0.2">
      <c r="A302" s="24" t="str">
        <f>Juillet!BJ40</f>
        <v>Fiche infoA1</v>
      </c>
      <c r="B302" s="829">
        <f>Juillet!AB40</f>
        <v>45859</v>
      </c>
      <c r="C302" s="1393"/>
      <c r="D302" s="1001">
        <f t="shared" si="523"/>
        <v>0</v>
      </c>
      <c r="E302" s="452">
        <f t="shared" si="524"/>
        <v>0</v>
      </c>
      <c r="F302" s="452">
        <f t="shared" si="525"/>
        <v>0</v>
      </c>
      <c r="G302" s="452">
        <f t="shared" si="526"/>
        <v>0</v>
      </c>
      <c r="H302" s="452">
        <f t="shared" si="527"/>
        <v>0</v>
      </c>
      <c r="I302" s="452">
        <f t="shared" si="528"/>
        <v>0</v>
      </c>
      <c r="J302" s="452">
        <f t="shared" si="529"/>
        <v>0</v>
      </c>
      <c r="K302" s="452">
        <f t="shared" si="530"/>
        <v>0</v>
      </c>
      <c r="L302" s="452">
        <f t="shared" si="568"/>
        <v>0</v>
      </c>
      <c r="M302" s="1002">
        <f t="shared" si="569"/>
        <v>0</v>
      </c>
      <c r="O302" s="1001">
        <f t="shared" si="585"/>
        <v>0</v>
      </c>
      <c r="P302" s="452">
        <f t="shared" si="586"/>
        <v>0</v>
      </c>
      <c r="Q302" s="452">
        <f t="shared" si="587"/>
        <v>0</v>
      </c>
      <c r="R302" s="452">
        <f t="shared" si="588"/>
        <v>0</v>
      </c>
      <c r="S302" s="452">
        <f t="shared" si="589"/>
        <v>0</v>
      </c>
      <c r="T302" s="452">
        <f t="shared" si="590"/>
        <v>0</v>
      </c>
      <c r="U302" s="452">
        <f t="shared" si="591"/>
        <v>0</v>
      </c>
      <c r="V302" s="452">
        <f t="shared" si="592"/>
        <v>0</v>
      </c>
      <c r="W302" s="452">
        <f t="shared" si="539"/>
        <v>0</v>
      </c>
      <c r="X302" s="1002">
        <f t="shared" si="540"/>
        <v>0</v>
      </c>
      <c r="Y302" s="459"/>
      <c r="Z302" s="291">
        <f t="shared" si="541"/>
        <v>0</v>
      </c>
      <c r="AA302" s="291">
        <f t="shared" si="542"/>
        <v>0</v>
      </c>
      <c r="AB302" s="291">
        <f t="shared" si="543"/>
        <v>0</v>
      </c>
      <c r="AC302" s="291">
        <f t="shared" si="544"/>
        <v>0</v>
      </c>
      <c r="AD302" s="291">
        <f t="shared" si="545"/>
        <v>0</v>
      </c>
      <c r="AE302" s="291">
        <f t="shared" si="546"/>
        <v>0</v>
      </c>
      <c r="AF302" s="291">
        <f t="shared" si="547"/>
        <v>0</v>
      </c>
      <c r="AG302" s="291">
        <f t="shared" si="548"/>
        <v>0</v>
      </c>
      <c r="AI302" s="462">
        <f t="shared" si="593"/>
        <v>0</v>
      </c>
      <c r="AJ302" s="1112"/>
      <c r="AK302" s="507"/>
      <c r="AL302" s="829">
        <f t="shared" si="550"/>
        <v>45859</v>
      </c>
      <c r="AM302" s="684">
        <f>IFERROR(IF(AND(AT302="",AR302&lt;&gt;S.CAL!$BJ$3,AR302&lt;&gt;S.CAL!$BJ$4,$AR$275="NON"),M302-BD302,IF(AND(AT302="",AR302&lt;&gt;S.CAL!$BJ$3,AR302&lt;&gt;S.CAL!$BJ$4,$AR$275="OUI"),X302-AI302,IF(AT302&lt;&gt;0,AT302,IF(OR(AR302=S.CAL!$BJ$3,AR302=S.CAL!$BJ$4),AR302,"")))),"")</f>
        <v>0</v>
      </c>
      <c r="AN302" s="1115"/>
      <c r="AO302" s="1116"/>
      <c r="AP302" s="684">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516">
        <f t="shared" si="570"/>
        <v>0</v>
      </c>
      <c r="AR302" s="1120"/>
      <c r="AT302" s="1123"/>
      <c r="AU302" s="831"/>
      <c r="AV302" s="1392">
        <f t="shared" si="551"/>
        <v>45859</v>
      </c>
      <c r="AX302" s="529">
        <f t="shared" si="571"/>
        <v>45859</v>
      </c>
      <c r="AY302" s="541">
        <f t="shared" si="572"/>
        <v>0</v>
      </c>
      <c r="AZ302" s="538" t="s">
        <v>146</v>
      </c>
      <c r="BA302" s="534">
        <f t="shared" si="573"/>
        <v>0</v>
      </c>
      <c r="BB302" s="567" t="str">
        <f t="shared" si="552"/>
        <v/>
      </c>
      <c r="BC302" s="541">
        <f t="shared" si="574"/>
        <v>0</v>
      </c>
      <c r="BD302" s="541">
        <f t="shared" si="575"/>
        <v>0</v>
      </c>
      <c r="BE302" s="750"/>
      <c r="BF302" s="532" t="str">
        <f t="shared" si="553"/>
        <v/>
      </c>
      <c r="BG302" s="532" t="str">
        <f t="shared" si="576"/>
        <v>oui</v>
      </c>
      <c r="BH302" s="395" t="str">
        <f t="shared" si="554"/>
        <v/>
      </c>
      <c r="BI302" s="24" t="str">
        <f t="shared" si="555"/>
        <v/>
      </c>
      <c r="BJ302" s="1403"/>
      <c r="BK302" s="1403"/>
      <c r="BL302" s="1403"/>
      <c r="BM302" s="1403"/>
      <c r="BN302" s="1403"/>
      <c r="BO302" s="1403"/>
      <c r="BP302" s="1403"/>
      <c r="BQ302" s="1403"/>
      <c r="BS302" s="1392">
        <f t="shared" si="522"/>
        <v>45859</v>
      </c>
      <c r="BT302" s="27">
        <f t="shared" si="584"/>
        <v>30</v>
      </c>
      <c r="BU302" s="1402"/>
      <c r="BV302" s="1402"/>
      <c r="BW302" s="1402"/>
      <c r="BX302" s="1402"/>
      <c r="BY302" s="1402"/>
      <c r="BZ302" s="1402"/>
      <c r="CA302" s="1402"/>
      <c r="CB302" s="1402"/>
      <c r="CD302" s="1408">
        <f t="shared" si="577"/>
        <v>0</v>
      </c>
      <c r="DC302" s="16" t="str">
        <f>Juillet!FC40</f>
        <v>non</v>
      </c>
      <c r="DG302" s="333">
        <f t="shared" si="578"/>
        <v>1</v>
      </c>
      <c r="DH302" s="129">
        <f t="shared" si="556"/>
        <v>10</v>
      </c>
      <c r="DI302" s="129">
        <f t="shared" si="579"/>
        <v>1</v>
      </c>
      <c r="DK302" s="16">
        <f>+IF(AND(Juillet!$DP$8&lt;&gt;52,AR302=S.CAL!$BJ$4),10,1)</f>
        <v>1</v>
      </c>
      <c r="DN302" s="16">
        <f t="shared" si="557"/>
        <v>1</v>
      </c>
      <c r="DU302" s="1296" t="str">
        <f t="shared" si="580"/>
        <v>Fiche infoA145859</v>
      </c>
      <c r="DV302" s="1384">
        <f t="shared" si="558"/>
        <v>0</v>
      </c>
      <c r="DW302" s="1385">
        <f t="shared" si="559"/>
        <v>0</v>
      </c>
      <c r="DX302" s="1385">
        <f t="shared" si="560"/>
        <v>0</v>
      </c>
      <c r="DY302" s="1385">
        <f t="shared" si="561"/>
        <v>0</v>
      </c>
      <c r="DZ302" s="1385">
        <f t="shared" si="562"/>
        <v>0</v>
      </c>
      <c r="EA302" s="1385">
        <f t="shared" si="563"/>
        <v>0</v>
      </c>
      <c r="EB302" s="1385">
        <f t="shared" si="564"/>
        <v>0</v>
      </c>
      <c r="EC302" s="1385">
        <f t="shared" si="565"/>
        <v>0</v>
      </c>
      <c r="ED302" s="1385">
        <f t="shared" si="581"/>
        <v>0</v>
      </c>
      <c r="EE302" s="1386">
        <f t="shared" si="582"/>
        <v>0</v>
      </c>
      <c r="EG302" s="16" t="str">
        <f t="shared" si="583"/>
        <v>302025</v>
      </c>
      <c r="EH302" s="16" t="str">
        <f t="shared" si="566"/>
        <v>Fiche infoA1</v>
      </c>
      <c r="EI302" s="16" t="str">
        <f t="shared" si="567"/>
        <v/>
      </c>
    </row>
    <row r="303" spans="1:139" x14ac:dyDescent="0.2">
      <c r="A303" s="1395" t="str">
        <f>Juillet!BJ41</f>
        <v>Fiche infoA2</v>
      </c>
      <c r="B303" s="829">
        <f>Juillet!AB41</f>
        <v>45860</v>
      </c>
      <c r="C303" s="1394"/>
      <c r="D303" s="1001">
        <f t="shared" si="523"/>
        <v>0</v>
      </c>
      <c r="E303" s="452">
        <f t="shared" si="524"/>
        <v>0</v>
      </c>
      <c r="F303" s="452">
        <f t="shared" si="525"/>
        <v>0</v>
      </c>
      <c r="G303" s="452">
        <f t="shared" si="526"/>
        <v>0</v>
      </c>
      <c r="H303" s="452">
        <f t="shared" si="527"/>
        <v>0</v>
      </c>
      <c r="I303" s="452">
        <f t="shared" si="528"/>
        <v>0</v>
      </c>
      <c r="J303" s="452">
        <f t="shared" si="529"/>
        <v>0</v>
      </c>
      <c r="K303" s="452">
        <f t="shared" si="530"/>
        <v>0</v>
      </c>
      <c r="L303" s="452">
        <f t="shared" si="568"/>
        <v>0</v>
      </c>
      <c r="M303" s="1002">
        <f t="shared" si="569"/>
        <v>0</v>
      </c>
      <c r="N303" s="1396"/>
      <c r="O303" s="1001">
        <f t="shared" si="585"/>
        <v>0</v>
      </c>
      <c r="P303" s="452">
        <f t="shared" si="586"/>
        <v>0</v>
      </c>
      <c r="Q303" s="452">
        <f t="shared" si="587"/>
        <v>0</v>
      </c>
      <c r="R303" s="452">
        <f t="shared" si="588"/>
        <v>0</v>
      </c>
      <c r="S303" s="452">
        <f t="shared" si="589"/>
        <v>0</v>
      </c>
      <c r="T303" s="452">
        <f t="shared" si="590"/>
        <v>0</v>
      </c>
      <c r="U303" s="452">
        <f t="shared" si="591"/>
        <v>0</v>
      </c>
      <c r="V303" s="452">
        <f t="shared" si="592"/>
        <v>0</v>
      </c>
      <c r="W303" s="452">
        <f t="shared" si="539"/>
        <v>0</v>
      </c>
      <c r="X303" s="1002">
        <f t="shared" si="540"/>
        <v>0</v>
      </c>
      <c r="Y303" s="1397"/>
      <c r="Z303" s="1398">
        <f t="shared" si="541"/>
        <v>0</v>
      </c>
      <c r="AA303" s="1398">
        <f t="shared" si="542"/>
        <v>0</v>
      </c>
      <c r="AB303" s="1398">
        <f t="shared" si="543"/>
        <v>0</v>
      </c>
      <c r="AC303" s="1398">
        <f t="shared" si="544"/>
        <v>0</v>
      </c>
      <c r="AD303" s="1398">
        <f t="shared" si="545"/>
        <v>0</v>
      </c>
      <c r="AE303" s="1398">
        <f t="shared" si="546"/>
        <v>0</v>
      </c>
      <c r="AF303" s="1398">
        <f t="shared" si="547"/>
        <v>0</v>
      </c>
      <c r="AG303" s="1398">
        <f t="shared" si="548"/>
        <v>0</v>
      </c>
      <c r="AH303" s="1396"/>
      <c r="AI303" s="462">
        <f t="shared" si="593"/>
        <v>0</v>
      </c>
      <c r="AJ303" s="1112"/>
      <c r="AK303" s="1399"/>
      <c r="AL303" s="829">
        <f t="shared" si="550"/>
        <v>45860</v>
      </c>
      <c r="AM303" s="684">
        <f>IFERROR(IF(AND(AT303="",AR303&lt;&gt;S.CAL!$BJ$3,AR303&lt;&gt;S.CAL!$BJ$4,$AR$275="NON"),M303-BD303,IF(AND(AT303="",AR303&lt;&gt;S.CAL!$BJ$3,AR303&lt;&gt;S.CAL!$BJ$4,$AR$275="OUI"),X303-AI303,IF(AT303&lt;&gt;0,AT303,IF(OR(AR303=S.CAL!$BJ$3,AR303=S.CAL!$BJ$4),AR303,"")))),"")</f>
        <v>0</v>
      </c>
      <c r="AN303" s="1115"/>
      <c r="AO303" s="1116"/>
      <c r="AP303" s="684">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400">
        <f t="shared" si="570"/>
        <v>0</v>
      </c>
      <c r="AR303" s="1120"/>
      <c r="AS303" s="1396"/>
      <c r="AT303" s="1123"/>
      <c r="AU303" s="831"/>
      <c r="AV303" s="1392">
        <f t="shared" si="551"/>
        <v>45860</v>
      </c>
      <c r="AW303" s="1396"/>
      <c r="AX303" s="529">
        <f t="shared" si="571"/>
        <v>45860</v>
      </c>
      <c r="AY303" s="541">
        <f t="shared" si="572"/>
        <v>0</v>
      </c>
      <c r="AZ303" s="538" t="s">
        <v>146</v>
      </c>
      <c r="BA303" s="534">
        <f t="shared" si="573"/>
        <v>0</v>
      </c>
      <c r="BB303" s="567" t="str">
        <f t="shared" si="552"/>
        <v/>
      </c>
      <c r="BC303" s="541">
        <f t="shared" si="574"/>
        <v>0</v>
      </c>
      <c r="BD303" s="541">
        <f t="shared" si="575"/>
        <v>0</v>
      </c>
      <c r="BE303" s="750"/>
      <c r="BF303" s="532" t="str">
        <f t="shared" si="553"/>
        <v/>
      </c>
      <c r="BG303" s="532" t="str">
        <f t="shared" si="576"/>
        <v>oui</v>
      </c>
      <c r="BH303" s="395" t="str">
        <f t="shared" si="554"/>
        <v/>
      </c>
      <c r="BI303" s="24" t="str">
        <f t="shared" si="555"/>
        <v/>
      </c>
      <c r="BJ303" s="1404"/>
      <c r="BK303" s="1404"/>
      <c r="BL303" s="1404"/>
      <c r="BM303" s="1404"/>
      <c r="BN303" s="1404"/>
      <c r="BO303" s="1404"/>
      <c r="BP303" s="1404"/>
      <c r="BQ303" s="1404"/>
      <c r="BR303" s="1405"/>
      <c r="BS303" s="1392">
        <f t="shared" si="522"/>
        <v>45860</v>
      </c>
      <c r="BT303" s="1406" t="str">
        <f t="shared" si="584"/>
        <v/>
      </c>
      <c r="BU303" s="1404"/>
      <c r="BV303" s="1404"/>
      <c r="BW303" s="1404"/>
      <c r="BX303" s="1404"/>
      <c r="BY303" s="1404"/>
      <c r="BZ303" s="1404"/>
      <c r="CA303" s="1404"/>
      <c r="CB303" s="1404"/>
      <c r="CD303" s="1408">
        <f t="shared" si="577"/>
        <v>0</v>
      </c>
      <c r="DC303" s="16" t="str">
        <f>Juillet!FC41</f>
        <v>non</v>
      </c>
      <c r="DG303" s="333">
        <f t="shared" si="578"/>
        <v>1</v>
      </c>
      <c r="DH303" s="129">
        <f t="shared" si="556"/>
        <v>10</v>
      </c>
      <c r="DI303" s="129">
        <f t="shared" si="579"/>
        <v>1</v>
      </c>
      <c r="DK303" s="16">
        <f>+IF(AND(Juillet!$DP$8&lt;&gt;52,AR303=S.CAL!$BJ$4),10,1)</f>
        <v>1</v>
      </c>
      <c r="DN303" s="16">
        <f t="shared" si="557"/>
        <v>1</v>
      </c>
      <c r="DU303" s="1296" t="str">
        <f t="shared" si="580"/>
        <v>Fiche infoA245860</v>
      </c>
      <c r="DV303" s="1384">
        <f t="shared" si="558"/>
        <v>0</v>
      </c>
      <c r="DW303" s="1385">
        <f t="shared" si="559"/>
        <v>0</v>
      </c>
      <c r="DX303" s="1385">
        <f t="shared" si="560"/>
        <v>0</v>
      </c>
      <c r="DY303" s="1385">
        <f t="shared" si="561"/>
        <v>0</v>
      </c>
      <c r="DZ303" s="1385">
        <f t="shared" si="562"/>
        <v>0</v>
      </c>
      <c r="EA303" s="1385">
        <f t="shared" si="563"/>
        <v>0</v>
      </c>
      <c r="EB303" s="1385">
        <f t="shared" si="564"/>
        <v>0</v>
      </c>
      <c r="EC303" s="1385">
        <f t="shared" si="565"/>
        <v>0</v>
      </c>
      <c r="ED303" s="1385">
        <f t="shared" si="581"/>
        <v>0</v>
      </c>
      <c r="EE303" s="1386">
        <f t="shared" si="582"/>
        <v>0</v>
      </c>
      <c r="EG303" s="16" t="str">
        <f t="shared" si="583"/>
        <v>302025</v>
      </c>
      <c r="EH303" s="16" t="str">
        <f t="shared" si="566"/>
        <v>Fiche infoA2</v>
      </c>
      <c r="EI303" s="16" t="str">
        <f t="shared" si="567"/>
        <v/>
      </c>
    </row>
    <row r="304" spans="1:139" x14ac:dyDescent="0.2">
      <c r="A304" s="24" t="str">
        <f>Juillet!BJ42</f>
        <v>Fiche infoA3</v>
      </c>
      <c r="B304" s="829">
        <f>Juillet!AB42</f>
        <v>45861</v>
      </c>
      <c r="C304" s="1393"/>
      <c r="D304" s="1001">
        <f t="shared" si="523"/>
        <v>0</v>
      </c>
      <c r="E304" s="452">
        <f t="shared" si="524"/>
        <v>0</v>
      </c>
      <c r="F304" s="452">
        <f t="shared" si="525"/>
        <v>0</v>
      </c>
      <c r="G304" s="452">
        <f t="shared" si="526"/>
        <v>0</v>
      </c>
      <c r="H304" s="452">
        <f t="shared" si="527"/>
        <v>0</v>
      </c>
      <c r="I304" s="452">
        <f t="shared" si="528"/>
        <v>0</v>
      </c>
      <c r="J304" s="452">
        <f t="shared" si="529"/>
        <v>0</v>
      </c>
      <c r="K304" s="452">
        <f t="shared" si="530"/>
        <v>0</v>
      </c>
      <c r="L304" s="452">
        <f t="shared" si="568"/>
        <v>0</v>
      </c>
      <c r="M304" s="1002">
        <f t="shared" si="569"/>
        <v>0</v>
      </c>
      <c r="O304" s="1001">
        <f t="shared" si="585"/>
        <v>0</v>
      </c>
      <c r="P304" s="452">
        <f t="shared" si="586"/>
        <v>0</v>
      </c>
      <c r="Q304" s="452">
        <f t="shared" si="587"/>
        <v>0</v>
      </c>
      <c r="R304" s="452">
        <f t="shared" si="588"/>
        <v>0</v>
      </c>
      <c r="S304" s="452">
        <f t="shared" si="589"/>
        <v>0</v>
      </c>
      <c r="T304" s="452">
        <f t="shared" si="590"/>
        <v>0</v>
      </c>
      <c r="U304" s="452">
        <f t="shared" si="591"/>
        <v>0</v>
      </c>
      <c r="V304" s="452">
        <f t="shared" si="592"/>
        <v>0</v>
      </c>
      <c r="W304" s="452">
        <f t="shared" si="539"/>
        <v>0</v>
      </c>
      <c r="X304" s="1002">
        <f t="shared" si="540"/>
        <v>0</v>
      </c>
      <c r="Y304" s="459"/>
      <c r="Z304" s="291">
        <f t="shared" si="541"/>
        <v>0</v>
      </c>
      <c r="AA304" s="291">
        <f t="shared" si="542"/>
        <v>0</v>
      </c>
      <c r="AB304" s="291">
        <f t="shared" si="543"/>
        <v>0</v>
      </c>
      <c r="AC304" s="291">
        <f t="shared" si="544"/>
        <v>0</v>
      </c>
      <c r="AD304" s="291">
        <f t="shared" si="545"/>
        <v>0</v>
      </c>
      <c r="AE304" s="291">
        <f t="shared" si="546"/>
        <v>0</v>
      </c>
      <c r="AF304" s="291">
        <f t="shared" si="547"/>
        <v>0</v>
      </c>
      <c r="AG304" s="291">
        <f t="shared" si="548"/>
        <v>0</v>
      </c>
      <c r="AI304" s="462">
        <f t="shared" si="593"/>
        <v>0</v>
      </c>
      <c r="AJ304" s="1112"/>
      <c r="AK304" s="507"/>
      <c r="AL304" s="829">
        <f t="shared" si="550"/>
        <v>45861</v>
      </c>
      <c r="AM304" s="684">
        <f>IFERROR(IF(AND(AT304="",AR304&lt;&gt;S.CAL!$BJ$3,AR304&lt;&gt;S.CAL!$BJ$4,$AR$275="NON"),M304-BD304,IF(AND(AT304="",AR304&lt;&gt;S.CAL!$BJ$3,AR304&lt;&gt;S.CAL!$BJ$4,$AR$275="OUI"),X304-AI304,IF(AT304&lt;&gt;0,AT304,IF(OR(AR304=S.CAL!$BJ$3,AR304=S.CAL!$BJ$4),AR304,"")))),"")</f>
        <v>0</v>
      </c>
      <c r="AN304" s="1115"/>
      <c r="AO304" s="1116"/>
      <c r="AP304" s="684">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516">
        <f t="shared" si="570"/>
        <v>0</v>
      </c>
      <c r="AR304" s="1120"/>
      <c r="AT304" s="1123"/>
      <c r="AU304" s="831"/>
      <c r="AV304" s="1392">
        <f t="shared" si="551"/>
        <v>45861</v>
      </c>
      <c r="AX304" s="529">
        <f t="shared" si="571"/>
        <v>45861</v>
      </c>
      <c r="AY304" s="541">
        <f t="shared" si="572"/>
        <v>0</v>
      </c>
      <c r="AZ304" s="538" t="s">
        <v>146</v>
      </c>
      <c r="BA304" s="534">
        <f t="shared" si="573"/>
        <v>0</v>
      </c>
      <c r="BB304" s="567" t="str">
        <f t="shared" si="552"/>
        <v/>
      </c>
      <c r="BC304" s="541">
        <f t="shared" si="574"/>
        <v>0</v>
      </c>
      <c r="BD304" s="541">
        <f t="shared" si="575"/>
        <v>0</v>
      </c>
      <c r="BE304" s="750"/>
      <c r="BF304" s="532" t="str">
        <f t="shared" si="553"/>
        <v/>
      </c>
      <c r="BG304" s="532" t="str">
        <f t="shared" si="576"/>
        <v>oui</v>
      </c>
      <c r="BH304" s="395" t="str">
        <f t="shared" si="554"/>
        <v/>
      </c>
      <c r="BI304" s="24" t="str">
        <f t="shared" si="555"/>
        <v/>
      </c>
      <c r="BJ304" s="1403"/>
      <c r="BK304" s="1403"/>
      <c r="BL304" s="1403"/>
      <c r="BM304" s="1403"/>
      <c r="BN304" s="1403"/>
      <c r="BO304" s="1403"/>
      <c r="BP304" s="1403"/>
      <c r="BQ304" s="1403"/>
      <c r="BS304" s="1392">
        <f t="shared" si="522"/>
        <v>45861</v>
      </c>
      <c r="BT304" s="27" t="str">
        <f t="shared" si="584"/>
        <v/>
      </c>
      <c r="BU304" s="1402"/>
      <c r="BV304" s="1402"/>
      <c r="BW304" s="1402"/>
      <c r="BX304" s="1402"/>
      <c r="BY304" s="1402"/>
      <c r="BZ304" s="1402"/>
      <c r="CA304" s="1402"/>
      <c r="CB304" s="1402"/>
      <c r="CD304" s="1408">
        <f t="shared" si="577"/>
        <v>0</v>
      </c>
      <c r="DC304" s="16" t="str">
        <f>Juillet!FC42</f>
        <v>non</v>
      </c>
      <c r="DG304" s="333">
        <f t="shared" si="578"/>
        <v>1</v>
      </c>
      <c r="DH304" s="129">
        <f t="shared" si="556"/>
        <v>10</v>
      </c>
      <c r="DI304" s="129">
        <f t="shared" si="579"/>
        <v>1</v>
      </c>
      <c r="DK304" s="16">
        <f>+IF(AND(Juillet!$DP$8&lt;&gt;52,AR304=S.CAL!$BJ$4),10,1)</f>
        <v>1</v>
      </c>
      <c r="DN304" s="16">
        <f t="shared" si="557"/>
        <v>1</v>
      </c>
      <c r="DU304" s="1296" t="str">
        <f t="shared" si="580"/>
        <v>Fiche infoA345861</v>
      </c>
      <c r="DV304" s="1384">
        <f t="shared" si="558"/>
        <v>0</v>
      </c>
      <c r="DW304" s="1385">
        <f t="shared" si="559"/>
        <v>0</v>
      </c>
      <c r="DX304" s="1385">
        <f t="shared" si="560"/>
        <v>0</v>
      </c>
      <c r="DY304" s="1385">
        <f t="shared" si="561"/>
        <v>0</v>
      </c>
      <c r="DZ304" s="1385">
        <f t="shared" si="562"/>
        <v>0</v>
      </c>
      <c r="EA304" s="1385">
        <f t="shared" si="563"/>
        <v>0</v>
      </c>
      <c r="EB304" s="1385">
        <f t="shared" si="564"/>
        <v>0</v>
      </c>
      <c r="EC304" s="1385">
        <f t="shared" si="565"/>
        <v>0</v>
      </c>
      <c r="ED304" s="1385">
        <f t="shared" si="581"/>
        <v>0</v>
      </c>
      <c r="EE304" s="1386">
        <f t="shared" si="582"/>
        <v>0</v>
      </c>
      <c r="EG304" s="16" t="str">
        <f t="shared" si="583"/>
        <v>302025</v>
      </c>
      <c r="EH304" s="16" t="str">
        <f t="shared" si="566"/>
        <v>Fiche infoA3</v>
      </c>
      <c r="EI304" s="16" t="str">
        <f t="shared" si="567"/>
        <v/>
      </c>
    </row>
    <row r="305" spans="1:145" x14ac:dyDescent="0.2">
      <c r="A305" s="1395" t="str">
        <f>Juillet!BJ43</f>
        <v>Fiche infoA4</v>
      </c>
      <c r="B305" s="829">
        <f>Juillet!AB43</f>
        <v>45862</v>
      </c>
      <c r="C305" s="1394"/>
      <c r="D305" s="1001">
        <f t="shared" si="523"/>
        <v>0</v>
      </c>
      <c r="E305" s="452">
        <f t="shared" si="524"/>
        <v>0</v>
      </c>
      <c r="F305" s="452">
        <f t="shared" si="525"/>
        <v>0</v>
      </c>
      <c r="G305" s="452">
        <f t="shared" si="526"/>
        <v>0</v>
      </c>
      <c r="H305" s="452">
        <f t="shared" si="527"/>
        <v>0</v>
      </c>
      <c r="I305" s="452">
        <f t="shared" si="528"/>
        <v>0</v>
      </c>
      <c r="J305" s="452">
        <f t="shared" si="529"/>
        <v>0</v>
      </c>
      <c r="K305" s="452">
        <f t="shared" si="530"/>
        <v>0</v>
      </c>
      <c r="L305" s="452">
        <f t="shared" si="568"/>
        <v>0</v>
      </c>
      <c r="M305" s="1002">
        <f t="shared" si="569"/>
        <v>0</v>
      </c>
      <c r="N305" s="1396"/>
      <c r="O305" s="1001">
        <f t="shared" si="585"/>
        <v>0</v>
      </c>
      <c r="P305" s="452">
        <f t="shared" si="586"/>
        <v>0</v>
      </c>
      <c r="Q305" s="452">
        <f t="shared" si="587"/>
        <v>0</v>
      </c>
      <c r="R305" s="452">
        <f t="shared" si="588"/>
        <v>0</v>
      </c>
      <c r="S305" s="452">
        <f t="shared" si="589"/>
        <v>0</v>
      </c>
      <c r="T305" s="452">
        <f t="shared" si="590"/>
        <v>0</v>
      </c>
      <c r="U305" s="452">
        <f t="shared" si="591"/>
        <v>0</v>
      </c>
      <c r="V305" s="452">
        <f t="shared" si="592"/>
        <v>0</v>
      </c>
      <c r="W305" s="452">
        <f t="shared" si="539"/>
        <v>0</v>
      </c>
      <c r="X305" s="1002">
        <f t="shared" si="540"/>
        <v>0</v>
      </c>
      <c r="Y305" s="1397"/>
      <c r="Z305" s="1398">
        <f t="shared" si="541"/>
        <v>0</v>
      </c>
      <c r="AA305" s="1398">
        <f t="shared" si="542"/>
        <v>0</v>
      </c>
      <c r="AB305" s="1398">
        <f t="shared" si="543"/>
        <v>0</v>
      </c>
      <c r="AC305" s="1398">
        <f t="shared" si="544"/>
        <v>0</v>
      </c>
      <c r="AD305" s="1398">
        <f t="shared" si="545"/>
        <v>0</v>
      </c>
      <c r="AE305" s="1398">
        <f t="shared" si="546"/>
        <v>0</v>
      </c>
      <c r="AF305" s="1398">
        <f t="shared" si="547"/>
        <v>0</v>
      </c>
      <c r="AG305" s="1398">
        <f t="shared" si="548"/>
        <v>0</v>
      </c>
      <c r="AH305" s="1396"/>
      <c r="AI305" s="462">
        <f t="shared" si="593"/>
        <v>0</v>
      </c>
      <c r="AJ305" s="1112"/>
      <c r="AK305" s="1399"/>
      <c r="AL305" s="829">
        <f t="shared" si="550"/>
        <v>45862</v>
      </c>
      <c r="AM305" s="684">
        <f>IFERROR(IF(AND(AT305="",AR305&lt;&gt;S.CAL!$BJ$3,AR305&lt;&gt;S.CAL!$BJ$4,$AR$275="NON"),M305-BD305,IF(AND(AT305="",AR305&lt;&gt;S.CAL!$BJ$3,AR305&lt;&gt;S.CAL!$BJ$4,$AR$275="OUI"),X305-AI305,IF(AT305&lt;&gt;0,AT305,IF(OR(AR305=S.CAL!$BJ$3,AR305=S.CAL!$BJ$4),AR305,"")))),"")</f>
        <v>0</v>
      </c>
      <c r="AN305" s="1115"/>
      <c r="AO305" s="1116"/>
      <c r="AP305" s="684">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400">
        <f t="shared" si="570"/>
        <v>0</v>
      </c>
      <c r="AR305" s="1120"/>
      <c r="AS305" s="1396"/>
      <c r="AT305" s="1123"/>
      <c r="AU305" s="831"/>
      <c r="AV305" s="1392">
        <f t="shared" si="551"/>
        <v>45862</v>
      </c>
      <c r="AW305" s="1396"/>
      <c r="AX305" s="529">
        <f t="shared" si="571"/>
        <v>45862</v>
      </c>
      <c r="AY305" s="541">
        <f t="shared" si="572"/>
        <v>0</v>
      </c>
      <c r="AZ305" s="538" t="s">
        <v>146</v>
      </c>
      <c r="BA305" s="534">
        <f t="shared" si="573"/>
        <v>0</v>
      </c>
      <c r="BB305" s="567" t="str">
        <f t="shared" si="552"/>
        <v/>
      </c>
      <c r="BC305" s="541">
        <f t="shared" si="574"/>
        <v>0</v>
      </c>
      <c r="BD305" s="541">
        <f t="shared" si="575"/>
        <v>0</v>
      </c>
      <c r="BE305" s="750"/>
      <c r="BF305" s="532" t="str">
        <f t="shared" si="553"/>
        <v/>
      </c>
      <c r="BG305" s="532" t="str">
        <f t="shared" si="576"/>
        <v>oui</v>
      </c>
      <c r="BH305" s="395" t="str">
        <f t="shared" si="554"/>
        <v/>
      </c>
      <c r="BI305" s="24" t="str">
        <f t="shared" si="555"/>
        <v/>
      </c>
      <c r="BJ305" s="1404"/>
      <c r="BK305" s="1404"/>
      <c r="BL305" s="1404"/>
      <c r="BM305" s="1404"/>
      <c r="BN305" s="1404"/>
      <c r="BO305" s="1404"/>
      <c r="BP305" s="1404"/>
      <c r="BQ305" s="1404"/>
      <c r="BR305" s="1405"/>
      <c r="BS305" s="1392">
        <f t="shared" si="522"/>
        <v>45862</v>
      </c>
      <c r="BT305" s="1406" t="str">
        <f t="shared" si="584"/>
        <v/>
      </c>
      <c r="BU305" s="1404"/>
      <c r="BV305" s="1404"/>
      <c r="BW305" s="1404"/>
      <c r="BX305" s="1404"/>
      <c r="BY305" s="1404"/>
      <c r="BZ305" s="1404"/>
      <c r="CA305" s="1404"/>
      <c r="CB305" s="1404"/>
      <c r="CD305" s="1408">
        <f t="shared" si="577"/>
        <v>0</v>
      </c>
      <c r="DC305" s="16" t="str">
        <f>Juillet!FC43</f>
        <v>non</v>
      </c>
      <c r="DG305" s="333">
        <f t="shared" si="578"/>
        <v>1</v>
      </c>
      <c r="DH305" s="129">
        <f t="shared" si="556"/>
        <v>10</v>
      </c>
      <c r="DI305" s="129">
        <f t="shared" si="579"/>
        <v>1</v>
      </c>
      <c r="DK305" s="16">
        <f>+IF(AND(Juillet!$DP$8&lt;&gt;52,AR305=S.CAL!$BJ$4),10,1)</f>
        <v>1</v>
      </c>
      <c r="DN305" s="16">
        <f t="shared" si="557"/>
        <v>1</v>
      </c>
      <c r="DU305" s="1296" t="str">
        <f t="shared" si="580"/>
        <v>Fiche infoA445862</v>
      </c>
      <c r="DV305" s="1384">
        <f t="shared" si="558"/>
        <v>0</v>
      </c>
      <c r="DW305" s="1385">
        <f t="shared" si="559"/>
        <v>0</v>
      </c>
      <c r="DX305" s="1385">
        <f t="shared" si="560"/>
        <v>0</v>
      </c>
      <c r="DY305" s="1385">
        <f t="shared" si="561"/>
        <v>0</v>
      </c>
      <c r="DZ305" s="1385">
        <f t="shared" si="562"/>
        <v>0</v>
      </c>
      <c r="EA305" s="1385">
        <f t="shared" si="563"/>
        <v>0</v>
      </c>
      <c r="EB305" s="1385">
        <f t="shared" si="564"/>
        <v>0</v>
      </c>
      <c r="EC305" s="1385">
        <f t="shared" si="565"/>
        <v>0</v>
      </c>
      <c r="ED305" s="1385">
        <f t="shared" si="581"/>
        <v>0</v>
      </c>
      <c r="EE305" s="1386">
        <f t="shared" si="582"/>
        <v>0</v>
      </c>
      <c r="EG305" s="16" t="str">
        <f t="shared" si="583"/>
        <v>302025</v>
      </c>
      <c r="EH305" s="16" t="str">
        <f t="shared" si="566"/>
        <v>Fiche infoA4</v>
      </c>
      <c r="EI305" s="16" t="str">
        <f t="shared" si="567"/>
        <v/>
      </c>
    </row>
    <row r="306" spans="1:145" x14ac:dyDescent="0.2">
      <c r="A306" s="24" t="str">
        <f>Juillet!BJ44</f>
        <v>Fiche infoA5</v>
      </c>
      <c r="B306" s="829">
        <f>Juillet!AB44</f>
        <v>45863</v>
      </c>
      <c r="C306" s="1393"/>
      <c r="D306" s="1001">
        <f t="shared" si="523"/>
        <v>0</v>
      </c>
      <c r="E306" s="452">
        <f t="shared" si="524"/>
        <v>0</v>
      </c>
      <c r="F306" s="452">
        <f t="shared" si="525"/>
        <v>0</v>
      </c>
      <c r="G306" s="452">
        <f t="shared" si="526"/>
        <v>0</v>
      </c>
      <c r="H306" s="452">
        <f t="shared" si="527"/>
        <v>0</v>
      </c>
      <c r="I306" s="452">
        <f t="shared" si="528"/>
        <v>0</v>
      </c>
      <c r="J306" s="452">
        <f t="shared" si="529"/>
        <v>0</v>
      </c>
      <c r="K306" s="452">
        <f t="shared" si="530"/>
        <v>0</v>
      </c>
      <c r="L306" s="452">
        <f t="shared" si="568"/>
        <v>0</v>
      </c>
      <c r="M306" s="1002">
        <f t="shared" si="569"/>
        <v>0</v>
      </c>
      <c r="O306" s="1001">
        <f t="shared" si="585"/>
        <v>0</v>
      </c>
      <c r="P306" s="452">
        <f t="shared" si="586"/>
        <v>0</v>
      </c>
      <c r="Q306" s="452">
        <f t="shared" si="587"/>
        <v>0</v>
      </c>
      <c r="R306" s="452">
        <f t="shared" si="588"/>
        <v>0</v>
      </c>
      <c r="S306" s="452">
        <f t="shared" si="589"/>
        <v>0</v>
      </c>
      <c r="T306" s="452">
        <f t="shared" si="590"/>
        <v>0</v>
      </c>
      <c r="U306" s="452">
        <f t="shared" si="591"/>
        <v>0</v>
      </c>
      <c r="V306" s="452">
        <f t="shared" si="592"/>
        <v>0</v>
      </c>
      <c r="W306" s="452">
        <f t="shared" si="539"/>
        <v>0</v>
      </c>
      <c r="X306" s="1002">
        <f t="shared" si="540"/>
        <v>0</v>
      </c>
      <c r="Y306" s="459"/>
      <c r="Z306" s="291">
        <f t="shared" si="541"/>
        <v>0</v>
      </c>
      <c r="AA306" s="291">
        <f t="shared" si="542"/>
        <v>0</v>
      </c>
      <c r="AB306" s="291">
        <f t="shared" si="543"/>
        <v>0</v>
      </c>
      <c r="AC306" s="291">
        <f t="shared" si="544"/>
        <v>0</v>
      </c>
      <c r="AD306" s="291">
        <f t="shared" si="545"/>
        <v>0</v>
      </c>
      <c r="AE306" s="291">
        <f t="shared" si="546"/>
        <v>0</v>
      </c>
      <c r="AF306" s="291">
        <f t="shared" si="547"/>
        <v>0</v>
      </c>
      <c r="AG306" s="291">
        <f t="shared" si="548"/>
        <v>0</v>
      </c>
      <c r="AI306" s="462">
        <f t="shared" si="593"/>
        <v>0</v>
      </c>
      <c r="AJ306" s="1112"/>
      <c r="AK306" s="507"/>
      <c r="AL306" s="829">
        <f t="shared" si="550"/>
        <v>45863</v>
      </c>
      <c r="AM306" s="684">
        <f>IFERROR(IF(AND(AT306="",AR306&lt;&gt;S.CAL!$BJ$3,AR306&lt;&gt;S.CAL!$BJ$4,$AR$275="NON"),M306-BD306,IF(AND(AT306="",AR306&lt;&gt;S.CAL!$BJ$3,AR306&lt;&gt;S.CAL!$BJ$4,$AR$275="OUI"),X306-AI306,IF(AT306&lt;&gt;0,AT306,IF(OR(AR306=S.CAL!$BJ$3,AR306=S.CAL!$BJ$4),AR306,"")))),"")</f>
        <v>0</v>
      </c>
      <c r="AN306" s="1115"/>
      <c r="AO306" s="1116"/>
      <c r="AP306" s="684">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516">
        <f t="shared" si="570"/>
        <v>0</v>
      </c>
      <c r="AR306" s="1120"/>
      <c r="AT306" s="1123"/>
      <c r="AU306" s="831"/>
      <c r="AV306" s="1392">
        <f t="shared" si="551"/>
        <v>45863</v>
      </c>
      <c r="AX306" s="529">
        <f t="shared" si="571"/>
        <v>45863</v>
      </c>
      <c r="AY306" s="541">
        <f t="shared" si="572"/>
        <v>0</v>
      </c>
      <c r="AZ306" s="538" t="s">
        <v>146</v>
      </c>
      <c r="BA306" s="534">
        <f t="shared" si="573"/>
        <v>0</v>
      </c>
      <c r="BB306" s="567" t="str">
        <f t="shared" si="552"/>
        <v/>
      </c>
      <c r="BC306" s="541">
        <f t="shared" si="574"/>
        <v>0</v>
      </c>
      <c r="BD306" s="541">
        <f t="shared" si="575"/>
        <v>0</v>
      </c>
      <c r="BE306" s="750"/>
      <c r="BF306" s="532" t="str">
        <f t="shared" si="553"/>
        <v/>
      </c>
      <c r="BG306" s="532" t="str">
        <f t="shared" si="576"/>
        <v>oui</v>
      </c>
      <c r="BH306" s="395" t="str">
        <f t="shared" si="554"/>
        <v/>
      </c>
      <c r="BI306" s="24" t="str">
        <f t="shared" si="555"/>
        <v/>
      </c>
      <c r="BJ306" s="1403"/>
      <c r="BK306" s="1403"/>
      <c r="BL306" s="1403"/>
      <c r="BM306" s="1403"/>
      <c r="BN306" s="1403"/>
      <c r="BO306" s="1403"/>
      <c r="BP306" s="1403"/>
      <c r="BQ306" s="1403"/>
      <c r="BS306" s="1392">
        <f t="shared" si="522"/>
        <v>45863</v>
      </c>
      <c r="BT306" s="27" t="str">
        <f t="shared" si="584"/>
        <v/>
      </c>
      <c r="BU306" s="1402"/>
      <c r="BV306" s="1402"/>
      <c r="BW306" s="1402"/>
      <c r="BX306" s="1402"/>
      <c r="BY306" s="1402"/>
      <c r="BZ306" s="1402"/>
      <c r="CA306" s="1402"/>
      <c r="CB306" s="1402"/>
      <c r="CD306" s="1408">
        <f t="shared" si="577"/>
        <v>0</v>
      </c>
      <c r="DC306" s="16" t="str">
        <f>Juillet!FC44</f>
        <v>non</v>
      </c>
      <c r="DG306" s="333">
        <f t="shared" si="578"/>
        <v>1</v>
      </c>
      <c r="DH306" s="129">
        <f t="shared" si="556"/>
        <v>10</v>
      </c>
      <c r="DI306" s="129">
        <f t="shared" si="579"/>
        <v>1</v>
      </c>
      <c r="DK306" s="16">
        <f>+IF(AND(Juillet!$DP$8&lt;&gt;52,AR306=S.CAL!$BJ$4),10,1)</f>
        <v>1</v>
      </c>
      <c r="DN306" s="16">
        <f t="shared" si="557"/>
        <v>1</v>
      </c>
      <c r="DU306" s="1296" t="str">
        <f t="shared" si="580"/>
        <v>Fiche infoA545863</v>
      </c>
      <c r="DV306" s="1384">
        <f t="shared" si="558"/>
        <v>0</v>
      </c>
      <c r="DW306" s="1385">
        <f t="shared" si="559"/>
        <v>0</v>
      </c>
      <c r="DX306" s="1385">
        <f t="shared" si="560"/>
        <v>0</v>
      </c>
      <c r="DY306" s="1385">
        <f t="shared" si="561"/>
        <v>0</v>
      </c>
      <c r="DZ306" s="1385">
        <f t="shared" si="562"/>
        <v>0</v>
      </c>
      <c r="EA306" s="1385">
        <f t="shared" si="563"/>
        <v>0</v>
      </c>
      <c r="EB306" s="1385">
        <f t="shared" si="564"/>
        <v>0</v>
      </c>
      <c r="EC306" s="1385">
        <f t="shared" si="565"/>
        <v>0</v>
      </c>
      <c r="ED306" s="1385">
        <f t="shared" si="581"/>
        <v>0</v>
      </c>
      <c r="EE306" s="1386">
        <f t="shared" si="582"/>
        <v>0</v>
      </c>
      <c r="EG306" s="16" t="str">
        <f t="shared" si="583"/>
        <v>302025</v>
      </c>
      <c r="EH306" s="16" t="str">
        <f t="shared" si="566"/>
        <v>Fiche infoA5</v>
      </c>
      <c r="EI306" s="16" t="str">
        <f t="shared" si="567"/>
        <v/>
      </c>
    </row>
    <row r="307" spans="1:145" x14ac:dyDescent="0.2">
      <c r="A307" s="1395" t="str">
        <f>Juillet!BJ45</f>
        <v>Fiche infoA6</v>
      </c>
      <c r="B307" s="829">
        <f>Juillet!AB45</f>
        <v>45864</v>
      </c>
      <c r="C307" s="1394"/>
      <c r="D307" s="1001">
        <f t="shared" si="523"/>
        <v>0</v>
      </c>
      <c r="E307" s="452">
        <f t="shared" si="524"/>
        <v>0</v>
      </c>
      <c r="F307" s="452">
        <f t="shared" si="525"/>
        <v>0</v>
      </c>
      <c r="G307" s="452">
        <f t="shared" si="526"/>
        <v>0</v>
      </c>
      <c r="H307" s="452">
        <f t="shared" si="527"/>
        <v>0</v>
      </c>
      <c r="I307" s="452">
        <f t="shared" si="528"/>
        <v>0</v>
      </c>
      <c r="J307" s="452">
        <f t="shared" si="529"/>
        <v>0</v>
      </c>
      <c r="K307" s="452">
        <f t="shared" si="530"/>
        <v>0</v>
      </c>
      <c r="L307" s="452">
        <f t="shared" si="568"/>
        <v>0</v>
      </c>
      <c r="M307" s="1002">
        <f t="shared" si="569"/>
        <v>0</v>
      </c>
      <c r="N307" s="1396"/>
      <c r="O307" s="1001">
        <f t="shared" si="585"/>
        <v>0</v>
      </c>
      <c r="P307" s="452">
        <f t="shared" si="586"/>
        <v>0</v>
      </c>
      <c r="Q307" s="452">
        <f t="shared" si="587"/>
        <v>0</v>
      </c>
      <c r="R307" s="452">
        <f t="shared" si="588"/>
        <v>0</v>
      </c>
      <c r="S307" s="452">
        <f t="shared" si="589"/>
        <v>0</v>
      </c>
      <c r="T307" s="452">
        <f t="shared" si="590"/>
        <v>0</v>
      </c>
      <c r="U307" s="452">
        <f t="shared" si="591"/>
        <v>0</v>
      </c>
      <c r="V307" s="452">
        <f t="shared" si="592"/>
        <v>0</v>
      </c>
      <c r="W307" s="452">
        <f t="shared" si="539"/>
        <v>0</v>
      </c>
      <c r="X307" s="1002">
        <f t="shared" si="540"/>
        <v>0</v>
      </c>
      <c r="Y307" s="1397"/>
      <c r="Z307" s="1398">
        <f t="shared" si="541"/>
        <v>0</v>
      </c>
      <c r="AA307" s="1398">
        <f t="shared" si="542"/>
        <v>0</v>
      </c>
      <c r="AB307" s="1398">
        <f t="shared" si="543"/>
        <v>0</v>
      </c>
      <c r="AC307" s="1398">
        <f t="shared" si="544"/>
        <v>0</v>
      </c>
      <c r="AD307" s="1398">
        <f t="shared" si="545"/>
        <v>0</v>
      </c>
      <c r="AE307" s="1398">
        <f t="shared" si="546"/>
        <v>0</v>
      </c>
      <c r="AF307" s="1398">
        <f t="shared" si="547"/>
        <v>0</v>
      </c>
      <c r="AG307" s="1398">
        <f t="shared" si="548"/>
        <v>0</v>
      </c>
      <c r="AH307" s="1396"/>
      <c r="AI307" s="462">
        <f t="shared" si="593"/>
        <v>0</v>
      </c>
      <c r="AJ307" s="1112"/>
      <c r="AK307" s="1399"/>
      <c r="AL307" s="829">
        <f t="shared" si="550"/>
        <v>45864</v>
      </c>
      <c r="AM307" s="684">
        <f>IFERROR(IF(AND(AT307="",AR307&lt;&gt;S.CAL!$BJ$3,AR307&lt;&gt;S.CAL!$BJ$4,$AR$275="NON"),M307-BD307,IF(AND(AT307="",AR307&lt;&gt;S.CAL!$BJ$3,AR307&lt;&gt;S.CAL!$BJ$4,$AR$275="OUI"),X307-AI307,IF(AT307&lt;&gt;0,AT307,IF(OR(AR307=S.CAL!$BJ$3,AR307=S.CAL!$BJ$4),AR307,"")))),"")</f>
        <v>0</v>
      </c>
      <c r="AN307" s="1115"/>
      <c r="AO307" s="1116"/>
      <c r="AP307" s="684">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400">
        <f t="shared" si="570"/>
        <v>0</v>
      </c>
      <c r="AR307" s="1120"/>
      <c r="AS307" s="1396"/>
      <c r="AT307" s="1123"/>
      <c r="AU307" s="831"/>
      <c r="AV307" s="1392">
        <f t="shared" si="551"/>
        <v>45864</v>
      </c>
      <c r="AW307" s="1396"/>
      <c r="AX307" s="529">
        <f t="shared" si="571"/>
        <v>45864</v>
      </c>
      <c r="AY307" s="541">
        <f t="shared" si="572"/>
        <v>0</v>
      </c>
      <c r="AZ307" s="538" t="s">
        <v>146</v>
      </c>
      <c r="BA307" s="534">
        <f t="shared" si="573"/>
        <v>0</v>
      </c>
      <c r="BB307" s="567" t="str">
        <f t="shared" si="552"/>
        <v/>
      </c>
      <c r="BC307" s="541">
        <f t="shared" si="574"/>
        <v>0</v>
      </c>
      <c r="BD307" s="541">
        <f t="shared" si="575"/>
        <v>0</v>
      </c>
      <c r="BE307" s="750"/>
      <c r="BF307" s="532" t="str">
        <f t="shared" si="553"/>
        <v/>
      </c>
      <c r="BG307" s="532" t="str">
        <f t="shared" si="576"/>
        <v>oui</v>
      </c>
      <c r="BH307" s="395" t="str">
        <f t="shared" si="554"/>
        <v/>
      </c>
      <c r="BI307" s="24" t="str">
        <f t="shared" si="555"/>
        <v/>
      </c>
      <c r="BJ307" s="1404"/>
      <c r="BK307" s="1404"/>
      <c r="BL307" s="1404"/>
      <c r="BM307" s="1404"/>
      <c r="BN307" s="1404"/>
      <c r="BO307" s="1404"/>
      <c r="BP307" s="1404"/>
      <c r="BQ307" s="1404"/>
      <c r="BR307" s="1405"/>
      <c r="BS307" s="1392">
        <f t="shared" si="522"/>
        <v>45864</v>
      </c>
      <c r="BT307" s="1406" t="str">
        <f t="shared" si="584"/>
        <v/>
      </c>
      <c r="BU307" s="1404"/>
      <c r="BV307" s="1404"/>
      <c r="BW307" s="1404"/>
      <c r="BX307" s="1404"/>
      <c r="BY307" s="1404"/>
      <c r="BZ307" s="1404"/>
      <c r="CA307" s="1404"/>
      <c r="CB307" s="1404"/>
      <c r="CD307" s="1408">
        <f t="shared" si="577"/>
        <v>0</v>
      </c>
      <c r="DC307" s="16" t="str">
        <f>Juillet!FC45</f>
        <v>non</v>
      </c>
      <c r="DG307" s="333">
        <f t="shared" si="578"/>
        <v>1</v>
      </c>
      <c r="DH307" s="129">
        <f t="shared" si="556"/>
        <v>10</v>
      </c>
      <c r="DI307" s="129">
        <f t="shared" si="579"/>
        <v>1</v>
      </c>
      <c r="DK307" s="16">
        <f>+IF(AND(Juillet!$DP$8&lt;&gt;52,AR307=S.CAL!$BJ$4),10,1)</f>
        <v>1</v>
      </c>
      <c r="DN307" s="16">
        <f t="shared" si="557"/>
        <v>1</v>
      </c>
      <c r="DU307" s="1296" t="str">
        <f t="shared" si="580"/>
        <v>Fiche infoA645864</v>
      </c>
      <c r="DV307" s="1384">
        <f t="shared" si="558"/>
        <v>0</v>
      </c>
      <c r="DW307" s="1385">
        <f t="shared" si="559"/>
        <v>0</v>
      </c>
      <c r="DX307" s="1385">
        <f t="shared" si="560"/>
        <v>0</v>
      </c>
      <c r="DY307" s="1385">
        <f t="shared" si="561"/>
        <v>0</v>
      </c>
      <c r="DZ307" s="1385">
        <f t="shared" si="562"/>
        <v>0</v>
      </c>
      <c r="EA307" s="1385">
        <f t="shared" si="563"/>
        <v>0</v>
      </c>
      <c r="EB307" s="1385">
        <f t="shared" si="564"/>
        <v>0</v>
      </c>
      <c r="EC307" s="1385">
        <f t="shared" si="565"/>
        <v>0</v>
      </c>
      <c r="ED307" s="1385">
        <f t="shared" si="581"/>
        <v>0</v>
      </c>
      <c r="EE307" s="1386">
        <f t="shared" si="582"/>
        <v>0</v>
      </c>
      <c r="EG307" s="16" t="str">
        <f t="shared" si="583"/>
        <v>302025</v>
      </c>
      <c r="EH307" s="16" t="str">
        <f t="shared" si="566"/>
        <v>Fiche infoA6</v>
      </c>
      <c r="EI307" s="16" t="str">
        <f t="shared" si="567"/>
        <v/>
      </c>
    </row>
    <row r="308" spans="1:145" x14ac:dyDescent="0.2">
      <c r="A308" s="24" t="str">
        <f>Juillet!BJ46</f>
        <v>Fiche infoA7</v>
      </c>
      <c r="B308" s="829">
        <f>Juillet!AB46</f>
        <v>45865</v>
      </c>
      <c r="C308" s="1393"/>
      <c r="D308" s="1001">
        <f t="shared" si="523"/>
        <v>0</v>
      </c>
      <c r="E308" s="452">
        <f t="shared" si="524"/>
        <v>0</v>
      </c>
      <c r="F308" s="452">
        <f t="shared" si="525"/>
        <v>0</v>
      </c>
      <c r="G308" s="452">
        <f t="shared" si="526"/>
        <v>0</v>
      </c>
      <c r="H308" s="452">
        <f t="shared" si="527"/>
        <v>0</v>
      </c>
      <c r="I308" s="452">
        <f t="shared" si="528"/>
        <v>0</v>
      </c>
      <c r="J308" s="452">
        <f t="shared" si="529"/>
        <v>0</v>
      </c>
      <c r="K308" s="452">
        <f t="shared" si="530"/>
        <v>0</v>
      </c>
      <c r="L308" s="452">
        <f t="shared" si="568"/>
        <v>0</v>
      </c>
      <c r="M308" s="1002">
        <f t="shared" si="569"/>
        <v>0</v>
      </c>
      <c r="O308" s="1001">
        <f t="shared" si="585"/>
        <v>0</v>
      </c>
      <c r="P308" s="452">
        <f t="shared" si="586"/>
        <v>0</v>
      </c>
      <c r="Q308" s="452">
        <f t="shared" si="587"/>
        <v>0</v>
      </c>
      <c r="R308" s="452">
        <f t="shared" si="588"/>
        <v>0</v>
      </c>
      <c r="S308" s="452">
        <f t="shared" si="589"/>
        <v>0</v>
      </c>
      <c r="T308" s="452">
        <f t="shared" si="590"/>
        <v>0</v>
      </c>
      <c r="U308" s="452">
        <f t="shared" si="591"/>
        <v>0</v>
      </c>
      <c r="V308" s="452">
        <f t="shared" si="592"/>
        <v>0</v>
      </c>
      <c r="W308" s="452">
        <f t="shared" si="539"/>
        <v>0</v>
      </c>
      <c r="X308" s="1002">
        <f t="shared" si="540"/>
        <v>0</v>
      </c>
      <c r="Y308" s="459"/>
      <c r="Z308" s="291">
        <f t="shared" si="541"/>
        <v>0</v>
      </c>
      <c r="AA308" s="291">
        <f t="shared" si="542"/>
        <v>0</v>
      </c>
      <c r="AB308" s="291">
        <f t="shared" si="543"/>
        <v>0</v>
      </c>
      <c r="AC308" s="291">
        <f t="shared" si="544"/>
        <v>0</v>
      </c>
      <c r="AD308" s="291">
        <f t="shared" si="545"/>
        <v>0</v>
      </c>
      <c r="AE308" s="291">
        <f t="shared" si="546"/>
        <v>0</v>
      </c>
      <c r="AF308" s="291">
        <f t="shared" si="547"/>
        <v>0</v>
      </c>
      <c r="AG308" s="291">
        <f t="shared" si="548"/>
        <v>0</v>
      </c>
      <c r="AI308" s="462">
        <f t="shared" si="593"/>
        <v>0</v>
      </c>
      <c r="AJ308" s="1112"/>
      <c r="AK308" s="507"/>
      <c r="AL308" s="829">
        <f t="shared" si="550"/>
        <v>45865</v>
      </c>
      <c r="AM308" s="684">
        <f>IFERROR(IF(AND(AT308="",AR308&lt;&gt;S.CAL!$BJ$3,AR308&lt;&gt;S.CAL!$BJ$4,$AR$275="NON"),M308-BD308,IF(AND(AT308="",AR308&lt;&gt;S.CAL!$BJ$3,AR308&lt;&gt;S.CAL!$BJ$4,$AR$275="OUI"),X308-AI308,IF(AT308&lt;&gt;0,AT308,IF(OR(AR308=S.CAL!$BJ$3,AR308=S.CAL!$BJ$4),AR308,"")))),"")</f>
        <v>0</v>
      </c>
      <c r="AN308" s="1115"/>
      <c r="AO308" s="1116"/>
      <c r="AP308" s="684">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516">
        <f t="shared" si="570"/>
        <v>0</v>
      </c>
      <c r="AR308" s="1120"/>
      <c r="AT308" s="1123"/>
      <c r="AU308" s="831"/>
      <c r="AV308" s="1392">
        <f t="shared" si="551"/>
        <v>45865</v>
      </c>
      <c r="AX308" s="529">
        <f t="shared" si="571"/>
        <v>45865</v>
      </c>
      <c r="AY308" s="541">
        <f t="shared" si="572"/>
        <v>0</v>
      </c>
      <c r="AZ308" s="538" t="s">
        <v>146</v>
      </c>
      <c r="BA308" s="534">
        <f t="shared" si="573"/>
        <v>0</v>
      </c>
      <c r="BB308" s="567" t="str">
        <f t="shared" si="552"/>
        <v/>
      </c>
      <c r="BC308" s="541">
        <f t="shared" si="574"/>
        <v>0</v>
      </c>
      <c r="BD308" s="541">
        <f t="shared" si="575"/>
        <v>0</v>
      </c>
      <c r="BE308" s="750"/>
      <c r="BF308" s="532" t="str">
        <f t="shared" si="553"/>
        <v/>
      </c>
      <c r="BG308" s="532" t="str">
        <f t="shared" si="576"/>
        <v>oui</v>
      </c>
      <c r="BH308" s="395" t="str">
        <f t="shared" si="554"/>
        <v/>
      </c>
      <c r="BI308" s="24" t="str">
        <f t="shared" si="555"/>
        <v/>
      </c>
      <c r="BJ308" s="1403"/>
      <c r="BK308" s="1403"/>
      <c r="BL308" s="1403"/>
      <c r="BM308" s="1403"/>
      <c r="BN308" s="1403"/>
      <c r="BO308" s="1403"/>
      <c r="BP308" s="1403"/>
      <c r="BQ308" s="1403"/>
      <c r="BS308" s="1392">
        <f t="shared" si="522"/>
        <v>45865</v>
      </c>
      <c r="BT308" s="27" t="str">
        <f t="shared" si="584"/>
        <v/>
      </c>
      <c r="BU308" s="1402"/>
      <c r="BV308" s="1402"/>
      <c r="BW308" s="1402"/>
      <c r="BX308" s="1402"/>
      <c r="BY308" s="1402"/>
      <c r="BZ308" s="1402"/>
      <c r="CA308" s="1402"/>
      <c r="CB308" s="1402"/>
      <c r="CD308" s="1408">
        <f t="shared" si="577"/>
        <v>0</v>
      </c>
      <c r="DC308" s="16" t="str">
        <f>Juillet!FC46</f>
        <v>non</v>
      </c>
      <c r="DG308" s="333">
        <f t="shared" si="578"/>
        <v>1</v>
      </c>
      <c r="DH308" s="129">
        <f t="shared" si="556"/>
        <v>10</v>
      </c>
      <c r="DI308" s="129">
        <f t="shared" si="579"/>
        <v>1</v>
      </c>
      <c r="DK308" s="16">
        <f>+IF(AND(Juillet!$DP$8&lt;&gt;52,AR308=S.CAL!$BJ$4),10,1)</f>
        <v>1</v>
      </c>
      <c r="DN308" s="16">
        <f t="shared" si="557"/>
        <v>1</v>
      </c>
      <c r="DU308" s="1296" t="str">
        <f t="shared" si="580"/>
        <v>Fiche infoA745865</v>
      </c>
      <c r="DV308" s="1384">
        <f t="shared" si="558"/>
        <v>0</v>
      </c>
      <c r="DW308" s="1385">
        <f t="shared" si="559"/>
        <v>0</v>
      </c>
      <c r="DX308" s="1385">
        <f t="shared" si="560"/>
        <v>0</v>
      </c>
      <c r="DY308" s="1385">
        <f t="shared" si="561"/>
        <v>0</v>
      </c>
      <c r="DZ308" s="1385">
        <f t="shared" si="562"/>
        <v>0</v>
      </c>
      <c r="EA308" s="1385">
        <f t="shared" si="563"/>
        <v>0</v>
      </c>
      <c r="EB308" s="1385">
        <f t="shared" si="564"/>
        <v>0</v>
      </c>
      <c r="EC308" s="1385">
        <f t="shared" si="565"/>
        <v>0</v>
      </c>
      <c r="ED308" s="1385">
        <f t="shared" si="581"/>
        <v>0</v>
      </c>
      <c r="EE308" s="1386">
        <f t="shared" si="582"/>
        <v>0</v>
      </c>
      <c r="EG308" s="16" t="str">
        <f t="shared" si="583"/>
        <v>302025</v>
      </c>
      <c r="EH308" s="16" t="str">
        <f t="shared" si="566"/>
        <v>Fiche infoA7</v>
      </c>
      <c r="EI308" s="16" t="str">
        <f t="shared" si="567"/>
        <v/>
      </c>
    </row>
    <row r="309" spans="1:145" x14ac:dyDescent="0.2">
      <c r="A309" s="1395" t="str">
        <f>Juillet!BJ47</f>
        <v>Fiche infoA1</v>
      </c>
      <c r="B309" s="829">
        <f>Juillet!AB47</f>
        <v>45866</v>
      </c>
      <c r="C309" s="1394"/>
      <c r="D309" s="1001">
        <f t="shared" si="523"/>
        <v>0</v>
      </c>
      <c r="E309" s="452">
        <f t="shared" si="524"/>
        <v>0</v>
      </c>
      <c r="F309" s="452">
        <f t="shared" si="525"/>
        <v>0</v>
      </c>
      <c r="G309" s="452">
        <f t="shared" si="526"/>
        <v>0</v>
      </c>
      <c r="H309" s="452">
        <f t="shared" si="527"/>
        <v>0</v>
      </c>
      <c r="I309" s="452">
        <f t="shared" si="528"/>
        <v>0</v>
      </c>
      <c r="J309" s="452">
        <f t="shared" si="529"/>
        <v>0</v>
      </c>
      <c r="K309" s="452">
        <f t="shared" si="530"/>
        <v>0</v>
      </c>
      <c r="L309" s="452">
        <f t="shared" si="568"/>
        <v>0</v>
      </c>
      <c r="M309" s="1002">
        <f t="shared" si="569"/>
        <v>0</v>
      </c>
      <c r="N309" s="1396"/>
      <c r="O309" s="1001">
        <f t="shared" si="585"/>
        <v>0</v>
      </c>
      <c r="P309" s="452">
        <f t="shared" si="586"/>
        <v>0</v>
      </c>
      <c r="Q309" s="452">
        <f t="shared" si="587"/>
        <v>0</v>
      </c>
      <c r="R309" s="452">
        <f t="shared" si="588"/>
        <v>0</v>
      </c>
      <c r="S309" s="452">
        <f t="shared" si="589"/>
        <v>0</v>
      </c>
      <c r="T309" s="452">
        <f t="shared" si="590"/>
        <v>0</v>
      </c>
      <c r="U309" s="452">
        <f t="shared" si="591"/>
        <v>0</v>
      </c>
      <c r="V309" s="452">
        <f t="shared" si="592"/>
        <v>0</v>
      </c>
      <c r="W309" s="452">
        <f t="shared" si="539"/>
        <v>0</v>
      </c>
      <c r="X309" s="1002">
        <f t="shared" si="540"/>
        <v>0</v>
      </c>
      <c r="Y309" s="1397"/>
      <c r="Z309" s="1398">
        <f t="shared" si="541"/>
        <v>0</v>
      </c>
      <c r="AA309" s="1398">
        <f t="shared" si="542"/>
        <v>0</v>
      </c>
      <c r="AB309" s="1398">
        <f t="shared" si="543"/>
        <v>0</v>
      </c>
      <c r="AC309" s="1398">
        <f t="shared" si="544"/>
        <v>0</v>
      </c>
      <c r="AD309" s="1398">
        <f t="shared" si="545"/>
        <v>0</v>
      </c>
      <c r="AE309" s="1398">
        <f t="shared" si="546"/>
        <v>0</v>
      </c>
      <c r="AF309" s="1398">
        <f t="shared" si="547"/>
        <v>0</v>
      </c>
      <c r="AG309" s="1398">
        <f t="shared" si="548"/>
        <v>0</v>
      </c>
      <c r="AH309" s="1396"/>
      <c r="AI309" s="462">
        <f t="shared" si="593"/>
        <v>0</v>
      </c>
      <c r="AJ309" s="1112"/>
      <c r="AK309" s="1399"/>
      <c r="AL309" s="829">
        <f t="shared" si="550"/>
        <v>45866</v>
      </c>
      <c r="AM309" s="684">
        <f>IFERROR(IF(AND(AT309="",AR309&lt;&gt;S.CAL!$BJ$3,AR309&lt;&gt;S.CAL!$BJ$4,$AR$275="NON"),M309-BD309,IF(AND(AT309="",AR309&lt;&gt;S.CAL!$BJ$3,AR309&lt;&gt;S.CAL!$BJ$4,$AR$275="OUI"),X309-AI309,IF(AT309&lt;&gt;0,AT309,IF(OR(AR309=S.CAL!$BJ$3,AR309=S.CAL!$BJ$4),AR309,"")))),"")</f>
        <v>0</v>
      </c>
      <c r="AN309" s="1115"/>
      <c r="AO309" s="1116"/>
      <c r="AP309" s="684">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400">
        <f t="shared" si="570"/>
        <v>0</v>
      </c>
      <c r="AR309" s="1120"/>
      <c r="AS309" s="1396"/>
      <c r="AT309" s="1123"/>
      <c r="AU309" s="831"/>
      <c r="AV309" s="1392">
        <f t="shared" si="551"/>
        <v>45866</v>
      </c>
      <c r="AW309" s="1396"/>
      <c r="AX309" s="529">
        <f t="shared" si="571"/>
        <v>45866</v>
      </c>
      <c r="AY309" s="541">
        <f t="shared" si="572"/>
        <v>0</v>
      </c>
      <c r="AZ309" s="538" t="s">
        <v>146</v>
      </c>
      <c r="BA309" s="534">
        <f t="shared" si="573"/>
        <v>0</v>
      </c>
      <c r="BB309" s="567" t="str">
        <f t="shared" si="552"/>
        <v/>
      </c>
      <c r="BC309" s="541">
        <f t="shared" si="574"/>
        <v>0</v>
      </c>
      <c r="BD309" s="541">
        <f t="shared" si="575"/>
        <v>0</v>
      </c>
      <c r="BE309" s="750"/>
      <c r="BF309" s="532" t="str">
        <f t="shared" si="553"/>
        <v/>
      </c>
      <c r="BG309" s="532" t="str">
        <f t="shared" si="576"/>
        <v>oui</v>
      </c>
      <c r="BH309" s="395" t="str">
        <f t="shared" si="554"/>
        <v/>
      </c>
      <c r="BI309" s="24" t="str">
        <f t="shared" si="555"/>
        <v/>
      </c>
      <c r="BJ309" s="1404"/>
      <c r="BK309" s="1404"/>
      <c r="BL309" s="1404"/>
      <c r="BM309" s="1404"/>
      <c r="BN309" s="1404"/>
      <c r="BO309" s="1404"/>
      <c r="BP309" s="1404"/>
      <c r="BQ309" s="1404"/>
      <c r="BR309" s="1405"/>
      <c r="BS309" s="1392">
        <f t="shared" si="522"/>
        <v>45866</v>
      </c>
      <c r="BT309" s="1406">
        <f t="shared" si="584"/>
        <v>31</v>
      </c>
      <c r="BU309" s="1404"/>
      <c r="BV309" s="1404"/>
      <c r="BW309" s="1404"/>
      <c r="BX309" s="1404"/>
      <c r="BY309" s="1404"/>
      <c r="BZ309" s="1404"/>
      <c r="CA309" s="1404"/>
      <c r="CB309" s="1404"/>
      <c r="CD309" s="1408">
        <f t="shared" si="577"/>
        <v>0</v>
      </c>
      <c r="DC309" s="16" t="str">
        <f>Juillet!FC47</f>
        <v>non</v>
      </c>
      <c r="DG309" s="333">
        <f t="shared" si="578"/>
        <v>1</v>
      </c>
      <c r="DH309" s="129">
        <f t="shared" si="556"/>
        <v>10</v>
      </c>
      <c r="DI309" s="129">
        <f t="shared" si="579"/>
        <v>1</v>
      </c>
      <c r="DK309" s="16">
        <f>+IF(AND(Juillet!$DP$8&lt;&gt;52,AR309=S.CAL!$BJ$4),10,1)</f>
        <v>1</v>
      </c>
      <c r="DN309" s="16">
        <f t="shared" si="557"/>
        <v>1</v>
      </c>
      <c r="DU309" s="1296" t="str">
        <f t="shared" si="580"/>
        <v>Fiche infoA145866</v>
      </c>
      <c r="DV309" s="1384">
        <f t="shared" si="558"/>
        <v>0</v>
      </c>
      <c r="DW309" s="1385">
        <f t="shared" si="559"/>
        <v>0</v>
      </c>
      <c r="DX309" s="1385">
        <f t="shared" si="560"/>
        <v>0</v>
      </c>
      <c r="DY309" s="1385">
        <f t="shared" si="561"/>
        <v>0</v>
      </c>
      <c r="DZ309" s="1385">
        <f t="shared" si="562"/>
        <v>0</v>
      </c>
      <c r="EA309" s="1385">
        <f t="shared" si="563"/>
        <v>0</v>
      </c>
      <c r="EB309" s="1385">
        <f t="shared" si="564"/>
        <v>0</v>
      </c>
      <c r="EC309" s="1385">
        <f t="shared" si="565"/>
        <v>0</v>
      </c>
      <c r="ED309" s="1385">
        <f t="shared" si="581"/>
        <v>0</v>
      </c>
      <c r="EE309" s="1386">
        <f t="shared" si="582"/>
        <v>0</v>
      </c>
      <c r="EG309" s="16" t="str">
        <f t="shared" si="583"/>
        <v>312025</v>
      </c>
      <c r="EH309" s="16" t="str">
        <f t="shared" si="566"/>
        <v>Fiche infoA1</v>
      </c>
      <c r="EI309" s="16" t="str">
        <f t="shared" si="567"/>
        <v/>
      </c>
    </row>
    <row r="310" spans="1:145" x14ac:dyDescent="0.2">
      <c r="A310" s="24" t="str">
        <f>Juillet!BJ48</f>
        <v>Fiche infoA2</v>
      </c>
      <c r="B310" s="829">
        <f>Juillet!AB48</f>
        <v>45867</v>
      </c>
      <c r="C310" s="1393"/>
      <c r="D310" s="1001">
        <f t="shared" si="523"/>
        <v>0</v>
      </c>
      <c r="E310" s="452">
        <f t="shared" si="524"/>
        <v>0</v>
      </c>
      <c r="F310" s="452">
        <f t="shared" si="525"/>
        <v>0</v>
      </c>
      <c r="G310" s="452">
        <f t="shared" si="526"/>
        <v>0</v>
      </c>
      <c r="H310" s="452">
        <f t="shared" si="527"/>
        <v>0</v>
      </c>
      <c r="I310" s="452">
        <f t="shared" si="528"/>
        <v>0</v>
      </c>
      <c r="J310" s="452">
        <f t="shared" si="529"/>
        <v>0</v>
      </c>
      <c r="K310" s="452">
        <f t="shared" si="530"/>
        <v>0</v>
      </c>
      <c r="L310" s="452">
        <f t="shared" si="568"/>
        <v>0</v>
      </c>
      <c r="M310" s="1002">
        <f t="shared" si="569"/>
        <v>0</v>
      </c>
      <c r="O310" s="1001">
        <f t="shared" si="585"/>
        <v>0</v>
      </c>
      <c r="P310" s="452">
        <f t="shared" si="586"/>
        <v>0</v>
      </c>
      <c r="Q310" s="452">
        <f t="shared" si="587"/>
        <v>0</v>
      </c>
      <c r="R310" s="452">
        <f t="shared" si="588"/>
        <v>0</v>
      </c>
      <c r="S310" s="452">
        <f t="shared" si="589"/>
        <v>0</v>
      </c>
      <c r="T310" s="452">
        <f t="shared" si="590"/>
        <v>0</v>
      </c>
      <c r="U310" s="452">
        <f t="shared" si="591"/>
        <v>0</v>
      </c>
      <c r="V310" s="452">
        <f t="shared" si="592"/>
        <v>0</v>
      </c>
      <c r="W310" s="452">
        <f t="shared" si="539"/>
        <v>0</v>
      </c>
      <c r="X310" s="1002">
        <f t="shared" si="540"/>
        <v>0</v>
      </c>
      <c r="Y310" s="459"/>
      <c r="Z310" s="291">
        <f t="shared" si="541"/>
        <v>0</v>
      </c>
      <c r="AA310" s="291">
        <f t="shared" si="542"/>
        <v>0</v>
      </c>
      <c r="AB310" s="291">
        <f t="shared" si="543"/>
        <v>0</v>
      </c>
      <c r="AC310" s="291">
        <f t="shared" si="544"/>
        <v>0</v>
      </c>
      <c r="AD310" s="291">
        <f t="shared" si="545"/>
        <v>0</v>
      </c>
      <c r="AE310" s="291">
        <f t="shared" si="546"/>
        <v>0</v>
      </c>
      <c r="AF310" s="291">
        <f t="shared" si="547"/>
        <v>0</v>
      </c>
      <c r="AG310" s="291">
        <f t="shared" si="548"/>
        <v>0</v>
      </c>
      <c r="AI310" s="462">
        <f t="shared" si="593"/>
        <v>0</v>
      </c>
      <c r="AJ310" s="1112"/>
      <c r="AK310" s="507"/>
      <c r="AL310" s="829">
        <f t="shared" si="550"/>
        <v>45867</v>
      </c>
      <c r="AM310" s="684">
        <f>IFERROR(IF(AND(AT310="",AR310&lt;&gt;S.CAL!$BJ$3,AR310&lt;&gt;S.CAL!$BJ$4,$AR$275="NON"),M310-BD310,IF(AND(AT310="",AR310&lt;&gt;S.CAL!$BJ$3,AR310&lt;&gt;S.CAL!$BJ$4,$AR$275="OUI"),X310-AI310,IF(AT310&lt;&gt;0,AT310,IF(OR(AR310=S.CAL!$BJ$3,AR310=S.CAL!$BJ$4),AR310,"")))),"")</f>
        <v>0</v>
      </c>
      <c r="AN310" s="1115"/>
      <c r="AO310" s="1116"/>
      <c r="AP310" s="684">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516">
        <f t="shared" si="570"/>
        <v>0</v>
      </c>
      <c r="AR310" s="1120"/>
      <c r="AT310" s="1123"/>
      <c r="AU310" s="831"/>
      <c r="AV310" s="1392">
        <f t="shared" si="551"/>
        <v>45867</v>
      </c>
      <c r="AX310" s="529">
        <f t="shared" si="571"/>
        <v>45867</v>
      </c>
      <c r="AY310" s="541">
        <f t="shared" si="572"/>
        <v>0</v>
      </c>
      <c r="AZ310" s="538" t="s">
        <v>146</v>
      </c>
      <c r="BA310" s="534">
        <f t="shared" si="573"/>
        <v>0</v>
      </c>
      <c r="BB310" s="567" t="str">
        <f t="shared" si="552"/>
        <v/>
      </c>
      <c r="BC310" s="541">
        <f t="shared" si="574"/>
        <v>0</v>
      </c>
      <c r="BD310" s="541">
        <f t="shared" si="575"/>
        <v>0</v>
      </c>
      <c r="BE310" s="750"/>
      <c r="BF310" s="532" t="str">
        <f t="shared" si="553"/>
        <v/>
      </c>
      <c r="BG310" s="532" t="str">
        <f t="shared" si="576"/>
        <v>oui</v>
      </c>
      <c r="BH310" s="395" t="str">
        <f t="shared" si="554"/>
        <v/>
      </c>
      <c r="BI310" s="24" t="str">
        <f t="shared" si="555"/>
        <v/>
      </c>
      <c r="BJ310" s="1403"/>
      <c r="BK310" s="1403"/>
      <c r="BL310" s="1403"/>
      <c r="BM310" s="1403"/>
      <c r="BN310" s="1403"/>
      <c r="BO310" s="1403"/>
      <c r="BP310" s="1403"/>
      <c r="BQ310" s="1403"/>
      <c r="BS310" s="1392">
        <f t="shared" si="522"/>
        <v>45867</v>
      </c>
      <c r="BT310" s="27" t="str">
        <f t="shared" si="584"/>
        <v/>
      </c>
      <c r="BU310" s="1402"/>
      <c r="BV310" s="1402"/>
      <c r="BW310" s="1402"/>
      <c r="BX310" s="1402"/>
      <c r="BY310" s="1402"/>
      <c r="BZ310" s="1402"/>
      <c r="CA310" s="1402"/>
      <c r="CB310" s="1402"/>
      <c r="CD310" s="1408">
        <f t="shared" si="577"/>
        <v>0</v>
      </c>
      <c r="DC310" s="16" t="str">
        <f>Juillet!FC48</f>
        <v>non</v>
      </c>
      <c r="DG310" s="333">
        <f t="shared" si="578"/>
        <v>1</v>
      </c>
      <c r="DH310" s="129">
        <f t="shared" si="556"/>
        <v>10</v>
      </c>
      <c r="DI310" s="129">
        <f t="shared" si="579"/>
        <v>1</v>
      </c>
      <c r="DK310" s="16">
        <f>+IF(AND(Juillet!$DP$8&lt;&gt;52,AR310=S.CAL!$BJ$4),10,1)</f>
        <v>1</v>
      </c>
      <c r="DN310" s="16">
        <f t="shared" si="557"/>
        <v>1</v>
      </c>
      <c r="DU310" s="1296" t="str">
        <f t="shared" si="580"/>
        <v>Fiche infoA245867</v>
      </c>
      <c r="DV310" s="1384">
        <f t="shared" si="558"/>
        <v>0</v>
      </c>
      <c r="DW310" s="1385">
        <f t="shared" si="559"/>
        <v>0</v>
      </c>
      <c r="DX310" s="1385">
        <f t="shared" si="560"/>
        <v>0</v>
      </c>
      <c r="DY310" s="1385">
        <f t="shared" si="561"/>
        <v>0</v>
      </c>
      <c r="DZ310" s="1385">
        <f t="shared" si="562"/>
        <v>0</v>
      </c>
      <c r="EA310" s="1385">
        <f t="shared" si="563"/>
        <v>0</v>
      </c>
      <c r="EB310" s="1385">
        <f t="shared" si="564"/>
        <v>0</v>
      </c>
      <c r="EC310" s="1385">
        <f t="shared" si="565"/>
        <v>0</v>
      </c>
      <c r="ED310" s="1385">
        <f t="shared" si="581"/>
        <v>0</v>
      </c>
      <c r="EE310" s="1386">
        <f t="shared" si="582"/>
        <v>0</v>
      </c>
      <c r="EG310" s="16" t="str">
        <f t="shared" si="583"/>
        <v>312025</v>
      </c>
      <c r="EH310" s="16" t="str">
        <f t="shared" si="566"/>
        <v>Fiche infoA2</v>
      </c>
      <c r="EI310" s="16" t="str">
        <f t="shared" si="567"/>
        <v/>
      </c>
    </row>
    <row r="311" spans="1:145" x14ac:dyDescent="0.2">
      <c r="A311" s="1395" t="str">
        <f>Juillet!BJ49</f>
        <v>Fiche infoA3</v>
      </c>
      <c r="B311" s="829">
        <f>Juillet!AB49</f>
        <v>45868</v>
      </c>
      <c r="C311" s="1394"/>
      <c r="D311" s="1001">
        <f t="shared" si="523"/>
        <v>0</v>
      </c>
      <c r="E311" s="452">
        <f t="shared" si="524"/>
        <v>0</v>
      </c>
      <c r="F311" s="452">
        <f t="shared" si="525"/>
        <v>0</v>
      </c>
      <c r="G311" s="452">
        <f t="shared" si="526"/>
        <v>0</v>
      </c>
      <c r="H311" s="452">
        <f t="shared" si="527"/>
        <v>0</v>
      </c>
      <c r="I311" s="452">
        <f t="shared" si="528"/>
        <v>0</v>
      </c>
      <c r="J311" s="452">
        <f t="shared" si="529"/>
        <v>0</v>
      </c>
      <c r="K311" s="452">
        <f t="shared" si="530"/>
        <v>0</v>
      </c>
      <c r="L311" s="452">
        <f t="shared" si="568"/>
        <v>0</v>
      </c>
      <c r="M311" s="1002">
        <f t="shared" si="569"/>
        <v>0</v>
      </c>
      <c r="N311" s="1396"/>
      <c r="O311" s="1001">
        <f t="shared" si="585"/>
        <v>0</v>
      </c>
      <c r="P311" s="452">
        <f t="shared" si="586"/>
        <v>0</v>
      </c>
      <c r="Q311" s="452">
        <f t="shared" si="587"/>
        <v>0</v>
      </c>
      <c r="R311" s="452">
        <f t="shared" si="588"/>
        <v>0</v>
      </c>
      <c r="S311" s="452">
        <f t="shared" si="589"/>
        <v>0</v>
      </c>
      <c r="T311" s="452">
        <f t="shared" si="590"/>
        <v>0</v>
      </c>
      <c r="U311" s="452">
        <f t="shared" si="591"/>
        <v>0</v>
      </c>
      <c r="V311" s="452">
        <f t="shared" si="592"/>
        <v>0</v>
      </c>
      <c r="W311" s="452">
        <f t="shared" si="539"/>
        <v>0</v>
      </c>
      <c r="X311" s="1002">
        <f t="shared" si="540"/>
        <v>0</v>
      </c>
      <c r="Y311" s="1397"/>
      <c r="Z311" s="1398">
        <f t="shared" si="541"/>
        <v>0</v>
      </c>
      <c r="AA311" s="1398">
        <f t="shared" si="542"/>
        <v>0</v>
      </c>
      <c r="AB311" s="1398">
        <f t="shared" si="543"/>
        <v>0</v>
      </c>
      <c r="AC311" s="1398">
        <f t="shared" si="544"/>
        <v>0</v>
      </c>
      <c r="AD311" s="1398">
        <f t="shared" si="545"/>
        <v>0</v>
      </c>
      <c r="AE311" s="1398">
        <f t="shared" si="546"/>
        <v>0</v>
      </c>
      <c r="AF311" s="1398">
        <f t="shared" si="547"/>
        <v>0</v>
      </c>
      <c r="AG311" s="1398">
        <f t="shared" si="548"/>
        <v>0</v>
      </c>
      <c r="AH311" s="1396"/>
      <c r="AI311" s="462">
        <f t="shared" si="593"/>
        <v>0</v>
      </c>
      <c r="AJ311" s="1112"/>
      <c r="AK311" s="1399"/>
      <c r="AL311" s="829">
        <f t="shared" si="550"/>
        <v>45868</v>
      </c>
      <c r="AM311" s="684">
        <f>IFERROR(IF(AND(AT311="",AR311&lt;&gt;S.CAL!$BJ$3,AR311&lt;&gt;S.CAL!$BJ$4,$AR$275="NON"),M311-BD311,IF(AND(AT311="",AR311&lt;&gt;S.CAL!$BJ$3,AR311&lt;&gt;S.CAL!$BJ$4,$AR$275="OUI"),X311-AI311,IF(AT311&lt;&gt;0,AT311,IF(OR(AR311=S.CAL!$BJ$3,AR311=S.CAL!$BJ$4),AR311,"")))),"")</f>
        <v>0</v>
      </c>
      <c r="AN311" s="1115"/>
      <c r="AO311" s="1116"/>
      <c r="AP311" s="684">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400">
        <f t="shared" si="570"/>
        <v>0</v>
      </c>
      <c r="AR311" s="1120"/>
      <c r="AS311" s="1396"/>
      <c r="AT311" s="1123"/>
      <c r="AU311" s="831"/>
      <c r="AV311" s="1392">
        <f t="shared" si="551"/>
        <v>45868</v>
      </c>
      <c r="AW311" s="1396"/>
      <c r="AX311" s="529">
        <f t="shared" si="571"/>
        <v>45868</v>
      </c>
      <c r="AY311" s="541">
        <f t="shared" si="572"/>
        <v>0</v>
      </c>
      <c r="AZ311" s="538" t="s">
        <v>146</v>
      </c>
      <c r="BA311" s="534">
        <f t="shared" si="573"/>
        <v>0</v>
      </c>
      <c r="BB311" s="567" t="str">
        <f t="shared" si="552"/>
        <v/>
      </c>
      <c r="BC311" s="541">
        <f t="shared" si="574"/>
        <v>0</v>
      </c>
      <c r="BD311" s="541">
        <f t="shared" si="575"/>
        <v>0</v>
      </c>
      <c r="BE311" s="750"/>
      <c r="BF311" s="532" t="str">
        <f t="shared" si="553"/>
        <v/>
      </c>
      <c r="BG311" s="532" t="str">
        <f t="shared" si="576"/>
        <v>oui</v>
      </c>
      <c r="BH311" s="395" t="str">
        <f t="shared" si="554"/>
        <v/>
      </c>
      <c r="BI311" s="24" t="str">
        <f t="shared" si="555"/>
        <v/>
      </c>
      <c r="BJ311" s="1404"/>
      <c r="BK311" s="1404"/>
      <c r="BL311" s="1404"/>
      <c r="BM311" s="1404"/>
      <c r="BN311" s="1404"/>
      <c r="BO311" s="1404"/>
      <c r="BP311" s="1404"/>
      <c r="BQ311" s="1404"/>
      <c r="BR311" s="1405"/>
      <c r="BS311" s="1392">
        <f t="shared" si="522"/>
        <v>45868</v>
      </c>
      <c r="BT311" s="1406" t="str">
        <f t="shared" si="584"/>
        <v/>
      </c>
      <c r="BU311" s="1404"/>
      <c r="BV311" s="1404"/>
      <c r="BW311" s="1404"/>
      <c r="BX311" s="1404"/>
      <c r="BY311" s="1404"/>
      <c r="BZ311" s="1404"/>
      <c r="CA311" s="1404"/>
      <c r="CB311" s="1404"/>
      <c r="CD311" s="1408">
        <f t="shared" si="577"/>
        <v>0</v>
      </c>
      <c r="DC311" s="16" t="str">
        <f>Juillet!FC49</f>
        <v>non</v>
      </c>
      <c r="DG311" s="333">
        <f t="shared" si="578"/>
        <v>1</v>
      </c>
      <c r="DH311" s="129">
        <f t="shared" si="556"/>
        <v>10</v>
      </c>
      <c r="DI311" s="129">
        <f t="shared" si="579"/>
        <v>1</v>
      </c>
      <c r="DK311" s="16">
        <f>+IF(AND(Juillet!$DP$8&lt;&gt;52,AR311=S.CAL!$BJ$4),10,1)</f>
        <v>1</v>
      </c>
      <c r="DN311" s="16">
        <f t="shared" si="557"/>
        <v>1</v>
      </c>
      <c r="DU311" s="1296" t="str">
        <f t="shared" si="580"/>
        <v>Fiche infoA345868</v>
      </c>
      <c r="DV311" s="1384">
        <f t="shared" si="558"/>
        <v>0</v>
      </c>
      <c r="DW311" s="1385">
        <f t="shared" si="559"/>
        <v>0</v>
      </c>
      <c r="DX311" s="1385">
        <f t="shared" si="560"/>
        <v>0</v>
      </c>
      <c r="DY311" s="1385">
        <f t="shared" si="561"/>
        <v>0</v>
      </c>
      <c r="DZ311" s="1385">
        <f t="shared" si="562"/>
        <v>0</v>
      </c>
      <c r="EA311" s="1385">
        <f t="shared" si="563"/>
        <v>0</v>
      </c>
      <c r="EB311" s="1385">
        <f t="shared" si="564"/>
        <v>0</v>
      </c>
      <c r="EC311" s="1385">
        <f t="shared" si="565"/>
        <v>0</v>
      </c>
      <c r="ED311" s="1385">
        <f t="shared" si="581"/>
        <v>0</v>
      </c>
      <c r="EE311" s="1386">
        <f t="shared" si="582"/>
        <v>0</v>
      </c>
      <c r="EG311" s="16" t="str">
        <f t="shared" si="583"/>
        <v>312025</v>
      </c>
      <c r="EH311" s="16" t="str">
        <f t="shared" si="566"/>
        <v>Fiche infoA3</v>
      </c>
      <c r="EI311" s="16" t="str">
        <f t="shared" si="567"/>
        <v/>
      </c>
    </row>
    <row r="312" spans="1:145" x14ac:dyDescent="0.2">
      <c r="A312" s="24" t="str">
        <f>Juillet!BJ50</f>
        <v>Fiche infoA4</v>
      </c>
      <c r="B312" s="830">
        <f>Juillet!AB50</f>
        <v>45869</v>
      </c>
      <c r="C312" s="1393"/>
      <c r="D312" s="1003">
        <f t="shared" si="523"/>
        <v>0</v>
      </c>
      <c r="E312" s="1004">
        <f t="shared" si="524"/>
        <v>0</v>
      </c>
      <c r="F312" s="1004">
        <f t="shared" si="525"/>
        <v>0</v>
      </c>
      <c r="G312" s="1004">
        <f t="shared" si="526"/>
        <v>0</v>
      </c>
      <c r="H312" s="1004">
        <f t="shared" si="527"/>
        <v>0</v>
      </c>
      <c r="I312" s="1004">
        <f t="shared" si="528"/>
        <v>0</v>
      </c>
      <c r="J312" s="1004">
        <f t="shared" si="529"/>
        <v>0</v>
      </c>
      <c r="K312" s="1004">
        <f t="shared" si="530"/>
        <v>0</v>
      </c>
      <c r="L312" s="1004">
        <f t="shared" si="568"/>
        <v>0</v>
      </c>
      <c r="M312" s="1005">
        <f t="shared" si="569"/>
        <v>0</v>
      </c>
      <c r="O312" s="1003">
        <f t="shared" si="585"/>
        <v>0</v>
      </c>
      <c r="P312" s="1004">
        <f t="shared" si="586"/>
        <v>0</v>
      </c>
      <c r="Q312" s="1004">
        <f t="shared" si="587"/>
        <v>0</v>
      </c>
      <c r="R312" s="1004">
        <f t="shared" si="588"/>
        <v>0</v>
      </c>
      <c r="S312" s="1004">
        <f t="shared" si="589"/>
        <v>0</v>
      </c>
      <c r="T312" s="1004">
        <f t="shared" si="590"/>
        <v>0</v>
      </c>
      <c r="U312" s="1004">
        <f t="shared" si="591"/>
        <v>0</v>
      </c>
      <c r="V312" s="1004">
        <f t="shared" si="592"/>
        <v>0</v>
      </c>
      <c r="W312" s="1004">
        <f t="shared" si="539"/>
        <v>0</v>
      </c>
      <c r="X312" s="1005">
        <f t="shared" si="540"/>
        <v>0</v>
      </c>
      <c r="Y312" s="459"/>
      <c r="Z312" s="291">
        <f t="shared" si="541"/>
        <v>0</v>
      </c>
      <c r="AA312" s="291">
        <f t="shared" si="542"/>
        <v>0</v>
      </c>
      <c r="AB312" s="291">
        <f t="shared" si="543"/>
        <v>0</v>
      </c>
      <c r="AC312" s="291">
        <f t="shared" si="544"/>
        <v>0</v>
      </c>
      <c r="AD312" s="291">
        <f t="shared" si="545"/>
        <v>0</v>
      </c>
      <c r="AE312" s="291">
        <f t="shared" si="546"/>
        <v>0</v>
      </c>
      <c r="AF312" s="291">
        <f t="shared" si="547"/>
        <v>0</v>
      </c>
      <c r="AG312" s="291">
        <f t="shared" si="548"/>
        <v>0</v>
      </c>
      <c r="AI312" s="462">
        <f t="shared" si="593"/>
        <v>0</v>
      </c>
      <c r="AJ312" s="1112"/>
      <c r="AK312" s="507"/>
      <c r="AL312" s="830">
        <f t="shared" si="550"/>
        <v>45869</v>
      </c>
      <c r="AM312" s="517">
        <f>IFERROR(IF(AND(AT312="",AR312&lt;&gt;S.CAL!$BJ$3,AR312&lt;&gt;S.CAL!$BJ$4,$AR$275="NON"),M312-BD312,IF(AND(AT312="",AR312&lt;&gt;S.CAL!$BJ$3,AR312&lt;&gt;S.CAL!$BJ$4,$AR$275="OUI"),X312-AI312,IF(AT312&lt;&gt;0,AT312,IF(OR(AR312=S.CAL!$BJ$3,AR312=S.CAL!$BJ$4),AR312,"")))),"")</f>
        <v>0</v>
      </c>
      <c r="AN312" s="1117"/>
      <c r="AO312" s="1118"/>
      <c r="AP312" s="517">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516">
        <f t="shared" si="570"/>
        <v>0</v>
      </c>
      <c r="AR312" s="1121"/>
      <c r="AT312" s="1124"/>
      <c r="AU312" s="832"/>
      <c r="AV312" s="830">
        <f t="shared" si="551"/>
        <v>45869</v>
      </c>
      <c r="AX312" s="529">
        <f t="shared" si="571"/>
        <v>45869</v>
      </c>
      <c r="AY312" s="542">
        <f t="shared" si="572"/>
        <v>0</v>
      </c>
      <c r="AZ312" s="539" t="s">
        <v>146</v>
      </c>
      <c r="BA312" s="552">
        <f t="shared" si="573"/>
        <v>0</v>
      </c>
      <c r="BB312" s="540" t="str">
        <f t="shared" si="552"/>
        <v/>
      </c>
      <c r="BC312" s="542">
        <f t="shared" si="574"/>
        <v>0</v>
      </c>
      <c r="BD312" s="542">
        <f t="shared" si="575"/>
        <v>0</v>
      </c>
      <c r="BE312" s="509"/>
      <c r="BF312" s="532" t="str">
        <f t="shared" si="553"/>
        <v/>
      </c>
      <c r="BG312" s="532" t="str">
        <f t="shared" si="576"/>
        <v>oui</v>
      </c>
      <c r="BH312" s="395" t="str">
        <f t="shared" si="554"/>
        <v/>
      </c>
      <c r="BI312" s="24" t="str">
        <f t="shared" si="555"/>
        <v/>
      </c>
      <c r="BJ312" s="1403"/>
      <c r="BK312" s="1403"/>
      <c r="BL312" s="1403"/>
      <c r="BM312" s="1403"/>
      <c r="BN312" s="1403"/>
      <c r="BO312" s="1403"/>
      <c r="BP312" s="1403"/>
      <c r="BQ312" s="1403"/>
      <c r="BS312" s="830">
        <f t="shared" si="522"/>
        <v>45869</v>
      </c>
      <c r="BT312" s="27" t="str">
        <f t="shared" si="584"/>
        <v/>
      </c>
      <c r="BU312" s="1402"/>
      <c r="BV312" s="1402"/>
      <c r="BW312" s="1402"/>
      <c r="BX312" s="1402"/>
      <c r="BY312" s="1402"/>
      <c r="BZ312" s="1402"/>
      <c r="CA312" s="1402"/>
      <c r="CB312" s="1402"/>
      <c r="CD312" s="1409">
        <f t="shared" si="577"/>
        <v>0</v>
      </c>
      <c r="DC312" s="16" t="str">
        <f>Juillet!FC50</f>
        <v>non</v>
      </c>
      <c r="DG312" s="333">
        <f t="shared" si="578"/>
        <v>1</v>
      </c>
      <c r="DH312" s="129">
        <f t="shared" si="556"/>
        <v>10</v>
      </c>
      <c r="DI312" s="129">
        <f t="shared" si="579"/>
        <v>1</v>
      </c>
      <c r="DK312" s="16">
        <f>+IF(AND(Juillet!$DP$8&lt;&gt;52,AR312=S.CAL!$BJ$4),10,1)</f>
        <v>1</v>
      </c>
      <c r="DN312" s="16">
        <f t="shared" si="557"/>
        <v>1</v>
      </c>
      <c r="DU312" s="1296" t="str">
        <f t="shared" si="580"/>
        <v>Fiche infoA445869</v>
      </c>
      <c r="DV312" s="1384">
        <f t="shared" si="558"/>
        <v>0</v>
      </c>
      <c r="DW312" s="1385">
        <f t="shared" si="559"/>
        <v>0</v>
      </c>
      <c r="DX312" s="1385">
        <f t="shared" si="560"/>
        <v>0</v>
      </c>
      <c r="DY312" s="1385">
        <f t="shared" si="561"/>
        <v>0</v>
      </c>
      <c r="DZ312" s="1385">
        <f t="shared" si="562"/>
        <v>0</v>
      </c>
      <c r="EA312" s="1385">
        <f t="shared" si="563"/>
        <v>0</v>
      </c>
      <c r="EB312" s="1385">
        <f t="shared" si="564"/>
        <v>0</v>
      </c>
      <c r="EC312" s="1385">
        <f t="shared" si="565"/>
        <v>0</v>
      </c>
      <c r="ED312" s="1385">
        <f t="shared" si="581"/>
        <v>0</v>
      </c>
      <c r="EE312" s="1386">
        <f t="shared" si="582"/>
        <v>0</v>
      </c>
      <c r="EG312" s="16" t="str">
        <f t="shared" si="583"/>
        <v>312025</v>
      </c>
      <c r="EH312" s="16" t="str">
        <f t="shared" si="566"/>
        <v>Fiche infoA4</v>
      </c>
      <c r="EI312" s="16" t="str">
        <f t="shared" si="567"/>
        <v/>
      </c>
    </row>
    <row r="313" spans="1:145" x14ac:dyDescent="0.2">
      <c r="AM313" s="554">
        <f>SUM(AM282:AM312)</f>
        <v>0</v>
      </c>
      <c r="AN313" s="518">
        <f>SUM(AN282:AN312)</f>
        <v>0</v>
      </c>
      <c r="AO313" s="518">
        <f>SUM(AO282:AO312)</f>
        <v>0</v>
      </c>
      <c r="AP313" s="519">
        <f>SUM(AP282:AP312)</f>
        <v>0</v>
      </c>
      <c r="BD313" s="555">
        <f>SUM(BD282:BD312)</f>
        <v>0</v>
      </c>
      <c r="EE313" s="1386"/>
    </row>
    <row r="314" spans="1:145" x14ac:dyDescent="0.2">
      <c r="X314" s="29" t="s">
        <v>450</v>
      </c>
      <c r="Y314" s="29"/>
      <c r="Z314" s="29"/>
      <c r="AA314" s="29"/>
      <c r="AB314" s="29"/>
      <c r="AC314" s="29"/>
      <c r="AD314" s="29"/>
      <c r="AE314" s="29"/>
      <c r="AF314" s="29"/>
      <c r="AG314" s="29"/>
      <c r="AI314" s="463">
        <f>SUM(AI282:AI312)</f>
        <v>0</v>
      </c>
      <c r="AJ314" s="19"/>
      <c r="AK314" s="19"/>
      <c r="AL314" s="19"/>
      <c r="AM314" s="19"/>
      <c r="AN314" s="19"/>
      <c r="AO314" s="19"/>
      <c r="AP314" s="19"/>
      <c r="AQ314" s="512"/>
    </row>
    <row r="316" spans="1:145" ht="23.25" x14ac:dyDescent="0.35">
      <c r="B316" s="453" t="s">
        <v>806</v>
      </c>
      <c r="C316" s="453"/>
      <c r="D316" s="453"/>
      <c r="BS316" s="19" t="s">
        <v>1552</v>
      </c>
      <c r="EK316" s="16" t="str">
        <f>+EG326</f>
        <v>numero sem</v>
      </c>
      <c r="EL316" s="27" t="s">
        <v>1546</v>
      </c>
      <c r="EM316" s="27" t="s">
        <v>1547</v>
      </c>
      <c r="EN316" s="16" t="s">
        <v>1548</v>
      </c>
    </row>
    <row r="317" spans="1:145" ht="13.5" thickBot="1" x14ac:dyDescent="0.25">
      <c r="AR317" s="1713" t="s">
        <v>1003</v>
      </c>
      <c r="AS317" s="1714"/>
      <c r="AT317" s="1715"/>
      <c r="BT317" s="29" t="s">
        <v>1555</v>
      </c>
      <c r="BU317" s="27" t="str">
        <f>+IFERROR(EJ317,"")</f>
        <v>31</v>
      </c>
      <c r="BV317" s="53" t="str">
        <f>IF(BU317="","",+EN317)</f>
        <v>non</v>
      </c>
      <c r="BW317" s="1711" t="str">
        <f>+IF(BV317="oui", "Ecart "&amp;EO317&amp;" hrs","")</f>
        <v/>
      </c>
      <c r="BX317" s="1711"/>
      <c r="EJ317" s="16" t="str">
        <f>LEFT(EK317,LEN(EK317)-4)</f>
        <v>31</v>
      </c>
      <c r="EK317" s="16" t="str" cm="1">
        <f t="array" ref="EK317">IFERROR(INDEX(EG327:EG357,MATCH(0,INDEX(COUNTIF(EK316:EK316,EG327:EG357),0,0),0)),"")</f>
        <v>312025</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805</v>
      </c>
      <c r="D318" s="1710">
        <f>+Identification!$B$7</f>
        <v>0</v>
      </c>
      <c r="E318" s="1710"/>
      <c r="F318" s="1710"/>
      <c r="G318" s="1710"/>
      <c r="O318" s="454" t="s">
        <v>84</v>
      </c>
      <c r="P318" s="32"/>
      <c r="Q318" s="33"/>
      <c r="R318" s="454" t="s">
        <v>149</v>
      </c>
      <c r="S318" s="32"/>
      <c r="T318" s="32"/>
      <c r="U318" s="32"/>
      <c r="V318" s="32"/>
      <c r="W318" s="32"/>
      <c r="X318" s="33"/>
      <c r="AR318" s="1716"/>
      <c r="AS318" s="1717"/>
      <c r="AT318" s="1718"/>
      <c r="BU318" s="27" t="str">
        <f t="shared" ref="BU318:BU322" si="595">+IFERROR(EJ318,"")</f>
        <v>32</v>
      </c>
      <c r="BV318" s="53" t="str">
        <f t="shared" ref="BV318:BV322" si="596">IF(BU318="","",+EN318)</f>
        <v>non</v>
      </c>
      <c r="BW318" s="1711" t="str">
        <f t="shared" ref="BW318:BW322" si="597">+IF(BV318="oui", "Ecart "&amp;EO318&amp;" hrs","")</f>
        <v/>
      </c>
      <c r="BX318" s="1711"/>
      <c r="EJ318" s="16" t="str">
        <f t="shared" ref="EJ318:EJ323" si="598">LEFT(EK318,LEN(EK318)-4)</f>
        <v>32</v>
      </c>
      <c r="EK318" s="16" t="str" cm="1">
        <f t="array" ref="EK318">IFERROR(INDEX(EG327:EG357,MATCH(0,INDEX(COUNTIF(EK316:EK317,EG327:EG357),0,0),0)),"")</f>
        <v>322025</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21"/>
      <c r="S319" s="1722"/>
      <c r="T319" s="1722"/>
      <c r="U319" s="1722"/>
      <c r="V319" s="1722"/>
      <c r="W319" s="1722"/>
      <c r="X319" s="1723"/>
      <c r="Y319" s="460"/>
      <c r="Z319" s="460"/>
      <c r="AA319" s="460"/>
      <c r="AB319" s="460"/>
      <c r="AC319" s="460"/>
      <c r="AD319" s="460"/>
      <c r="AE319" s="460"/>
      <c r="AF319" s="460"/>
      <c r="AG319" s="460"/>
      <c r="AR319" s="1716"/>
      <c r="AS319" s="1717"/>
      <c r="AT319" s="1718"/>
      <c r="BU319" s="27" t="str">
        <f t="shared" si="595"/>
        <v>33</v>
      </c>
      <c r="BV319" s="53" t="str">
        <f t="shared" si="596"/>
        <v>non</v>
      </c>
      <c r="BW319" s="1711" t="str">
        <f t="shared" si="597"/>
        <v/>
      </c>
      <c r="BX319" s="1711"/>
      <c r="EJ319" s="16" t="str">
        <f t="shared" si="598"/>
        <v>33</v>
      </c>
      <c r="EK319" s="16" t="str">
        <f t="array" ref="EK319">IFERROR(INDEX(EG327:EG357,MATCH(0,INDEX(COUNTIF(EK316:EK318,EG327:EG357),0,0),0)),"")</f>
        <v>332025</v>
      </c>
      <c r="EL319" s="27">
        <f t="shared" si="599"/>
        <v>0</v>
      </c>
      <c r="EM319" s="27">
        <f t="shared" si="600"/>
        <v>0</v>
      </c>
      <c r="EN319" s="16" t="str">
        <f t="shared" si="594"/>
        <v>non</v>
      </c>
      <c r="EO319" s="16">
        <f t="shared" si="601"/>
        <v>0</v>
      </c>
    </row>
    <row r="320" spans="1:145" x14ac:dyDescent="0.2">
      <c r="C320" s="39" t="s">
        <v>29</v>
      </c>
      <c r="D320" s="1710">
        <f>+Identification!$B$25</f>
        <v>0</v>
      </c>
      <c r="E320" s="1710"/>
      <c r="O320" s="35"/>
      <c r="Q320" s="36"/>
      <c r="R320" s="1721"/>
      <c r="S320" s="1722"/>
      <c r="T320" s="1722"/>
      <c r="U320" s="1722"/>
      <c r="V320" s="1722"/>
      <c r="W320" s="1722"/>
      <c r="X320" s="1723"/>
      <c r="Y320" s="460"/>
      <c r="Z320" s="460"/>
      <c r="AA320" s="460"/>
      <c r="AB320" s="460"/>
      <c r="AC320" s="460"/>
      <c r="AD320" s="460"/>
      <c r="AE320" s="460"/>
      <c r="AF320" s="460"/>
      <c r="AG320" s="460"/>
      <c r="AL320" s="16" t="str">
        <f t="shared" ref="AL320" si="602">C323</f>
        <v>Mois :</v>
      </c>
      <c r="AM320" s="1712">
        <f t="shared" ref="AM320" si="603">D323</f>
        <v>45870</v>
      </c>
      <c r="AN320" s="1712">
        <f t="shared" ref="AN320" si="604">E323</f>
        <v>0</v>
      </c>
      <c r="AR320" s="557" t="str">
        <f>IF(AT320="",AR275,AT320)</f>
        <v>NON</v>
      </c>
      <c r="AS320" s="556" t="s">
        <v>503</v>
      </c>
      <c r="AT320" s="1105"/>
      <c r="BJ320" s="16" t="str">
        <f t="shared" ref="BJ320" si="605">AL320</f>
        <v>Mois :</v>
      </c>
      <c r="BK320" s="1712">
        <f t="shared" ref="BK320" si="606">AM320</f>
        <v>45870</v>
      </c>
      <c r="BL320" s="1712"/>
      <c r="BU320" s="27" t="str">
        <f t="shared" si="595"/>
        <v>34</v>
      </c>
      <c r="BV320" s="53" t="str">
        <f t="shared" si="596"/>
        <v>non</v>
      </c>
      <c r="BW320" s="1711" t="str">
        <f t="shared" si="597"/>
        <v/>
      </c>
      <c r="BX320" s="1711"/>
      <c r="EJ320" s="16" t="str">
        <f t="shared" si="598"/>
        <v>34</v>
      </c>
      <c r="EK320" s="16" t="str">
        <f t="array" ref="EK320">IFERROR(INDEX(EG327:EG357,MATCH(0,INDEX(COUNTIF(EK316:EK319,EG327:EG357),0,0),0)),"")</f>
        <v>342025</v>
      </c>
      <c r="EL320" s="27">
        <f t="shared" si="599"/>
        <v>0</v>
      </c>
      <c r="EM320" s="27">
        <f t="shared" si="600"/>
        <v>0</v>
      </c>
      <c r="EN320" s="16" t="str">
        <f t="shared" si="594"/>
        <v>non</v>
      </c>
      <c r="EO320" s="16">
        <f t="shared" si="601"/>
        <v>0</v>
      </c>
    </row>
    <row r="321" spans="1:145" ht="13.5" thickBot="1" x14ac:dyDescent="0.25">
      <c r="O321" s="42"/>
      <c r="P321" s="43"/>
      <c r="Q321" s="44"/>
      <c r="R321" s="1724"/>
      <c r="S321" s="1725"/>
      <c r="T321" s="1725"/>
      <c r="U321" s="1725"/>
      <c r="V321" s="1725"/>
      <c r="W321" s="1725"/>
      <c r="X321" s="1726"/>
      <c r="Y321" s="460"/>
      <c r="Z321" s="460"/>
      <c r="AA321" s="460"/>
      <c r="AB321" s="460"/>
      <c r="AC321" s="460"/>
      <c r="AD321" s="460"/>
      <c r="AE321" s="460"/>
      <c r="AF321" s="460"/>
      <c r="AG321" s="460"/>
      <c r="BU321" s="27" t="str">
        <f t="shared" si="595"/>
        <v>35</v>
      </c>
      <c r="BV321" s="53" t="str">
        <f t="shared" si="596"/>
        <v>non</v>
      </c>
      <c r="BW321" s="1711" t="str">
        <f t="shared" si="597"/>
        <v/>
      </c>
      <c r="BX321" s="1711"/>
      <c r="EJ321" s="16" t="str">
        <f t="shared" si="598"/>
        <v>35</v>
      </c>
      <c r="EK321" s="16" t="str">
        <f t="array" ref="EK321">IFERROR(INDEX(EG327:EG357,MATCH(0,INDEX(COUNTIF(EK316:EK320,EG327:EG357),0,0),0)),"")</f>
        <v>352025</v>
      </c>
      <c r="EL321" s="27">
        <f t="shared" si="599"/>
        <v>0</v>
      </c>
      <c r="EM321" s="27">
        <f t="shared" si="600"/>
        <v>0</v>
      </c>
      <c r="EN321" s="16" t="str">
        <f t="shared" si="594"/>
        <v>non</v>
      </c>
      <c r="EO321" s="16">
        <f t="shared" si="601"/>
        <v>0</v>
      </c>
    </row>
    <row r="322" spans="1:145" ht="13.5" thickTop="1" x14ac:dyDescent="0.2">
      <c r="AI322" s="553" t="s">
        <v>1000</v>
      </c>
      <c r="BU322" s="27" t="str">
        <f t="shared" si="595"/>
        <v/>
      </c>
      <c r="BV322" s="53" t="str">
        <f t="shared" si="596"/>
        <v/>
      </c>
      <c r="BW322" s="1711" t="str">
        <f t="shared" si="597"/>
        <v/>
      </c>
      <c r="BX322" s="1711"/>
      <c r="EJ322" s="16" t="e">
        <f t="shared" si="598"/>
        <v>#VALUE!</v>
      </c>
      <c r="EK322" s="16" t="str">
        <f t="array" ref="EK322">IFERROR(INDEX(EG327:EG357,MATCH(0,INDEX(COUNTIF(EK316:EK321,EG327:EG357),0,0),0)),"")</f>
        <v/>
      </c>
      <c r="EL322" s="27">
        <f t="shared" si="599"/>
        <v>0</v>
      </c>
      <c r="EM322" s="27">
        <f t="shared" si="600"/>
        <v>0</v>
      </c>
      <c r="EN322" s="16" t="str">
        <f t="shared" si="594"/>
        <v>non</v>
      </c>
      <c r="EO322" s="16">
        <f t="shared" si="601"/>
        <v>0</v>
      </c>
    </row>
    <row r="323" spans="1:145" x14ac:dyDescent="0.2">
      <c r="C323" s="39" t="s">
        <v>32</v>
      </c>
      <c r="D323" s="1712">
        <f>+Aout!X3</f>
        <v>45870</v>
      </c>
      <c r="E323" s="1712"/>
      <c r="F323" s="39" t="s">
        <v>12</v>
      </c>
      <c r="G323" s="63">
        <f>+Aout!X4</f>
        <v>2025</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20" t="s">
        <v>974</v>
      </c>
      <c r="AM324" s="1720"/>
      <c r="AN324" s="1720"/>
      <c r="AO324" s="1720"/>
      <c r="AP324" s="1720"/>
      <c r="AQ324" s="510"/>
      <c r="AT324" s="1719" t="s">
        <v>761</v>
      </c>
      <c r="AU324" s="1719"/>
      <c r="AV324" s="1719"/>
      <c r="AW324" s="63"/>
      <c r="AX324" s="63"/>
      <c r="AY324" s="535" t="s">
        <v>989</v>
      </c>
      <c r="AZ324" s="536"/>
      <c r="BA324" s="536"/>
      <c r="BB324" s="536"/>
      <c r="BC324" s="537"/>
      <c r="BD324" s="537"/>
      <c r="BE324" s="537"/>
      <c r="BF324" s="530"/>
      <c r="BG324" s="530"/>
      <c r="BJ324" s="455"/>
      <c r="BK324" s="455"/>
      <c r="BL324" s="455"/>
      <c r="BM324" s="455"/>
      <c r="BN324" s="455"/>
      <c r="BO324" s="455"/>
      <c r="BP324" s="455"/>
      <c r="BQ324" s="455"/>
      <c r="BU324" s="456"/>
      <c r="BV324" s="456"/>
      <c r="BW324" s="456"/>
      <c r="BX324" s="456"/>
      <c r="BY324" s="456"/>
      <c r="BZ324" s="456"/>
      <c r="CA324" s="456"/>
      <c r="CB324" s="456"/>
    </row>
    <row r="325" spans="1:145" ht="15" customHeight="1" x14ac:dyDescent="0.2">
      <c r="D325" s="457" t="s">
        <v>803</v>
      </c>
      <c r="E325" s="456"/>
      <c r="F325" s="456"/>
      <c r="G325" s="456"/>
      <c r="H325" s="456"/>
      <c r="I325" s="456"/>
      <c r="J325" s="456"/>
      <c r="K325" s="456"/>
      <c r="L325" s="456"/>
      <c r="M325" s="456"/>
      <c r="O325" s="458" t="s">
        <v>802</v>
      </c>
      <c r="P325" s="455"/>
      <c r="Q325" s="455"/>
      <c r="R325" s="455"/>
      <c r="S325" s="455"/>
      <c r="T325" s="455"/>
      <c r="U325" s="455"/>
      <c r="V325" s="455"/>
      <c r="W325" s="455"/>
      <c r="X325" s="455"/>
      <c r="BJ325" s="1109" t="s">
        <v>804</v>
      </c>
      <c r="BK325" s="1110"/>
      <c r="BL325" s="1110"/>
      <c r="BM325" s="1110"/>
      <c r="BN325" s="1110"/>
      <c r="BO325" s="1110"/>
      <c r="BP325" s="1110"/>
      <c r="BQ325" s="1110"/>
      <c r="BU325" s="1109" t="s">
        <v>1394</v>
      </c>
      <c r="BV325" s="1110"/>
      <c r="BW325" s="1110"/>
      <c r="BX325" s="1110"/>
      <c r="BY325" s="1110"/>
      <c r="BZ325" s="1110"/>
      <c r="CA325" s="1110"/>
      <c r="CB325" s="1110"/>
      <c r="DG325" s="333" t="s">
        <v>1349</v>
      </c>
      <c r="DH325" s="129"/>
      <c r="DI325" s="129"/>
      <c r="DK325" s="129" t="s">
        <v>1354</v>
      </c>
      <c r="DN325" s="16" t="s">
        <v>1357</v>
      </c>
      <c r="DV325" s="843" t="s">
        <v>1549</v>
      </c>
      <c r="DW325" s="843"/>
      <c r="DX325" s="843"/>
      <c r="DY325" s="843"/>
      <c r="DZ325" s="843"/>
      <c r="EA325" s="843"/>
      <c r="EB325" s="843"/>
      <c r="EC325" s="843"/>
      <c r="ED325" s="843"/>
      <c r="EE325" s="843"/>
    </row>
    <row r="326" spans="1:145" ht="56.25" customHeight="1" x14ac:dyDescent="0.2">
      <c r="A326" s="24" t="s">
        <v>801</v>
      </c>
      <c r="B326" s="450" t="s">
        <v>16</v>
      </c>
      <c r="C326" s="451"/>
      <c r="D326" s="450" t="s">
        <v>228</v>
      </c>
      <c r="E326" s="450" t="s">
        <v>229</v>
      </c>
      <c r="F326" s="450" t="s">
        <v>230</v>
      </c>
      <c r="G326" s="450" t="s">
        <v>231</v>
      </c>
      <c r="H326" s="450" t="s">
        <v>533</v>
      </c>
      <c r="I326" s="450" t="s">
        <v>534</v>
      </c>
      <c r="J326" s="450" t="s">
        <v>535</v>
      </c>
      <c r="K326" s="450" t="s">
        <v>536</v>
      </c>
      <c r="L326" s="450" t="s">
        <v>191</v>
      </c>
      <c r="M326" s="450" t="s">
        <v>192</v>
      </c>
      <c r="N326" s="451"/>
      <c r="O326" s="450" t="s">
        <v>228</v>
      </c>
      <c r="P326" s="450" t="s">
        <v>229</v>
      </c>
      <c r="Q326" s="450" t="s">
        <v>230</v>
      </c>
      <c r="R326" s="450" t="s">
        <v>231</v>
      </c>
      <c r="S326" s="450" t="s">
        <v>533</v>
      </c>
      <c r="T326" s="450" t="s">
        <v>534</v>
      </c>
      <c r="U326" s="450" t="s">
        <v>535</v>
      </c>
      <c r="V326" s="450" t="s">
        <v>536</v>
      </c>
      <c r="W326" s="450" t="s">
        <v>191</v>
      </c>
      <c r="X326" s="450" t="s">
        <v>192</v>
      </c>
      <c r="Y326" s="451"/>
      <c r="Z326" s="450" t="s">
        <v>808</v>
      </c>
      <c r="AA326" s="450" t="s">
        <v>809</v>
      </c>
      <c r="AB326" s="450" t="s">
        <v>810</v>
      </c>
      <c r="AC326" s="450" t="s">
        <v>811</v>
      </c>
      <c r="AD326" s="450" t="s">
        <v>812</v>
      </c>
      <c r="AE326" s="450" t="s">
        <v>813</v>
      </c>
      <c r="AF326" s="450" t="s">
        <v>814</v>
      </c>
      <c r="AG326" s="450" t="s">
        <v>815</v>
      </c>
      <c r="AI326" s="450" t="s">
        <v>816</v>
      </c>
      <c r="AJ326" s="450" t="s">
        <v>807</v>
      </c>
      <c r="AK326" s="451"/>
      <c r="AL326" s="513" t="s">
        <v>16</v>
      </c>
      <c r="AM326" s="548" t="s">
        <v>1017</v>
      </c>
      <c r="AN326" s="1106" t="s">
        <v>972</v>
      </c>
      <c r="AO326" s="1107" t="s">
        <v>973</v>
      </c>
      <c r="AP326" s="514" t="s">
        <v>1018</v>
      </c>
      <c r="AQ326" s="511"/>
      <c r="AR326" s="1108" t="s">
        <v>696</v>
      </c>
      <c r="AT326" s="1108" t="s">
        <v>1356</v>
      </c>
      <c r="AU326" s="1107" t="s">
        <v>1019</v>
      </c>
      <c r="AV326" s="450" t="s">
        <v>16</v>
      </c>
      <c r="AW326" s="451"/>
      <c r="AX326" s="451"/>
      <c r="AY326" s="547" t="s">
        <v>986</v>
      </c>
      <c r="AZ326" s="548" t="s">
        <v>992</v>
      </c>
      <c r="BA326" s="531" t="s">
        <v>990</v>
      </c>
      <c r="BB326" s="568" t="s">
        <v>991</v>
      </c>
      <c r="BC326" s="569" t="s">
        <v>1021</v>
      </c>
      <c r="BD326" s="568" t="s">
        <v>993</v>
      </c>
      <c r="BE326" s="570" t="s">
        <v>1020</v>
      </c>
      <c r="BF326" s="531" t="s">
        <v>994</v>
      </c>
      <c r="BG326" s="531" t="s">
        <v>999</v>
      </c>
      <c r="BI326" s="24" t="s">
        <v>1027</v>
      </c>
      <c r="BJ326" s="450" t="s">
        <v>228</v>
      </c>
      <c r="BK326" s="450" t="s">
        <v>229</v>
      </c>
      <c r="BL326" s="450" t="s">
        <v>230</v>
      </c>
      <c r="BM326" s="450" t="s">
        <v>231</v>
      </c>
      <c r="BN326" s="450" t="s">
        <v>533</v>
      </c>
      <c r="BO326" s="450" t="s">
        <v>534</v>
      </c>
      <c r="BP326" s="450" t="s">
        <v>535</v>
      </c>
      <c r="BQ326" s="450" t="s">
        <v>536</v>
      </c>
      <c r="BS326" s="1383" t="str">
        <f t="shared" ref="BS326:BS357" si="607">AV326</f>
        <v>Jours</v>
      </c>
      <c r="BU326" s="450" t="s">
        <v>228</v>
      </c>
      <c r="BV326" s="450" t="s">
        <v>229</v>
      </c>
      <c r="BW326" s="450" t="s">
        <v>230</v>
      </c>
      <c r="BX326" s="450" t="s">
        <v>231</v>
      </c>
      <c r="BY326" s="450" t="s">
        <v>533</v>
      </c>
      <c r="BZ326" s="450" t="s">
        <v>534</v>
      </c>
      <c r="CA326" s="450" t="s">
        <v>535</v>
      </c>
      <c r="CB326" s="450" t="s">
        <v>536</v>
      </c>
      <c r="CD326" s="1383" t="s">
        <v>1554</v>
      </c>
      <c r="CS326" s="506"/>
      <c r="CT326" s="506"/>
      <c r="CU326" s="506"/>
      <c r="CV326" s="506"/>
      <c r="DG326" s="333" t="s">
        <v>1350</v>
      </c>
      <c r="DH326" s="129" t="s">
        <v>1351</v>
      </c>
      <c r="DI326" s="129" t="s">
        <v>1353</v>
      </c>
      <c r="DK326" s="129" t="s">
        <v>1355</v>
      </c>
      <c r="DU326" s="1383" t="s">
        <v>247</v>
      </c>
      <c r="DV326" s="1383" t="s">
        <v>228</v>
      </c>
      <c r="DW326" s="1383" t="s">
        <v>229</v>
      </c>
      <c r="DX326" s="1383" t="s">
        <v>230</v>
      </c>
      <c r="DY326" s="1383" t="s">
        <v>231</v>
      </c>
      <c r="DZ326" s="1383" t="s">
        <v>533</v>
      </c>
      <c r="EA326" s="1383" t="s">
        <v>534</v>
      </c>
      <c r="EB326" s="1383" t="s">
        <v>535</v>
      </c>
      <c r="EC326" s="1383" t="s">
        <v>536</v>
      </c>
      <c r="ED326" s="1383" t="s">
        <v>191</v>
      </c>
      <c r="EE326" s="1383" t="s">
        <v>192</v>
      </c>
      <c r="EG326" s="1383" t="s">
        <v>1244</v>
      </c>
      <c r="EH326" s="1383" t="s">
        <v>1550</v>
      </c>
      <c r="EI326" s="1383" t="s">
        <v>1551</v>
      </c>
    </row>
    <row r="327" spans="1:145" x14ac:dyDescent="0.2">
      <c r="A327" s="24" t="str">
        <f>Aout!BJ20</f>
        <v>Fiche infoA5</v>
      </c>
      <c r="B327" s="828">
        <f>Aout!AB20</f>
        <v>45870</v>
      </c>
      <c r="C327" s="1393"/>
      <c r="D327" s="998">
        <f t="shared" ref="D327:D357" si="608">IF(AR327&lt;&gt;"",0,IF(DN327=10,0,IFERROR(+IF(BU327="",VLOOKUP(A327,base_horaire,2,FALSE),BU327),0)))</f>
        <v>0</v>
      </c>
      <c r="E327" s="999">
        <f t="shared" ref="E327:E357" si="609">IF(AR327&lt;&gt;"",0,IF(DN327=10,0,IFERROR(+IF(BV327="",VLOOKUP(A327,base_horaire,3,FALSE),BV327),0)))</f>
        <v>0</v>
      </c>
      <c r="F327" s="999">
        <f t="shared" ref="F327:F357" si="610">IF(AR327&lt;&gt;"",0,IF(DN327=10,0,IFERROR(+IF(BW327="",VLOOKUP(A327,base_horaire,4,FALSE),BW327),0)))</f>
        <v>0</v>
      </c>
      <c r="G327" s="999">
        <f t="shared" ref="G327:G357" si="611">IF(AR327&lt;&gt;"",0,IF(DN327=10,0,IFERROR(+IF(BX327="",VLOOKUP(A327,base_horaire,5,FALSE),BX327),0)))</f>
        <v>0</v>
      </c>
      <c r="H327" s="999">
        <f t="shared" ref="H327:H357" si="612">IF(AR327&lt;&gt;"",0,IF(DN327=10,0,IFERROR(+IF(BY327="",VLOOKUP(A327,base_horaire,6,FALSE),BY327),0)))</f>
        <v>0</v>
      </c>
      <c r="I327" s="999">
        <f t="shared" ref="I327:I357" si="613">IF(AR327&lt;&gt;"",0,IF(DN327=10,0,IFERROR(+IF(BZ327="",VLOOKUP(A327,base_horaire,7,FALSE),BZ327),0)))</f>
        <v>0</v>
      </c>
      <c r="J327" s="999">
        <f t="shared" ref="J327:J357" si="614">IF(AR327&lt;&gt;"",0,IF(DN327=10,0,IFERROR(+IF(CA327="",VLOOKUP(A327,base_horaire,8,FALSE),CA327),0)))</f>
        <v>0</v>
      </c>
      <c r="K327" s="999">
        <f t="shared" ref="K327:K357" si="615">IF(AR327&lt;&gt;"",0,IF(DN327=10,0,IFERROR(+IF(CB327="",VLOOKUP(A327,base_horaire,9,FALSE),CB327),0)))</f>
        <v>0</v>
      </c>
      <c r="L327" s="999">
        <f>+E327-D327+G327-F327+I327-H327+K327-J327</f>
        <v>0</v>
      </c>
      <c r="M327" s="1000">
        <f>ROUND(+L327*24,2)</f>
        <v>0</v>
      </c>
      <c r="O327" s="998">
        <f t="shared" ref="O327:O334" si="616">IF(AR327&lt;&gt;"",0,IF(DC327="oui",0,IF(AND(ISTEXT(AT327)=TRUE,BJ327=""),0,IF(BJ327="",D327,BJ327))))</f>
        <v>0</v>
      </c>
      <c r="P327" s="999">
        <f t="shared" ref="P327:P334" si="617">IF(AR327&lt;&gt;"",0,IF(DC327="oui",0,IF(AND(ISTEXT(AT327)=TRUE,BK327=""),0,IF(BK327="",E327,BK327))))</f>
        <v>0</v>
      </c>
      <c r="Q327" s="999">
        <f t="shared" ref="Q327:Q334" si="618">IF(AR327&lt;&gt;"",0,IF(DC327="oui",0,IF(AND(ISTEXT(AT327)=TRUE,BL327=""),0,IF(BL327="",F327,BL327))))</f>
        <v>0</v>
      </c>
      <c r="R327" s="999">
        <f t="shared" ref="R327:R334" si="619">IF(AR327&lt;&gt;"",0,IF(DC327="oui",0,IF(AND(ISTEXT(AT327)=TRUE,BM327=""),0,IF(BM327="",G327,BM327))))</f>
        <v>0</v>
      </c>
      <c r="S327" s="999">
        <f t="shared" ref="S327:S334" si="620">IF(AR327&lt;&gt;"",0,IF(DC327="oui",0,IF(AND(ISTEXT(AT327)=TRUE,BN327=""),0,IF(BN327="",H327,BN327))))</f>
        <v>0</v>
      </c>
      <c r="T327" s="999">
        <f t="shared" ref="T327:T334" si="621">IF(AR327&lt;&gt;"",0,IF(DC327="oui",0,IF(AND(ISTEXT(AT327)=TRUE,BO327=""),0,IF(BO327="",I327,BO327))))</f>
        <v>0</v>
      </c>
      <c r="U327" s="999">
        <f t="shared" ref="U327:U334" si="622">IF(AR327&lt;&gt;"",0,IF(DC327="oui",0,IF(AND(ISTEXT(AT327)=TRUE,BP327=""),0,IF(BP327="",J327,BP327))))</f>
        <v>0</v>
      </c>
      <c r="V327" s="999">
        <f t="shared" ref="V327:V334" si="623">IF(AR327&lt;&gt;"",0,IF(DC327="oui",0,IF(AND(ISTEXT(AT327)=TRUE,BQ327=""),0,IF(BQ327="",K327,BQ327))))</f>
        <v>0</v>
      </c>
      <c r="W327" s="999">
        <f t="shared" ref="W327:W357" si="624">+P327-O327+R327-Q327+T327-S327+V327-U327</f>
        <v>0</v>
      </c>
      <c r="X327" s="1000">
        <f t="shared" ref="X327:X357" si="625">ROUND(+W327*24,2)</f>
        <v>0</v>
      </c>
      <c r="Y327" s="459"/>
      <c r="Z327" s="291">
        <f t="shared" ref="Z327:Z357" si="626">+IF(AND(O327&gt;D327,D327&gt;0),D327,O327)</f>
        <v>0</v>
      </c>
      <c r="AA327" s="291">
        <f t="shared" ref="AA327:AA357" si="627">+IF(P327&gt;E327,P327,E327)</f>
        <v>0</v>
      </c>
      <c r="AB327" s="291">
        <f t="shared" ref="AB327:AB357" si="628">+IF(AND(Q327&gt;F327,F327&gt;0),F327,Q327)</f>
        <v>0</v>
      </c>
      <c r="AC327" s="291">
        <f t="shared" ref="AC327:AC357" si="629">+IF(R327&gt;G327,R327,G327)</f>
        <v>0</v>
      </c>
      <c r="AD327" s="291">
        <f t="shared" ref="AD327:AD357" si="630">+IF(AND(S327&gt;H327,H327&gt;0),H327,S327)</f>
        <v>0</v>
      </c>
      <c r="AE327" s="291">
        <f t="shared" ref="AE327:AE357" si="631">+IF(T327&gt;I327,T327,I327)</f>
        <v>0</v>
      </c>
      <c r="AF327" s="291">
        <f t="shared" ref="AF327:AF357" si="632">+IF(AND(U327&gt;J327,J327&gt;0),J327,U327)</f>
        <v>0</v>
      </c>
      <c r="AG327" s="291">
        <f t="shared" ref="AG327:AG357" si="633">+IF(V327&gt;K327,V327,K327)</f>
        <v>0</v>
      </c>
      <c r="AI327" s="461">
        <f t="shared" ref="AI327:AI334" si="634">IF(DC327="oui",0,IF(AND(ISTEXT(AT327)=TRUE,OR(X327=0,X327="")),0,ROUND(((((AA327-Z327)-(E327-D327))+((AC327-AB327)-(G327-F327))+((AE327-AD327)-(I327-H327))+(AG327-AF327)-(K327-J327))*24),2)))</f>
        <v>0</v>
      </c>
      <c r="AJ327" s="1111"/>
      <c r="AK327" s="507"/>
      <c r="AL327" s="828">
        <f t="shared" ref="AL327:AL357" si="635">B327</f>
        <v>45870</v>
      </c>
      <c r="AM327" s="515">
        <f>IFERROR(IF(AND(AT327="",AR327&lt;&gt;S.CAL!$BJ$3,AR327&lt;&gt;S.CAL!$BJ$4,$AR$320="NON"),M327-BD327,IF(AND(AT327="",AR327&lt;&gt;S.CAL!$BJ$3,AR327&lt;&gt;S.CAL!$BJ$4,$AR$320="OUI"),X327-AI327,IF(AT327&lt;&gt;0,AT327,IF(OR(AR327=S.CAL!$BJ$3,AR327=S.CAL!$BJ$4),AR327,"")))),"")</f>
        <v>0</v>
      </c>
      <c r="AN327" s="1113"/>
      <c r="AO327" s="1114"/>
      <c r="AP327" s="515">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516">
        <f>AI327-SUM(AN327:AO327)</f>
        <v>0</v>
      </c>
      <c r="AR327" s="1119"/>
      <c r="AT327" s="1122"/>
      <c r="AU327" s="831"/>
      <c r="AV327" s="1391">
        <f t="shared" ref="AV327:AV357" si="636">B327</f>
        <v>45870</v>
      </c>
      <c r="AX327" s="529">
        <f>+AV327</f>
        <v>45870</v>
      </c>
      <c r="AY327" s="546">
        <f>+IF(M327-X327&lt;0,0,M327-X327)</f>
        <v>0</v>
      </c>
      <c r="AZ327" s="549" t="s">
        <v>146</v>
      </c>
      <c r="BA327" s="550">
        <f>+IF(AZ327="OUI",AY327,0)</f>
        <v>0</v>
      </c>
      <c r="BB327" s="551" t="str">
        <f t="shared" ref="BB327:BB357" si="637">IF(AND(BE327="",+IFERROR(VLOOKUP(AT327,Liste_motif_formule,5,FALSE),0)="OUI"),"OUI",IF(AND(BE327="",IFERROR(VLOOKUP(AT327,Liste_motif_formule,5,FALSE),0)="NON"),"NON",IF(AND(BE327="",IFERROR(M327-AT327&gt;=0,0),AT327&lt;&gt;""),"OUI",IF(AND(BE327="",DC327="oui"),"OUI",IF(BE327&lt;&gt;"",BE327,"")))))</f>
        <v/>
      </c>
      <c r="BC327" s="546">
        <f>+IF(BB327="OUI",IFERROR(M327-AT327,M327),0)</f>
        <v>0</v>
      </c>
      <c r="BD327" s="546">
        <f>+BC327+BA327</f>
        <v>0</v>
      </c>
      <c r="BE327" s="508"/>
      <c r="BF327" s="532" t="str">
        <f t="shared" ref="BF327:BF357" si="638">+IF(AND(AZ327="OUI",BB327="OUI"),"ERREUR","")</f>
        <v/>
      </c>
      <c r="BG327" s="532" t="str">
        <f>+IF(AND(M327=0,AT327=""),"oui","non")</f>
        <v>oui</v>
      </c>
      <c r="BH327" s="395" t="str">
        <f t="shared" ref="BH327:BH357" si="639">IFERROR(+VLOOKUP(AT327,Liste_motif_formule,4,FALSE),"")</f>
        <v/>
      </c>
      <c r="BI327" s="24" t="str">
        <f t="shared" ref="BI327:BI357" si="640">IFERROR(+VLOOKUP(AT327,Liste_motif_formule,5,FALSE),"")</f>
        <v/>
      </c>
      <c r="BJ327" s="1403"/>
      <c r="BK327" s="1403"/>
      <c r="BL327" s="1403"/>
      <c r="BM327" s="1403"/>
      <c r="BN327" s="1403"/>
      <c r="BO327" s="1403"/>
      <c r="BP327" s="1403"/>
      <c r="BQ327" s="1403"/>
      <c r="BS327" s="1391">
        <f t="shared" si="607"/>
        <v>45870</v>
      </c>
      <c r="BT327" s="27">
        <f>IFERROR(WEEKNUM(BS327,21),"")</f>
        <v>31</v>
      </c>
      <c r="BU327" s="1401"/>
      <c r="BV327" s="1401"/>
      <c r="BW327" s="1401"/>
      <c r="BX327" s="1401"/>
      <c r="BY327" s="1401"/>
      <c r="BZ327" s="1401"/>
      <c r="CA327" s="1401"/>
      <c r="CB327" s="1401"/>
      <c r="CD327" s="1407">
        <f>+M327</f>
        <v>0</v>
      </c>
      <c r="DC327" s="16" t="str">
        <f>Aout!FC20</f>
        <v>non</v>
      </c>
      <c r="DG327" s="333">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96" t="str">
        <f>+A327&amp;B327</f>
        <v>Fiche infoA545870</v>
      </c>
      <c r="DV327" s="1384">
        <f t="shared" ref="DV327:DV357" si="643">+IFERROR(+IF(BU327="",VLOOKUP(A327,base_horaire,2,FALSE),BU327),0)</f>
        <v>0</v>
      </c>
      <c r="DW327" s="1385">
        <f t="shared" ref="DW327:DW357" si="644">+IFERROR(+IF(BV327="",VLOOKUP(A327,base_horaire,3,FALSE),BV327),0)</f>
        <v>0</v>
      </c>
      <c r="DX327" s="1385">
        <f t="shared" ref="DX327:DX357" si="645">+IFERROR(+IF(BW327="",VLOOKUP(A327,base_horaire,4,FALSE),BW327),0)</f>
        <v>0</v>
      </c>
      <c r="DY327" s="1385">
        <f t="shared" ref="DY327:DY357" si="646">+IFERROR(+IF(BX327="",VLOOKUP(A327,base_horaire,5,FALSE),BX327),0)</f>
        <v>0</v>
      </c>
      <c r="DZ327" s="1385">
        <f t="shared" ref="DZ327:DZ357" si="647">+IFERROR(+IF(BY327="",VLOOKUP(A327,base_horaire,6,FALSE),BY327),0)</f>
        <v>0</v>
      </c>
      <c r="EA327" s="1385">
        <f t="shared" ref="EA327:EA357" si="648">IFERROR(+IF(BZ327="",VLOOKUP(A327,base_horaire,7,FALSE),BZ327),0)</f>
        <v>0</v>
      </c>
      <c r="EB327" s="1385">
        <f t="shared" ref="EB327:EB357" si="649">IFERROR(+IF(CA327="",VLOOKUP(A327,base_horaire,8,FALSE),CA327),0)</f>
        <v>0</v>
      </c>
      <c r="EC327" s="1385">
        <f t="shared" ref="EC327:EC357" si="650">IFERROR(+IF(CB327="",VLOOKUP(A327,base_horaire,9,FALSE),CB327),0)</f>
        <v>0</v>
      </c>
      <c r="ED327" s="1385">
        <f>+DW327-DV327+DY327-DX327+EA327-DZ327+EC327-EB327</f>
        <v>0</v>
      </c>
      <c r="EE327" s="1386">
        <f>ROUND(+ED327*24,2)</f>
        <v>0</v>
      </c>
      <c r="EG327" s="16" t="str">
        <f>+WEEKNUM(B327,21)&amp;YEAR(B327)</f>
        <v>312025</v>
      </c>
      <c r="EH327" s="16" t="str">
        <f t="shared" ref="EH327:EH357" si="651">+A327</f>
        <v>Fiche infoA5</v>
      </c>
      <c r="EI327" s="16" t="str">
        <f t="shared" ref="EI327:EI357" si="652">+VLOOKUP(EH327,Base_heures,6,FALSE)</f>
        <v/>
      </c>
    </row>
    <row r="328" spans="1:145" x14ac:dyDescent="0.2">
      <c r="A328" s="1395" t="str">
        <f>Aout!BJ21</f>
        <v>Fiche infoA6</v>
      </c>
      <c r="B328" s="829">
        <f>Aout!AB21</f>
        <v>45871</v>
      </c>
      <c r="C328" s="1394"/>
      <c r="D328" s="1001">
        <f t="shared" si="608"/>
        <v>0</v>
      </c>
      <c r="E328" s="452">
        <f t="shared" si="609"/>
        <v>0</v>
      </c>
      <c r="F328" s="452">
        <f t="shared" si="610"/>
        <v>0</v>
      </c>
      <c r="G328" s="452">
        <f t="shared" si="611"/>
        <v>0</v>
      </c>
      <c r="H328" s="452">
        <f t="shared" si="612"/>
        <v>0</v>
      </c>
      <c r="I328" s="452">
        <f t="shared" si="613"/>
        <v>0</v>
      </c>
      <c r="J328" s="452">
        <f t="shared" si="614"/>
        <v>0</v>
      </c>
      <c r="K328" s="452">
        <f t="shared" si="615"/>
        <v>0</v>
      </c>
      <c r="L328" s="452">
        <f t="shared" ref="L328:L357" si="653">+E328-D328+G328-F328+I328-H328+K328-J328</f>
        <v>0</v>
      </c>
      <c r="M328" s="1002">
        <f t="shared" ref="M328:M357" si="654">ROUND(+L328*24,2)</f>
        <v>0</v>
      </c>
      <c r="N328" s="1396"/>
      <c r="O328" s="1001">
        <f t="shared" si="616"/>
        <v>0</v>
      </c>
      <c r="P328" s="452">
        <f t="shared" si="617"/>
        <v>0</v>
      </c>
      <c r="Q328" s="452">
        <f t="shared" si="618"/>
        <v>0</v>
      </c>
      <c r="R328" s="452">
        <f t="shared" si="619"/>
        <v>0</v>
      </c>
      <c r="S328" s="452">
        <f t="shared" si="620"/>
        <v>0</v>
      </c>
      <c r="T328" s="452">
        <f t="shared" si="621"/>
        <v>0</v>
      </c>
      <c r="U328" s="452">
        <f t="shared" si="622"/>
        <v>0</v>
      </c>
      <c r="V328" s="452">
        <f t="shared" si="623"/>
        <v>0</v>
      </c>
      <c r="W328" s="452">
        <f t="shared" si="624"/>
        <v>0</v>
      </c>
      <c r="X328" s="1002">
        <f t="shared" si="625"/>
        <v>0</v>
      </c>
      <c r="Y328" s="1397"/>
      <c r="Z328" s="1398">
        <f t="shared" si="626"/>
        <v>0</v>
      </c>
      <c r="AA328" s="1398">
        <f t="shared" si="627"/>
        <v>0</v>
      </c>
      <c r="AB328" s="1398">
        <f t="shared" si="628"/>
        <v>0</v>
      </c>
      <c r="AC328" s="1398">
        <f t="shared" si="629"/>
        <v>0</v>
      </c>
      <c r="AD328" s="1398">
        <f t="shared" si="630"/>
        <v>0</v>
      </c>
      <c r="AE328" s="1398">
        <f t="shared" si="631"/>
        <v>0</v>
      </c>
      <c r="AF328" s="1398">
        <f t="shared" si="632"/>
        <v>0</v>
      </c>
      <c r="AG328" s="1398">
        <f t="shared" si="633"/>
        <v>0</v>
      </c>
      <c r="AH328" s="1396"/>
      <c r="AI328" s="462">
        <f t="shared" si="634"/>
        <v>0</v>
      </c>
      <c r="AJ328" s="1112"/>
      <c r="AK328" s="1399"/>
      <c r="AL328" s="829">
        <f t="shared" si="635"/>
        <v>45871</v>
      </c>
      <c r="AM328" s="684">
        <f>IFERROR(IF(AND(AT328="",AR328&lt;&gt;S.CAL!$BJ$3,AR328&lt;&gt;S.CAL!$BJ$4,$AR$320="NON"),M328-BD328,IF(AND(AT328="",AR328&lt;&gt;S.CAL!$BJ$3,AR328&lt;&gt;S.CAL!$BJ$4,$AR$320="OUI"),X328-AI328,IF(AT328&lt;&gt;0,AT328,IF(OR(AR328=S.CAL!$BJ$3,AR328=S.CAL!$BJ$4),AR328,"")))),"")</f>
        <v>0</v>
      </c>
      <c r="AN328" s="1115"/>
      <c r="AO328" s="1116"/>
      <c r="AP328" s="684">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400">
        <f t="shared" ref="AQ328:AQ357" si="655">AI328-SUM(AN328:AO328)</f>
        <v>0</v>
      </c>
      <c r="AR328" s="1120"/>
      <c r="AS328" s="1396"/>
      <c r="AT328" s="1123"/>
      <c r="AU328" s="831"/>
      <c r="AV328" s="1392">
        <f t="shared" si="636"/>
        <v>45871</v>
      </c>
      <c r="AW328" s="1396"/>
      <c r="AX328" s="529">
        <f t="shared" ref="AX328:AX357" si="656">+AV328</f>
        <v>45871</v>
      </c>
      <c r="AY328" s="541">
        <f t="shared" ref="AY328:AY357" si="657">+IF(M328-X328&lt;0,0,M328-X328)</f>
        <v>0</v>
      </c>
      <c r="AZ328" s="538" t="s">
        <v>146</v>
      </c>
      <c r="BA328" s="534">
        <f t="shared" ref="BA328:BA357" si="658">+IF(AZ328="OUI",AY328,0)</f>
        <v>0</v>
      </c>
      <c r="BB328" s="567" t="str">
        <f t="shared" si="637"/>
        <v/>
      </c>
      <c r="BC328" s="541">
        <f t="shared" ref="BC328:BC357" si="659">+IF(BB328="OUI",IFERROR(M328-AT328,M328),0)</f>
        <v>0</v>
      </c>
      <c r="BD328" s="541">
        <f t="shared" ref="BD328:BD357" si="660">+BC328+BA328</f>
        <v>0</v>
      </c>
      <c r="BE328" s="750"/>
      <c r="BF328" s="532" t="str">
        <f t="shared" si="638"/>
        <v/>
      </c>
      <c r="BG328" s="532" t="str">
        <f t="shared" ref="BG328:BG357" si="661">+IF(AND(M328=0,AT328=""),"oui","non")</f>
        <v>oui</v>
      </c>
      <c r="BH328" s="395" t="str">
        <f t="shared" si="639"/>
        <v/>
      </c>
      <c r="BI328" s="24" t="str">
        <f t="shared" si="640"/>
        <v/>
      </c>
      <c r="BJ328" s="1404"/>
      <c r="BK328" s="1404"/>
      <c r="BL328" s="1404"/>
      <c r="BM328" s="1404"/>
      <c r="BN328" s="1404"/>
      <c r="BO328" s="1404"/>
      <c r="BP328" s="1404"/>
      <c r="BQ328" s="1404"/>
      <c r="BR328" s="1405"/>
      <c r="BS328" s="1392">
        <f t="shared" si="607"/>
        <v>45871</v>
      </c>
      <c r="BT328" s="1406" t="str">
        <f>IFERROR(IF(WEEKDAY(BS328,11)=1,WEEKNUM(BS328,21),""),"")</f>
        <v/>
      </c>
      <c r="BU328" s="1404"/>
      <c r="BV328" s="1404"/>
      <c r="BW328" s="1404"/>
      <c r="BX328" s="1404"/>
      <c r="BY328" s="1404"/>
      <c r="BZ328" s="1404"/>
      <c r="CA328" s="1404"/>
      <c r="CB328" s="1404"/>
      <c r="CD328" s="1408">
        <f t="shared" ref="CD328:CD357" si="662">+M328</f>
        <v>0</v>
      </c>
      <c r="DC328" s="16" t="str">
        <f>Aout!FC21</f>
        <v>non</v>
      </c>
      <c r="DG328" s="333">
        <f t="shared" ref="DG328:DG357" si="663">IF(OR(AT328=0,AT328=""),1,10)</f>
        <v>1</v>
      </c>
      <c r="DH328" s="129">
        <f t="shared" si="641"/>
        <v>10</v>
      </c>
      <c r="DI328" s="129">
        <f t="shared" ref="DI328:DI357" si="664">+IF(OR(DG328=1,DH328=1),1,10)</f>
        <v>1</v>
      </c>
      <c r="DK328" s="16">
        <f>+IF(AND(Aout!$DP$8&lt;&gt;52,AR328=S.CAL!$BJ$4),10,1)</f>
        <v>1</v>
      </c>
      <c r="DN328" s="16">
        <f t="shared" si="642"/>
        <v>1</v>
      </c>
      <c r="DU328" s="1296" t="str">
        <f t="shared" ref="DU328:DU357" si="665">+A328&amp;B328</f>
        <v>Fiche infoA645871</v>
      </c>
      <c r="DV328" s="1384">
        <f t="shared" si="643"/>
        <v>0</v>
      </c>
      <c r="DW328" s="1385">
        <f t="shared" si="644"/>
        <v>0</v>
      </c>
      <c r="DX328" s="1385">
        <f t="shared" si="645"/>
        <v>0</v>
      </c>
      <c r="DY328" s="1385">
        <f t="shared" si="646"/>
        <v>0</v>
      </c>
      <c r="DZ328" s="1385">
        <f t="shared" si="647"/>
        <v>0</v>
      </c>
      <c r="EA328" s="1385">
        <f t="shared" si="648"/>
        <v>0</v>
      </c>
      <c r="EB328" s="1385">
        <f t="shared" si="649"/>
        <v>0</v>
      </c>
      <c r="EC328" s="1385">
        <f t="shared" si="650"/>
        <v>0</v>
      </c>
      <c r="ED328" s="1385">
        <f t="shared" ref="ED328:ED357" si="666">+DW328-DV328+DY328-DX328+EA328-DZ328+EC328-EB328</f>
        <v>0</v>
      </c>
      <c r="EE328" s="1386">
        <f t="shared" ref="EE328:EE357" si="667">ROUND(+ED328*24,2)</f>
        <v>0</v>
      </c>
      <c r="EG328" s="16" t="str">
        <f t="shared" ref="EG328:EG357" si="668">+WEEKNUM(B328,21)&amp;YEAR(B328)</f>
        <v>312025</v>
      </c>
      <c r="EH328" s="16" t="str">
        <f t="shared" si="651"/>
        <v>Fiche infoA6</v>
      </c>
      <c r="EI328" s="16" t="str">
        <f t="shared" si="652"/>
        <v/>
      </c>
    </row>
    <row r="329" spans="1:145" x14ac:dyDescent="0.2">
      <c r="A329" s="24" t="str">
        <f>Aout!BJ22</f>
        <v>Fiche infoA7</v>
      </c>
      <c r="B329" s="829">
        <f>Aout!AB22</f>
        <v>45872</v>
      </c>
      <c r="C329" s="1393"/>
      <c r="D329" s="1001">
        <f t="shared" si="608"/>
        <v>0</v>
      </c>
      <c r="E329" s="452">
        <f t="shared" si="609"/>
        <v>0</v>
      </c>
      <c r="F329" s="452">
        <f t="shared" si="610"/>
        <v>0</v>
      </c>
      <c r="G329" s="452">
        <f t="shared" si="611"/>
        <v>0</v>
      </c>
      <c r="H329" s="452">
        <f t="shared" si="612"/>
        <v>0</v>
      </c>
      <c r="I329" s="452">
        <f t="shared" si="613"/>
        <v>0</v>
      </c>
      <c r="J329" s="452">
        <f t="shared" si="614"/>
        <v>0</v>
      </c>
      <c r="K329" s="452">
        <f t="shared" si="615"/>
        <v>0</v>
      </c>
      <c r="L329" s="452">
        <f t="shared" si="653"/>
        <v>0</v>
      </c>
      <c r="M329" s="1002">
        <f t="shared" si="654"/>
        <v>0</v>
      </c>
      <c r="O329" s="1001">
        <f t="shared" si="616"/>
        <v>0</v>
      </c>
      <c r="P329" s="452">
        <f t="shared" si="617"/>
        <v>0</v>
      </c>
      <c r="Q329" s="452">
        <f t="shared" si="618"/>
        <v>0</v>
      </c>
      <c r="R329" s="452">
        <f t="shared" si="619"/>
        <v>0</v>
      </c>
      <c r="S329" s="452">
        <f t="shared" si="620"/>
        <v>0</v>
      </c>
      <c r="T329" s="452">
        <f t="shared" si="621"/>
        <v>0</v>
      </c>
      <c r="U329" s="452">
        <f t="shared" si="622"/>
        <v>0</v>
      </c>
      <c r="V329" s="452">
        <f t="shared" si="623"/>
        <v>0</v>
      </c>
      <c r="W329" s="452">
        <f t="shared" si="624"/>
        <v>0</v>
      </c>
      <c r="X329" s="1002">
        <f t="shared" si="625"/>
        <v>0</v>
      </c>
      <c r="Y329" s="459"/>
      <c r="Z329" s="291">
        <f t="shared" si="626"/>
        <v>0</v>
      </c>
      <c r="AA329" s="291">
        <f t="shared" si="627"/>
        <v>0</v>
      </c>
      <c r="AB329" s="291">
        <f t="shared" si="628"/>
        <v>0</v>
      </c>
      <c r="AC329" s="291">
        <f t="shared" si="629"/>
        <v>0</v>
      </c>
      <c r="AD329" s="291">
        <f t="shared" si="630"/>
        <v>0</v>
      </c>
      <c r="AE329" s="291">
        <f t="shared" si="631"/>
        <v>0</v>
      </c>
      <c r="AF329" s="291">
        <f t="shared" si="632"/>
        <v>0</v>
      </c>
      <c r="AG329" s="291">
        <f t="shared" si="633"/>
        <v>0</v>
      </c>
      <c r="AI329" s="462">
        <f t="shared" si="634"/>
        <v>0</v>
      </c>
      <c r="AJ329" s="1112"/>
      <c r="AK329" s="507"/>
      <c r="AL329" s="829">
        <f t="shared" si="635"/>
        <v>45872</v>
      </c>
      <c r="AM329" s="684">
        <f>IFERROR(IF(AND(AT329="",AR329&lt;&gt;S.CAL!$BJ$3,AR329&lt;&gt;S.CAL!$BJ$4,$AR$320="NON"),M329-BD329,IF(AND(AT329="",AR329&lt;&gt;S.CAL!$BJ$3,AR329&lt;&gt;S.CAL!$BJ$4,$AR$320="OUI"),X329-AI329,IF(AT329&lt;&gt;0,AT329,IF(OR(AR329=S.CAL!$BJ$3,AR329=S.CAL!$BJ$4),AR329,"")))),"")</f>
        <v>0</v>
      </c>
      <c r="AN329" s="1115"/>
      <c r="AO329" s="1116"/>
      <c r="AP329" s="684">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516">
        <f t="shared" si="655"/>
        <v>0</v>
      </c>
      <c r="AR329" s="1120"/>
      <c r="AT329" s="1123"/>
      <c r="AU329" s="831"/>
      <c r="AV329" s="1392">
        <f t="shared" si="636"/>
        <v>45872</v>
      </c>
      <c r="AX329" s="529">
        <f t="shared" si="656"/>
        <v>45872</v>
      </c>
      <c r="AY329" s="541">
        <f t="shared" si="657"/>
        <v>0</v>
      </c>
      <c r="AZ329" s="538" t="s">
        <v>146</v>
      </c>
      <c r="BA329" s="534">
        <f t="shared" si="658"/>
        <v>0</v>
      </c>
      <c r="BB329" s="567" t="str">
        <f t="shared" si="637"/>
        <v/>
      </c>
      <c r="BC329" s="541">
        <f t="shared" si="659"/>
        <v>0</v>
      </c>
      <c r="BD329" s="541">
        <f t="shared" si="660"/>
        <v>0</v>
      </c>
      <c r="BE329" s="750"/>
      <c r="BF329" s="532" t="str">
        <f t="shared" si="638"/>
        <v/>
      </c>
      <c r="BG329" s="532" t="str">
        <f t="shared" si="661"/>
        <v>oui</v>
      </c>
      <c r="BH329" s="395" t="str">
        <f t="shared" si="639"/>
        <v/>
      </c>
      <c r="BI329" s="24" t="str">
        <f t="shared" si="640"/>
        <v/>
      </c>
      <c r="BJ329" s="1403"/>
      <c r="BK329" s="1403"/>
      <c r="BL329" s="1403"/>
      <c r="BM329" s="1403"/>
      <c r="BN329" s="1403"/>
      <c r="BO329" s="1403"/>
      <c r="BP329" s="1403"/>
      <c r="BQ329" s="1403"/>
      <c r="BS329" s="1392">
        <f t="shared" si="607"/>
        <v>45872</v>
      </c>
      <c r="BT329" s="27" t="str">
        <f t="shared" ref="BT329:BT357" si="669">IFERROR(IF(WEEKDAY(BS329,11)=1,WEEKNUM(BS329,21),""),"")</f>
        <v/>
      </c>
      <c r="BU329" s="1402"/>
      <c r="BV329" s="1402"/>
      <c r="BW329" s="1402"/>
      <c r="BX329" s="1402"/>
      <c r="BY329" s="1402"/>
      <c r="BZ329" s="1402"/>
      <c r="CA329" s="1402"/>
      <c r="CB329" s="1402"/>
      <c r="CD329" s="1408">
        <f t="shared" si="662"/>
        <v>0</v>
      </c>
      <c r="DC329" s="16" t="str">
        <f>Aout!FC22</f>
        <v>non</v>
      </c>
      <c r="DG329" s="333">
        <f t="shared" si="663"/>
        <v>1</v>
      </c>
      <c r="DH329" s="129">
        <f t="shared" si="641"/>
        <v>10</v>
      </c>
      <c r="DI329" s="129">
        <f t="shared" si="664"/>
        <v>1</v>
      </c>
      <c r="DK329" s="16">
        <f>+IF(AND(Aout!$DP$8&lt;&gt;52,AR329=S.CAL!$BJ$4),10,1)</f>
        <v>1</v>
      </c>
      <c r="DN329" s="16">
        <f t="shared" si="642"/>
        <v>1</v>
      </c>
      <c r="DU329" s="1296" t="str">
        <f t="shared" si="665"/>
        <v>Fiche infoA745872</v>
      </c>
      <c r="DV329" s="1384">
        <f t="shared" si="643"/>
        <v>0</v>
      </c>
      <c r="DW329" s="1385">
        <f t="shared" si="644"/>
        <v>0</v>
      </c>
      <c r="DX329" s="1385">
        <f t="shared" si="645"/>
        <v>0</v>
      </c>
      <c r="DY329" s="1385">
        <f t="shared" si="646"/>
        <v>0</v>
      </c>
      <c r="DZ329" s="1385">
        <f t="shared" si="647"/>
        <v>0</v>
      </c>
      <c r="EA329" s="1385">
        <f t="shared" si="648"/>
        <v>0</v>
      </c>
      <c r="EB329" s="1385">
        <f t="shared" si="649"/>
        <v>0</v>
      </c>
      <c r="EC329" s="1385">
        <f t="shared" si="650"/>
        <v>0</v>
      </c>
      <c r="ED329" s="1385">
        <f t="shared" si="666"/>
        <v>0</v>
      </c>
      <c r="EE329" s="1386">
        <f t="shared" si="667"/>
        <v>0</v>
      </c>
      <c r="EG329" s="16" t="str">
        <f t="shared" si="668"/>
        <v>312025</v>
      </c>
      <c r="EH329" s="16" t="str">
        <f t="shared" si="651"/>
        <v>Fiche infoA7</v>
      </c>
      <c r="EI329" s="16" t="str">
        <f t="shared" si="652"/>
        <v/>
      </c>
    </row>
    <row r="330" spans="1:145" x14ac:dyDescent="0.2">
      <c r="A330" s="1395" t="str">
        <f>Aout!BJ23</f>
        <v>Fiche infoA1</v>
      </c>
      <c r="B330" s="829">
        <f>Aout!AB23</f>
        <v>45873</v>
      </c>
      <c r="C330" s="1394"/>
      <c r="D330" s="1001">
        <f t="shared" si="608"/>
        <v>0</v>
      </c>
      <c r="E330" s="452">
        <f t="shared" si="609"/>
        <v>0</v>
      </c>
      <c r="F330" s="452">
        <f t="shared" si="610"/>
        <v>0</v>
      </c>
      <c r="G330" s="452">
        <f t="shared" si="611"/>
        <v>0</v>
      </c>
      <c r="H330" s="452">
        <f t="shared" si="612"/>
        <v>0</v>
      </c>
      <c r="I330" s="452">
        <f t="shared" si="613"/>
        <v>0</v>
      </c>
      <c r="J330" s="452">
        <f t="shared" si="614"/>
        <v>0</v>
      </c>
      <c r="K330" s="452">
        <f t="shared" si="615"/>
        <v>0</v>
      </c>
      <c r="L330" s="452">
        <f t="shared" si="653"/>
        <v>0</v>
      </c>
      <c r="M330" s="1002">
        <f t="shared" si="654"/>
        <v>0</v>
      </c>
      <c r="N330" s="1396"/>
      <c r="O330" s="1001">
        <f t="shared" si="616"/>
        <v>0</v>
      </c>
      <c r="P330" s="452">
        <f t="shared" si="617"/>
        <v>0</v>
      </c>
      <c r="Q330" s="452">
        <f t="shared" si="618"/>
        <v>0</v>
      </c>
      <c r="R330" s="452">
        <f t="shared" si="619"/>
        <v>0</v>
      </c>
      <c r="S330" s="452">
        <f t="shared" si="620"/>
        <v>0</v>
      </c>
      <c r="T330" s="452">
        <f t="shared" si="621"/>
        <v>0</v>
      </c>
      <c r="U330" s="452">
        <f t="shared" si="622"/>
        <v>0</v>
      </c>
      <c r="V330" s="452">
        <f t="shared" si="623"/>
        <v>0</v>
      </c>
      <c r="W330" s="452">
        <f t="shared" si="624"/>
        <v>0</v>
      </c>
      <c r="X330" s="1002">
        <f t="shared" si="625"/>
        <v>0</v>
      </c>
      <c r="Y330" s="1397"/>
      <c r="Z330" s="1398">
        <f t="shared" si="626"/>
        <v>0</v>
      </c>
      <c r="AA330" s="1398">
        <f t="shared" si="627"/>
        <v>0</v>
      </c>
      <c r="AB330" s="1398">
        <f t="shared" si="628"/>
        <v>0</v>
      </c>
      <c r="AC330" s="1398">
        <f t="shared" si="629"/>
        <v>0</v>
      </c>
      <c r="AD330" s="1398">
        <f t="shared" si="630"/>
        <v>0</v>
      </c>
      <c r="AE330" s="1398">
        <f t="shared" si="631"/>
        <v>0</v>
      </c>
      <c r="AF330" s="1398">
        <f t="shared" si="632"/>
        <v>0</v>
      </c>
      <c r="AG330" s="1398">
        <f t="shared" si="633"/>
        <v>0</v>
      </c>
      <c r="AH330" s="1396"/>
      <c r="AI330" s="462">
        <f t="shared" si="634"/>
        <v>0</v>
      </c>
      <c r="AJ330" s="1112"/>
      <c r="AK330" s="1399"/>
      <c r="AL330" s="829">
        <f t="shared" si="635"/>
        <v>45873</v>
      </c>
      <c r="AM330" s="684">
        <f>IFERROR(IF(AND(AT330="",AR330&lt;&gt;S.CAL!$BJ$3,AR330&lt;&gt;S.CAL!$BJ$4,$AR$320="NON"),M330-BD330,IF(AND(AT330="",AR330&lt;&gt;S.CAL!$BJ$3,AR330&lt;&gt;S.CAL!$BJ$4,$AR$320="OUI"),X330-AI330,IF(AT330&lt;&gt;0,AT330,IF(OR(AR330=S.CAL!$BJ$3,AR330=S.CAL!$BJ$4),AR330,"")))),"")</f>
        <v>0</v>
      </c>
      <c r="AN330" s="1115"/>
      <c r="AO330" s="1116"/>
      <c r="AP330" s="684">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400">
        <f t="shared" si="655"/>
        <v>0</v>
      </c>
      <c r="AR330" s="1120"/>
      <c r="AS330" s="1396"/>
      <c r="AT330" s="1123"/>
      <c r="AU330" s="831"/>
      <c r="AV330" s="1392">
        <f t="shared" si="636"/>
        <v>45873</v>
      </c>
      <c r="AW330" s="1396"/>
      <c r="AX330" s="529">
        <f t="shared" si="656"/>
        <v>45873</v>
      </c>
      <c r="AY330" s="541">
        <f t="shared" si="657"/>
        <v>0</v>
      </c>
      <c r="AZ330" s="538" t="s">
        <v>146</v>
      </c>
      <c r="BA330" s="534">
        <f t="shared" si="658"/>
        <v>0</v>
      </c>
      <c r="BB330" s="567" t="str">
        <f t="shared" si="637"/>
        <v/>
      </c>
      <c r="BC330" s="541">
        <f t="shared" si="659"/>
        <v>0</v>
      </c>
      <c r="BD330" s="541">
        <f t="shared" si="660"/>
        <v>0</v>
      </c>
      <c r="BE330" s="750"/>
      <c r="BF330" s="532" t="str">
        <f t="shared" si="638"/>
        <v/>
      </c>
      <c r="BG330" s="532" t="str">
        <f t="shared" si="661"/>
        <v>oui</v>
      </c>
      <c r="BH330" s="395" t="str">
        <f t="shared" si="639"/>
        <v/>
      </c>
      <c r="BI330" s="24" t="str">
        <f t="shared" si="640"/>
        <v/>
      </c>
      <c r="BJ330" s="1404"/>
      <c r="BK330" s="1404"/>
      <c r="BL330" s="1404"/>
      <c r="BM330" s="1404"/>
      <c r="BN330" s="1404"/>
      <c r="BO330" s="1404"/>
      <c r="BP330" s="1404"/>
      <c r="BQ330" s="1404"/>
      <c r="BR330" s="1405"/>
      <c r="BS330" s="1392">
        <f t="shared" si="607"/>
        <v>45873</v>
      </c>
      <c r="BT330" s="1406">
        <f t="shared" si="669"/>
        <v>32</v>
      </c>
      <c r="BU330" s="1404"/>
      <c r="BV330" s="1404"/>
      <c r="BW330" s="1404"/>
      <c r="BX330" s="1404"/>
      <c r="BY330" s="1404"/>
      <c r="BZ330" s="1404"/>
      <c r="CA330" s="1404"/>
      <c r="CB330" s="1404"/>
      <c r="CD330" s="1408">
        <f t="shared" si="662"/>
        <v>0</v>
      </c>
      <c r="DC330" s="16" t="str">
        <f>Aout!FC23</f>
        <v>non</v>
      </c>
      <c r="DG330" s="333">
        <f t="shared" si="663"/>
        <v>1</v>
      </c>
      <c r="DH330" s="129">
        <f t="shared" si="641"/>
        <v>10</v>
      </c>
      <c r="DI330" s="129">
        <f t="shared" si="664"/>
        <v>1</v>
      </c>
      <c r="DK330" s="16">
        <f>+IF(AND(Aout!$DP$8&lt;&gt;52,AR330=S.CAL!$BJ$4),10,1)</f>
        <v>1</v>
      </c>
      <c r="DN330" s="16">
        <f t="shared" si="642"/>
        <v>1</v>
      </c>
      <c r="DU330" s="1296" t="str">
        <f t="shared" si="665"/>
        <v>Fiche infoA145873</v>
      </c>
      <c r="DV330" s="1384">
        <f t="shared" si="643"/>
        <v>0</v>
      </c>
      <c r="DW330" s="1385">
        <f t="shared" si="644"/>
        <v>0</v>
      </c>
      <c r="DX330" s="1385">
        <f t="shared" si="645"/>
        <v>0</v>
      </c>
      <c r="DY330" s="1385">
        <f t="shared" si="646"/>
        <v>0</v>
      </c>
      <c r="DZ330" s="1385">
        <f t="shared" si="647"/>
        <v>0</v>
      </c>
      <c r="EA330" s="1385">
        <f t="shared" si="648"/>
        <v>0</v>
      </c>
      <c r="EB330" s="1385">
        <f t="shared" si="649"/>
        <v>0</v>
      </c>
      <c r="EC330" s="1385">
        <f t="shared" si="650"/>
        <v>0</v>
      </c>
      <c r="ED330" s="1385">
        <f t="shared" si="666"/>
        <v>0</v>
      </c>
      <c r="EE330" s="1386">
        <f t="shared" si="667"/>
        <v>0</v>
      </c>
      <c r="EG330" s="16" t="str">
        <f t="shared" si="668"/>
        <v>322025</v>
      </c>
      <c r="EH330" s="16" t="str">
        <f t="shared" si="651"/>
        <v>Fiche infoA1</v>
      </c>
      <c r="EI330" s="16" t="str">
        <f t="shared" si="652"/>
        <v/>
      </c>
    </row>
    <row r="331" spans="1:145" x14ac:dyDescent="0.2">
      <c r="A331" s="24" t="str">
        <f>Aout!BJ24</f>
        <v>Fiche infoA2</v>
      </c>
      <c r="B331" s="829">
        <f>Aout!AB24</f>
        <v>45874</v>
      </c>
      <c r="C331" s="1393"/>
      <c r="D331" s="1001">
        <f t="shared" si="608"/>
        <v>0</v>
      </c>
      <c r="E331" s="452">
        <f t="shared" si="609"/>
        <v>0</v>
      </c>
      <c r="F331" s="452">
        <f t="shared" si="610"/>
        <v>0</v>
      </c>
      <c r="G331" s="452">
        <f t="shared" si="611"/>
        <v>0</v>
      </c>
      <c r="H331" s="452">
        <f t="shared" si="612"/>
        <v>0</v>
      </c>
      <c r="I331" s="452">
        <f t="shared" si="613"/>
        <v>0</v>
      </c>
      <c r="J331" s="452">
        <f t="shared" si="614"/>
        <v>0</v>
      </c>
      <c r="K331" s="452">
        <f t="shared" si="615"/>
        <v>0</v>
      </c>
      <c r="L331" s="452">
        <f t="shared" si="653"/>
        <v>0</v>
      </c>
      <c r="M331" s="1002">
        <f t="shared" si="654"/>
        <v>0</v>
      </c>
      <c r="O331" s="1001">
        <f t="shared" si="616"/>
        <v>0</v>
      </c>
      <c r="P331" s="452">
        <f t="shared" si="617"/>
        <v>0</v>
      </c>
      <c r="Q331" s="452">
        <f t="shared" si="618"/>
        <v>0</v>
      </c>
      <c r="R331" s="452">
        <f t="shared" si="619"/>
        <v>0</v>
      </c>
      <c r="S331" s="452">
        <f t="shared" si="620"/>
        <v>0</v>
      </c>
      <c r="T331" s="452">
        <f t="shared" si="621"/>
        <v>0</v>
      </c>
      <c r="U331" s="452">
        <f t="shared" si="622"/>
        <v>0</v>
      </c>
      <c r="V331" s="452">
        <f t="shared" si="623"/>
        <v>0</v>
      </c>
      <c r="W331" s="452">
        <f t="shared" si="624"/>
        <v>0</v>
      </c>
      <c r="X331" s="1002">
        <f t="shared" si="625"/>
        <v>0</v>
      </c>
      <c r="Y331" s="459"/>
      <c r="Z331" s="291">
        <f t="shared" si="626"/>
        <v>0</v>
      </c>
      <c r="AA331" s="291">
        <f t="shared" si="627"/>
        <v>0</v>
      </c>
      <c r="AB331" s="291">
        <f t="shared" si="628"/>
        <v>0</v>
      </c>
      <c r="AC331" s="291">
        <f t="shared" si="629"/>
        <v>0</v>
      </c>
      <c r="AD331" s="291">
        <f t="shared" si="630"/>
        <v>0</v>
      </c>
      <c r="AE331" s="291">
        <f t="shared" si="631"/>
        <v>0</v>
      </c>
      <c r="AF331" s="291">
        <f t="shared" si="632"/>
        <v>0</v>
      </c>
      <c r="AG331" s="291">
        <f t="shared" si="633"/>
        <v>0</v>
      </c>
      <c r="AI331" s="462">
        <f t="shared" si="634"/>
        <v>0</v>
      </c>
      <c r="AJ331" s="1112"/>
      <c r="AK331" s="507"/>
      <c r="AL331" s="829">
        <f t="shared" si="635"/>
        <v>45874</v>
      </c>
      <c r="AM331" s="684">
        <f>IFERROR(IF(AND(AT331="",AR331&lt;&gt;S.CAL!$BJ$3,AR331&lt;&gt;S.CAL!$BJ$4,$AR$320="NON"),M331-BD331,IF(AND(AT331="",AR331&lt;&gt;S.CAL!$BJ$3,AR331&lt;&gt;S.CAL!$BJ$4,$AR$320="OUI"),X331-AI331,IF(AT331&lt;&gt;0,AT331,IF(OR(AR331=S.CAL!$BJ$3,AR331=S.CAL!$BJ$4),AR331,"")))),"")</f>
        <v>0</v>
      </c>
      <c r="AN331" s="1115"/>
      <c r="AO331" s="1116"/>
      <c r="AP331" s="684">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516">
        <f t="shared" si="655"/>
        <v>0</v>
      </c>
      <c r="AR331" s="1120"/>
      <c r="AT331" s="1123"/>
      <c r="AU331" s="831"/>
      <c r="AV331" s="1392">
        <f t="shared" si="636"/>
        <v>45874</v>
      </c>
      <c r="AX331" s="529">
        <f t="shared" si="656"/>
        <v>45874</v>
      </c>
      <c r="AY331" s="541">
        <f t="shared" si="657"/>
        <v>0</v>
      </c>
      <c r="AZ331" s="538" t="s">
        <v>146</v>
      </c>
      <c r="BA331" s="534">
        <f t="shared" si="658"/>
        <v>0</v>
      </c>
      <c r="BB331" s="567" t="str">
        <f t="shared" si="637"/>
        <v/>
      </c>
      <c r="BC331" s="541">
        <f t="shared" si="659"/>
        <v>0</v>
      </c>
      <c r="BD331" s="541">
        <f t="shared" si="660"/>
        <v>0</v>
      </c>
      <c r="BE331" s="750"/>
      <c r="BF331" s="532" t="str">
        <f t="shared" si="638"/>
        <v/>
      </c>
      <c r="BG331" s="532" t="str">
        <f t="shared" si="661"/>
        <v>oui</v>
      </c>
      <c r="BH331" s="395" t="str">
        <f t="shared" si="639"/>
        <v/>
      </c>
      <c r="BI331" s="24" t="str">
        <f t="shared" si="640"/>
        <v/>
      </c>
      <c r="BJ331" s="1403"/>
      <c r="BK331" s="1403"/>
      <c r="BL331" s="1403"/>
      <c r="BM331" s="1403"/>
      <c r="BN331" s="1403"/>
      <c r="BO331" s="1403"/>
      <c r="BP331" s="1403"/>
      <c r="BQ331" s="1403"/>
      <c r="BS331" s="1392">
        <f t="shared" si="607"/>
        <v>45874</v>
      </c>
      <c r="BT331" s="27" t="str">
        <f t="shared" si="669"/>
        <v/>
      </c>
      <c r="BU331" s="1402"/>
      <c r="BV331" s="1402"/>
      <c r="BW331" s="1402"/>
      <c r="BX331" s="1402"/>
      <c r="BY331" s="1402"/>
      <c r="BZ331" s="1402"/>
      <c r="CA331" s="1402"/>
      <c r="CB331" s="1402"/>
      <c r="CD331" s="1408">
        <f t="shared" si="662"/>
        <v>0</v>
      </c>
      <c r="DC331" s="16" t="str">
        <f>Aout!FC24</f>
        <v>non</v>
      </c>
      <c r="DG331" s="333">
        <f t="shared" si="663"/>
        <v>1</v>
      </c>
      <c r="DH331" s="129">
        <f t="shared" si="641"/>
        <v>10</v>
      </c>
      <c r="DI331" s="129">
        <f t="shared" si="664"/>
        <v>1</v>
      </c>
      <c r="DK331" s="16">
        <f>+IF(AND(Aout!$DP$8&lt;&gt;52,AR331=S.CAL!$BJ$4),10,1)</f>
        <v>1</v>
      </c>
      <c r="DN331" s="16">
        <f t="shared" si="642"/>
        <v>1</v>
      </c>
      <c r="DU331" s="1296" t="str">
        <f t="shared" si="665"/>
        <v>Fiche infoA245874</v>
      </c>
      <c r="DV331" s="1384">
        <f t="shared" si="643"/>
        <v>0</v>
      </c>
      <c r="DW331" s="1385">
        <f t="shared" si="644"/>
        <v>0</v>
      </c>
      <c r="DX331" s="1385">
        <f t="shared" si="645"/>
        <v>0</v>
      </c>
      <c r="DY331" s="1385">
        <f t="shared" si="646"/>
        <v>0</v>
      </c>
      <c r="DZ331" s="1385">
        <f t="shared" si="647"/>
        <v>0</v>
      </c>
      <c r="EA331" s="1385">
        <f t="shared" si="648"/>
        <v>0</v>
      </c>
      <c r="EB331" s="1385">
        <f t="shared" si="649"/>
        <v>0</v>
      </c>
      <c r="EC331" s="1385">
        <f t="shared" si="650"/>
        <v>0</v>
      </c>
      <c r="ED331" s="1385">
        <f t="shared" si="666"/>
        <v>0</v>
      </c>
      <c r="EE331" s="1386">
        <f t="shared" si="667"/>
        <v>0</v>
      </c>
      <c r="EG331" s="16" t="str">
        <f t="shared" si="668"/>
        <v>322025</v>
      </c>
      <c r="EH331" s="16" t="str">
        <f t="shared" si="651"/>
        <v>Fiche infoA2</v>
      </c>
      <c r="EI331" s="16" t="str">
        <f t="shared" si="652"/>
        <v/>
      </c>
    </row>
    <row r="332" spans="1:145" x14ac:dyDescent="0.2">
      <c r="A332" s="1395" t="str">
        <f>Aout!BJ25</f>
        <v>Fiche infoA3</v>
      </c>
      <c r="B332" s="829">
        <f>Aout!AB25</f>
        <v>45875</v>
      </c>
      <c r="C332" s="1394"/>
      <c r="D332" s="1001">
        <f t="shared" si="608"/>
        <v>0</v>
      </c>
      <c r="E332" s="452">
        <f t="shared" si="609"/>
        <v>0</v>
      </c>
      <c r="F332" s="452">
        <f t="shared" si="610"/>
        <v>0</v>
      </c>
      <c r="G332" s="452">
        <f t="shared" si="611"/>
        <v>0</v>
      </c>
      <c r="H332" s="452">
        <f t="shared" si="612"/>
        <v>0</v>
      </c>
      <c r="I332" s="452">
        <f t="shared" si="613"/>
        <v>0</v>
      </c>
      <c r="J332" s="452">
        <f t="shared" si="614"/>
        <v>0</v>
      </c>
      <c r="K332" s="452">
        <f t="shared" si="615"/>
        <v>0</v>
      </c>
      <c r="L332" s="452">
        <f t="shared" si="653"/>
        <v>0</v>
      </c>
      <c r="M332" s="1002">
        <f t="shared" si="654"/>
        <v>0</v>
      </c>
      <c r="N332" s="1396"/>
      <c r="O332" s="1001">
        <f t="shared" si="616"/>
        <v>0</v>
      </c>
      <c r="P332" s="452">
        <f t="shared" si="617"/>
        <v>0</v>
      </c>
      <c r="Q332" s="452">
        <f t="shared" si="618"/>
        <v>0</v>
      </c>
      <c r="R332" s="452">
        <f t="shared" si="619"/>
        <v>0</v>
      </c>
      <c r="S332" s="452">
        <f t="shared" si="620"/>
        <v>0</v>
      </c>
      <c r="T332" s="452">
        <f t="shared" si="621"/>
        <v>0</v>
      </c>
      <c r="U332" s="452">
        <f t="shared" si="622"/>
        <v>0</v>
      </c>
      <c r="V332" s="452">
        <f t="shared" si="623"/>
        <v>0</v>
      </c>
      <c r="W332" s="452">
        <f t="shared" si="624"/>
        <v>0</v>
      </c>
      <c r="X332" s="1002">
        <f t="shared" si="625"/>
        <v>0</v>
      </c>
      <c r="Y332" s="1397"/>
      <c r="Z332" s="1398">
        <f t="shared" si="626"/>
        <v>0</v>
      </c>
      <c r="AA332" s="1398">
        <f t="shared" si="627"/>
        <v>0</v>
      </c>
      <c r="AB332" s="1398">
        <f t="shared" si="628"/>
        <v>0</v>
      </c>
      <c r="AC332" s="1398">
        <f t="shared" si="629"/>
        <v>0</v>
      </c>
      <c r="AD332" s="1398">
        <f t="shared" si="630"/>
        <v>0</v>
      </c>
      <c r="AE332" s="1398">
        <f t="shared" si="631"/>
        <v>0</v>
      </c>
      <c r="AF332" s="1398">
        <f t="shared" si="632"/>
        <v>0</v>
      </c>
      <c r="AG332" s="1398">
        <f t="shared" si="633"/>
        <v>0</v>
      </c>
      <c r="AH332" s="1396"/>
      <c r="AI332" s="462">
        <f t="shared" si="634"/>
        <v>0</v>
      </c>
      <c r="AJ332" s="1112"/>
      <c r="AK332" s="1399"/>
      <c r="AL332" s="829">
        <f t="shared" si="635"/>
        <v>45875</v>
      </c>
      <c r="AM332" s="684">
        <f>IFERROR(IF(AND(AT332="",AR332&lt;&gt;S.CAL!$BJ$3,AR332&lt;&gt;S.CAL!$BJ$4,$AR$320="NON"),M332-BD332,IF(AND(AT332="",AR332&lt;&gt;S.CAL!$BJ$3,AR332&lt;&gt;S.CAL!$BJ$4,$AR$320="OUI"),X332-AI332,IF(AT332&lt;&gt;0,AT332,IF(OR(AR332=S.CAL!$BJ$3,AR332=S.CAL!$BJ$4),AR332,"")))),"")</f>
        <v>0</v>
      </c>
      <c r="AN332" s="1115"/>
      <c r="AO332" s="1116"/>
      <c r="AP332" s="684">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400">
        <f t="shared" si="655"/>
        <v>0</v>
      </c>
      <c r="AR332" s="1120"/>
      <c r="AS332" s="1396"/>
      <c r="AT332" s="1123"/>
      <c r="AU332" s="831"/>
      <c r="AV332" s="1392">
        <f t="shared" si="636"/>
        <v>45875</v>
      </c>
      <c r="AW332" s="1396"/>
      <c r="AX332" s="529">
        <f t="shared" si="656"/>
        <v>45875</v>
      </c>
      <c r="AY332" s="541">
        <f t="shared" si="657"/>
        <v>0</v>
      </c>
      <c r="AZ332" s="538" t="s">
        <v>146</v>
      </c>
      <c r="BA332" s="534">
        <f t="shared" si="658"/>
        <v>0</v>
      </c>
      <c r="BB332" s="567" t="str">
        <f t="shared" si="637"/>
        <v/>
      </c>
      <c r="BC332" s="541">
        <f t="shared" si="659"/>
        <v>0</v>
      </c>
      <c r="BD332" s="541">
        <f t="shared" si="660"/>
        <v>0</v>
      </c>
      <c r="BE332" s="750"/>
      <c r="BF332" s="532" t="str">
        <f t="shared" si="638"/>
        <v/>
      </c>
      <c r="BG332" s="532" t="str">
        <f t="shared" si="661"/>
        <v>oui</v>
      </c>
      <c r="BH332" s="395" t="str">
        <f t="shared" si="639"/>
        <v/>
      </c>
      <c r="BI332" s="24" t="str">
        <f t="shared" si="640"/>
        <v/>
      </c>
      <c r="BJ332" s="1404"/>
      <c r="BK332" s="1404"/>
      <c r="BL332" s="1404"/>
      <c r="BM332" s="1404"/>
      <c r="BN332" s="1404"/>
      <c r="BO332" s="1404"/>
      <c r="BP332" s="1404"/>
      <c r="BQ332" s="1404"/>
      <c r="BR332" s="1405"/>
      <c r="BS332" s="1392">
        <f t="shared" si="607"/>
        <v>45875</v>
      </c>
      <c r="BT332" s="1406" t="str">
        <f t="shared" si="669"/>
        <v/>
      </c>
      <c r="BU332" s="1404"/>
      <c r="BV332" s="1404"/>
      <c r="BW332" s="1404"/>
      <c r="BX332" s="1404"/>
      <c r="BY332" s="1404"/>
      <c r="BZ332" s="1404"/>
      <c r="CA332" s="1404"/>
      <c r="CB332" s="1404"/>
      <c r="CD332" s="1408">
        <f t="shared" si="662"/>
        <v>0</v>
      </c>
      <c r="DC332" s="16" t="str">
        <f>Aout!FC25</f>
        <v>non</v>
      </c>
      <c r="DG332" s="333">
        <f t="shared" si="663"/>
        <v>1</v>
      </c>
      <c r="DH332" s="129">
        <f t="shared" si="641"/>
        <v>10</v>
      </c>
      <c r="DI332" s="129">
        <f t="shared" si="664"/>
        <v>1</v>
      </c>
      <c r="DK332" s="16">
        <f>+IF(AND(Aout!$DP$8&lt;&gt;52,AR332=S.CAL!$BJ$4),10,1)</f>
        <v>1</v>
      </c>
      <c r="DN332" s="16">
        <f t="shared" si="642"/>
        <v>1</v>
      </c>
      <c r="DU332" s="1296" t="str">
        <f t="shared" si="665"/>
        <v>Fiche infoA345875</v>
      </c>
      <c r="DV332" s="1384">
        <f t="shared" si="643"/>
        <v>0</v>
      </c>
      <c r="DW332" s="1385">
        <f t="shared" si="644"/>
        <v>0</v>
      </c>
      <c r="DX332" s="1385">
        <f t="shared" si="645"/>
        <v>0</v>
      </c>
      <c r="DY332" s="1385">
        <f t="shared" si="646"/>
        <v>0</v>
      </c>
      <c r="DZ332" s="1385">
        <f t="shared" si="647"/>
        <v>0</v>
      </c>
      <c r="EA332" s="1385">
        <f t="shared" si="648"/>
        <v>0</v>
      </c>
      <c r="EB332" s="1385">
        <f t="shared" si="649"/>
        <v>0</v>
      </c>
      <c r="EC332" s="1385">
        <f t="shared" si="650"/>
        <v>0</v>
      </c>
      <c r="ED332" s="1385">
        <f t="shared" si="666"/>
        <v>0</v>
      </c>
      <c r="EE332" s="1386">
        <f t="shared" si="667"/>
        <v>0</v>
      </c>
      <c r="EG332" s="16" t="str">
        <f t="shared" si="668"/>
        <v>322025</v>
      </c>
      <c r="EH332" s="16" t="str">
        <f t="shared" si="651"/>
        <v>Fiche infoA3</v>
      </c>
      <c r="EI332" s="16" t="str">
        <f t="shared" si="652"/>
        <v/>
      </c>
    </row>
    <row r="333" spans="1:145" x14ac:dyDescent="0.2">
      <c r="A333" s="24" t="str">
        <f>Aout!BJ26</f>
        <v>Fiche infoA4</v>
      </c>
      <c r="B333" s="829">
        <f>Aout!AB26</f>
        <v>45876</v>
      </c>
      <c r="C333" s="1393"/>
      <c r="D333" s="1001">
        <f t="shared" si="608"/>
        <v>0</v>
      </c>
      <c r="E333" s="452">
        <f t="shared" si="609"/>
        <v>0</v>
      </c>
      <c r="F333" s="452">
        <f t="shared" si="610"/>
        <v>0</v>
      </c>
      <c r="G333" s="452">
        <f t="shared" si="611"/>
        <v>0</v>
      </c>
      <c r="H333" s="452">
        <f t="shared" si="612"/>
        <v>0</v>
      </c>
      <c r="I333" s="452">
        <f t="shared" si="613"/>
        <v>0</v>
      </c>
      <c r="J333" s="452">
        <f t="shared" si="614"/>
        <v>0</v>
      </c>
      <c r="K333" s="452">
        <f t="shared" si="615"/>
        <v>0</v>
      </c>
      <c r="L333" s="452">
        <f t="shared" si="653"/>
        <v>0</v>
      </c>
      <c r="M333" s="1002">
        <f t="shared" si="654"/>
        <v>0</v>
      </c>
      <c r="O333" s="1001">
        <f t="shared" si="616"/>
        <v>0</v>
      </c>
      <c r="P333" s="452">
        <f t="shared" si="617"/>
        <v>0</v>
      </c>
      <c r="Q333" s="452">
        <f t="shared" si="618"/>
        <v>0</v>
      </c>
      <c r="R333" s="452">
        <f t="shared" si="619"/>
        <v>0</v>
      </c>
      <c r="S333" s="452">
        <f t="shared" si="620"/>
        <v>0</v>
      </c>
      <c r="T333" s="452">
        <f t="shared" si="621"/>
        <v>0</v>
      </c>
      <c r="U333" s="452">
        <f t="shared" si="622"/>
        <v>0</v>
      </c>
      <c r="V333" s="452">
        <f t="shared" si="623"/>
        <v>0</v>
      </c>
      <c r="W333" s="452">
        <f t="shared" si="624"/>
        <v>0</v>
      </c>
      <c r="X333" s="1002">
        <f t="shared" si="625"/>
        <v>0</v>
      </c>
      <c r="Y333" s="459"/>
      <c r="Z333" s="291">
        <f t="shared" si="626"/>
        <v>0</v>
      </c>
      <c r="AA333" s="291">
        <f t="shared" si="627"/>
        <v>0</v>
      </c>
      <c r="AB333" s="291">
        <f t="shared" si="628"/>
        <v>0</v>
      </c>
      <c r="AC333" s="291">
        <f t="shared" si="629"/>
        <v>0</v>
      </c>
      <c r="AD333" s="291">
        <f t="shared" si="630"/>
        <v>0</v>
      </c>
      <c r="AE333" s="291">
        <f t="shared" si="631"/>
        <v>0</v>
      </c>
      <c r="AF333" s="291">
        <f t="shared" si="632"/>
        <v>0</v>
      </c>
      <c r="AG333" s="291">
        <f t="shared" si="633"/>
        <v>0</v>
      </c>
      <c r="AI333" s="462">
        <f t="shared" si="634"/>
        <v>0</v>
      </c>
      <c r="AJ333" s="1112"/>
      <c r="AK333" s="507"/>
      <c r="AL333" s="829">
        <f t="shared" si="635"/>
        <v>45876</v>
      </c>
      <c r="AM333" s="684">
        <f>IFERROR(IF(AND(AT333="",AR333&lt;&gt;S.CAL!$BJ$3,AR333&lt;&gt;S.CAL!$BJ$4,$AR$320="NON"),M333-BD333,IF(AND(AT333="",AR333&lt;&gt;S.CAL!$BJ$3,AR333&lt;&gt;S.CAL!$BJ$4,$AR$320="OUI"),X333-AI333,IF(AT333&lt;&gt;0,AT333,IF(OR(AR333=S.CAL!$BJ$3,AR333=S.CAL!$BJ$4),AR333,"")))),"")</f>
        <v>0</v>
      </c>
      <c r="AN333" s="1115"/>
      <c r="AO333" s="1116"/>
      <c r="AP333" s="684">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516">
        <f t="shared" si="655"/>
        <v>0</v>
      </c>
      <c r="AR333" s="1120"/>
      <c r="AT333" s="1123"/>
      <c r="AU333" s="831"/>
      <c r="AV333" s="1392">
        <f t="shared" si="636"/>
        <v>45876</v>
      </c>
      <c r="AX333" s="529">
        <f t="shared" si="656"/>
        <v>45876</v>
      </c>
      <c r="AY333" s="541">
        <f t="shared" si="657"/>
        <v>0</v>
      </c>
      <c r="AZ333" s="538" t="s">
        <v>146</v>
      </c>
      <c r="BA333" s="534">
        <f t="shared" si="658"/>
        <v>0</v>
      </c>
      <c r="BB333" s="567" t="str">
        <f t="shared" si="637"/>
        <v/>
      </c>
      <c r="BC333" s="541">
        <f t="shared" si="659"/>
        <v>0</v>
      </c>
      <c r="BD333" s="541">
        <f t="shared" si="660"/>
        <v>0</v>
      </c>
      <c r="BE333" s="750"/>
      <c r="BF333" s="532" t="str">
        <f t="shared" si="638"/>
        <v/>
      </c>
      <c r="BG333" s="532" t="str">
        <f t="shared" si="661"/>
        <v>oui</v>
      </c>
      <c r="BH333" s="395" t="str">
        <f t="shared" si="639"/>
        <v/>
      </c>
      <c r="BI333" s="24" t="str">
        <f t="shared" si="640"/>
        <v/>
      </c>
      <c r="BJ333" s="1403"/>
      <c r="BK333" s="1403"/>
      <c r="BL333" s="1403"/>
      <c r="BM333" s="1403"/>
      <c r="BN333" s="1403"/>
      <c r="BO333" s="1403"/>
      <c r="BP333" s="1403"/>
      <c r="BQ333" s="1403"/>
      <c r="BS333" s="1392">
        <f t="shared" si="607"/>
        <v>45876</v>
      </c>
      <c r="BT333" s="27" t="str">
        <f t="shared" si="669"/>
        <v/>
      </c>
      <c r="BU333" s="1402"/>
      <c r="BV333" s="1402"/>
      <c r="BW333" s="1402"/>
      <c r="BX333" s="1402"/>
      <c r="BY333" s="1402"/>
      <c r="BZ333" s="1402"/>
      <c r="CA333" s="1402"/>
      <c r="CB333" s="1402"/>
      <c r="CD333" s="1408">
        <f t="shared" si="662"/>
        <v>0</v>
      </c>
      <c r="DC333" s="16" t="str">
        <f>Aout!FC26</f>
        <v>non</v>
      </c>
      <c r="DG333" s="333">
        <f t="shared" si="663"/>
        <v>1</v>
      </c>
      <c r="DH333" s="129">
        <f t="shared" si="641"/>
        <v>10</v>
      </c>
      <c r="DI333" s="129">
        <f t="shared" si="664"/>
        <v>1</v>
      </c>
      <c r="DK333" s="16">
        <f>+IF(AND(Aout!$DP$8&lt;&gt;52,AR333=S.CAL!$BJ$4),10,1)</f>
        <v>1</v>
      </c>
      <c r="DN333" s="16">
        <f t="shared" si="642"/>
        <v>1</v>
      </c>
      <c r="DU333" s="1296" t="str">
        <f t="shared" si="665"/>
        <v>Fiche infoA445876</v>
      </c>
      <c r="DV333" s="1384">
        <f t="shared" si="643"/>
        <v>0</v>
      </c>
      <c r="DW333" s="1385">
        <f t="shared" si="644"/>
        <v>0</v>
      </c>
      <c r="DX333" s="1385">
        <f t="shared" si="645"/>
        <v>0</v>
      </c>
      <c r="DY333" s="1385">
        <f t="shared" si="646"/>
        <v>0</v>
      </c>
      <c r="DZ333" s="1385">
        <f t="shared" si="647"/>
        <v>0</v>
      </c>
      <c r="EA333" s="1385">
        <f t="shared" si="648"/>
        <v>0</v>
      </c>
      <c r="EB333" s="1385">
        <f t="shared" si="649"/>
        <v>0</v>
      </c>
      <c r="EC333" s="1385">
        <f t="shared" si="650"/>
        <v>0</v>
      </c>
      <c r="ED333" s="1385">
        <f t="shared" si="666"/>
        <v>0</v>
      </c>
      <c r="EE333" s="1386">
        <f t="shared" si="667"/>
        <v>0</v>
      </c>
      <c r="EG333" s="16" t="str">
        <f t="shared" si="668"/>
        <v>322025</v>
      </c>
      <c r="EH333" s="16" t="str">
        <f t="shared" si="651"/>
        <v>Fiche infoA4</v>
      </c>
      <c r="EI333" s="16" t="str">
        <f t="shared" si="652"/>
        <v/>
      </c>
    </row>
    <row r="334" spans="1:145" x14ac:dyDescent="0.2">
      <c r="A334" s="1395" t="str">
        <f>Aout!BJ27</f>
        <v>Fiche infoA5</v>
      </c>
      <c r="B334" s="829">
        <f>Aout!AB27</f>
        <v>45877</v>
      </c>
      <c r="C334" s="1394"/>
      <c r="D334" s="1001">
        <f t="shared" si="608"/>
        <v>0</v>
      </c>
      <c r="E334" s="452">
        <f t="shared" si="609"/>
        <v>0</v>
      </c>
      <c r="F334" s="452">
        <f t="shared" si="610"/>
        <v>0</v>
      </c>
      <c r="G334" s="452">
        <f t="shared" si="611"/>
        <v>0</v>
      </c>
      <c r="H334" s="452">
        <f t="shared" si="612"/>
        <v>0</v>
      </c>
      <c r="I334" s="452">
        <f t="shared" si="613"/>
        <v>0</v>
      </c>
      <c r="J334" s="452">
        <f t="shared" si="614"/>
        <v>0</v>
      </c>
      <c r="K334" s="452">
        <f t="shared" si="615"/>
        <v>0</v>
      </c>
      <c r="L334" s="452">
        <f t="shared" si="653"/>
        <v>0</v>
      </c>
      <c r="M334" s="1002">
        <f t="shared" si="654"/>
        <v>0</v>
      </c>
      <c r="N334" s="1396"/>
      <c r="O334" s="1001">
        <f t="shared" si="616"/>
        <v>0</v>
      </c>
      <c r="P334" s="452">
        <f t="shared" si="617"/>
        <v>0</v>
      </c>
      <c r="Q334" s="452">
        <f t="shared" si="618"/>
        <v>0</v>
      </c>
      <c r="R334" s="452">
        <f t="shared" si="619"/>
        <v>0</v>
      </c>
      <c r="S334" s="452">
        <f t="shared" si="620"/>
        <v>0</v>
      </c>
      <c r="T334" s="452">
        <f t="shared" si="621"/>
        <v>0</v>
      </c>
      <c r="U334" s="452">
        <f t="shared" si="622"/>
        <v>0</v>
      </c>
      <c r="V334" s="452">
        <f t="shared" si="623"/>
        <v>0</v>
      </c>
      <c r="W334" s="452">
        <f t="shared" si="624"/>
        <v>0</v>
      </c>
      <c r="X334" s="1002">
        <f t="shared" si="625"/>
        <v>0</v>
      </c>
      <c r="Y334" s="1397"/>
      <c r="Z334" s="1398">
        <f t="shared" si="626"/>
        <v>0</v>
      </c>
      <c r="AA334" s="1398">
        <f t="shared" si="627"/>
        <v>0</v>
      </c>
      <c r="AB334" s="1398">
        <f t="shared" si="628"/>
        <v>0</v>
      </c>
      <c r="AC334" s="1398">
        <f t="shared" si="629"/>
        <v>0</v>
      </c>
      <c r="AD334" s="1398">
        <f t="shared" si="630"/>
        <v>0</v>
      </c>
      <c r="AE334" s="1398">
        <f t="shared" si="631"/>
        <v>0</v>
      </c>
      <c r="AF334" s="1398">
        <f t="shared" si="632"/>
        <v>0</v>
      </c>
      <c r="AG334" s="1398">
        <f t="shared" si="633"/>
        <v>0</v>
      </c>
      <c r="AH334" s="1396"/>
      <c r="AI334" s="462">
        <f t="shared" si="634"/>
        <v>0</v>
      </c>
      <c r="AJ334" s="1112"/>
      <c r="AK334" s="1399"/>
      <c r="AL334" s="829">
        <f t="shared" si="635"/>
        <v>45877</v>
      </c>
      <c r="AM334" s="684">
        <f>IFERROR(IF(AND(AT334="",AR334&lt;&gt;S.CAL!$BJ$3,AR334&lt;&gt;S.CAL!$BJ$4,$AR$320="NON"),M334-BD334,IF(AND(AT334="",AR334&lt;&gt;S.CAL!$BJ$3,AR334&lt;&gt;S.CAL!$BJ$4,$AR$320="OUI"),X334-AI334,IF(AT334&lt;&gt;0,AT334,IF(OR(AR334=S.CAL!$BJ$3,AR334=S.CAL!$BJ$4),AR334,"")))),"")</f>
        <v>0</v>
      </c>
      <c r="AN334" s="1115"/>
      <c r="AO334" s="1116"/>
      <c r="AP334" s="684">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400">
        <f t="shared" si="655"/>
        <v>0</v>
      </c>
      <c r="AR334" s="1120"/>
      <c r="AS334" s="1396"/>
      <c r="AT334" s="1123"/>
      <c r="AU334" s="831"/>
      <c r="AV334" s="1392">
        <f t="shared" si="636"/>
        <v>45877</v>
      </c>
      <c r="AW334" s="1396"/>
      <c r="AX334" s="529">
        <f t="shared" si="656"/>
        <v>45877</v>
      </c>
      <c r="AY334" s="541">
        <f t="shared" si="657"/>
        <v>0</v>
      </c>
      <c r="AZ334" s="538" t="s">
        <v>146</v>
      </c>
      <c r="BA334" s="534">
        <f t="shared" si="658"/>
        <v>0</v>
      </c>
      <c r="BB334" s="567" t="str">
        <f t="shared" si="637"/>
        <v/>
      </c>
      <c r="BC334" s="541">
        <f t="shared" si="659"/>
        <v>0</v>
      </c>
      <c r="BD334" s="541">
        <f t="shared" si="660"/>
        <v>0</v>
      </c>
      <c r="BE334" s="750"/>
      <c r="BF334" s="532" t="str">
        <f t="shared" si="638"/>
        <v/>
      </c>
      <c r="BG334" s="532" t="str">
        <f t="shared" si="661"/>
        <v>oui</v>
      </c>
      <c r="BH334" s="395" t="str">
        <f t="shared" si="639"/>
        <v/>
      </c>
      <c r="BI334" s="24" t="str">
        <f t="shared" si="640"/>
        <v/>
      </c>
      <c r="BJ334" s="1404"/>
      <c r="BK334" s="1404"/>
      <c r="BL334" s="1404"/>
      <c r="BM334" s="1404"/>
      <c r="BN334" s="1404"/>
      <c r="BO334" s="1404"/>
      <c r="BP334" s="1404"/>
      <c r="BQ334" s="1404"/>
      <c r="BR334" s="1405"/>
      <c r="BS334" s="1392">
        <f t="shared" si="607"/>
        <v>45877</v>
      </c>
      <c r="BT334" s="1406" t="str">
        <f t="shared" si="669"/>
        <v/>
      </c>
      <c r="BU334" s="1404"/>
      <c r="BV334" s="1404"/>
      <c r="BW334" s="1404"/>
      <c r="BX334" s="1404"/>
      <c r="BY334" s="1404"/>
      <c r="BZ334" s="1404"/>
      <c r="CA334" s="1404"/>
      <c r="CB334" s="1404"/>
      <c r="CD334" s="1408">
        <f t="shared" si="662"/>
        <v>0</v>
      </c>
      <c r="DC334" s="16" t="str">
        <f>Aout!FC27</f>
        <v>non</v>
      </c>
      <c r="DG334" s="333">
        <f t="shared" si="663"/>
        <v>1</v>
      </c>
      <c r="DH334" s="129">
        <f t="shared" si="641"/>
        <v>10</v>
      </c>
      <c r="DI334" s="129">
        <f t="shared" si="664"/>
        <v>1</v>
      </c>
      <c r="DK334" s="16">
        <f>+IF(AND(Aout!$DP$8&lt;&gt;52,AR334=S.CAL!$BJ$4),10,1)</f>
        <v>1</v>
      </c>
      <c r="DN334" s="16">
        <f t="shared" si="642"/>
        <v>1</v>
      </c>
      <c r="DU334" s="1296" t="str">
        <f t="shared" si="665"/>
        <v>Fiche infoA545877</v>
      </c>
      <c r="DV334" s="1384">
        <f t="shared" si="643"/>
        <v>0</v>
      </c>
      <c r="DW334" s="1385">
        <f t="shared" si="644"/>
        <v>0</v>
      </c>
      <c r="DX334" s="1385">
        <f t="shared" si="645"/>
        <v>0</v>
      </c>
      <c r="DY334" s="1385">
        <f t="shared" si="646"/>
        <v>0</v>
      </c>
      <c r="DZ334" s="1385">
        <f t="shared" si="647"/>
        <v>0</v>
      </c>
      <c r="EA334" s="1385">
        <f t="shared" si="648"/>
        <v>0</v>
      </c>
      <c r="EB334" s="1385">
        <f t="shared" si="649"/>
        <v>0</v>
      </c>
      <c r="EC334" s="1385">
        <f t="shared" si="650"/>
        <v>0</v>
      </c>
      <c r="ED334" s="1385">
        <f t="shared" si="666"/>
        <v>0</v>
      </c>
      <c r="EE334" s="1386">
        <f t="shared" si="667"/>
        <v>0</v>
      </c>
      <c r="EG334" s="16" t="str">
        <f t="shared" si="668"/>
        <v>322025</v>
      </c>
      <c r="EH334" s="16" t="str">
        <f t="shared" si="651"/>
        <v>Fiche infoA5</v>
      </c>
      <c r="EI334" s="16" t="str">
        <f t="shared" si="652"/>
        <v/>
      </c>
    </row>
    <row r="335" spans="1:145" x14ac:dyDescent="0.2">
      <c r="A335" s="24" t="str">
        <f>Aout!BJ28</f>
        <v>Fiche infoA6</v>
      </c>
      <c r="B335" s="829">
        <f>Aout!AB28</f>
        <v>45878</v>
      </c>
      <c r="C335" s="1393"/>
      <c r="D335" s="1001">
        <f t="shared" si="608"/>
        <v>0</v>
      </c>
      <c r="E335" s="452">
        <f t="shared" si="609"/>
        <v>0</v>
      </c>
      <c r="F335" s="452">
        <f t="shared" si="610"/>
        <v>0</v>
      </c>
      <c r="G335" s="452">
        <f t="shared" si="611"/>
        <v>0</v>
      </c>
      <c r="H335" s="452">
        <f t="shared" si="612"/>
        <v>0</v>
      </c>
      <c r="I335" s="452">
        <f t="shared" si="613"/>
        <v>0</v>
      </c>
      <c r="J335" s="452">
        <f t="shared" si="614"/>
        <v>0</v>
      </c>
      <c r="K335" s="452">
        <f t="shared" si="615"/>
        <v>0</v>
      </c>
      <c r="L335" s="452">
        <f t="shared" si="653"/>
        <v>0</v>
      </c>
      <c r="M335" s="1002">
        <f t="shared" si="654"/>
        <v>0</v>
      </c>
      <c r="O335" s="1001">
        <f>IF(AR335&lt;&gt;"",0,IF(DC335="oui",0,IF(AND(ISTEXT(AT335)=TRUE,BJ335=""),0,IF(BJ335="",D335,BJ335))))</f>
        <v>0</v>
      </c>
      <c r="P335" s="452">
        <f>IF(AR335&lt;&gt;"",0,IF(DC335="oui",0,IF(AND(ISTEXT(AT335)=TRUE,BK335=""),0,IF(BK335="",E335,BK335))))</f>
        <v>0</v>
      </c>
      <c r="Q335" s="452">
        <f>IF(AR335&lt;&gt;"",0,IF(DC335="oui",0,IF(AND(ISTEXT(AT335)=TRUE,BL335=""),0,IF(BL335="",F335,BL335))))</f>
        <v>0</v>
      </c>
      <c r="R335" s="452">
        <f>IF(AR335&lt;&gt;"",0,IF(DC335="oui",0,IF(AND(ISTEXT(AT335)=TRUE,BM335=""),0,IF(BM335="",G335,BM335))))</f>
        <v>0</v>
      </c>
      <c r="S335" s="452">
        <f>IF(AR335&lt;&gt;"",0,IF(DC335="oui",0,IF(AND(ISTEXT(AT335)=TRUE,BN335=""),0,IF(BN335="",H335,BN335))))</f>
        <v>0</v>
      </c>
      <c r="T335" s="452">
        <f>IF(AR335&lt;&gt;"",0,IF(DC335="oui",0,IF(AND(ISTEXT(AT335)=TRUE,BO335=""),0,IF(BO335="",I335,BO335))))</f>
        <v>0</v>
      </c>
      <c r="U335" s="452">
        <f>IF(AR335&lt;&gt;"",0,IF(DC335="oui",0,IF(AND(ISTEXT(AT335)=TRUE,BP335=""),0,IF(BP335="",J335,BP335))))</f>
        <v>0</v>
      </c>
      <c r="V335" s="452">
        <f>IF(AR335&lt;&gt;"",0,IF(DC335="oui",0,IF(AND(ISTEXT(AT335)=TRUE,BQ335=""),0,IF(BQ335="",K335,BQ335))))</f>
        <v>0</v>
      </c>
      <c r="W335" s="452">
        <f t="shared" si="624"/>
        <v>0</v>
      </c>
      <c r="X335" s="1002">
        <f t="shared" si="625"/>
        <v>0</v>
      </c>
      <c r="Y335" s="459"/>
      <c r="Z335" s="291">
        <f t="shared" si="626"/>
        <v>0</v>
      </c>
      <c r="AA335" s="291">
        <f t="shared" si="627"/>
        <v>0</v>
      </c>
      <c r="AB335" s="291">
        <f t="shared" si="628"/>
        <v>0</v>
      </c>
      <c r="AC335" s="291">
        <f t="shared" si="629"/>
        <v>0</v>
      </c>
      <c r="AD335" s="291">
        <f t="shared" si="630"/>
        <v>0</v>
      </c>
      <c r="AE335" s="291">
        <f t="shared" si="631"/>
        <v>0</v>
      </c>
      <c r="AF335" s="291">
        <f t="shared" si="632"/>
        <v>0</v>
      </c>
      <c r="AG335" s="291">
        <f t="shared" si="633"/>
        <v>0</v>
      </c>
      <c r="AI335" s="462">
        <f>IF(DC335="oui",0,IF(AND(ISTEXT(AT335)=TRUE,OR(X335=0,X335="")),0,ROUND(((((AA335-Z335)-(E335-D335))+((AC335-AB335)-(G335-F335))+((AE335-AD335)-(I335-H335))+(AG335-AF335)-(K335-J335))*24),2)))</f>
        <v>0</v>
      </c>
      <c r="AJ335" s="1112"/>
      <c r="AK335" s="507"/>
      <c r="AL335" s="829">
        <f t="shared" si="635"/>
        <v>45878</v>
      </c>
      <c r="AM335" s="684">
        <f>IFERROR(IF(AND(AT335="",AR335&lt;&gt;S.CAL!$BJ$3,AR335&lt;&gt;S.CAL!$BJ$4,$AR$320="NON"),M335-BD335,IF(AND(AT335="",AR335&lt;&gt;S.CAL!$BJ$3,AR335&lt;&gt;S.CAL!$BJ$4,$AR$320="OUI"),X335-AI335,IF(AT335&lt;&gt;0,AT335,IF(OR(AR335=S.CAL!$BJ$3,AR335=S.CAL!$BJ$4),AR335,"")))),"")</f>
        <v>0</v>
      </c>
      <c r="AN335" s="1115"/>
      <c r="AO335" s="1116"/>
      <c r="AP335" s="684">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516">
        <f t="shared" si="655"/>
        <v>0</v>
      </c>
      <c r="AR335" s="1120"/>
      <c r="AT335" s="1123"/>
      <c r="AU335" s="831"/>
      <c r="AV335" s="1392">
        <f t="shared" si="636"/>
        <v>45878</v>
      </c>
      <c r="AX335" s="529">
        <f t="shared" si="656"/>
        <v>45878</v>
      </c>
      <c r="AY335" s="541">
        <f t="shared" si="657"/>
        <v>0</v>
      </c>
      <c r="AZ335" s="538" t="s">
        <v>146</v>
      </c>
      <c r="BA335" s="534">
        <f t="shared" si="658"/>
        <v>0</v>
      </c>
      <c r="BB335" s="567" t="str">
        <f t="shared" si="637"/>
        <v/>
      </c>
      <c r="BC335" s="541">
        <f t="shared" si="659"/>
        <v>0</v>
      </c>
      <c r="BD335" s="541">
        <f t="shared" si="660"/>
        <v>0</v>
      </c>
      <c r="BE335" s="750"/>
      <c r="BF335" s="532" t="str">
        <f t="shared" si="638"/>
        <v/>
      </c>
      <c r="BG335" s="532" t="str">
        <f t="shared" si="661"/>
        <v>oui</v>
      </c>
      <c r="BH335" s="395" t="str">
        <f t="shared" si="639"/>
        <v/>
      </c>
      <c r="BI335" s="24" t="str">
        <f t="shared" si="640"/>
        <v/>
      </c>
      <c r="BJ335" s="1403"/>
      <c r="BK335" s="1403"/>
      <c r="BL335" s="1403"/>
      <c r="BM335" s="1403"/>
      <c r="BN335" s="1403"/>
      <c r="BO335" s="1403"/>
      <c r="BP335" s="1403"/>
      <c r="BQ335" s="1403"/>
      <c r="BS335" s="1392">
        <f t="shared" si="607"/>
        <v>45878</v>
      </c>
      <c r="BT335" s="27" t="str">
        <f t="shared" si="669"/>
        <v/>
      </c>
      <c r="BU335" s="1402"/>
      <c r="BV335" s="1402"/>
      <c r="BW335" s="1402"/>
      <c r="BX335" s="1402"/>
      <c r="BY335" s="1402"/>
      <c r="BZ335" s="1402"/>
      <c r="CA335" s="1402"/>
      <c r="CB335" s="1402"/>
      <c r="CD335" s="1408">
        <f t="shared" si="662"/>
        <v>0</v>
      </c>
      <c r="DC335" s="16" t="str">
        <f>Aout!FC28</f>
        <v>non</v>
      </c>
      <c r="DG335" s="333">
        <f t="shared" si="663"/>
        <v>1</v>
      </c>
      <c r="DH335" s="129">
        <f t="shared" si="641"/>
        <v>10</v>
      </c>
      <c r="DI335" s="129">
        <f t="shared" si="664"/>
        <v>1</v>
      </c>
      <c r="DK335" s="16">
        <f>+IF(AND(Aout!$DP$8&lt;&gt;52,AR335=S.CAL!$BJ$4),10,1)</f>
        <v>1</v>
      </c>
      <c r="DN335" s="16">
        <f t="shared" si="642"/>
        <v>1</v>
      </c>
      <c r="DU335" s="1296" t="str">
        <f t="shared" si="665"/>
        <v>Fiche infoA645878</v>
      </c>
      <c r="DV335" s="1384">
        <f t="shared" si="643"/>
        <v>0</v>
      </c>
      <c r="DW335" s="1385">
        <f t="shared" si="644"/>
        <v>0</v>
      </c>
      <c r="DX335" s="1385">
        <f t="shared" si="645"/>
        <v>0</v>
      </c>
      <c r="DY335" s="1385">
        <f t="shared" si="646"/>
        <v>0</v>
      </c>
      <c r="DZ335" s="1385">
        <f t="shared" si="647"/>
        <v>0</v>
      </c>
      <c r="EA335" s="1385">
        <f t="shared" si="648"/>
        <v>0</v>
      </c>
      <c r="EB335" s="1385">
        <f t="shared" si="649"/>
        <v>0</v>
      </c>
      <c r="EC335" s="1385">
        <f t="shared" si="650"/>
        <v>0</v>
      </c>
      <c r="ED335" s="1385">
        <f t="shared" si="666"/>
        <v>0</v>
      </c>
      <c r="EE335" s="1386">
        <f t="shared" si="667"/>
        <v>0</v>
      </c>
      <c r="EG335" s="16" t="str">
        <f t="shared" si="668"/>
        <v>322025</v>
      </c>
      <c r="EH335" s="16" t="str">
        <f t="shared" si="651"/>
        <v>Fiche infoA6</v>
      </c>
      <c r="EI335" s="16" t="str">
        <f t="shared" si="652"/>
        <v/>
      </c>
    </row>
    <row r="336" spans="1:145" x14ac:dyDescent="0.2">
      <c r="A336" s="1395" t="str">
        <f>Aout!BJ29</f>
        <v>Fiche infoA7</v>
      </c>
      <c r="B336" s="829">
        <f>Aout!AB29</f>
        <v>45879</v>
      </c>
      <c r="C336" s="1394"/>
      <c r="D336" s="1001">
        <f t="shared" si="608"/>
        <v>0</v>
      </c>
      <c r="E336" s="452">
        <f t="shared" si="609"/>
        <v>0</v>
      </c>
      <c r="F336" s="452">
        <f t="shared" si="610"/>
        <v>0</v>
      </c>
      <c r="G336" s="452">
        <f t="shared" si="611"/>
        <v>0</v>
      </c>
      <c r="H336" s="452">
        <f t="shared" si="612"/>
        <v>0</v>
      </c>
      <c r="I336" s="452">
        <f t="shared" si="613"/>
        <v>0</v>
      </c>
      <c r="J336" s="452">
        <f t="shared" si="614"/>
        <v>0</v>
      </c>
      <c r="K336" s="452">
        <f t="shared" si="615"/>
        <v>0</v>
      </c>
      <c r="L336" s="452">
        <f t="shared" si="653"/>
        <v>0</v>
      </c>
      <c r="M336" s="1002">
        <f t="shared" si="654"/>
        <v>0</v>
      </c>
      <c r="N336" s="1396"/>
      <c r="O336" s="1001">
        <f t="shared" ref="O336:O357" si="670">IF(AR336&lt;&gt;"",0,IF(DC336="oui",0,IF(AND(ISTEXT(AT336)=TRUE,BJ336=""),0,IF(BJ336="",D336,BJ336))))</f>
        <v>0</v>
      </c>
      <c r="P336" s="452">
        <f t="shared" ref="P336:P357" si="671">IF(AR336&lt;&gt;"",0,IF(DC336="oui",0,IF(AND(ISTEXT(AT336)=TRUE,BK336=""),0,IF(BK336="",E336,BK336))))</f>
        <v>0</v>
      </c>
      <c r="Q336" s="452">
        <f t="shared" ref="Q336:Q357" si="672">IF(AR336&lt;&gt;"",0,IF(DC336="oui",0,IF(AND(ISTEXT(AT336)=TRUE,BL336=""),0,IF(BL336="",F336,BL336))))</f>
        <v>0</v>
      </c>
      <c r="R336" s="452">
        <f t="shared" ref="R336:R357" si="673">IF(AR336&lt;&gt;"",0,IF(DC336="oui",0,IF(AND(ISTEXT(AT336)=TRUE,BM336=""),0,IF(BM336="",G336,BM336))))</f>
        <v>0</v>
      </c>
      <c r="S336" s="452">
        <f t="shared" ref="S336:S357" si="674">IF(AR336&lt;&gt;"",0,IF(DC336="oui",0,IF(AND(ISTEXT(AT336)=TRUE,BN336=""),0,IF(BN336="",H336,BN336))))</f>
        <v>0</v>
      </c>
      <c r="T336" s="452">
        <f t="shared" ref="T336:T357" si="675">IF(AR336&lt;&gt;"",0,IF(DC336="oui",0,IF(AND(ISTEXT(AT336)=TRUE,BO336=""),0,IF(BO336="",I336,BO336))))</f>
        <v>0</v>
      </c>
      <c r="U336" s="452">
        <f t="shared" ref="U336:U357" si="676">IF(AR336&lt;&gt;"",0,IF(DC336="oui",0,IF(AND(ISTEXT(AT336)=TRUE,BP336=""),0,IF(BP336="",J336,BP336))))</f>
        <v>0</v>
      </c>
      <c r="V336" s="452">
        <f t="shared" ref="V336:V357" si="677">IF(AR336&lt;&gt;"",0,IF(DC336="oui",0,IF(AND(ISTEXT(AT336)=TRUE,BQ336=""),0,IF(BQ336="",K336,BQ336))))</f>
        <v>0</v>
      </c>
      <c r="W336" s="452">
        <f t="shared" si="624"/>
        <v>0</v>
      </c>
      <c r="X336" s="1002">
        <f t="shared" si="625"/>
        <v>0</v>
      </c>
      <c r="Y336" s="1397"/>
      <c r="Z336" s="1398">
        <f t="shared" si="626"/>
        <v>0</v>
      </c>
      <c r="AA336" s="1398">
        <f t="shared" si="627"/>
        <v>0</v>
      </c>
      <c r="AB336" s="1398">
        <f t="shared" si="628"/>
        <v>0</v>
      </c>
      <c r="AC336" s="1398">
        <f t="shared" si="629"/>
        <v>0</v>
      </c>
      <c r="AD336" s="1398">
        <f t="shared" si="630"/>
        <v>0</v>
      </c>
      <c r="AE336" s="1398">
        <f t="shared" si="631"/>
        <v>0</v>
      </c>
      <c r="AF336" s="1398">
        <f t="shared" si="632"/>
        <v>0</v>
      </c>
      <c r="AG336" s="1398">
        <f t="shared" si="633"/>
        <v>0</v>
      </c>
      <c r="AH336" s="1396"/>
      <c r="AI336" s="462">
        <f t="shared" ref="AI336:AI357" si="678">IF(DC336="oui",0,IF(AND(ISTEXT(AT336)=TRUE,OR(X336=0,X336="")),0,ROUND(((((AA336-Z336)-(E336-D336))+((AC336-AB336)-(G336-F336))+((AE336-AD336)-(I336-H336))+(AG336-AF336)-(K336-J336))*24),2)))</f>
        <v>0</v>
      </c>
      <c r="AJ336" s="1112"/>
      <c r="AK336" s="1399"/>
      <c r="AL336" s="829">
        <f t="shared" si="635"/>
        <v>45879</v>
      </c>
      <c r="AM336" s="684">
        <f>IFERROR(IF(AND(AT336="",AR336&lt;&gt;S.CAL!$BJ$3,AR336&lt;&gt;S.CAL!$BJ$4,$AR$320="NON"),M336-BD336,IF(AND(AT336="",AR336&lt;&gt;S.CAL!$BJ$3,AR336&lt;&gt;S.CAL!$BJ$4,$AR$320="OUI"),X336-AI336,IF(AT336&lt;&gt;0,AT336,IF(OR(AR336=S.CAL!$BJ$3,AR336=S.CAL!$BJ$4),AR336,"")))),"")</f>
        <v>0</v>
      </c>
      <c r="AN336" s="1115"/>
      <c r="AO336" s="1116"/>
      <c r="AP336" s="684">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400">
        <f t="shared" si="655"/>
        <v>0</v>
      </c>
      <c r="AR336" s="1120"/>
      <c r="AS336" s="1396"/>
      <c r="AT336" s="1123"/>
      <c r="AU336" s="831"/>
      <c r="AV336" s="1392">
        <f t="shared" si="636"/>
        <v>45879</v>
      </c>
      <c r="AW336" s="1396"/>
      <c r="AX336" s="529">
        <f t="shared" si="656"/>
        <v>45879</v>
      </c>
      <c r="AY336" s="541">
        <f t="shared" si="657"/>
        <v>0</v>
      </c>
      <c r="AZ336" s="538" t="s">
        <v>146</v>
      </c>
      <c r="BA336" s="534">
        <f t="shared" si="658"/>
        <v>0</v>
      </c>
      <c r="BB336" s="567" t="str">
        <f t="shared" si="637"/>
        <v/>
      </c>
      <c r="BC336" s="541">
        <f t="shared" si="659"/>
        <v>0</v>
      </c>
      <c r="BD336" s="541">
        <f t="shared" si="660"/>
        <v>0</v>
      </c>
      <c r="BE336" s="750"/>
      <c r="BF336" s="532" t="str">
        <f t="shared" si="638"/>
        <v/>
      </c>
      <c r="BG336" s="532" t="str">
        <f t="shared" si="661"/>
        <v>oui</v>
      </c>
      <c r="BH336" s="395" t="str">
        <f t="shared" si="639"/>
        <v/>
      </c>
      <c r="BI336" s="24" t="str">
        <f t="shared" si="640"/>
        <v/>
      </c>
      <c r="BJ336" s="1404"/>
      <c r="BK336" s="1404"/>
      <c r="BL336" s="1404"/>
      <c r="BM336" s="1404"/>
      <c r="BN336" s="1404"/>
      <c r="BO336" s="1404"/>
      <c r="BP336" s="1404"/>
      <c r="BQ336" s="1404"/>
      <c r="BR336" s="1405"/>
      <c r="BS336" s="1392">
        <f t="shared" si="607"/>
        <v>45879</v>
      </c>
      <c r="BT336" s="1406" t="str">
        <f t="shared" si="669"/>
        <v/>
      </c>
      <c r="BU336" s="1404"/>
      <c r="BV336" s="1404"/>
      <c r="BW336" s="1404"/>
      <c r="BX336" s="1404"/>
      <c r="BY336" s="1404"/>
      <c r="BZ336" s="1404"/>
      <c r="CA336" s="1404"/>
      <c r="CB336" s="1404"/>
      <c r="CD336" s="1408">
        <f t="shared" si="662"/>
        <v>0</v>
      </c>
      <c r="DC336" s="16" t="str">
        <f>Aout!FC29</f>
        <v>non</v>
      </c>
      <c r="DG336" s="333">
        <f t="shared" si="663"/>
        <v>1</v>
      </c>
      <c r="DH336" s="129">
        <f t="shared" si="641"/>
        <v>10</v>
      </c>
      <c r="DI336" s="129">
        <f t="shared" si="664"/>
        <v>1</v>
      </c>
      <c r="DK336" s="16">
        <f>+IF(AND(Aout!$DP$8&lt;&gt;52,AR336=S.CAL!$BJ$4),10,1)</f>
        <v>1</v>
      </c>
      <c r="DN336" s="16">
        <f t="shared" si="642"/>
        <v>1</v>
      </c>
      <c r="DU336" s="1296" t="str">
        <f t="shared" si="665"/>
        <v>Fiche infoA745879</v>
      </c>
      <c r="DV336" s="1384">
        <f t="shared" si="643"/>
        <v>0</v>
      </c>
      <c r="DW336" s="1385">
        <f t="shared" si="644"/>
        <v>0</v>
      </c>
      <c r="DX336" s="1385">
        <f t="shared" si="645"/>
        <v>0</v>
      </c>
      <c r="DY336" s="1385">
        <f t="shared" si="646"/>
        <v>0</v>
      </c>
      <c r="DZ336" s="1385">
        <f t="shared" si="647"/>
        <v>0</v>
      </c>
      <c r="EA336" s="1385">
        <f t="shared" si="648"/>
        <v>0</v>
      </c>
      <c r="EB336" s="1385">
        <f t="shared" si="649"/>
        <v>0</v>
      </c>
      <c r="EC336" s="1385">
        <f t="shared" si="650"/>
        <v>0</v>
      </c>
      <c r="ED336" s="1385">
        <f t="shared" si="666"/>
        <v>0</v>
      </c>
      <c r="EE336" s="1386">
        <f t="shared" si="667"/>
        <v>0</v>
      </c>
      <c r="EG336" s="16" t="str">
        <f t="shared" si="668"/>
        <v>322025</v>
      </c>
      <c r="EH336" s="16" t="str">
        <f t="shared" si="651"/>
        <v>Fiche infoA7</v>
      </c>
      <c r="EI336" s="16" t="str">
        <f t="shared" si="652"/>
        <v/>
      </c>
    </row>
    <row r="337" spans="1:139" x14ac:dyDescent="0.2">
      <c r="A337" s="24" t="str">
        <f>Aout!BJ30</f>
        <v>Fiche infoA1</v>
      </c>
      <c r="B337" s="829">
        <f>Aout!AB30</f>
        <v>45880</v>
      </c>
      <c r="C337" s="1393"/>
      <c r="D337" s="1001">
        <f t="shared" si="608"/>
        <v>0</v>
      </c>
      <c r="E337" s="452">
        <f t="shared" si="609"/>
        <v>0</v>
      </c>
      <c r="F337" s="452">
        <f t="shared" si="610"/>
        <v>0</v>
      </c>
      <c r="G337" s="452">
        <f t="shared" si="611"/>
        <v>0</v>
      </c>
      <c r="H337" s="452">
        <f t="shared" si="612"/>
        <v>0</v>
      </c>
      <c r="I337" s="452">
        <f t="shared" si="613"/>
        <v>0</v>
      </c>
      <c r="J337" s="452">
        <f t="shared" si="614"/>
        <v>0</v>
      </c>
      <c r="K337" s="452">
        <f t="shared" si="615"/>
        <v>0</v>
      </c>
      <c r="L337" s="452">
        <f t="shared" si="653"/>
        <v>0</v>
      </c>
      <c r="M337" s="1002">
        <f t="shared" si="654"/>
        <v>0</v>
      </c>
      <c r="O337" s="1001">
        <f t="shared" si="670"/>
        <v>0</v>
      </c>
      <c r="P337" s="452">
        <f t="shared" si="671"/>
        <v>0</v>
      </c>
      <c r="Q337" s="452">
        <f t="shared" si="672"/>
        <v>0</v>
      </c>
      <c r="R337" s="452">
        <f t="shared" si="673"/>
        <v>0</v>
      </c>
      <c r="S337" s="452">
        <f t="shared" si="674"/>
        <v>0</v>
      </c>
      <c r="T337" s="452">
        <f t="shared" si="675"/>
        <v>0</v>
      </c>
      <c r="U337" s="452">
        <f t="shared" si="676"/>
        <v>0</v>
      </c>
      <c r="V337" s="452">
        <f t="shared" si="677"/>
        <v>0</v>
      </c>
      <c r="W337" s="452">
        <f t="shared" si="624"/>
        <v>0</v>
      </c>
      <c r="X337" s="1002">
        <f t="shared" si="625"/>
        <v>0</v>
      </c>
      <c r="Y337" s="459"/>
      <c r="Z337" s="291">
        <f t="shared" si="626"/>
        <v>0</v>
      </c>
      <c r="AA337" s="291">
        <f t="shared" si="627"/>
        <v>0</v>
      </c>
      <c r="AB337" s="291">
        <f t="shared" si="628"/>
        <v>0</v>
      </c>
      <c r="AC337" s="291">
        <f t="shared" si="629"/>
        <v>0</v>
      </c>
      <c r="AD337" s="291">
        <f t="shared" si="630"/>
        <v>0</v>
      </c>
      <c r="AE337" s="291">
        <f t="shared" si="631"/>
        <v>0</v>
      </c>
      <c r="AF337" s="291">
        <f t="shared" si="632"/>
        <v>0</v>
      </c>
      <c r="AG337" s="291">
        <f t="shared" si="633"/>
        <v>0</v>
      </c>
      <c r="AI337" s="462">
        <f t="shared" si="678"/>
        <v>0</v>
      </c>
      <c r="AJ337" s="1112"/>
      <c r="AK337" s="507"/>
      <c r="AL337" s="829">
        <f t="shared" si="635"/>
        <v>45880</v>
      </c>
      <c r="AM337" s="684">
        <f>IFERROR(IF(AND(AT337="",AR337&lt;&gt;S.CAL!$BJ$3,AR337&lt;&gt;S.CAL!$BJ$4,$AR$320="NON"),M337-BD337,IF(AND(AT337="",AR337&lt;&gt;S.CAL!$BJ$3,AR337&lt;&gt;S.CAL!$BJ$4,$AR$320="OUI"),X337-AI337,IF(AT337&lt;&gt;0,AT337,IF(OR(AR337=S.CAL!$BJ$3,AR337=S.CAL!$BJ$4),AR337,"")))),"")</f>
        <v>0</v>
      </c>
      <c r="AN337" s="1115"/>
      <c r="AO337" s="1116"/>
      <c r="AP337" s="684">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516">
        <f t="shared" si="655"/>
        <v>0</v>
      </c>
      <c r="AR337" s="1120"/>
      <c r="AT337" s="1123"/>
      <c r="AU337" s="831"/>
      <c r="AV337" s="1392">
        <f t="shared" si="636"/>
        <v>45880</v>
      </c>
      <c r="AX337" s="529">
        <f t="shared" si="656"/>
        <v>45880</v>
      </c>
      <c r="AY337" s="541">
        <f t="shared" si="657"/>
        <v>0</v>
      </c>
      <c r="AZ337" s="538" t="s">
        <v>146</v>
      </c>
      <c r="BA337" s="534">
        <f t="shared" si="658"/>
        <v>0</v>
      </c>
      <c r="BB337" s="567" t="str">
        <f t="shared" si="637"/>
        <v/>
      </c>
      <c r="BC337" s="541">
        <f t="shared" si="659"/>
        <v>0</v>
      </c>
      <c r="BD337" s="541">
        <f t="shared" si="660"/>
        <v>0</v>
      </c>
      <c r="BE337" s="750"/>
      <c r="BF337" s="532" t="str">
        <f t="shared" si="638"/>
        <v/>
      </c>
      <c r="BG337" s="532" t="str">
        <f t="shared" si="661"/>
        <v>oui</v>
      </c>
      <c r="BH337" s="395" t="str">
        <f t="shared" si="639"/>
        <v/>
      </c>
      <c r="BI337" s="24" t="str">
        <f t="shared" si="640"/>
        <v/>
      </c>
      <c r="BJ337" s="1403"/>
      <c r="BK337" s="1403"/>
      <c r="BL337" s="1403"/>
      <c r="BM337" s="1403"/>
      <c r="BN337" s="1403"/>
      <c r="BO337" s="1403"/>
      <c r="BP337" s="1403"/>
      <c r="BQ337" s="1403"/>
      <c r="BS337" s="1392">
        <f t="shared" si="607"/>
        <v>45880</v>
      </c>
      <c r="BT337" s="27">
        <f t="shared" si="669"/>
        <v>33</v>
      </c>
      <c r="BU337" s="1402"/>
      <c r="BV337" s="1402"/>
      <c r="BW337" s="1402"/>
      <c r="BX337" s="1402"/>
      <c r="BY337" s="1402"/>
      <c r="BZ337" s="1402"/>
      <c r="CA337" s="1402"/>
      <c r="CB337" s="1402"/>
      <c r="CD337" s="1408">
        <f t="shared" si="662"/>
        <v>0</v>
      </c>
      <c r="DC337" s="16" t="str">
        <f>Aout!FC30</f>
        <v>non</v>
      </c>
      <c r="DG337" s="333">
        <f t="shared" si="663"/>
        <v>1</v>
      </c>
      <c r="DH337" s="129">
        <f t="shared" si="641"/>
        <v>10</v>
      </c>
      <c r="DI337" s="129">
        <f t="shared" si="664"/>
        <v>1</v>
      </c>
      <c r="DK337" s="16">
        <f>+IF(AND(Aout!$DP$8&lt;&gt;52,AR337=S.CAL!$BJ$4),10,1)</f>
        <v>1</v>
      </c>
      <c r="DN337" s="16">
        <f t="shared" si="642"/>
        <v>1</v>
      </c>
      <c r="DU337" s="1296" t="str">
        <f t="shared" si="665"/>
        <v>Fiche infoA145880</v>
      </c>
      <c r="DV337" s="1384">
        <f t="shared" si="643"/>
        <v>0</v>
      </c>
      <c r="DW337" s="1385">
        <f t="shared" si="644"/>
        <v>0</v>
      </c>
      <c r="DX337" s="1385">
        <f t="shared" si="645"/>
        <v>0</v>
      </c>
      <c r="DY337" s="1385">
        <f t="shared" si="646"/>
        <v>0</v>
      </c>
      <c r="DZ337" s="1385">
        <f t="shared" si="647"/>
        <v>0</v>
      </c>
      <c r="EA337" s="1385">
        <f t="shared" si="648"/>
        <v>0</v>
      </c>
      <c r="EB337" s="1385">
        <f t="shared" si="649"/>
        <v>0</v>
      </c>
      <c r="EC337" s="1385">
        <f t="shared" si="650"/>
        <v>0</v>
      </c>
      <c r="ED337" s="1385">
        <f t="shared" si="666"/>
        <v>0</v>
      </c>
      <c r="EE337" s="1386">
        <f t="shared" si="667"/>
        <v>0</v>
      </c>
      <c r="EG337" s="16" t="str">
        <f t="shared" si="668"/>
        <v>332025</v>
      </c>
      <c r="EH337" s="16" t="str">
        <f t="shared" si="651"/>
        <v>Fiche infoA1</v>
      </c>
      <c r="EI337" s="16" t="str">
        <f t="shared" si="652"/>
        <v/>
      </c>
    </row>
    <row r="338" spans="1:139" x14ac:dyDescent="0.2">
      <c r="A338" s="1395" t="str">
        <f>Aout!BJ31</f>
        <v>Fiche infoA2</v>
      </c>
      <c r="B338" s="829">
        <f>Aout!AB31</f>
        <v>45881</v>
      </c>
      <c r="C338" s="1394"/>
      <c r="D338" s="1001">
        <f t="shared" si="608"/>
        <v>0</v>
      </c>
      <c r="E338" s="452">
        <f t="shared" si="609"/>
        <v>0</v>
      </c>
      <c r="F338" s="452">
        <f t="shared" si="610"/>
        <v>0</v>
      </c>
      <c r="G338" s="452">
        <f t="shared" si="611"/>
        <v>0</v>
      </c>
      <c r="H338" s="452">
        <f t="shared" si="612"/>
        <v>0</v>
      </c>
      <c r="I338" s="452">
        <f t="shared" si="613"/>
        <v>0</v>
      </c>
      <c r="J338" s="452">
        <f t="shared" si="614"/>
        <v>0</v>
      </c>
      <c r="K338" s="452">
        <f t="shared" si="615"/>
        <v>0</v>
      </c>
      <c r="L338" s="452">
        <f t="shared" si="653"/>
        <v>0</v>
      </c>
      <c r="M338" s="1002">
        <f t="shared" si="654"/>
        <v>0</v>
      </c>
      <c r="N338" s="1396"/>
      <c r="O338" s="1001">
        <f t="shared" si="670"/>
        <v>0</v>
      </c>
      <c r="P338" s="452">
        <f t="shared" si="671"/>
        <v>0</v>
      </c>
      <c r="Q338" s="452">
        <f t="shared" si="672"/>
        <v>0</v>
      </c>
      <c r="R338" s="452">
        <f t="shared" si="673"/>
        <v>0</v>
      </c>
      <c r="S338" s="452">
        <f t="shared" si="674"/>
        <v>0</v>
      </c>
      <c r="T338" s="452">
        <f t="shared" si="675"/>
        <v>0</v>
      </c>
      <c r="U338" s="452">
        <f t="shared" si="676"/>
        <v>0</v>
      </c>
      <c r="V338" s="452">
        <f t="shared" si="677"/>
        <v>0</v>
      </c>
      <c r="W338" s="452">
        <f t="shared" si="624"/>
        <v>0</v>
      </c>
      <c r="X338" s="1002">
        <f t="shared" si="625"/>
        <v>0</v>
      </c>
      <c r="Y338" s="1397"/>
      <c r="Z338" s="1398">
        <f t="shared" si="626"/>
        <v>0</v>
      </c>
      <c r="AA338" s="1398">
        <f t="shared" si="627"/>
        <v>0</v>
      </c>
      <c r="AB338" s="1398">
        <f t="shared" si="628"/>
        <v>0</v>
      </c>
      <c r="AC338" s="1398">
        <f t="shared" si="629"/>
        <v>0</v>
      </c>
      <c r="AD338" s="1398">
        <f t="shared" si="630"/>
        <v>0</v>
      </c>
      <c r="AE338" s="1398">
        <f t="shared" si="631"/>
        <v>0</v>
      </c>
      <c r="AF338" s="1398">
        <f t="shared" si="632"/>
        <v>0</v>
      </c>
      <c r="AG338" s="1398">
        <f t="shared" si="633"/>
        <v>0</v>
      </c>
      <c r="AH338" s="1396"/>
      <c r="AI338" s="462">
        <f t="shared" si="678"/>
        <v>0</v>
      </c>
      <c r="AJ338" s="1112"/>
      <c r="AK338" s="1399"/>
      <c r="AL338" s="829">
        <f t="shared" si="635"/>
        <v>45881</v>
      </c>
      <c r="AM338" s="684">
        <f>IFERROR(IF(AND(AT338="",AR338&lt;&gt;S.CAL!$BJ$3,AR338&lt;&gt;S.CAL!$BJ$4,$AR$320="NON"),M338-BD338,IF(AND(AT338="",AR338&lt;&gt;S.CAL!$BJ$3,AR338&lt;&gt;S.CAL!$BJ$4,$AR$320="OUI"),X338-AI338,IF(AT338&lt;&gt;0,AT338,IF(OR(AR338=S.CAL!$BJ$3,AR338=S.CAL!$BJ$4),AR338,"")))),"")</f>
        <v>0</v>
      </c>
      <c r="AN338" s="1115"/>
      <c r="AO338" s="1116"/>
      <c r="AP338" s="684">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400">
        <f t="shared" si="655"/>
        <v>0</v>
      </c>
      <c r="AR338" s="1120"/>
      <c r="AS338" s="1396"/>
      <c r="AT338" s="1123"/>
      <c r="AU338" s="831"/>
      <c r="AV338" s="1392">
        <f t="shared" si="636"/>
        <v>45881</v>
      </c>
      <c r="AW338" s="1396"/>
      <c r="AX338" s="529">
        <f t="shared" si="656"/>
        <v>45881</v>
      </c>
      <c r="AY338" s="541">
        <f t="shared" si="657"/>
        <v>0</v>
      </c>
      <c r="AZ338" s="538" t="s">
        <v>146</v>
      </c>
      <c r="BA338" s="534">
        <f t="shared" si="658"/>
        <v>0</v>
      </c>
      <c r="BB338" s="567" t="str">
        <f t="shared" si="637"/>
        <v/>
      </c>
      <c r="BC338" s="541">
        <f t="shared" si="659"/>
        <v>0</v>
      </c>
      <c r="BD338" s="541">
        <f t="shared" si="660"/>
        <v>0</v>
      </c>
      <c r="BE338" s="750"/>
      <c r="BF338" s="532" t="str">
        <f t="shared" si="638"/>
        <v/>
      </c>
      <c r="BG338" s="532" t="str">
        <f t="shared" si="661"/>
        <v>oui</v>
      </c>
      <c r="BH338" s="395" t="str">
        <f t="shared" si="639"/>
        <v/>
      </c>
      <c r="BI338" s="24" t="str">
        <f t="shared" si="640"/>
        <v/>
      </c>
      <c r="BJ338" s="1404"/>
      <c r="BK338" s="1404"/>
      <c r="BL338" s="1404"/>
      <c r="BM338" s="1404"/>
      <c r="BN338" s="1404"/>
      <c r="BO338" s="1404"/>
      <c r="BP338" s="1404"/>
      <c r="BQ338" s="1404"/>
      <c r="BR338" s="1405"/>
      <c r="BS338" s="1392">
        <f t="shared" si="607"/>
        <v>45881</v>
      </c>
      <c r="BT338" s="1406" t="str">
        <f t="shared" si="669"/>
        <v/>
      </c>
      <c r="BU338" s="1404"/>
      <c r="BV338" s="1404"/>
      <c r="BW338" s="1404"/>
      <c r="BX338" s="1404"/>
      <c r="BY338" s="1404"/>
      <c r="BZ338" s="1404"/>
      <c r="CA338" s="1404"/>
      <c r="CB338" s="1404"/>
      <c r="CD338" s="1408">
        <f t="shared" si="662"/>
        <v>0</v>
      </c>
      <c r="DC338" s="16" t="str">
        <f>Aout!FC31</f>
        <v>non</v>
      </c>
      <c r="DG338" s="333">
        <f t="shared" si="663"/>
        <v>1</v>
      </c>
      <c r="DH338" s="129">
        <f t="shared" si="641"/>
        <v>10</v>
      </c>
      <c r="DI338" s="129">
        <f t="shared" si="664"/>
        <v>1</v>
      </c>
      <c r="DK338" s="16">
        <f>+IF(AND(Aout!$DP$8&lt;&gt;52,AR338=S.CAL!$BJ$4),10,1)</f>
        <v>1</v>
      </c>
      <c r="DN338" s="16">
        <f t="shared" si="642"/>
        <v>1</v>
      </c>
      <c r="DU338" s="1296" t="str">
        <f t="shared" si="665"/>
        <v>Fiche infoA245881</v>
      </c>
      <c r="DV338" s="1384">
        <f t="shared" si="643"/>
        <v>0</v>
      </c>
      <c r="DW338" s="1385">
        <f t="shared" si="644"/>
        <v>0</v>
      </c>
      <c r="DX338" s="1385">
        <f t="shared" si="645"/>
        <v>0</v>
      </c>
      <c r="DY338" s="1385">
        <f t="shared" si="646"/>
        <v>0</v>
      </c>
      <c r="DZ338" s="1385">
        <f t="shared" si="647"/>
        <v>0</v>
      </c>
      <c r="EA338" s="1385">
        <f t="shared" si="648"/>
        <v>0</v>
      </c>
      <c r="EB338" s="1385">
        <f t="shared" si="649"/>
        <v>0</v>
      </c>
      <c r="EC338" s="1385">
        <f t="shared" si="650"/>
        <v>0</v>
      </c>
      <c r="ED338" s="1385">
        <f t="shared" si="666"/>
        <v>0</v>
      </c>
      <c r="EE338" s="1386">
        <f t="shared" si="667"/>
        <v>0</v>
      </c>
      <c r="EG338" s="16" t="str">
        <f t="shared" si="668"/>
        <v>332025</v>
      </c>
      <c r="EH338" s="16" t="str">
        <f t="shared" si="651"/>
        <v>Fiche infoA2</v>
      </c>
      <c r="EI338" s="16" t="str">
        <f t="shared" si="652"/>
        <v/>
      </c>
    </row>
    <row r="339" spans="1:139" x14ac:dyDescent="0.2">
      <c r="A339" s="24" t="str">
        <f>Aout!BJ32</f>
        <v>Fiche infoA3</v>
      </c>
      <c r="B339" s="829">
        <f>Aout!AB32</f>
        <v>45882</v>
      </c>
      <c r="C339" s="1393"/>
      <c r="D339" s="1001">
        <f t="shared" si="608"/>
        <v>0</v>
      </c>
      <c r="E339" s="452">
        <f t="shared" si="609"/>
        <v>0</v>
      </c>
      <c r="F339" s="452">
        <f t="shared" si="610"/>
        <v>0</v>
      </c>
      <c r="G339" s="452">
        <f t="shared" si="611"/>
        <v>0</v>
      </c>
      <c r="H339" s="452">
        <f t="shared" si="612"/>
        <v>0</v>
      </c>
      <c r="I339" s="452">
        <f t="shared" si="613"/>
        <v>0</v>
      </c>
      <c r="J339" s="452">
        <f t="shared" si="614"/>
        <v>0</v>
      </c>
      <c r="K339" s="452">
        <f t="shared" si="615"/>
        <v>0</v>
      </c>
      <c r="L339" s="452">
        <f t="shared" si="653"/>
        <v>0</v>
      </c>
      <c r="M339" s="1002">
        <f t="shared" si="654"/>
        <v>0</v>
      </c>
      <c r="O339" s="1001">
        <f t="shared" si="670"/>
        <v>0</v>
      </c>
      <c r="P339" s="452">
        <f t="shared" si="671"/>
        <v>0</v>
      </c>
      <c r="Q339" s="452">
        <f t="shared" si="672"/>
        <v>0</v>
      </c>
      <c r="R339" s="452">
        <f t="shared" si="673"/>
        <v>0</v>
      </c>
      <c r="S339" s="452">
        <f t="shared" si="674"/>
        <v>0</v>
      </c>
      <c r="T339" s="452">
        <f t="shared" si="675"/>
        <v>0</v>
      </c>
      <c r="U339" s="452">
        <f t="shared" si="676"/>
        <v>0</v>
      </c>
      <c r="V339" s="452">
        <f t="shared" si="677"/>
        <v>0</v>
      </c>
      <c r="W339" s="452">
        <f t="shared" si="624"/>
        <v>0</v>
      </c>
      <c r="X339" s="1002">
        <f t="shared" si="625"/>
        <v>0</v>
      </c>
      <c r="Y339" s="459"/>
      <c r="Z339" s="291">
        <f t="shared" si="626"/>
        <v>0</v>
      </c>
      <c r="AA339" s="291">
        <f t="shared" si="627"/>
        <v>0</v>
      </c>
      <c r="AB339" s="291">
        <f t="shared" si="628"/>
        <v>0</v>
      </c>
      <c r="AC339" s="291">
        <f t="shared" si="629"/>
        <v>0</v>
      </c>
      <c r="AD339" s="291">
        <f t="shared" si="630"/>
        <v>0</v>
      </c>
      <c r="AE339" s="291">
        <f t="shared" si="631"/>
        <v>0</v>
      </c>
      <c r="AF339" s="291">
        <f t="shared" si="632"/>
        <v>0</v>
      </c>
      <c r="AG339" s="291">
        <f t="shared" si="633"/>
        <v>0</v>
      </c>
      <c r="AI339" s="462">
        <f t="shared" si="678"/>
        <v>0</v>
      </c>
      <c r="AJ339" s="1112"/>
      <c r="AK339" s="507"/>
      <c r="AL339" s="829">
        <f t="shared" si="635"/>
        <v>45882</v>
      </c>
      <c r="AM339" s="684">
        <f>IFERROR(IF(AND(AT339="",AR339&lt;&gt;S.CAL!$BJ$3,AR339&lt;&gt;S.CAL!$BJ$4,$AR$320="NON"),M339-BD339,IF(AND(AT339="",AR339&lt;&gt;S.CAL!$BJ$3,AR339&lt;&gt;S.CAL!$BJ$4,$AR$320="OUI"),X339-AI339,IF(AT339&lt;&gt;0,AT339,IF(OR(AR339=S.CAL!$BJ$3,AR339=S.CAL!$BJ$4),AR339,"")))),"")</f>
        <v>0</v>
      </c>
      <c r="AN339" s="1115"/>
      <c r="AO339" s="1116"/>
      <c r="AP339" s="684">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516">
        <f t="shared" si="655"/>
        <v>0</v>
      </c>
      <c r="AR339" s="1120"/>
      <c r="AT339" s="1123"/>
      <c r="AU339" s="831"/>
      <c r="AV339" s="1392">
        <f t="shared" si="636"/>
        <v>45882</v>
      </c>
      <c r="AX339" s="529">
        <f t="shared" si="656"/>
        <v>45882</v>
      </c>
      <c r="AY339" s="541">
        <f t="shared" si="657"/>
        <v>0</v>
      </c>
      <c r="AZ339" s="538" t="s">
        <v>146</v>
      </c>
      <c r="BA339" s="534">
        <f t="shared" si="658"/>
        <v>0</v>
      </c>
      <c r="BB339" s="567" t="str">
        <f t="shared" si="637"/>
        <v/>
      </c>
      <c r="BC339" s="541">
        <f t="shared" si="659"/>
        <v>0</v>
      </c>
      <c r="BD339" s="541">
        <f t="shared" si="660"/>
        <v>0</v>
      </c>
      <c r="BE339" s="750"/>
      <c r="BF339" s="532" t="str">
        <f t="shared" si="638"/>
        <v/>
      </c>
      <c r="BG339" s="532" t="str">
        <f t="shared" si="661"/>
        <v>oui</v>
      </c>
      <c r="BH339" s="395" t="str">
        <f t="shared" si="639"/>
        <v/>
      </c>
      <c r="BI339" s="24" t="str">
        <f t="shared" si="640"/>
        <v/>
      </c>
      <c r="BJ339" s="1403"/>
      <c r="BK339" s="1403"/>
      <c r="BL339" s="1403"/>
      <c r="BM339" s="1403"/>
      <c r="BN339" s="1403"/>
      <c r="BO339" s="1403"/>
      <c r="BP339" s="1403"/>
      <c r="BQ339" s="1403"/>
      <c r="BS339" s="1392">
        <f t="shared" si="607"/>
        <v>45882</v>
      </c>
      <c r="BT339" s="27" t="str">
        <f t="shared" si="669"/>
        <v/>
      </c>
      <c r="BU339" s="1402"/>
      <c r="BV339" s="1402"/>
      <c r="BW339" s="1402"/>
      <c r="BX339" s="1402"/>
      <c r="BY339" s="1402"/>
      <c r="BZ339" s="1402"/>
      <c r="CA339" s="1402"/>
      <c r="CB339" s="1402"/>
      <c r="CD339" s="1408">
        <f t="shared" si="662"/>
        <v>0</v>
      </c>
      <c r="DC339" s="16" t="str">
        <f>Aout!FC32</f>
        <v>non</v>
      </c>
      <c r="DG339" s="333">
        <f t="shared" si="663"/>
        <v>1</v>
      </c>
      <c r="DH339" s="129">
        <f t="shared" si="641"/>
        <v>10</v>
      </c>
      <c r="DI339" s="129">
        <f t="shared" si="664"/>
        <v>1</v>
      </c>
      <c r="DK339" s="16">
        <f>+IF(AND(Aout!$DP$8&lt;&gt;52,AR339=S.CAL!$BJ$4),10,1)</f>
        <v>1</v>
      </c>
      <c r="DN339" s="16">
        <f t="shared" si="642"/>
        <v>1</v>
      </c>
      <c r="DU339" s="1296" t="str">
        <f t="shared" si="665"/>
        <v>Fiche infoA345882</v>
      </c>
      <c r="DV339" s="1384">
        <f t="shared" si="643"/>
        <v>0</v>
      </c>
      <c r="DW339" s="1385">
        <f t="shared" si="644"/>
        <v>0</v>
      </c>
      <c r="DX339" s="1385">
        <f t="shared" si="645"/>
        <v>0</v>
      </c>
      <c r="DY339" s="1385">
        <f t="shared" si="646"/>
        <v>0</v>
      </c>
      <c r="DZ339" s="1385">
        <f t="shared" si="647"/>
        <v>0</v>
      </c>
      <c r="EA339" s="1385">
        <f t="shared" si="648"/>
        <v>0</v>
      </c>
      <c r="EB339" s="1385">
        <f t="shared" si="649"/>
        <v>0</v>
      </c>
      <c r="EC339" s="1385">
        <f t="shared" si="650"/>
        <v>0</v>
      </c>
      <c r="ED339" s="1385">
        <f t="shared" si="666"/>
        <v>0</v>
      </c>
      <c r="EE339" s="1386">
        <f t="shared" si="667"/>
        <v>0</v>
      </c>
      <c r="EG339" s="16" t="str">
        <f t="shared" si="668"/>
        <v>332025</v>
      </c>
      <c r="EH339" s="16" t="str">
        <f t="shared" si="651"/>
        <v>Fiche infoA3</v>
      </c>
      <c r="EI339" s="16" t="str">
        <f t="shared" si="652"/>
        <v/>
      </c>
    </row>
    <row r="340" spans="1:139" x14ac:dyDescent="0.2">
      <c r="A340" s="1395" t="str">
        <f>Aout!BJ33</f>
        <v>Fiche infoA4</v>
      </c>
      <c r="B340" s="829">
        <f>Aout!AB33</f>
        <v>45883</v>
      </c>
      <c r="C340" s="1394"/>
      <c r="D340" s="1001">
        <f t="shared" si="608"/>
        <v>0</v>
      </c>
      <c r="E340" s="452">
        <f t="shared" si="609"/>
        <v>0</v>
      </c>
      <c r="F340" s="452">
        <f t="shared" si="610"/>
        <v>0</v>
      </c>
      <c r="G340" s="452">
        <f t="shared" si="611"/>
        <v>0</v>
      </c>
      <c r="H340" s="452">
        <f t="shared" si="612"/>
        <v>0</v>
      </c>
      <c r="I340" s="452">
        <f t="shared" si="613"/>
        <v>0</v>
      </c>
      <c r="J340" s="452">
        <f t="shared" si="614"/>
        <v>0</v>
      </c>
      <c r="K340" s="452">
        <f t="shared" si="615"/>
        <v>0</v>
      </c>
      <c r="L340" s="452">
        <f t="shared" si="653"/>
        <v>0</v>
      </c>
      <c r="M340" s="1002">
        <f t="shared" si="654"/>
        <v>0</v>
      </c>
      <c r="N340" s="1396"/>
      <c r="O340" s="1001">
        <f t="shared" si="670"/>
        <v>0</v>
      </c>
      <c r="P340" s="452">
        <f t="shared" si="671"/>
        <v>0</v>
      </c>
      <c r="Q340" s="452">
        <f t="shared" si="672"/>
        <v>0</v>
      </c>
      <c r="R340" s="452">
        <f t="shared" si="673"/>
        <v>0</v>
      </c>
      <c r="S340" s="452">
        <f t="shared" si="674"/>
        <v>0</v>
      </c>
      <c r="T340" s="452">
        <f t="shared" si="675"/>
        <v>0</v>
      </c>
      <c r="U340" s="452">
        <f t="shared" si="676"/>
        <v>0</v>
      </c>
      <c r="V340" s="452">
        <f t="shared" si="677"/>
        <v>0</v>
      </c>
      <c r="W340" s="452">
        <f t="shared" si="624"/>
        <v>0</v>
      </c>
      <c r="X340" s="1002">
        <f t="shared" si="625"/>
        <v>0</v>
      </c>
      <c r="Y340" s="1397"/>
      <c r="Z340" s="1398">
        <f t="shared" si="626"/>
        <v>0</v>
      </c>
      <c r="AA340" s="1398">
        <f t="shared" si="627"/>
        <v>0</v>
      </c>
      <c r="AB340" s="1398">
        <f t="shared" si="628"/>
        <v>0</v>
      </c>
      <c r="AC340" s="1398">
        <f t="shared" si="629"/>
        <v>0</v>
      </c>
      <c r="AD340" s="1398">
        <f t="shared" si="630"/>
        <v>0</v>
      </c>
      <c r="AE340" s="1398">
        <f t="shared" si="631"/>
        <v>0</v>
      </c>
      <c r="AF340" s="1398">
        <f t="shared" si="632"/>
        <v>0</v>
      </c>
      <c r="AG340" s="1398">
        <f t="shared" si="633"/>
        <v>0</v>
      </c>
      <c r="AH340" s="1396"/>
      <c r="AI340" s="462">
        <f t="shared" si="678"/>
        <v>0</v>
      </c>
      <c r="AJ340" s="1112"/>
      <c r="AK340" s="1399"/>
      <c r="AL340" s="829">
        <f t="shared" si="635"/>
        <v>45883</v>
      </c>
      <c r="AM340" s="684">
        <f>IFERROR(IF(AND(AT340="",AR340&lt;&gt;S.CAL!$BJ$3,AR340&lt;&gt;S.CAL!$BJ$4,$AR$320="NON"),M340-BD340,IF(AND(AT340="",AR340&lt;&gt;S.CAL!$BJ$3,AR340&lt;&gt;S.CAL!$BJ$4,$AR$320="OUI"),X340-AI340,IF(AT340&lt;&gt;0,AT340,IF(OR(AR340=S.CAL!$BJ$3,AR340=S.CAL!$BJ$4),AR340,"")))),"")</f>
        <v>0</v>
      </c>
      <c r="AN340" s="1115"/>
      <c r="AO340" s="1116"/>
      <c r="AP340" s="684">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400">
        <f t="shared" si="655"/>
        <v>0</v>
      </c>
      <c r="AR340" s="1120"/>
      <c r="AS340" s="1396"/>
      <c r="AT340" s="1123"/>
      <c r="AU340" s="831"/>
      <c r="AV340" s="1392">
        <f t="shared" si="636"/>
        <v>45883</v>
      </c>
      <c r="AW340" s="1396"/>
      <c r="AX340" s="529">
        <f t="shared" si="656"/>
        <v>45883</v>
      </c>
      <c r="AY340" s="541">
        <f t="shared" si="657"/>
        <v>0</v>
      </c>
      <c r="AZ340" s="538" t="s">
        <v>146</v>
      </c>
      <c r="BA340" s="534">
        <f t="shared" si="658"/>
        <v>0</v>
      </c>
      <c r="BB340" s="567" t="str">
        <f t="shared" si="637"/>
        <v/>
      </c>
      <c r="BC340" s="541">
        <f t="shared" si="659"/>
        <v>0</v>
      </c>
      <c r="BD340" s="541">
        <f t="shared" si="660"/>
        <v>0</v>
      </c>
      <c r="BE340" s="750"/>
      <c r="BF340" s="532" t="str">
        <f t="shared" si="638"/>
        <v/>
      </c>
      <c r="BG340" s="532" t="str">
        <f t="shared" si="661"/>
        <v>oui</v>
      </c>
      <c r="BH340" s="395" t="str">
        <f t="shared" si="639"/>
        <v/>
      </c>
      <c r="BI340" s="24" t="str">
        <f t="shared" si="640"/>
        <v/>
      </c>
      <c r="BJ340" s="1404"/>
      <c r="BK340" s="1404"/>
      <c r="BL340" s="1404"/>
      <c r="BM340" s="1404"/>
      <c r="BN340" s="1404"/>
      <c r="BO340" s="1404"/>
      <c r="BP340" s="1404"/>
      <c r="BQ340" s="1404"/>
      <c r="BR340" s="1405"/>
      <c r="BS340" s="1392">
        <f t="shared" si="607"/>
        <v>45883</v>
      </c>
      <c r="BT340" s="1406" t="str">
        <f t="shared" si="669"/>
        <v/>
      </c>
      <c r="BU340" s="1404"/>
      <c r="BV340" s="1404"/>
      <c r="BW340" s="1404"/>
      <c r="BX340" s="1404"/>
      <c r="BY340" s="1404"/>
      <c r="BZ340" s="1404"/>
      <c r="CA340" s="1404"/>
      <c r="CB340" s="1404"/>
      <c r="CD340" s="1408">
        <f t="shared" si="662"/>
        <v>0</v>
      </c>
      <c r="DC340" s="16" t="str">
        <f>Aout!FC33</f>
        <v>non</v>
      </c>
      <c r="DG340" s="333">
        <f t="shared" si="663"/>
        <v>1</v>
      </c>
      <c r="DH340" s="129">
        <f t="shared" si="641"/>
        <v>10</v>
      </c>
      <c r="DI340" s="129">
        <f t="shared" si="664"/>
        <v>1</v>
      </c>
      <c r="DK340" s="16">
        <f>+IF(AND(Aout!$DP$8&lt;&gt;52,AR340=S.CAL!$BJ$4),10,1)</f>
        <v>1</v>
      </c>
      <c r="DN340" s="16">
        <f t="shared" si="642"/>
        <v>1</v>
      </c>
      <c r="DU340" s="1296" t="str">
        <f t="shared" si="665"/>
        <v>Fiche infoA445883</v>
      </c>
      <c r="DV340" s="1384">
        <f t="shared" si="643"/>
        <v>0</v>
      </c>
      <c r="DW340" s="1385">
        <f t="shared" si="644"/>
        <v>0</v>
      </c>
      <c r="DX340" s="1385">
        <f t="shared" si="645"/>
        <v>0</v>
      </c>
      <c r="DY340" s="1385">
        <f t="shared" si="646"/>
        <v>0</v>
      </c>
      <c r="DZ340" s="1385">
        <f t="shared" si="647"/>
        <v>0</v>
      </c>
      <c r="EA340" s="1385">
        <f t="shared" si="648"/>
        <v>0</v>
      </c>
      <c r="EB340" s="1385">
        <f t="shared" si="649"/>
        <v>0</v>
      </c>
      <c r="EC340" s="1385">
        <f t="shared" si="650"/>
        <v>0</v>
      </c>
      <c r="ED340" s="1385">
        <f t="shared" si="666"/>
        <v>0</v>
      </c>
      <c r="EE340" s="1386">
        <f t="shared" si="667"/>
        <v>0</v>
      </c>
      <c r="EG340" s="16" t="str">
        <f t="shared" si="668"/>
        <v>332025</v>
      </c>
      <c r="EH340" s="16" t="str">
        <f t="shared" si="651"/>
        <v>Fiche infoA4</v>
      </c>
      <c r="EI340" s="16" t="str">
        <f t="shared" si="652"/>
        <v/>
      </c>
    </row>
    <row r="341" spans="1:139" x14ac:dyDescent="0.2">
      <c r="A341" s="24" t="str">
        <f>Aout!BJ34</f>
        <v>Fiche infoA5</v>
      </c>
      <c r="B341" s="829">
        <f>Aout!AB34</f>
        <v>45884</v>
      </c>
      <c r="C341" s="1393"/>
      <c r="D341" s="1001">
        <f t="shared" si="608"/>
        <v>0</v>
      </c>
      <c r="E341" s="452">
        <f t="shared" si="609"/>
        <v>0</v>
      </c>
      <c r="F341" s="452">
        <f t="shared" si="610"/>
        <v>0</v>
      </c>
      <c r="G341" s="452">
        <f t="shared" si="611"/>
        <v>0</v>
      </c>
      <c r="H341" s="452">
        <f t="shared" si="612"/>
        <v>0</v>
      </c>
      <c r="I341" s="452">
        <f t="shared" si="613"/>
        <v>0</v>
      </c>
      <c r="J341" s="452">
        <f t="shared" si="614"/>
        <v>0</v>
      </c>
      <c r="K341" s="452">
        <f t="shared" si="615"/>
        <v>0</v>
      </c>
      <c r="L341" s="452">
        <f t="shared" si="653"/>
        <v>0</v>
      </c>
      <c r="M341" s="1002">
        <f t="shared" si="654"/>
        <v>0</v>
      </c>
      <c r="O341" s="1001">
        <f t="shared" si="670"/>
        <v>0</v>
      </c>
      <c r="P341" s="452">
        <f t="shared" si="671"/>
        <v>0</v>
      </c>
      <c r="Q341" s="452">
        <f t="shared" si="672"/>
        <v>0</v>
      </c>
      <c r="R341" s="452">
        <f t="shared" si="673"/>
        <v>0</v>
      </c>
      <c r="S341" s="452">
        <f t="shared" si="674"/>
        <v>0</v>
      </c>
      <c r="T341" s="452">
        <f t="shared" si="675"/>
        <v>0</v>
      </c>
      <c r="U341" s="452">
        <f t="shared" si="676"/>
        <v>0</v>
      </c>
      <c r="V341" s="452">
        <f t="shared" si="677"/>
        <v>0</v>
      </c>
      <c r="W341" s="452">
        <f t="shared" si="624"/>
        <v>0</v>
      </c>
      <c r="X341" s="1002">
        <f t="shared" si="625"/>
        <v>0</v>
      </c>
      <c r="Y341" s="459"/>
      <c r="Z341" s="291">
        <f t="shared" si="626"/>
        <v>0</v>
      </c>
      <c r="AA341" s="291">
        <f t="shared" si="627"/>
        <v>0</v>
      </c>
      <c r="AB341" s="291">
        <f t="shared" si="628"/>
        <v>0</v>
      </c>
      <c r="AC341" s="291">
        <f t="shared" si="629"/>
        <v>0</v>
      </c>
      <c r="AD341" s="291">
        <f t="shared" si="630"/>
        <v>0</v>
      </c>
      <c r="AE341" s="291">
        <f t="shared" si="631"/>
        <v>0</v>
      </c>
      <c r="AF341" s="291">
        <f t="shared" si="632"/>
        <v>0</v>
      </c>
      <c r="AG341" s="291">
        <f t="shared" si="633"/>
        <v>0</v>
      </c>
      <c r="AI341" s="462">
        <f t="shared" si="678"/>
        <v>0</v>
      </c>
      <c r="AJ341" s="1112"/>
      <c r="AK341" s="507"/>
      <c r="AL341" s="829">
        <f t="shared" si="635"/>
        <v>45884</v>
      </c>
      <c r="AM341" s="684">
        <f>IFERROR(IF(AND(AT341="",AR341&lt;&gt;S.CAL!$BJ$3,AR341&lt;&gt;S.CAL!$BJ$4,$AR$320="NON"),M341-BD341,IF(AND(AT341="",AR341&lt;&gt;S.CAL!$BJ$3,AR341&lt;&gt;S.CAL!$BJ$4,$AR$320="OUI"),X341-AI341,IF(AT341&lt;&gt;0,AT341,IF(OR(AR341=S.CAL!$BJ$3,AR341=S.CAL!$BJ$4),AR341,"")))),"")</f>
        <v>0</v>
      </c>
      <c r="AN341" s="1115"/>
      <c r="AO341" s="1116"/>
      <c r="AP341" s="684">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516">
        <f t="shared" si="655"/>
        <v>0</v>
      </c>
      <c r="AR341" s="1120"/>
      <c r="AT341" s="1123"/>
      <c r="AU341" s="831"/>
      <c r="AV341" s="1392">
        <f t="shared" si="636"/>
        <v>45884</v>
      </c>
      <c r="AX341" s="529">
        <f t="shared" si="656"/>
        <v>45884</v>
      </c>
      <c r="AY341" s="541">
        <f t="shared" si="657"/>
        <v>0</v>
      </c>
      <c r="AZ341" s="538" t="s">
        <v>146</v>
      </c>
      <c r="BA341" s="534">
        <f t="shared" si="658"/>
        <v>0</v>
      </c>
      <c r="BB341" s="567" t="str">
        <f t="shared" si="637"/>
        <v/>
      </c>
      <c r="BC341" s="541">
        <f t="shared" si="659"/>
        <v>0</v>
      </c>
      <c r="BD341" s="541">
        <f t="shared" si="660"/>
        <v>0</v>
      </c>
      <c r="BE341" s="750"/>
      <c r="BF341" s="532" t="str">
        <f t="shared" si="638"/>
        <v/>
      </c>
      <c r="BG341" s="532" t="str">
        <f t="shared" si="661"/>
        <v>oui</v>
      </c>
      <c r="BH341" s="395" t="str">
        <f t="shared" si="639"/>
        <v/>
      </c>
      <c r="BI341" s="24" t="str">
        <f t="shared" si="640"/>
        <v/>
      </c>
      <c r="BJ341" s="1403"/>
      <c r="BK341" s="1403"/>
      <c r="BL341" s="1403"/>
      <c r="BM341" s="1403"/>
      <c r="BN341" s="1403"/>
      <c r="BO341" s="1403"/>
      <c r="BP341" s="1403"/>
      <c r="BQ341" s="1403"/>
      <c r="BS341" s="1392">
        <f t="shared" si="607"/>
        <v>45884</v>
      </c>
      <c r="BT341" s="27" t="str">
        <f t="shared" si="669"/>
        <v/>
      </c>
      <c r="BU341" s="1402"/>
      <c r="BV341" s="1402"/>
      <c r="BW341" s="1402"/>
      <c r="BX341" s="1402"/>
      <c r="BY341" s="1402"/>
      <c r="BZ341" s="1402"/>
      <c r="CA341" s="1402"/>
      <c r="CB341" s="1402"/>
      <c r="CD341" s="1408">
        <f t="shared" si="662"/>
        <v>0</v>
      </c>
      <c r="DC341" s="16" t="str">
        <f>Aout!FC34</f>
        <v>non</v>
      </c>
      <c r="DG341" s="333">
        <f t="shared" si="663"/>
        <v>1</v>
      </c>
      <c r="DH341" s="129">
        <f t="shared" si="641"/>
        <v>10</v>
      </c>
      <c r="DI341" s="129">
        <f t="shared" si="664"/>
        <v>1</v>
      </c>
      <c r="DK341" s="16">
        <f>+IF(AND(Aout!$DP$8&lt;&gt;52,AR341=S.CAL!$BJ$4),10,1)</f>
        <v>1</v>
      </c>
      <c r="DN341" s="16">
        <f t="shared" si="642"/>
        <v>1</v>
      </c>
      <c r="DU341" s="1296" t="str">
        <f t="shared" si="665"/>
        <v>Fiche infoA545884</v>
      </c>
      <c r="DV341" s="1384">
        <f t="shared" si="643"/>
        <v>0</v>
      </c>
      <c r="DW341" s="1385">
        <f t="shared" si="644"/>
        <v>0</v>
      </c>
      <c r="DX341" s="1385">
        <f t="shared" si="645"/>
        <v>0</v>
      </c>
      <c r="DY341" s="1385">
        <f t="shared" si="646"/>
        <v>0</v>
      </c>
      <c r="DZ341" s="1385">
        <f t="shared" si="647"/>
        <v>0</v>
      </c>
      <c r="EA341" s="1385">
        <f t="shared" si="648"/>
        <v>0</v>
      </c>
      <c r="EB341" s="1385">
        <f t="shared" si="649"/>
        <v>0</v>
      </c>
      <c r="EC341" s="1385">
        <f t="shared" si="650"/>
        <v>0</v>
      </c>
      <c r="ED341" s="1385">
        <f t="shared" si="666"/>
        <v>0</v>
      </c>
      <c r="EE341" s="1386">
        <f t="shared" si="667"/>
        <v>0</v>
      </c>
      <c r="EG341" s="16" t="str">
        <f t="shared" si="668"/>
        <v>332025</v>
      </c>
      <c r="EH341" s="16" t="str">
        <f t="shared" si="651"/>
        <v>Fiche infoA5</v>
      </c>
      <c r="EI341" s="16" t="str">
        <f t="shared" si="652"/>
        <v/>
      </c>
    </row>
    <row r="342" spans="1:139" x14ac:dyDescent="0.2">
      <c r="A342" s="1395" t="str">
        <f>Aout!BJ35</f>
        <v>Fiche infoA6</v>
      </c>
      <c r="B342" s="829">
        <f>Aout!AB35</f>
        <v>45885</v>
      </c>
      <c r="C342" s="1394"/>
      <c r="D342" s="1001">
        <f t="shared" si="608"/>
        <v>0</v>
      </c>
      <c r="E342" s="452">
        <f t="shared" si="609"/>
        <v>0</v>
      </c>
      <c r="F342" s="452">
        <f t="shared" si="610"/>
        <v>0</v>
      </c>
      <c r="G342" s="452">
        <f t="shared" si="611"/>
        <v>0</v>
      </c>
      <c r="H342" s="452">
        <f t="shared" si="612"/>
        <v>0</v>
      </c>
      <c r="I342" s="452">
        <f t="shared" si="613"/>
        <v>0</v>
      </c>
      <c r="J342" s="452">
        <f t="shared" si="614"/>
        <v>0</v>
      </c>
      <c r="K342" s="452">
        <f t="shared" si="615"/>
        <v>0</v>
      </c>
      <c r="L342" s="452">
        <f t="shared" si="653"/>
        <v>0</v>
      </c>
      <c r="M342" s="1002">
        <f t="shared" si="654"/>
        <v>0</v>
      </c>
      <c r="N342" s="1396"/>
      <c r="O342" s="1001">
        <f t="shared" si="670"/>
        <v>0</v>
      </c>
      <c r="P342" s="452">
        <f t="shared" si="671"/>
        <v>0</v>
      </c>
      <c r="Q342" s="452">
        <f t="shared" si="672"/>
        <v>0</v>
      </c>
      <c r="R342" s="452">
        <f t="shared" si="673"/>
        <v>0</v>
      </c>
      <c r="S342" s="452">
        <f t="shared" si="674"/>
        <v>0</v>
      </c>
      <c r="T342" s="452">
        <f t="shared" si="675"/>
        <v>0</v>
      </c>
      <c r="U342" s="452">
        <f t="shared" si="676"/>
        <v>0</v>
      </c>
      <c r="V342" s="452">
        <f t="shared" si="677"/>
        <v>0</v>
      </c>
      <c r="W342" s="452">
        <f t="shared" si="624"/>
        <v>0</v>
      </c>
      <c r="X342" s="1002">
        <f t="shared" si="625"/>
        <v>0</v>
      </c>
      <c r="Y342" s="1397"/>
      <c r="Z342" s="1398">
        <f t="shared" si="626"/>
        <v>0</v>
      </c>
      <c r="AA342" s="1398">
        <f t="shared" si="627"/>
        <v>0</v>
      </c>
      <c r="AB342" s="1398">
        <f t="shared" si="628"/>
        <v>0</v>
      </c>
      <c r="AC342" s="1398">
        <f t="shared" si="629"/>
        <v>0</v>
      </c>
      <c r="AD342" s="1398">
        <f t="shared" si="630"/>
        <v>0</v>
      </c>
      <c r="AE342" s="1398">
        <f t="shared" si="631"/>
        <v>0</v>
      </c>
      <c r="AF342" s="1398">
        <f t="shared" si="632"/>
        <v>0</v>
      </c>
      <c r="AG342" s="1398">
        <f t="shared" si="633"/>
        <v>0</v>
      </c>
      <c r="AH342" s="1396"/>
      <c r="AI342" s="462">
        <f t="shared" si="678"/>
        <v>0</v>
      </c>
      <c r="AJ342" s="1112"/>
      <c r="AK342" s="1399"/>
      <c r="AL342" s="829">
        <f t="shared" si="635"/>
        <v>45885</v>
      </c>
      <c r="AM342" s="684">
        <f>IFERROR(IF(AND(AT342="",AR342&lt;&gt;S.CAL!$BJ$3,AR342&lt;&gt;S.CAL!$BJ$4,$AR$320="NON"),M342-BD342,IF(AND(AT342="",AR342&lt;&gt;S.CAL!$BJ$3,AR342&lt;&gt;S.CAL!$BJ$4,$AR$320="OUI"),X342-AI342,IF(AT342&lt;&gt;0,AT342,IF(OR(AR342=S.CAL!$BJ$3,AR342=S.CAL!$BJ$4),AR342,"")))),"")</f>
        <v>0</v>
      </c>
      <c r="AN342" s="1115"/>
      <c r="AO342" s="1116"/>
      <c r="AP342" s="684">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400">
        <f t="shared" si="655"/>
        <v>0</v>
      </c>
      <c r="AR342" s="1120"/>
      <c r="AS342" s="1396"/>
      <c r="AT342" s="1123"/>
      <c r="AU342" s="831"/>
      <c r="AV342" s="1392">
        <f t="shared" si="636"/>
        <v>45885</v>
      </c>
      <c r="AW342" s="1396"/>
      <c r="AX342" s="529">
        <f t="shared" si="656"/>
        <v>45885</v>
      </c>
      <c r="AY342" s="541">
        <f t="shared" si="657"/>
        <v>0</v>
      </c>
      <c r="AZ342" s="538" t="s">
        <v>146</v>
      </c>
      <c r="BA342" s="534">
        <f t="shared" si="658"/>
        <v>0</v>
      </c>
      <c r="BB342" s="567" t="str">
        <f t="shared" si="637"/>
        <v/>
      </c>
      <c r="BC342" s="541">
        <f t="shared" si="659"/>
        <v>0</v>
      </c>
      <c r="BD342" s="541">
        <f t="shared" si="660"/>
        <v>0</v>
      </c>
      <c r="BE342" s="750"/>
      <c r="BF342" s="532" t="str">
        <f t="shared" si="638"/>
        <v/>
      </c>
      <c r="BG342" s="532" t="str">
        <f t="shared" si="661"/>
        <v>oui</v>
      </c>
      <c r="BH342" s="395" t="str">
        <f t="shared" si="639"/>
        <v/>
      </c>
      <c r="BI342" s="24" t="str">
        <f t="shared" si="640"/>
        <v/>
      </c>
      <c r="BJ342" s="1404"/>
      <c r="BK342" s="1404"/>
      <c r="BL342" s="1404"/>
      <c r="BM342" s="1404"/>
      <c r="BN342" s="1404"/>
      <c r="BO342" s="1404"/>
      <c r="BP342" s="1404"/>
      <c r="BQ342" s="1404"/>
      <c r="BR342" s="1405"/>
      <c r="BS342" s="1392">
        <f t="shared" si="607"/>
        <v>45885</v>
      </c>
      <c r="BT342" s="1406" t="str">
        <f t="shared" si="669"/>
        <v/>
      </c>
      <c r="BU342" s="1404"/>
      <c r="BV342" s="1404"/>
      <c r="BW342" s="1404"/>
      <c r="BX342" s="1404"/>
      <c r="BY342" s="1404"/>
      <c r="BZ342" s="1404"/>
      <c r="CA342" s="1404"/>
      <c r="CB342" s="1404"/>
      <c r="CD342" s="1408">
        <f t="shared" si="662"/>
        <v>0</v>
      </c>
      <c r="DC342" s="16" t="str">
        <f>Aout!FC35</f>
        <v>non</v>
      </c>
      <c r="DG342" s="333">
        <f t="shared" si="663"/>
        <v>1</v>
      </c>
      <c r="DH342" s="129">
        <f t="shared" si="641"/>
        <v>10</v>
      </c>
      <c r="DI342" s="129">
        <f t="shared" si="664"/>
        <v>1</v>
      </c>
      <c r="DK342" s="16">
        <f>+IF(AND(Aout!$DP$8&lt;&gt;52,AR342=S.CAL!$BJ$4),10,1)</f>
        <v>1</v>
      </c>
      <c r="DN342" s="16">
        <f t="shared" si="642"/>
        <v>1</v>
      </c>
      <c r="DU342" s="1296" t="str">
        <f t="shared" si="665"/>
        <v>Fiche infoA645885</v>
      </c>
      <c r="DV342" s="1384">
        <f t="shared" si="643"/>
        <v>0</v>
      </c>
      <c r="DW342" s="1385">
        <f t="shared" si="644"/>
        <v>0</v>
      </c>
      <c r="DX342" s="1385">
        <f t="shared" si="645"/>
        <v>0</v>
      </c>
      <c r="DY342" s="1385">
        <f t="shared" si="646"/>
        <v>0</v>
      </c>
      <c r="DZ342" s="1385">
        <f t="shared" si="647"/>
        <v>0</v>
      </c>
      <c r="EA342" s="1385">
        <f t="shared" si="648"/>
        <v>0</v>
      </c>
      <c r="EB342" s="1385">
        <f t="shared" si="649"/>
        <v>0</v>
      </c>
      <c r="EC342" s="1385">
        <f t="shared" si="650"/>
        <v>0</v>
      </c>
      <c r="ED342" s="1385">
        <f t="shared" si="666"/>
        <v>0</v>
      </c>
      <c r="EE342" s="1386">
        <f t="shared" si="667"/>
        <v>0</v>
      </c>
      <c r="EG342" s="16" t="str">
        <f t="shared" si="668"/>
        <v>332025</v>
      </c>
      <c r="EH342" s="16" t="str">
        <f t="shared" si="651"/>
        <v>Fiche infoA6</v>
      </c>
      <c r="EI342" s="16" t="str">
        <f t="shared" si="652"/>
        <v/>
      </c>
    </row>
    <row r="343" spans="1:139" x14ac:dyDescent="0.2">
      <c r="A343" s="24" t="str">
        <f>Aout!BJ36</f>
        <v>Fiche infoA7</v>
      </c>
      <c r="B343" s="829">
        <f>Aout!AB36</f>
        <v>45886</v>
      </c>
      <c r="C343" s="1393"/>
      <c r="D343" s="1001">
        <f t="shared" si="608"/>
        <v>0</v>
      </c>
      <c r="E343" s="452">
        <f t="shared" si="609"/>
        <v>0</v>
      </c>
      <c r="F343" s="452">
        <f t="shared" si="610"/>
        <v>0</v>
      </c>
      <c r="G343" s="452">
        <f t="shared" si="611"/>
        <v>0</v>
      </c>
      <c r="H343" s="452">
        <f t="shared" si="612"/>
        <v>0</v>
      </c>
      <c r="I343" s="452">
        <f t="shared" si="613"/>
        <v>0</v>
      </c>
      <c r="J343" s="452">
        <f t="shared" si="614"/>
        <v>0</v>
      </c>
      <c r="K343" s="452">
        <f t="shared" si="615"/>
        <v>0</v>
      </c>
      <c r="L343" s="452">
        <f t="shared" si="653"/>
        <v>0</v>
      </c>
      <c r="M343" s="1002">
        <f t="shared" si="654"/>
        <v>0</v>
      </c>
      <c r="O343" s="1001">
        <f t="shared" si="670"/>
        <v>0</v>
      </c>
      <c r="P343" s="452">
        <f t="shared" si="671"/>
        <v>0</v>
      </c>
      <c r="Q343" s="452">
        <f t="shared" si="672"/>
        <v>0</v>
      </c>
      <c r="R343" s="452">
        <f t="shared" si="673"/>
        <v>0</v>
      </c>
      <c r="S343" s="452">
        <f t="shared" si="674"/>
        <v>0</v>
      </c>
      <c r="T343" s="452">
        <f t="shared" si="675"/>
        <v>0</v>
      </c>
      <c r="U343" s="452">
        <f t="shared" si="676"/>
        <v>0</v>
      </c>
      <c r="V343" s="452">
        <f t="shared" si="677"/>
        <v>0</v>
      </c>
      <c r="W343" s="452">
        <f t="shared" si="624"/>
        <v>0</v>
      </c>
      <c r="X343" s="1002">
        <f t="shared" si="625"/>
        <v>0</v>
      </c>
      <c r="Y343" s="459"/>
      <c r="Z343" s="291">
        <f t="shared" si="626"/>
        <v>0</v>
      </c>
      <c r="AA343" s="291">
        <f t="shared" si="627"/>
        <v>0</v>
      </c>
      <c r="AB343" s="291">
        <f t="shared" si="628"/>
        <v>0</v>
      </c>
      <c r="AC343" s="291">
        <f t="shared" si="629"/>
        <v>0</v>
      </c>
      <c r="AD343" s="291">
        <f t="shared" si="630"/>
        <v>0</v>
      </c>
      <c r="AE343" s="291">
        <f t="shared" si="631"/>
        <v>0</v>
      </c>
      <c r="AF343" s="291">
        <f t="shared" si="632"/>
        <v>0</v>
      </c>
      <c r="AG343" s="291">
        <f t="shared" si="633"/>
        <v>0</v>
      </c>
      <c r="AI343" s="462">
        <f t="shared" si="678"/>
        <v>0</v>
      </c>
      <c r="AJ343" s="1112"/>
      <c r="AK343" s="507"/>
      <c r="AL343" s="829">
        <f t="shared" si="635"/>
        <v>45886</v>
      </c>
      <c r="AM343" s="684">
        <f>IFERROR(IF(AND(AT343="",AR343&lt;&gt;S.CAL!$BJ$3,AR343&lt;&gt;S.CAL!$BJ$4,$AR$320="NON"),M343-BD343,IF(AND(AT343="",AR343&lt;&gt;S.CAL!$BJ$3,AR343&lt;&gt;S.CAL!$BJ$4,$AR$320="OUI"),X343-AI343,IF(AT343&lt;&gt;0,AT343,IF(OR(AR343=S.CAL!$BJ$3,AR343=S.CAL!$BJ$4),AR343,"")))),"")</f>
        <v>0</v>
      </c>
      <c r="AN343" s="1115"/>
      <c r="AO343" s="1116"/>
      <c r="AP343" s="684">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516">
        <f t="shared" si="655"/>
        <v>0</v>
      </c>
      <c r="AR343" s="1120"/>
      <c r="AT343" s="1123"/>
      <c r="AU343" s="831"/>
      <c r="AV343" s="1392">
        <f t="shared" si="636"/>
        <v>45886</v>
      </c>
      <c r="AX343" s="529">
        <f t="shared" si="656"/>
        <v>45886</v>
      </c>
      <c r="AY343" s="541">
        <f t="shared" si="657"/>
        <v>0</v>
      </c>
      <c r="AZ343" s="538" t="s">
        <v>146</v>
      </c>
      <c r="BA343" s="534">
        <f t="shared" si="658"/>
        <v>0</v>
      </c>
      <c r="BB343" s="567" t="str">
        <f t="shared" si="637"/>
        <v/>
      </c>
      <c r="BC343" s="541">
        <f t="shared" si="659"/>
        <v>0</v>
      </c>
      <c r="BD343" s="541">
        <f t="shared" si="660"/>
        <v>0</v>
      </c>
      <c r="BE343" s="750"/>
      <c r="BF343" s="532" t="str">
        <f t="shared" si="638"/>
        <v/>
      </c>
      <c r="BG343" s="532" t="str">
        <f t="shared" si="661"/>
        <v>oui</v>
      </c>
      <c r="BH343" s="395" t="str">
        <f t="shared" si="639"/>
        <v/>
      </c>
      <c r="BI343" s="24" t="str">
        <f t="shared" si="640"/>
        <v/>
      </c>
      <c r="BJ343" s="1403"/>
      <c r="BK343" s="1403"/>
      <c r="BL343" s="1403"/>
      <c r="BM343" s="1403"/>
      <c r="BN343" s="1403"/>
      <c r="BO343" s="1403"/>
      <c r="BP343" s="1403"/>
      <c r="BQ343" s="1403"/>
      <c r="BS343" s="1392">
        <f t="shared" si="607"/>
        <v>45886</v>
      </c>
      <c r="BT343" s="27" t="str">
        <f t="shared" si="669"/>
        <v/>
      </c>
      <c r="BU343" s="1402"/>
      <c r="BV343" s="1402"/>
      <c r="BW343" s="1402"/>
      <c r="BX343" s="1402"/>
      <c r="BY343" s="1402"/>
      <c r="BZ343" s="1402"/>
      <c r="CA343" s="1402"/>
      <c r="CB343" s="1402"/>
      <c r="CD343" s="1408">
        <f t="shared" si="662"/>
        <v>0</v>
      </c>
      <c r="DC343" s="16" t="str">
        <f>Aout!FC36</f>
        <v>non</v>
      </c>
      <c r="DG343" s="333">
        <f t="shared" si="663"/>
        <v>1</v>
      </c>
      <c r="DH343" s="129">
        <f t="shared" si="641"/>
        <v>10</v>
      </c>
      <c r="DI343" s="129">
        <f t="shared" si="664"/>
        <v>1</v>
      </c>
      <c r="DK343" s="16">
        <f>+IF(AND(Aout!$DP$8&lt;&gt;52,AR343=S.CAL!$BJ$4),10,1)</f>
        <v>1</v>
      </c>
      <c r="DN343" s="16">
        <f t="shared" si="642"/>
        <v>1</v>
      </c>
      <c r="DU343" s="1296" t="str">
        <f t="shared" si="665"/>
        <v>Fiche infoA745886</v>
      </c>
      <c r="DV343" s="1384">
        <f t="shared" si="643"/>
        <v>0</v>
      </c>
      <c r="DW343" s="1385">
        <f t="shared" si="644"/>
        <v>0</v>
      </c>
      <c r="DX343" s="1385">
        <f t="shared" si="645"/>
        <v>0</v>
      </c>
      <c r="DY343" s="1385">
        <f t="shared" si="646"/>
        <v>0</v>
      </c>
      <c r="DZ343" s="1385">
        <f t="shared" si="647"/>
        <v>0</v>
      </c>
      <c r="EA343" s="1385">
        <f t="shared" si="648"/>
        <v>0</v>
      </c>
      <c r="EB343" s="1385">
        <f t="shared" si="649"/>
        <v>0</v>
      </c>
      <c r="EC343" s="1385">
        <f t="shared" si="650"/>
        <v>0</v>
      </c>
      <c r="ED343" s="1385">
        <f t="shared" si="666"/>
        <v>0</v>
      </c>
      <c r="EE343" s="1386">
        <f t="shared" si="667"/>
        <v>0</v>
      </c>
      <c r="EG343" s="16" t="str">
        <f t="shared" si="668"/>
        <v>332025</v>
      </c>
      <c r="EH343" s="16" t="str">
        <f t="shared" si="651"/>
        <v>Fiche infoA7</v>
      </c>
      <c r="EI343" s="16" t="str">
        <f t="shared" si="652"/>
        <v/>
      </c>
    </row>
    <row r="344" spans="1:139" x14ac:dyDescent="0.2">
      <c r="A344" s="1395" t="str">
        <f>Aout!BJ37</f>
        <v>Fiche infoA1</v>
      </c>
      <c r="B344" s="829">
        <f>Aout!AB37</f>
        <v>45887</v>
      </c>
      <c r="C344" s="1394"/>
      <c r="D344" s="1001">
        <f t="shared" si="608"/>
        <v>0</v>
      </c>
      <c r="E344" s="452">
        <f t="shared" si="609"/>
        <v>0</v>
      </c>
      <c r="F344" s="452">
        <f t="shared" si="610"/>
        <v>0</v>
      </c>
      <c r="G344" s="452">
        <f t="shared" si="611"/>
        <v>0</v>
      </c>
      <c r="H344" s="452">
        <f t="shared" si="612"/>
        <v>0</v>
      </c>
      <c r="I344" s="452">
        <f t="shared" si="613"/>
        <v>0</v>
      </c>
      <c r="J344" s="452">
        <f t="shared" si="614"/>
        <v>0</v>
      </c>
      <c r="K344" s="452">
        <f t="shared" si="615"/>
        <v>0</v>
      </c>
      <c r="L344" s="452">
        <f t="shared" si="653"/>
        <v>0</v>
      </c>
      <c r="M344" s="1002">
        <f t="shared" si="654"/>
        <v>0</v>
      </c>
      <c r="N344" s="1396"/>
      <c r="O344" s="1001">
        <f t="shared" si="670"/>
        <v>0</v>
      </c>
      <c r="P344" s="452">
        <f t="shared" si="671"/>
        <v>0</v>
      </c>
      <c r="Q344" s="452">
        <f t="shared" si="672"/>
        <v>0</v>
      </c>
      <c r="R344" s="452">
        <f t="shared" si="673"/>
        <v>0</v>
      </c>
      <c r="S344" s="452">
        <f t="shared" si="674"/>
        <v>0</v>
      </c>
      <c r="T344" s="452">
        <f t="shared" si="675"/>
        <v>0</v>
      </c>
      <c r="U344" s="452">
        <f t="shared" si="676"/>
        <v>0</v>
      </c>
      <c r="V344" s="452">
        <f t="shared" si="677"/>
        <v>0</v>
      </c>
      <c r="W344" s="452">
        <f t="shared" si="624"/>
        <v>0</v>
      </c>
      <c r="X344" s="1002">
        <f t="shared" si="625"/>
        <v>0</v>
      </c>
      <c r="Y344" s="1397"/>
      <c r="Z344" s="1398">
        <f t="shared" si="626"/>
        <v>0</v>
      </c>
      <c r="AA344" s="1398">
        <f t="shared" si="627"/>
        <v>0</v>
      </c>
      <c r="AB344" s="1398">
        <f t="shared" si="628"/>
        <v>0</v>
      </c>
      <c r="AC344" s="1398">
        <f t="shared" si="629"/>
        <v>0</v>
      </c>
      <c r="AD344" s="1398">
        <f t="shared" si="630"/>
        <v>0</v>
      </c>
      <c r="AE344" s="1398">
        <f t="shared" si="631"/>
        <v>0</v>
      </c>
      <c r="AF344" s="1398">
        <f t="shared" si="632"/>
        <v>0</v>
      </c>
      <c r="AG344" s="1398">
        <f t="shared" si="633"/>
        <v>0</v>
      </c>
      <c r="AH344" s="1396"/>
      <c r="AI344" s="462">
        <f t="shared" si="678"/>
        <v>0</v>
      </c>
      <c r="AJ344" s="1112"/>
      <c r="AK344" s="1399"/>
      <c r="AL344" s="829">
        <f t="shared" si="635"/>
        <v>45887</v>
      </c>
      <c r="AM344" s="684">
        <f>IFERROR(IF(AND(AT344="",AR344&lt;&gt;S.CAL!$BJ$3,AR344&lt;&gt;S.CAL!$BJ$4,$AR$320="NON"),M344-BD344,IF(AND(AT344="",AR344&lt;&gt;S.CAL!$BJ$3,AR344&lt;&gt;S.CAL!$BJ$4,$AR$320="OUI"),X344-AI344,IF(AT344&lt;&gt;0,AT344,IF(OR(AR344=S.CAL!$BJ$3,AR344=S.CAL!$BJ$4),AR344,"")))),"")</f>
        <v>0</v>
      </c>
      <c r="AN344" s="1115"/>
      <c r="AO344" s="1116"/>
      <c r="AP344" s="684">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400">
        <f t="shared" si="655"/>
        <v>0</v>
      </c>
      <c r="AR344" s="1120"/>
      <c r="AS344" s="1396"/>
      <c r="AT344" s="1123"/>
      <c r="AU344" s="831"/>
      <c r="AV344" s="1392">
        <f t="shared" si="636"/>
        <v>45887</v>
      </c>
      <c r="AW344" s="1396"/>
      <c r="AX344" s="529">
        <f t="shared" si="656"/>
        <v>45887</v>
      </c>
      <c r="AY344" s="541">
        <f t="shared" si="657"/>
        <v>0</v>
      </c>
      <c r="AZ344" s="538" t="s">
        <v>146</v>
      </c>
      <c r="BA344" s="534">
        <f t="shared" si="658"/>
        <v>0</v>
      </c>
      <c r="BB344" s="567" t="str">
        <f t="shared" si="637"/>
        <v/>
      </c>
      <c r="BC344" s="541">
        <f t="shared" si="659"/>
        <v>0</v>
      </c>
      <c r="BD344" s="541">
        <f t="shared" si="660"/>
        <v>0</v>
      </c>
      <c r="BE344" s="750"/>
      <c r="BF344" s="532" t="str">
        <f t="shared" si="638"/>
        <v/>
      </c>
      <c r="BG344" s="532" t="str">
        <f t="shared" si="661"/>
        <v>oui</v>
      </c>
      <c r="BH344" s="395" t="str">
        <f t="shared" si="639"/>
        <v/>
      </c>
      <c r="BI344" s="24" t="str">
        <f t="shared" si="640"/>
        <v/>
      </c>
      <c r="BJ344" s="1404"/>
      <c r="BK344" s="1404"/>
      <c r="BL344" s="1404"/>
      <c r="BM344" s="1404"/>
      <c r="BN344" s="1404"/>
      <c r="BO344" s="1404"/>
      <c r="BP344" s="1404"/>
      <c r="BQ344" s="1404"/>
      <c r="BR344" s="1405"/>
      <c r="BS344" s="1392">
        <f t="shared" si="607"/>
        <v>45887</v>
      </c>
      <c r="BT344" s="1406">
        <f t="shared" si="669"/>
        <v>34</v>
      </c>
      <c r="BU344" s="1404"/>
      <c r="BV344" s="1404"/>
      <c r="BW344" s="1404"/>
      <c r="BX344" s="1404"/>
      <c r="BY344" s="1404"/>
      <c r="BZ344" s="1404"/>
      <c r="CA344" s="1404"/>
      <c r="CB344" s="1404"/>
      <c r="CD344" s="1408">
        <f t="shared" si="662"/>
        <v>0</v>
      </c>
      <c r="DC344" s="16" t="str">
        <f>Aout!FC37</f>
        <v>non</v>
      </c>
      <c r="DG344" s="333">
        <f t="shared" si="663"/>
        <v>1</v>
      </c>
      <c r="DH344" s="129">
        <f t="shared" si="641"/>
        <v>10</v>
      </c>
      <c r="DI344" s="129">
        <f t="shared" si="664"/>
        <v>1</v>
      </c>
      <c r="DK344" s="16">
        <f>+IF(AND(Aout!$DP$8&lt;&gt;52,AR344=S.CAL!$BJ$4),10,1)</f>
        <v>1</v>
      </c>
      <c r="DN344" s="16">
        <f t="shared" si="642"/>
        <v>1</v>
      </c>
      <c r="DU344" s="1296" t="str">
        <f t="shared" si="665"/>
        <v>Fiche infoA145887</v>
      </c>
      <c r="DV344" s="1384">
        <f t="shared" si="643"/>
        <v>0</v>
      </c>
      <c r="DW344" s="1385">
        <f t="shared" si="644"/>
        <v>0</v>
      </c>
      <c r="DX344" s="1385">
        <f t="shared" si="645"/>
        <v>0</v>
      </c>
      <c r="DY344" s="1385">
        <f t="shared" si="646"/>
        <v>0</v>
      </c>
      <c r="DZ344" s="1385">
        <f t="shared" si="647"/>
        <v>0</v>
      </c>
      <c r="EA344" s="1385">
        <f t="shared" si="648"/>
        <v>0</v>
      </c>
      <c r="EB344" s="1385">
        <f t="shared" si="649"/>
        <v>0</v>
      </c>
      <c r="EC344" s="1385">
        <f t="shared" si="650"/>
        <v>0</v>
      </c>
      <c r="ED344" s="1385">
        <f t="shared" si="666"/>
        <v>0</v>
      </c>
      <c r="EE344" s="1386">
        <f t="shared" si="667"/>
        <v>0</v>
      </c>
      <c r="EG344" s="16" t="str">
        <f t="shared" si="668"/>
        <v>342025</v>
      </c>
      <c r="EH344" s="16" t="str">
        <f t="shared" si="651"/>
        <v>Fiche infoA1</v>
      </c>
      <c r="EI344" s="16" t="str">
        <f t="shared" si="652"/>
        <v/>
      </c>
    </row>
    <row r="345" spans="1:139" x14ac:dyDescent="0.2">
      <c r="A345" s="24" t="str">
        <f>Aout!BJ38</f>
        <v>Fiche infoA2</v>
      </c>
      <c r="B345" s="829">
        <f>Aout!AB38</f>
        <v>45888</v>
      </c>
      <c r="C345" s="1393"/>
      <c r="D345" s="1001">
        <f t="shared" si="608"/>
        <v>0</v>
      </c>
      <c r="E345" s="452">
        <f t="shared" si="609"/>
        <v>0</v>
      </c>
      <c r="F345" s="452">
        <f t="shared" si="610"/>
        <v>0</v>
      </c>
      <c r="G345" s="452">
        <f t="shared" si="611"/>
        <v>0</v>
      </c>
      <c r="H345" s="452">
        <f t="shared" si="612"/>
        <v>0</v>
      </c>
      <c r="I345" s="452">
        <f t="shared" si="613"/>
        <v>0</v>
      </c>
      <c r="J345" s="452">
        <f t="shared" si="614"/>
        <v>0</v>
      </c>
      <c r="K345" s="452">
        <f t="shared" si="615"/>
        <v>0</v>
      </c>
      <c r="L345" s="452">
        <f t="shared" si="653"/>
        <v>0</v>
      </c>
      <c r="M345" s="1002">
        <f t="shared" si="654"/>
        <v>0</v>
      </c>
      <c r="O345" s="1001">
        <f t="shared" si="670"/>
        <v>0</v>
      </c>
      <c r="P345" s="452">
        <f t="shared" si="671"/>
        <v>0</v>
      </c>
      <c r="Q345" s="452">
        <f t="shared" si="672"/>
        <v>0</v>
      </c>
      <c r="R345" s="452">
        <f t="shared" si="673"/>
        <v>0</v>
      </c>
      <c r="S345" s="452">
        <f t="shared" si="674"/>
        <v>0</v>
      </c>
      <c r="T345" s="452">
        <f t="shared" si="675"/>
        <v>0</v>
      </c>
      <c r="U345" s="452">
        <f t="shared" si="676"/>
        <v>0</v>
      </c>
      <c r="V345" s="452">
        <f t="shared" si="677"/>
        <v>0</v>
      </c>
      <c r="W345" s="452">
        <f t="shared" si="624"/>
        <v>0</v>
      </c>
      <c r="X345" s="1002">
        <f t="shared" si="625"/>
        <v>0</v>
      </c>
      <c r="Y345" s="459"/>
      <c r="Z345" s="291">
        <f t="shared" si="626"/>
        <v>0</v>
      </c>
      <c r="AA345" s="291">
        <f t="shared" si="627"/>
        <v>0</v>
      </c>
      <c r="AB345" s="291">
        <f t="shared" si="628"/>
        <v>0</v>
      </c>
      <c r="AC345" s="291">
        <f t="shared" si="629"/>
        <v>0</v>
      </c>
      <c r="AD345" s="291">
        <f t="shared" si="630"/>
        <v>0</v>
      </c>
      <c r="AE345" s="291">
        <f t="shared" si="631"/>
        <v>0</v>
      </c>
      <c r="AF345" s="291">
        <f t="shared" si="632"/>
        <v>0</v>
      </c>
      <c r="AG345" s="291">
        <f t="shared" si="633"/>
        <v>0</v>
      </c>
      <c r="AI345" s="462">
        <f t="shared" si="678"/>
        <v>0</v>
      </c>
      <c r="AJ345" s="1112"/>
      <c r="AK345" s="507"/>
      <c r="AL345" s="829">
        <f t="shared" si="635"/>
        <v>45888</v>
      </c>
      <c r="AM345" s="684">
        <f>IFERROR(IF(AND(AT345="",AR345&lt;&gt;S.CAL!$BJ$3,AR345&lt;&gt;S.CAL!$BJ$4,$AR$320="NON"),M345-BD345,IF(AND(AT345="",AR345&lt;&gt;S.CAL!$BJ$3,AR345&lt;&gt;S.CAL!$BJ$4,$AR$320="OUI"),X345-AI345,IF(AT345&lt;&gt;0,AT345,IF(OR(AR345=S.CAL!$BJ$3,AR345=S.CAL!$BJ$4),AR345,"")))),"")</f>
        <v>0</v>
      </c>
      <c r="AN345" s="1115"/>
      <c r="AO345" s="1116"/>
      <c r="AP345" s="684">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516">
        <f t="shared" si="655"/>
        <v>0</v>
      </c>
      <c r="AR345" s="1120"/>
      <c r="AT345" s="1123"/>
      <c r="AU345" s="831"/>
      <c r="AV345" s="1392">
        <f t="shared" si="636"/>
        <v>45888</v>
      </c>
      <c r="AX345" s="529">
        <f t="shared" si="656"/>
        <v>45888</v>
      </c>
      <c r="AY345" s="541">
        <f t="shared" si="657"/>
        <v>0</v>
      </c>
      <c r="AZ345" s="538" t="s">
        <v>146</v>
      </c>
      <c r="BA345" s="534">
        <f t="shared" si="658"/>
        <v>0</v>
      </c>
      <c r="BB345" s="567" t="str">
        <f t="shared" si="637"/>
        <v/>
      </c>
      <c r="BC345" s="541">
        <f t="shared" si="659"/>
        <v>0</v>
      </c>
      <c r="BD345" s="541">
        <f t="shared" si="660"/>
        <v>0</v>
      </c>
      <c r="BE345" s="750"/>
      <c r="BF345" s="532" t="str">
        <f t="shared" si="638"/>
        <v/>
      </c>
      <c r="BG345" s="532" t="str">
        <f t="shared" si="661"/>
        <v>oui</v>
      </c>
      <c r="BH345" s="395" t="str">
        <f t="shared" si="639"/>
        <v/>
      </c>
      <c r="BI345" s="24" t="str">
        <f t="shared" si="640"/>
        <v/>
      </c>
      <c r="BJ345" s="1403"/>
      <c r="BK345" s="1403"/>
      <c r="BL345" s="1403"/>
      <c r="BM345" s="1403"/>
      <c r="BN345" s="1403"/>
      <c r="BO345" s="1403"/>
      <c r="BP345" s="1403"/>
      <c r="BQ345" s="1403"/>
      <c r="BS345" s="1392">
        <f t="shared" si="607"/>
        <v>45888</v>
      </c>
      <c r="BT345" s="27" t="str">
        <f t="shared" si="669"/>
        <v/>
      </c>
      <c r="BU345" s="1402"/>
      <c r="BV345" s="1402"/>
      <c r="BW345" s="1402"/>
      <c r="BX345" s="1402"/>
      <c r="BY345" s="1402"/>
      <c r="BZ345" s="1402"/>
      <c r="CA345" s="1402"/>
      <c r="CB345" s="1402"/>
      <c r="CD345" s="1408">
        <f t="shared" si="662"/>
        <v>0</v>
      </c>
      <c r="DC345" s="16" t="str">
        <f>Aout!FC38</f>
        <v>non</v>
      </c>
      <c r="DG345" s="333">
        <f t="shared" si="663"/>
        <v>1</v>
      </c>
      <c r="DH345" s="129">
        <f t="shared" si="641"/>
        <v>10</v>
      </c>
      <c r="DI345" s="129">
        <f t="shared" si="664"/>
        <v>1</v>
      </c>
      <c r="DK345" s="16">
        <f>+IF(AND(Aout!$DP$8&lt;&gt;52,AR345=S.CAL!$BJ$4),10,1)</f>
        <v>1</v>
      </c>
      <c r="DN345" s="16">
        <f t="shared" si="642"/>
        <v>1</v>
      </c>
      <c r="DU345" s="1296" t="str">
        <f t="shared" si="665"/>
        <v>Fiche infoA245888</v>
      </c>
      <c r="DV345" s="1384">
        <f t="shared" si="643"/>
        <v>0</v>
      </c>
      <c r="DW345" s="1385">
        <f t="shared" si="644"/>
        <v>0</v>
      </c>
      <c r="DX345" s="1385">
        <f t="shared" si="645"/>
        <v>0</v>
      </c>
      <c r="DY345" s="1385">
        <f t="shared" si="646"/>
        <v>0</v>
      </c>
      <c r="DZ345" s="1385">
        <f t="shared" si="647"/>
        <v>0</v>
      </c>
      <c r="EA345" s="1385">
        <f t="shared" si="648"/>
        <v>0</v>
      </c>
      <c r="EB345" s="1385">
        <f t="shared" si="649"/>
        <v>0</v>
      </c>
      <c r="EC345" s="1385">
        <f t="shared" si="650"/>
        <v>0</v>
      </c>
      <c r="ED345" s="1385">
        <f t="shared" si="666"/>
        <v>0</v>
      </c>
      <c r="EE345" s="1386">
        <f t="shared" si="667"/>
        <v>0</v>
      </c>
      <c r="EG345" s="16" t="str">
        <f t="shared" si="668"/>
        <v>342025</v>
      </c>
      <c r="EH345" s="16" t="str">
        <f t="shared" si="651"/>
        <v>Fiche infoA2</v>
      </c>
      <c r="EI345" s="16" t="str">
        <f t="shared" si="652"/>
        <v/>
      </c>
    </row>
    <row r="346" spans="1:139" x14ac:dyDescent="0.2">
      <c r="A346" s="1395" t="str">
        <f>Aout!BJ39</f>
        <v>Fiche infoA3</v>
      </c>
      <c r="B346" s="829">
        <f>Aout!AB39</f>
        <v>45889</v>
      </c>
      <c r="C346" s="1394"/>
      <c r="D346" s="1001">
        <f t="shared" si="608"/>
        <v>0</v>
      </c>
      <c r="E346" s="452">
        <f t="shared" si="609"/>
        <v>0</v>
      </c>
      <c r="F346" s="452">
        <f t="shared" si="610"/>
        <v>0</v>
      </c>
      <c r="G346" s="452">
        <f t="shared" si="611"/>
        <v>0</v>
      </c>
      <c r="H346" s="452">
        <f t="shared" si="612"/>
        <v>0</v>
      </c>
      <c r="I346" s="452">
        <f t="shared" si="613"/>
        <v>0</v>
      </c>
      <c r="J346" s="452">
        <f t="shared" si="614"/>
        <v>0</v>
      </c>
      <c r="K346" s="452">
        <f t="shared" si="615"/>
        <v>0</v>
      </c>
      <c r="L346" s="452">
        <f t="shared" si="653"/>
        <v>0</v>
      </c>
      <c r="M346" s="1002">
        <f t="shared" si="654"/>
        <v>0</v>
      </c>
      <c r="N346" s="1396"/>
      <c r="O346" s="1001">
        <f t="shared" si="670"/>
        <v>0</v>
      </c>
      <c r="P346" s="452">
        <f t="shared" si="671"/>
        <v>0</v>
      </c>
      <c r="Q346" s="452">
        <f t="shared" si="672"/>
        <v>0</v>
      </c>
      <c r="R346" s="452">
        <f t="shared" si="673"/>
        <v>0</v>
      </c>
      <c r="S346" s="452">
        <f t="shared" si="674"/>
        <v>0</v>
      </c>
      <c r="T346" s="452">
        <f t="shared" si="675"/>
        <v>0</v>
      </c>
      <c r="U346" s="452">
        <f t="shared" si="676"/>
        <v>0</v>
      </c>
      <c r="V346" s="452">
        <f t="shared" si="677"/>
        <v>0</v>
      </c>
      <c r="W346" s="452">
        <f t="shared" si="624"/>
        <v>0</v>
      </c>
      <c r="X346" s="1002">
        <f t="shared" si="625"/>
        <v>0</v>
      </c>
      <c r="Y346" s="1397"/>
      <c r="Z346" s="1398">
        <f t="shared" si="626"/>
        <v>0</v>
      </c>
      <c r="AA346" s="1398">
        <f t="shared" si="627"/>
        <v>0</v>
      </c>
      <c r="AB346" s="1398">
        <f t="shared" si="628"/>
        <v>0</v>
      </c>
      <c r="AC346" s="1398">
        <f t="shared" si="629"/>
        <v>0</v>
      </c>
      <c r="AD346" s="1398">
        <f t="shared" si="630"/>
        <v>0</v>
      </c>
      <c r="AE346" s="1398">
        <f t="shared" si="631"/>
        <v>0</v>
      </c>
      <c r="AF346" s="1398">
        <f t="shared" si="632"/>
        <v>0</v>
      </c>
      <c r="AG346" s="1398">
        <f t="shared" si="633"/>
        <v>0</v>
      </c>
      <c r="AH346" s="1396"/>
      <c r="AI346" s="462">
        <f t="shared" si="678"/>
        <v>0</v>
      </c>
      <c r="AJ346" s="1112"/>
      <c r="AK346" s="1399"/>
      <c r="AL346" s="829">
        <f t="shared" si="635"/>
        <v>45889</v>
      </c>
      <c r="AM346" s="684">
        <f>IFERROR(IF(AND(AT346="",AR346&lt;&gt;S.CAL!$BJ$3,AR346&lt;&gt;S.CAL!$BJ$4,$AR$320="NON"),M346-BD346,IF(AND(AT346="",AR346&lt;&gt;S.CAL!$BJ$3,AR346&lt;&gt;S.CAL!$BJ$4,$AR$320="OUI"),X346-AI346,IF(AT346&lt;&gt;0,AT346,IF(OR(AR346=S.CAL!$BJ$3,AR346=S.CAL!$BJ$4),AR346,"")))),"")</f>
        <v>0</v>
      </c>
      <c r="AN346" s="1115"/>
      <c r="AO346" s="1116"/>
      <c r="AP346" s="684">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400">
        <f t="shared" si="655"/>
        <v>0</v>
      </c>
      <c r="AR346" s="1120"/>
      <c r="AS346" s="1396"/>
      <c r="AT346" s="1123"/>
      <c r="AU346" s="831"/>
      <c r="AV346" s="1392">
        <f t="shared" si="636"/>
        <v>45889</v>
      </c>
      <c r="AW346" s="1396"/>
      <c r="AX346" s="529">
        <f t="shared" si="656"/>
        <v>45889</v>
      </c>
      <c r="AY346" s="541">
        <f t="shared" si="657"/>
        <v>0</v>
      </c>
      <c r="AZ346" s="538" t="s">
        <v>146</v>
      </c>
      <c r="BA346" s="534">
        <f t="shared" si="658"/>
        <v>0</v>
      </c>
      <c r="BB346" s="567" t="str">
        <f t="shared" si="637"/>
        <v/>
      </c>
      <c r="BC346" s="541">
        <f t="shared" si="659"/>
        <v>0</v>
      </c>
      <c r="BD346" s="541">
        <f t="shared" si="660"/>
        <v>0</v>
      </c>
      <c r="BE346" s="750"/>
      <c r="BF346" s="532" t="str">
        <f t="shared" si="638"/>
        <v/>
      </c>
      <c r="BG346" s="532" t="str">
        <f t="shared" si="661"/>
        <v>oui</v>
      </c>
      <c r="BH346" s="395" t="str">
        <f t="shared" si="639"/>
        <v/>
      </c>
      <c r="BI346" s="24" t="str">
        <f t="shared" si="640"/>
        <v/>
      </c>
      <c r="BJ346" s="1404"/>
      <c r="BK346" s="1404"/>
      <c r="BL346" s="1404"/>
      <c r="BM346" s="1404"/>
      <c r="BN346" s="1404"/>
      <c r="BO346" s="1404"/>
      <c r="BP346" s="1404"/>
      <c r="BQ346" s="1404"/>
      <c r="BR346" s="1405"/>
      <c r="BS346" s="1392">
        <f t="shared" si="607"/>
        <v>45889</v>
      </c>
      <c r="BT346" s="1406" t="str">
        <f t="shared" si="669"/>
        <v/>
      </c>
      <c r="BU346" s="1404"/>
      <c r="BV346" s="1404"/>
      <c r="BW346" s="1404"/>
      <c r="BX346" s="1404"/>
      <c r="BY346" s="1404"/>
      <c r="BZ346" s="1404"/>
      <c r="CA346" s="1404"/>
      <c r="CB346" s="1404"/>
      <c r="CD346" s="1408">
        <f t="shared" si="662"/>
        <v>0</v>
      </c>
      <c r="DC346" s="16" t="str">
        <f>Aout!FC39</f>
        <v>non</v>
      </c>
      <c r="DG346" s="333">
        <f t="shared" si="663"/>
        <v>1</v>
      </c>
      <c r="DH346" s="129">
        <f t="shared" si="641"/>
        <v>10</v>
      </c>
      <c r="DI346" s="129">
        <f t="shared" si="664"/>
        <v>1</v>
      </c>
      <c r="DK346" s="16">
        <f>+IF(AND(Aout!$DP$8&lt;&gt;52,AR346=S.CAL!$BJ$4),10,1)</f>
        <v>1</v>
      </c>
      <c r="DN346" s="16">
        <f t="shared" si="642"/>
        <v>1</v>
      </c>
      <c r="DU346" s="1296" t="str">
        <f t="shared" si="665"/>
        <v>Fiche infoA345889</v>
      </c>
      <c r="DV346" s="1384">
        <f t="shared" si="643"/>
        <v>0</v>
      </c>
      <c r="DW346" s="1385">
        <f t="shared" si="644"/>
        <v>0</v>
      </c>
      <c r="DX346" s="1385">
        <f t="shared" si="645"/>
        <v>0</v>
      </c>
      <c r="DY346" s="1385">
        <f t="shared" si="646"/>
        <v>0</v>
      </c>
      <c r="DZ346" s="1385">
        <f t="shared" si="647"/>
        <v>0</v>
      </c>
      <c r="EA346" s="1385">
        <f t="shared" si="648"/>
        <v>0</v>
      </c>
      <c r="EB346" s="1385">
        <f t="shared" si="649"/>
        <v>0</v>
      </c>
      <c r="EC346" s="1385">
        <f t="shared" si="650"/>
        <v>0</v>
      </c>
      <c r="ED346" s="1385">
        <f t="shared" si="666"/>
        <v>0</v>
      </c>
      <c r="EE346" s="1386">
        <f t="shared" si="667"/>
        <v>0</v>
      </c>
      <c r="EG346" s="16" t="str">
        <f t="shared" si="668"/>
        <v>342025</v>
      </c>
      <c r="EH346" s="16" t="str">
        <f t="shared" si="651"/>
        <v>Fiche infoA3</v>
      </c>
      <c r="EI346" s="16" t="str">
        <f t="shared" si="652"/>
        <v/>
      </c>
    </row>
    <row r="347" spans="1:139" x14ac:dyDescent="0.2">
      <c r="A347" s="24" t="str">
        <f>Aout!BJ40</f>
        <v>Fiche infoA4</v>
      </c>
      <c r="B347" s="829">
        <f>Aout!AB40</f>
        <v>45890</v>
      </c>
      <c r="C347" s="1393"/>
      <c r="D347" s="1001">
        <f t="shared" si="608"/>
        <v>0</v>
      </c>
      <c r="E347" s="452">
        <f t="shared" si="609"/>
        <v>0</v>
      </c>
      <c r="F347" s="452">
        <f t="shared" si="610"/>
        <v>0</v>
      </c>
      <c r="G347" s="452">
        <f t="shared" si="611"/>
        <v>0</v>
      </c>
      <c r="H347" s="452">
        <f t="shared" si="612"/>
        <v>0</v>
      </c>
      <c r="I347" s="452">
        <f t="shared" si="613"/>
        <v>0</v>
      </c>
      <c r="J347" s="452">
        <f t="shared" si="614"/>
        <v>0</v>
      </c>
      <c r="K347" s="452">
        <f t="shared" si="615"/>
        <v>0</v>
      </c>
      <c r="L347" s="452">
        <f t="shared" si="653"/>
        <v>0</v>
      </c>
      <c r="M347" s="1002">
        <f t="shared" si="654"/>
        <v>0</v>
      </c>
      <c r="O347" s="1001">
        <f t="shared" si="670"/>
        <v>0</v>
      </c>
      <c r="P347" s="452">
        <f t="shared" si="671"/>
        <v>0</v>
      </c>
      <c r="Q347" s="452">
        <f t="shared" si="672"/>
        <v>0</v>
      </c>
      <c r="R347" s="452">
        <f t="shared" si="673"/>
        <v>0</v>
      </c>
      <c r="S347" s="452">
        <f t="shared" si="674"/>
        <v>0</v>
      </c>
      <c r="T347" s="452">
        <f t="shared" si="675"/>
        <v>0</v>
      </c>
      <c r="U347" s="452">
        <f t="shared" si="676"/>
        <v>0</v>
      </c>
      <c r="V347" s="452">
        <f t="shared" si="677"/>
        <v>0</v>
      </c>
      <c r="W347" s="452">
        <f t="shared" si="624"/>
        <v>0</v>
      </c>
      <c r="X347" s="1002">
        <f t="shared" si="625"/>
        <v>0</v>
      </c>
      <c r="Y347" s="459"/>
      <c r="Z347" s="291">
        <f t="shared" si="626"/>
        <v>0</v>
      </c>
      <c r="AA347" s="291">
        <f t="shared" si="627"/>
        <v>0</v>
      </c>
      <c r="AB347" s="291">
        <f t="shared" si="628"/>
        <v>0</v>
      </c>
      <c r="AC347" s="291">
        <f t="shared" si="629"/>
        <v>0</v>
      </c>
      <c r="AD347" s="291">
        <f t="shared" si="630"/>
        <v>0</v>
      </c>
      <c r="AE347" s="291">
        <f t="shared" si="631"/>
        <v>0</v>
      </c>
      <c r="AF347" s="291">
        <f t="shared" si="632"/>
        <v>0</v>
      </c>
      <c r="AG347" s="291">
        <f t="shared" si="633"/>
        <v>0</v>
      </c>
      <c r="AI347" s="462">
        <f t="shared" si="678"/>
        <v>0</v>
      </c>
      <c r="AJ347" s="1112"/>
      <c r="AK347" s="507"/>
      <c r="AL347" s="829">
        <f t="shared" si="635"/>
        <v>45890</v>
      </c>
      <c r="AM347" s="684">
        <f>IFERROR(IF(AND(AT347="",AR347&lt;&gt;S.CAL!$BJ$3,AR347&lt;&gt;S.CAL!$BJ$4,$AR$320="NON"),M347-BD347,IF(AND(AT347="",AR347&lt;&gt;S.CAL!$BJ$3,AR347&lt;&gt;S.CAL!$BJ$4,$AR$320="OUI"),X347-AI347,IF(AT347&lt;&gt;0,AT347,IF(OR(AR347=S.CAL!$BJ$3,AR347=S.CAL!$BJ$4),AR347,"")))),"")</f>
        <v>0</v>
      </c>
      <c r="AN347" s="1115"/>
      <c r="AO347" s="1116"/>
      <c r="AP347" s="684">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516">
        <f t="shared" si="655"/>
        <v>0</v>
      </c>
      <c r="AR347" s="1120"/>
      <c r="AT347" s="1123"/>
      <c r="AU347" s="831"/>
      <c r="AV347" s="1392">
        <f t="shared" si="636"/>
        <v>45890</v>
      </c>
      <c r="AX347" s="529">
        <f t="shared" si="656"/>
        <v>45890</v>
      </c>
      <c r="AY347" s="541">
        <f t="shared" si="657"/>
        <v>0</v>
      </c>
      <c r="AZ347" s="538" t="s">
        <v>146</v>
      </c>
      <c r="BA347" s="534">
        <f t="shared" si="658"/>
        <v>0</v>
      </c>
      <c r="BB347" s="567" t="str">
        <f t="shared" si="637"/>
        <v/>
      </c>
      <c r="BC347" s="541">
        <f t="shared" si="659"/>
        <v>0</v>
      </c>
      <c r="BD347" s="541">
        <f t="shared" si="660"/>
        <v>0</v>
      </c>
      <c r="BE347" s="750"/>
      <c r="BF347" s="532" t="str">
        <f t="shared" si="638"/>
        <v/>
      </c>
      <c r="BG347" s="532" t="str">
        <f t="shared" si="661"/>
        <v>oui</v>
      </c>
      <c r="BH347" s="395" t="str">
        <f t="shared" si="639"/>
        <v/>
      </c>
      <c r="BI347" s="24" t="str">
        <f t="shared" si="640"/>
        <v/>
      </c>
      <c r="BJ347" s="1403"/>
      <c r="BK347" s="1403"/>
      <c r="BL347" s="1403"/>
      <c r="BM347" s="1403"/>
      <c r="BN347" s="1403"/>
      <c r="BO347" s="1403"/>
      <c r="BP347" s="1403"/>
      <c r="BQ347" s="1403"/>
      <c r="BS347" s="1392">
        <f t="shared" si="607"/>
        <v>45890</v>
      </c>
      <c r="BT347" s="27" t="str">
        <f t="shared" si="669"/>
        <v/>
      </c>
      <c r="BU347" s="1402"/>
      <c r="BV347" s="1402"/>
      <c r="BW347" s="1402"/>
      <c r="BX347" s="1402"/>
      <c r="BY347" s="1402"/>
      <c r="BZ347" s="1402"/>
      <c r="CA347" s="1402"/>
      <c r="CB347" s="1402"/>
      <c r="CD347" s="1408">
        <f t="shared" si="662"/>
        <v>0</v>
      </c>
      <c r="DC347" s="16" t="str">
        <f>Aout!FC40</f>
        <v>non</v>
      </c>
      <c r="DG347" s="333">
        <f t="shared" si="663"/>
        <v>1</v>
      </c>
      <c r="DH347" s="129">
        <f t="shared" si="641"/>
        <v>10</v>
      </c>
      <c r="DI347" s="129">
        <f t="shared" si="664"/>
        <v>1</v>
      </c>
      <c r="DK347" s="16">
        <f>+IF(AND(Aout!$DP$8&lt;&gt;52,AR347=S.CAL!$BJ$4),10,1)</f>
        <v>1</v>
      </c>
      <c r="DN347" s="16">
        <f t="shared" si="642"/>
        <v>1</v>
      </c>
      <c r="DU347" s="1296" t="str">
        <f t="shared" si="665"/>
        <v>Fiche infoA445890</v>
      </c>
      <c r="DV347" s="1384">
        <f t="shared" si="643"/>
        <v>0</v>
      </c>
      <c r="DW347" s="1385">
        <f t="shared" si="644"/>
        <v>0</v>
      </c>
      <c r="DX347" s="1385">
        <f t="shared" si="645"/>
        <v>0</v>
      </c>
      <c r="DY347" s="1385">
        <f t="shared" si="646"/>
        <v>0</v>
      </c>
      <c r="DZ347" s="1385">
        <f t="shared" si="647"/>
        <v>0</v>
      </c>
      <c r="EA347" s="1385">
        <f t="shared" si="648"/>
        <v>0</v>
      </c>
      <c r="EB347" s="1385">
        <f t="shared" si="649"/>
        <v>0</v>
      </c>
      <c r="EC347" s="1385">
        <f t="shared" si="650"/>
        <v>0</v>
      </c>
      <c r="ED347" s="1385">
        <f t="shared" si="666"/>
        <v>0</v>
      </c>
      <c r="EE347" s="1386">
        <f t="shared" si="667"/>
        <v>0</v>
      </c>
      <c r="EG347" s="16" t="str">
        <f t="shared" si="668"/>
        <v>342025</v>
      </c>
      <c r="EH347" s="16" t="str">
        <f t="shared" si="651"/>
        <v>Fiche infoA4</v>
      </c>
      <c r="EI347" s="16" t="str">
        <f t="shared" si="652"/>
        <v/>
      </c>
    </row>
    <row r="348" spans="1:139" x14ac:dyDescent="0.2">
      <c r="A348" s="1395" t="str">
        <f>Aout!BJ41</f>
        <v>Fiche infoA5</v>
      </c>
      <c r="B348" s="829">
        <f>Aout!AB41</f>
        <v>45891</v>
      </c>
      <c r="C348" s="1394"/>
      <c r="D348" s="1001">
        <f t="shared" si="608"/>
        <v>0</v>
      </c>
      <c r="E348" s="452">
        <f t="shared" si="609"/>
        <v>0</v>
      </c>
      <c r="F348" s="452">
        <f t="shared" si="610"/>
        <v>0</v>
      </c>
      <c r="G348" s="452">
        <f t="shared" si="611"/>
        <v>0</v>
      </c>
      <c r="H348" s="452">
        <f t="shared" si="612"/>
        <v>0</v>
      </c>
      <c r="I348" s="452">
        <f t="shared" si="613"/>
        <v>0</v>
      </c>
      <c r="J348" s="452">
        <f t="shared" si="614"/>
        <v>0</v>
      </c>
      <c r="K348" s="452">
        <f t="shared" si="615"/>
        <v>0</v>
      </c>
      <c r="L348" s="452">
        <f t="shared" si="653"/>
        <v>0</v>
      </c>
      <c r="M348" s="1002">
        <f t="shared" si="654"/>
        <v>0</v>
      </c>
      <c r="N348" s="1396"/>
      <c r="O348" s="1001">
        <f t="shared" si="670"/>
        <v>0</v>
      </c>
      <c r="P348" s="452">
        <f t="shared" si="671"/>
        <v>0</v>
      </c>
      <c r="Q348" s="452">
        <f t="shared" si="672"/>
        <v>0</v>
      </c>
      <c r="R348" s="452">
        <f t="shared" si="673"/>
        <v>0</v>
      </c>
      <c r="S348" s="452">
        <f t="shared" si="674"/>
        <v>0</v>
      </c>
      <c r="T348" s="452">
        <f t="shared" si="675"/>
        <v>0</v>
      </c>
      <c r="U348" s="452">
        <f t="shared" si="676"/>
        <v>0</v>
      </c>
      <c r="V348" s="452">
        <f t="shared" si="677"/>
        <v>0</v>
      </c>
      <c r="W348" s="452">
        <f t="shared" si="624"/>
        <v>0</v>
      </c>
      <c r="X348" s="1002">
        <f t="shared" si="625"/>
        <v>0</v>
      </c>
      <c r="Y348" s="1397"/>
      <c r="Z348" s="1398">
        <f t="shared" si="626"/>
        <v>0</v>
      </c>
      <c r="AA348" s="1398">
        <f t="shared" si="627"/>
        <v>0</v>
      </c>
      <c r="AB348" s="1398">
        <f t="shared" si="628"/>
        <v>0</v>
      </c>
      <c r="AC348" s="1398">
        <f t="shared" si="629"/>
        <v>0</v>
      </c>
      <c r="AD348" s="1398">
        <f t="shared" si="630"/>
        <v>0</v>
      </c>
      <c r="AE348" s="1398">
        <f t="shared" si="631"/>
        <v>0</v>
      </c>
      <c r="AF348" s="1398">
        <f t="shared" si="632"/>
        <v>0</v>
      </c>
      <c r="AG348" s="1398">
        <f t="shared" si="633"/>
        <v>0</v>
      </c>
      <c r="AH348" s="1396"/>
      <c r="AI348" s="462">
        <f t="shared" si="678"/>
        <v>0</v>
      </c>
      <c r="AJ348" s="1112"/>
      <c r="AK348" s="1399"/>
      <c r="AL348" s="829">
        <f t="shared" si="635"/>
        <v>45891</v>
      </c>
      <c r="AM348" s="684">
        <f>IFERROR(IF(AND(AT348="",AR348&lt;&gt;S.CAL!$BJ$3,AR348&lt;&gt;S.CAL!$BJ$4,$AR$320="NON"),M348-BD348,IF(AND(AT348="",AR348&lt;&gt;S.CAL!$BJ$3,AR348&lt;&gt;S.CAL!$BJ$4,$AR$320="OUI"),X348-AI348,IF(AT348&lt;&gt;0,AT348,IF(OR(AR348=S.CAL!$BJ$3,AR348=S.CAL!$BJ$4),AR348,"")))),"")</f>
        <v>0</v>
      </c>
      <c r="AN348" s="1115"/>
      <c r="AO348" s="1116"/>
      <c r="AP348" s="684">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400">
        <f t="shared" si="655"/>
        <v>0</v>
      </c>
      <c r="AR348" s="1120"/>
      <c r="AS348" s="1396"/>
      <c r="AT348" s="1123"/>
      <c r="AU348" s="831"/>
      <c r="AV348" s="1392">
        <f t="shared" si="636"/>
        <v>45891</v>
      </c>
      <c r="AW348" s="1396"/>
      <c r="AX348" s="529">
        <f t="shared" si="656"/>
        <v>45891</v>
      </c>
      <c r="AY348" s="541">
        <f t="shared" si="657"/>
        <v>0</v>
      </c>
      <c r="AZ348" s="538" t="s">
        <v>146</v>
      </c>
      <c r="BA348" s="534">
        <f t="shared" si="658"/>
        <v>0</v>
      </c>
      <c r="BB348" s="567" t="str">
        <f t="shared" si="637"/>
        <v/>
      </c>
      <c r="BC348" s="541">
        <f t="shared" si="659"/>
        <v>0</v>
      </c>
      <c r="BD348" s="541">
        <f t="shared" si="660"/>
        <v>0</v>
      </c>
      <c r="BE348" s="750"/>
      <c r="BF348" s="532" t="str">
        <f t="shared" si="638"/>
        <v/>
      </c>
      <c r="BG348" s="532" t="str">
        <f t="shared" si="661"/>
        <v>oui</v>
      </c>
      <c r="BH348" s="395" t="str">
        <f t="shared" si="639"/>
        <v/>
      </c>
      <c r="BI348" s="24" t="str">
        <f t="shared" si="640"/>
        <v/>
      </c>
      <c r="BJ348" s="1404"/>
      <c r="BK348" s="1404"/>
      <c r="BL348" s="1404"/>
      <c r="BM348" s="1404"/>
      <c r="BN348" s="1404"/>
      <c r="BO348" s="1404"/>
      <c r="BP348" s="1404"/>
      <c r="BQ348" s="1404"/>
      <c r="BR348" s="1405"/>
      <c r="BS348" s="1392">
        <f t="shared" si="607"/>
        <v>45891</v>
      </c>
      <c r="BT348" s="1406" t="str">
        <f t="shared" si="669"/>
        <v/>
      </c>
      <c r="BU348" s="1404"/>
      <c r="BV348" s="1404"/>
      <c r="BW348" s="1404"/>
      <c r="BX348" s="1404"/>
      <c r="BY348" s="1404"/>
      <c r="BZ348" s="1404"/>
      <c r="CA348" s="1404"/>
      <c r="CB348" s="1404"/>
      <c r="CD348" s="1408">
        <f t="shared" si="662"/>
        <v>0</v>
      </c>
      <c r="DC348" s="16" t="str">
        <f>Aout!FC41</f>
        <v>non</v>
      </c>
      <c r="DG348" s="333">
        <f t="shared" si="663"/>
        <v>1</v>
      </c>
      <c r="DH348" s="129">
        <f t="shared" si="641"/>
        <v>10</v>
      </c>
      <c r="DI348" s="129">
        <f t="shared" si="664"/>
        <v>1</v>
      </c>
      <c r="DK348" s="16">
        <f>+IF(AND(Aout!$DP$8&lt;&gt;52,AR348=S.CAL!$BJ$4),10,1)</f>
        <v>1</v>
      </c>
      <c r="DN348" s="16">
        <f t="shared" si="642"/>
        <v>1</v>
      </c>
      <c r="DU348" s="1296" t="str">
        <f t="shared" si="665"/>
        <v>Fiche infoA545891</v>
      </c>
      <c r="DV348" s="1384">
        <f t="shared" si="643"/>
        <v>0</v>
      </c>
      <c r="DW348" s="1385">
        <f t="shared" si="644"/>
        <v>0</v>
      </c>
      <c r="DX348" s="1385">
        <f t="shared" si="645"/>
        <v>0</v>
      </c>
      <c r="DY348" s="1385">
        <f t="shared" si="646"/>
        <v>0</v>
      </c>
      <c r="DZ348" s="1385">
        <f t="shared" si="647"/>
        <v>0</v>
      </c>
      <c r="EA348" s="1385">
        <f t="shared" si="648"/>
        <v>0</v>
      </c>
      <c r="EB348" s="1385">
        <f t="shared" si="649"/>
        <v>0</v>
      </c>
      <c r="EC348" s="1385">
        <f t="shared" si="650"/>
        <v>0</v>
      </c>
      <c r="ED348" s="1385">
        <f t="shared" si="666"/>
        <v>0</v>
      </c>
      <c r="EE348" s="1386">
        <f t="shared" si="667"/>
        <v>0</v>
      </c>
      <c r="EG348" s="16" t="str">
        <f t="shared" si="668"/>
        <v>342025</v>
      </c>
      <c r="EH348" s="16" t="str">
        <f t="shared" si="651"/>
        <v>Fiche infoA5</v>
      </c>
      <c r="EI348" s="16" t="str">
        <f t="shared" si="652"/>
        <v/>
      </c>
    </row>
    <row r="349" spans="1:139" x14ac:dyDescent="0.2">
      <c r="A349" s="24" t="str">
        <f>Aout!BJ42</f>
        <v>Fiche infoA6</v>
      </c>
      <c r="B349" s="829">
        <f>Aout!AB42</f>
        <v>45892</v>
      </c>
      <c r="C349" s="1393"/>
      <c r="D349" s="1001">
        <f t="shared" si="608"/>
        <v>0</v>
      </c>
      <c r="E349" s="452">
        <f t="shared" si="609"/>
        <v>0</v>
      </c>
      <c r="F349" s="452">
        <f t="shared" si="610"/>
        <v>0</v>
      </c>
      <c r="G349" s="452">
        <f t="shared" si="611"/>
        <v>0</v>
      </c>
      <c r="H349" s="452">
        <f t="shared" si="612"/>
        <v>0</v>
      </c>
      <c r="I349" s="452">
        <f t="shared" si="613"/>
        <v>0</v>
      </c>
      <c r="J349" s="452">
        <f t="shared" si="614"/>
        <v>0</v>
      </c>
      <c r="K349" s="452">
        <f t="shared" si="615"/>
        <v>0</v>
      </c>
      <c r="L349" s="452">
        <f t="shared" si="653"/>
        <v>0</v>
      </c>
      <c r="M349" s="1002">
        <f t="shared" si="654"/>
        <v>0</v>
      </c>
      <c r="O349" s="1001">
        <f t="shared" si="670"/>
        <v>0</v>
      </c>
      <c r="P349" s="452">
        <f t="shared" si="671"/>
        <v>0</v>
      </c>
      <c r="Q349" s="452">
        <f t="shared" si="672"/>
        <v>0</v>
      </c>
      <c r="R349" s="452">
        <f t="shared" si="673"/>
        <v>0</v>
      </c>
      <c r="S349" s="452">
        <f t="shared" si="674"/>
        <v>0</v>
      </c>
      <c r="T349" s="452">
        <f t="shared" si="675"/>
        <v>0</v>
      </c>
      <c r="U349" s="452">
        <f t="shared" si="676"/>
        <v>0</v>
      </c>
      <c r="V349" s="452">
        <f t="shared" si="677"/>
        <v>0</v>
      </c>
      <c r="W349" s="452">
        <f t="shared" si="624"/>
        <v>0</v>
      </c>
      <c r="X349" s="1002">
        <f t="shared" si="625"/>
        <v>0</v>
      </c>
      <c r="Y349" s="459"/>
      <c r="Z349" s="291">
        <f t="shared" si="626"/>
        <v>0</v>
      </c>
      <c r="AA349" s="291">
        <f t="shared" si="627"/>
        <v>0</v>
      </c>
      <c r="AB349" s="291">
        <f t="shared" si="628"/>
        <v>0</v>
      </c>
      <c r="AC349" s="291">
        <f t="shared" si="629"/>
        <v>0</v>
      </c>
      <c r="AD349" s="291">
        <f t="shared" si="630"/>
        <v>0</v>
      </c>
      <c r="AE349" s="291">
        <f t="shared" si="631"/>
        <v>0</v>
      </c>
      <c r="AF349" s="291">
        <f t="shared" si="632"/>
        <v>0</v>
      </c>
      <c r="AG349" s="291">
        <f t="shared" si="633"/>
        <v>0</v>
      </c>
      <c r="AI349" s="462">
        <f t="shared" si="678"/>
        <v>0</v>
      </c>
      <c r="AJ349" s="1112"/>
      <c r="AK349" s="507"/>
      <c r="AL349" s="829">
        <f t="shared" si="635"/>
        <v>45892</v>
      </c>
      <c r="AM349" s="684">
        <f>IFERROR(IF(AND(AT349="",AR349&lt;&gt;S.CAL!$BJ$3,AR349&lt;&gt;S.CAL!$BJ$4,$AR$320="NON"),M349-BD349,IF(AND(AT349="",AR349&lt;&gt;S.CAL!$BJ$3,AR349&lt;&gt;S.CAL!$BJ$4,$AR$320="OUI"),X349-AI349,IF(AT349&lt;&gt;0,AT349,IF(OR(AR349=S.CAL!$BJ$3,AR349=S.CAL!$BJ$4),AR349,"")))),"")</f>
        <v>0</v>
      </c>
      <c r="AN349" s="1115"/>
      <c r="AO349" s="1116"/>
      <c r="AP349" s="684">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516">
        <f t="shared" si="655"/>
        <v>0</v>
      </c>
      <c r="AR349" s="1120"/>
      <c r="AT349" s="1123"/>
      <c r="AU349" s="831"/>
      <c r="AV349" s="1392">
        <f t="shared" si="636"/>
        <v>45892</v>
      </c>
      <c r="AX349" s="529">
        <f t="shared" si="656"/>
        <v>45892</v>
      </c>
      <c r="AY349" s="541">
        <f t="shared" si="657"/>
        <v>0</v>
      </c>
      <c r="AZ349" s="538" t="s">
        <v>146</v>
      </c>
      <c r="BA349" s="534">
        <f t="shared" si="658"/>
        <v>0</v>
      </c>
      <c r="BB349" s="567" t="str">
        <f t="shared" si="637"/>
        <v/>
      </c>
      <c r="BC349" s="541">
        <f t="shared" si="659"/>
        <v>0</v>
      </c>
      <c r="BD349" s="541">
        <f t="shared" si="660"/>
        <v>0</v>
      </c>
      <c r="BE349" s="750"/>
      <c r="BF349" s="532" t="str">
        <f t="shared" si="638"/>
        <v/>
      </c>
      <c r="BG349" s="532" t="str">
        <f t="shared" si="661"/>
        <v>oui</v>
      </c>
      <c r="BH349" s="395" t="str">
        <f t="shared" si="639"/>
        <v/>
      </c>
      <c r="BI349" s="24" t="str">
        <f t="shared" si="640"/>
        <v/>
      </c>
      <c r="BJ349" s="1403"/>
      <c r="BK349" s="1403"/>
      <c r="BL349" s="1403"/>
      <c r="BM349" s="1403"/>
      <c r="BN349" s="1403"/>
      <c r="BO349" s="1403"/>
      <c r="BP349" s="1403"/>
      <c r="BQ349" s="1403"/>
      <c r="BS349" s="1392">
        <f t="shared" si="607"/>
        <v>45892</v>
      </c>
      <c r="BT349" s="27" t="str">
        <f t="shared" si="669"/>
        <v/>
      </c>
      <c r="BU349" s="1402"/>
      <c r="BV349" s="1402"/>
      <c r="BW349" s="1402"/>
      <c r="BX349" s="1402"/>
      <c r="BY349" s="1402"/>
      <c r="BZ349" s="1402"/>
      <c r="CA349" s="1402"/>
      <c r="CB349" s="1402"/>
      <c r="CD349" s="1408">
        <f t="shared" si="662"/>
        <v>0</v>
      </c>
      <c r="DC349" s="16" t="str">
        <f>Aout!FC42</f>
        <v>non</v>
      </c>
      <c r="DG349" s="333">
        <f t="shared" si="663"/>
        <v>1</v>
      </c>
      <c r="DH349" s="129">
        <f t="shared" si="641"/>
        <v>10</v>
      </c>
      <c r="DI349" s="129">
        <f t="shared" si="664"/>
        <v>1</v>
      </c>
      <c r="DK349" s="16">
        <f>+IF(AND(Aout!$DP$8&lt;&gt;52,AR349=S.CAL!$BJ$4),10,1)</f>
        <v>1</v>
      </c>
      <c r="DN349" s="16">
        <f t="shared" si="642"/>
        <v>1</v>
      </c>
      <c r="DU349" s="1296" t="str">
        <f t="shared" si="665"/>
        <v>Fiche infoA645892</v>
      </c>
      <c r="DV349" s="1384">
        <f t="shared" si="643"/>
        <v>0</v>
      </c>
      <c r="DW349" s="1385">
        <f t="shared" si="644"/>
        <v>0</v>
      </c>
      <c r="DX349" s="1385">
        <f t="shared" si="645"/>
        <v>0</v>
      </c>
      <c r="DY349" s="1385">
        <f t="shared" si="646"/>
        <v>0</v>
      </c>
      <c r="DZ349" s="1385">
        <f t="shared" si="647"/>
        <v>0</v>
      </c>
      <c r="EA349" s="1385">
        <f t="shared" si="648"/>
        <v>0</v>
      </c>
      <c r="EB349" s="1385">
        <f t="shared" si="649"/>
        <v>0</v>
      </c>
      <c r="EC349" s="1385">
        <f t="shared" si="650"/>
        <v>0</v>
      </c>
      <c r="ED349" s="1385">
        <f t="shared" si="666"/>
        <v>0</v>
      </c>
      <c r="EE349" s="1386">
        <f t="shared" si="667"/>
        <v>0</v>
      </c>
      <c r="EG349" s="16" t="str">
        <f t="shared" si="668"/>
        <v>342025</v>
      </c>
      <c r="EH349" s="16" t="str">
        <f t="shared" si="651"/>
        <v>Fiche infoA6</v>
      </c>
      <c r="EI349" s="16" t="str">
        <f t="shared" si="652"/>
        <v/>
      </c>
    </row>
    <row r="350" spans="1:139" x14ac:dyDescent="0.2">
      <c r="A350" s="1395" t="str">
        <f>Aout!BJ43</f>
        <v>Fiche infoA7</v>
      </c>
      <c r="B350" s="829">
        <f>Aout!AB43</f>
        <v>45893</v>
      </c>
      <c r="C350" s="1394"/>
      <c r="D350" s="1001">
        <f t="shared" si="608"/>
        <v>0</v>
      </c>
      <c r="E350" s="452">
        <f t="shared" si="609"/>
        <v>0</v>
      </c>
      <c r="F350" s="452">
        <f t="shared" si="610"/>
        <v>0</v>
      </c>
      <c r="G350" s="452">
        <f t="shared" si="611"/>
        <v>0</v>
      </c>
      <c r="H350" s="452">
        <f t="shared" si="612"/>
        <v>0</v>
      </c>
      <c r="I350" s="452">
        <f t="shared" si="613"/>
        <v>0</v>
      </c>
      <c r="J350" s="452">
        <f t="shared" si="614"/>
        <v>0</v>
      </c>
      <c r="K350" s="452">
        <f t="shared" si="615"/>
        <v>0</v>
      </c>
      <c r="L350" s="452">
        <f t="shared" si="653"/>
        <v>0</v>
      </c>
      <c r="M350" s="1002">
        <f t="shared" si="654"/>
        <v>0</v>
      </c>
      <c r="N350" s="1396"/>
      <c r="O350" s="1001">
        <f t="shared" si="670"/>
        <v>0</v>
      </c>
      <c r="P350" s="452">
        <f t="shared" si="671"/>
        <v>0</v>
      </c>
      <c r="Q350" s="452">
        <f t="shared" si="672"/>
        <v>0</v>
      </c>
      <c r="R350" s="452">
        <f t="shared" si="673"/>
        <v>0</v>
      </c>
      <c r="S350" s="452">
        <f t="shared" si="674"/>
        <v>0</v>
      </c>
      <c r="T350" s="452">
        <f t="shared" si="675"/>
        <v>0</v>
      </c>
      <c r="U350" s="452">
        <f t="shared" si="676"/>
        <v>0</v>
      </c>
      <c r="V350" s="452">
        <f t="shared" si="677"/>
        <v>0</v>
      </c>
      <c r="W350" s="452">
        <f t="shared" si="624"/>
        <v>0</v>
      </c>
      <c r="X350" s="1002">
        <f t="shared" si="625"/>
        <v>0</v>
      </c>
      <c r="Y350" s="1397"/>
      <c r="Z350" s="1398">
        <f t="shared" si="626"/>
        <v>0</v>
      </c>
      <c r="AA350" s="1398">
        <f t="shared" si="627"/>
        <v>0</v>
      </c>
      <c r="AB350" s="1398">
        <f t="shared" si="628"/>
        <v>0</v>
      </c>
      <c r="AC350" s="1398">
        <f t="shared" si="629"/>
        <v>0</v>
      </c>
      <c r="AD350" s="1398">
        <f t="shared" si="630"/>
        <v>0</v>
      </c>
      <c r="AE350" s="1398">
        <f t="shared" si="631"/>
        <v>0</v>
      </c>
      <c r="AF350" s="1398">
        <f t="shared" si="632"/>
        <v>0</v>
      </c>
      <c r="AG350" s="1398">
        <f t="shared" si="633"/>
        <v>0</v>
      </c>
      <c r="AH350" s="1396"/>
      <c r="AI350" s="462">
        <f t="shared" si="678"/>
        <v>0</v>
      </c>
      <c r="AJ350" s="1112"/>
      <c r="AK350" s="1399"/>
      <c r="AL350" s="829">
        <f t="shared" si="635"/>
        <v>45893</v>
      </c>
      <c r="AM350" s="684">
        <f>IFERROR(IF(AND(AT350="",AR350&lt;&gt;S.CAL!$BJ$3,AR350&lt;&gt;S.CAL!$BJ$4,$AR$320="NON"),M350-BD350,IF(AND(AT350="",AR350&lt;&gt;S.CAL!$BJ$3,AR350&lt;&gt;S.CAL!$BJ$4,$AR$320="OUI"),X350-AI350,IF(AT350&lt;&gt;0,AT350,IF(OR(AR350=S.CAL!$BJ$3,AR350=S.CAL!$BJ$4),AR350,"")))),"")</f>
        <v>0</v>
      </c>
      <c r="AN350" s="1115"/>
      <c r="AO350" s="1116"/>
      <c r="AP350" s="684">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400">
        <f t="shared" si="655"/>
        <v>0</v>
      </c>
      <c r="AR350" s="1120"/>
      <c r="AS350" s="1396"/>
      <c r="AT350" s="1123"/>
      <c r="AU350" s="831"/>
      <c r="AV350" s="1392">
        <f t="shared" si="636"/>
        <v>45893</v>
      </c>
      <c r="AW350" s="1396"/>
      <c r="AX350" s="529">
        <f t="shared" si="656"/>
        <v>45893</v>
      </c>
      <c r="AY350" s="541">
        <f t="shared" si="657"/>
        <v>0</v>
      </c>
      <c r="AZ350" s="538" t="s">
        <v>146</v>
      </c>
      <c r="BA350" s="534">
        <f t="shared" si="658"/>
        <v>0</v>
      </c>
      <c r="BB350" s="567" t="str">
        <f t="shared" si="637"/>
        <v/>
      </c>
      <c r="BC350" s="541">
        <f t="shared" si="659"/>
        <v>0</v>
      </c>
      <c r="BD350" s="541">
        <f t="shared" si="660"/>
        <v>0</v>
      </c>
      <c r="BE350" s="750"/>
      <c r="BF350" s="532" t="str">
        <f t="shared" si="638"/>
        <v/>
      </c>
      <c r="BG350" s="532" t="str">
        <f t="shared" si="661"/>
        <v>oui</v>
      </c>
      <c r="BH350" s="395" t="str">
        <f t="shared" si="639"/>
        <v/>
      </c>
      <c r="BI350" s="24" t="str">
        <f t="shared" si="640"/>
        <v/>
      </c>
      <c r="BJ350" s="1404"/>
      <c r="BK350" s="1404"/>
      <c r="BL350" s="1404"/>
      <c r="BM350" s="1404"/>
      <c r="BN350" s="1404"/>
      <c r="BO350" s="1404"/>
      <c r="BP350" s="1404"/>
      <c r="BQ350" s="1404"/>
      <c r="BR350" s="1405"/>
      <c r="BS350" s="1392">
        <f t="shared" si="607"/>
        <v>45893</v>
      </c>
      <c r="BT350" s="1406" t="str">
        <f t="shared" si="669"/>
        <v/>
      </c>
      <c r="BU350" s="1404"/>
      <c r="BV350" s="1404"/>
      <c r="BW350" s="1404"/>
      <c r="BX350" s="1404"/>
      <c r="BY350" s="1404"/>
      <c r="BZ350" s="1404"/>
      <c r="CA350" s="1404"/>
      <c r="CB350" s="1404"/>
      <c r="CD350" s="1408">
        <f t="shared" si="662"/>
        <v>0</v>
      </c>
      <c r="DC350" s="16" t="str">
        <f>Aout!FC43</f>
        <v>non</v>
      </c>
      <c r="DG350" s="333">
        <f t="shared" si="663"/>
        <v>1</v>
      </c>
      <c r="DH350" s="129">
        <f t="shared" si="641"/>
        <v>10</v>
      </c>
      <c r="DI350" s="129">
        <f t="shared" si="664"/>
        <v>1</v>
      </c>
      <c r="DK350" s="16">
        <f>+IF(AND(Aout!$DP$8&lt;&gt;52,AR350=S.CAL!$BJ$4),10,1)</f>
        <v>1</v>
      </c>
      <c r="DN350" s="16">
        <f t="shared" si="642"/>
        <v>1</v>
      </c>
      <c r="DU350" s="1296" t="str">
        <f t="shared" si="665"/>
        <v>Fiche infoA745893</v>
      </c>
      <c r="DV350" s="1384">
        <f t="shared" si="643"/>
        <v>0</v>
      </c>
      <c r="DW350" s="1385">
        <f t="shared" si="644"/>
        <v>0</v>
      </c>
      <c r="DX350" s="1385">
        <f t="shared" si="645"/>
        <v>0</v>
      </c>
      <c r="DY350" s="1385">
        <f t="shared" si="646"/>
        <v>0</v>
      </c>
      <c r="DZ350" s="1385">
        <f t="shared" si="647"/>
        <v>0</v>
      </c>
      <c r="EA350" s="1385">
        <f t="shared" si="648"/>
        <v>0</v>
      </c>
      <c r="EB350" s="1385">
        <f t="shared" si="649"/>
        <v>0</v>
      </c>
      <c r="EC350" s="1385">
        <f t="shared" si="650"/>
        <v>0</v>
      </c>
      <c r="ED350" s="1385">
        <f t="shared" si="666"/>
        <v>0</v>
      </c>
      <c r="EE350" s="1386">
        <f t="shared" si="667"/>
        <v>0</v>
      </c>
      <c r="EG350" s="16" t="str">
        <f t="shared" si="668"/>
        <v>342025</v>
      </c>
      <c r="EH350" s="16" t="str">
        <f t="shared" si="651"/>
        <v>Fiche infoA7</v>
      </c>
      <c r="EI350" s="16" t="str">
        <f t="shared" si="652"/>
        <v/>
      </c>
    </row>
    <row r="351" spans="1:139" x14ac:dyDescent="0.2">
      <c r="A351" s="24" t="str">
        <f>Aout!BJ44</f>
        <v>Fiche infoA1</v>
      </c>
      <c r="B351" s="829">
        <f>Aout!AB44</f>
        <v>45894</v>
      </c>
      <c r="C351" s="1393"/>
      <c r="D351" s="1001">
        <f t="shared" si="608"/>
        <v>0</v>
      </c>
      <c r="E351" s="452">
        <f t="shared" si="609"/>
        <v>0</v>
      </c>
      <c r="F351" s="452">
        <f t="shared" si="610"/>
        <v>0</v>
      </c>
      <c r="G351" s="452">
        <f t="shared" si="611"/>
        <v>0</v>
      </c>
      <c r="H351" s="452">
        <f t="shared" si="612"/>
        <v>0</v>
      </c>
      <c r="I351" s="452">
        <f t="shared" si="613"/>
        <v>0</v>
      </c>
      <c r="J351" s="452">
        <f t="shared" si="614"/>
        <v>0</v>
      </c>
      <c r="K351" s="452">
        <f t="shared" si="615"/>
        <v>0</v>
      </c>
      <c r="L351" s="452">
        <f t="shared" si="653"/>
        <v>0</v>
      </c>
      <c r="M351" s="1002">
        <f t="shared" si="654"/>
        <v>0</v>
      </c>
      <c r="O351" s="1001">
        <f t="shared" si="670"/>
        <v>0</v>
      </c>
      <c r="P351" s="452">
        <f t="shared" si="671"/>
        <v>0</v>
      </c>
      <c r="Q351" s="452">
        <f t="shared" si="672"/>
        <v>0</v>
      </c>
      <c r="R351" s="452">
        <f t="shared" si="673"/>
        <v>0</v>
      </c>
      <c r="S351" s="452">
        <f t="shared" si="674"/>
        <v>0</v>
      </c>
      <c r="T351" s="452">
        <f t="shared" si="675"/>
        <v>0</v>
      </c>
      <c r="U351" s="452">
        <f t="shared" si="676"/>
        <v>0</v>
      </c>
      <c r="V351" s="452">
        <f t="shared" si="677"/>
        <v>0</v>
      </c>
      <c r="W351" s="452">
        <f t="shared" si="624"/>
        <v>0</v>
      </c>
      <c r="X351" s="1002">
        <f t="shared" si="625"/>
        <v>0</v>
      </c>
      <c r="Y351" s="459"/>
      <c r="Z351" s="291">
        <f t="shared" si="626"/>
        <v>0</v>
      </c>
      <c r="AA351" s="291">
        <f t="shared" si="627"/>
        <v>0</v>
      </c>
      <c r="AB351" s="291">
        <f t="shared" si="628"/>
        <v>0</v>
      </c>
      <c r="AC351" s="291">
        <f t="shared" si="629"/>
        <v>0</v>
      </c>
      <c r="AD351" s="291">
        <f t="shared" si="630"/>
        <v>0</v>
      </c>
      <c r="AE351" s="291">
        <f t="shared" si="631"/>
        <v>0</v>
      </c>
      <c r="AF351" s="291">
        <f t="shared" si="632"/>
        <v>0</v>
      </c>
      <c r="AG351" s="291">
        <f t="shared" si="633"/>
        <v>0</v>
      </c>
      <c r="AI351" s="462">
        <f t="shared" si="678"/>
        <v>0</v>
      </c>
      <c r="AJ351" s="1112"/>
      <c r="AK351" s="507"/>
      <c r="AL351" s="829">
        <f t="shared" si="635"/>
        <v>45894</v>
      </c>
      <c r="AM351" s="684">
        <f>IFERROR(IF(AND(AT351="",AR351&lt;&gt;S.CAL!$BJ$3,AR351&lt;&gt;S.CAL!$BJ$4,$AR$320="NON"),M351-BD351,IF(AND(AT351="",AR351&lt;&gt;S.CAL!$BJ$3,AR351&lt;&gt;S.CAL!$BJ$4,$AR$320="OUI"),X351-AI351,IF(AT351&lt;&gt;0,AT351,IF(OR(AR351=S.CAL!$BJ$3,AR351=S.CAL!$BJ$4),AR351,"")))),"")</f>
        <v>0</v>
      </c>
      <c r="AN351" s="1115"/>
      <c r="AO351" s="1116"/>
      <c r="AP351" s="684">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516">
        <f t="shared" si="655"/>
        <v>0</v>
      </c>
      <c r="AR351" s="1120"/>
      <c r="AT351" s="1123"/>
      <c r="AU351" s="831"/>
      <c r="AV351" s="1392">
        <f t="shared" si="636"/>
        <v>45894</v>
      </c>
      <c r="AX351" s="529">
        <f t="shared" si="656"/>
        <v>45894</v>
      </c>
      <c r="AY351" s="541">
        <f t="shared" si="657"/>
        <v>0</v>
      </c>
      <c r="AZ351" s="538" t="s">
        <v>146</v>
      </c>
      <c r="BA351" s="534">
        <f t="shared" si="658"/>
        <v>0</v>
      </c>
      <c r="BB351" s="567" t="str">
        <f t="shared" si="637"/>
        <v/>
      </c>
      <c r="BC351" s="541">
        <f t="shared" si="659"/>
        <v>0</v>
      </c>
      <c r="BD351" s="541">
        <f t="shared" si="660"/>
        <v>0</v>
      </c>
      <c r="BE351" s="750"/>
      <c r="BF351" s="532" t="str">
        <f t="shared" si="638"/>
        <v/>
      </c>
      <c r="BG351" s="532" t="str">
        <f t="shared" si="661"/>
        <v>oui</v>
      </c>
      <c r="BH351" s="395" t="str">
        <f t="shared" si="639"/>
        <v/>
      </c>
      <c r="BI351" s="24" t="str">
        <f t="shared" si="640"/>
        <v/>
      </c>
      <c r="BJ351" s="1403"/>
      <c r="BK351" s="1403"/>
      <c r="BL351" s="1403"/>
      <c r="BM351" s="1403"/>
      <c r="BN351" s="1403"/>
      <c r="BO351" s="1403"/>
      <c r="BP351" s="1403"/>
      <c r="BQ351" s="1403"/>
      <c r="BS351" s="1392">
        <f t="shared" si="607"/>
        <v>45894</v>
      </c>
      <c r="BT351" s="27">
        <f t="shared" si="669"/>
        <v>35</v>
      </c>
      <c r="BU351" s="1402"/>
      <c r="BV351" s="1402"/>
      <c r="BW351" s="1402"/>
      <c r="BX351" s="1402"/>
      <c r="BY351" s="1402"/>
      <c r="BZ351" s="1402"/>
      <c r="CA351" s="1402"/>
      <c r="CB351" s="1402"/>
      <c r="CD351" s="1408">
        <f t="shared" si="662"/>
        <v>0</v>
      </c>
      <c r="DC351" s="16" t="str">
        <f>Aout!FC44</f>
        <v>non</v>
      </c>
      <c r="DG351" s="333">
        <f t="shared" si="663"/>
        <v>1</v>
      </c>
      <c r="DH351" s="129">
        <f t="shared" si="641"/>
        <v>10</v>
      </c>
      <c r="DI351" s="129">
        <f t="shared" si="664"/>
        <v>1</v>
      </c>
      <c r="DK351" s="16">
        <f>+IF(AND(Aout!$DP$8&lt;&gt;52,AR351=S.CAL!$BJ$4),10,1)</f>
        <v>1</v>
      </c>
      <c r="DN351" s="16">
        <f t="shared" si="642"/>
        <v>1</v>
      </c>
      <c r="DU351" s="1296" t="str">
        <f t="shared" si="665"/>
        <v>Fiche infoA145894</v>
      </c>
      <c r="DV351" s="1384">
        <f t="shared" si="643"/>
        <v>0</v>
      </c>
      <c r="DW351" s="1385">
        <f t="shared" si="644"/>
        <v>0</v>
      </c>
      <c r="DX351" s="1385">
        <f t="shared" si="645"/>
        <v>0</v>
      </c>
      <c r="DY351" s="1385">
        <f t="shared" si="646"/>
        <v>0</v>
      </c>
      <c r="DZ351" s="1385">
        <f t="shared" si="647"/>
        <v>0</v>
      </c>
      <c r="EA351" s="1385">
        <f t="shared" si="648"/>
        <v>0</v>
      </c>
      <c r="EB351" s="1385">
        <f t="shared" si="649"/>
        <v>0</v>
      </c>
      <c r="EC351" s="1385">
        <f t="shared" si="650"/>
        <v>0</v>
      </c>
      <c r="ED351" s="1385">
        <f t="shared" si="666"/>
        <v>0</v>
      </c>
      <c r="EE351" s="1386">
        <f t="shared" si="667"/>
        <v>0</v>
      </c>
      <c r="EG351" s="16" t="str">
        <f t="shared" si="668"/>
        <v>352025</v>
      </c>
      <c r="EH351" s="16" t="str">
        <f t="shared" si="651"/>
        <v>Fiche infoA1</v>
      </c>
      <c r="EI351" s="16" t="str">
        <f t="shared" si="652"/>
        <v/>
      </c>
    </row>
    <row r="352" spans="1:139" x14ac:dyDescent="0.2">
      <c r="A352" s="1395" t="str">
        <f>Aout!BJ45</f>
        <v>Fiche infoA2</v>
      </c>
      <c r="B352" s="829">
        <f>Aout!AB45</f>
        <v>45895</v>
      </c>
      <c r="C352" s="1394"/>
      <c r="D352" s="1001">
        <f t="shared" si="608"/>
        <v>0</v>
      </c>
      <c r="E352" s="452">
        <f t="shared" si="609"/>
        <v>0</v>
      </c>
      <c r="F352" s="452">
        <f t="shared" si="610"/>
        <v>0</v>
      </c>
      <c r="G352" s="452">
        <f t="shared" si="611"/>
        <v>0</v>
      </c>
      <c r="H352" s="452">
        <f t="shared" si="612"/>
        <v>0</v>
      </c>
      <c r="I352" s="452">
        <f t="shared" si="613"/>
        <v>0</v>
      </c>
      <c r="J352" s="452">
        <f t="shared" si="614"/>
        <v>0</v>
      </c>
      <c r="K352" s="452">
        <f t="shared" si="615"/>
        <v>0</v>
      </c>
      <c r="L352" s="452">
        <f t="shared" si="653"/>
        <v>0</v>
      </c>
      <c r="M352" s="1002">
        <f t="shared" si="654"/>
        <v>0</v>
      </c>
      <c r="N352" s="1396"/>
      <c r="O352" s="1001">
        <f t="shared" si="670"/>
        <v>0</v>
      </c>
      <c r="P352" s="452">
        <f t="shared" si="671"/>
        <v>0</v>
      </c>
      <c r="Q352" s="452">
        <f t="shared" si="672"/>
        <v>0</v>
      </c>
      <c r="R352" s="452">
        <f t="shared" si="673"/>
        <v>0</v>
      </c>
      <c r="S352" s="452">
        <f t="shared" si="674"/>
        <v>0</v>
      </c>
      <c r="T352" s="452">
        <f t="shared" si="675"/>
        <v>0</v>
      </c>
      <c r="U352" s="452">
        <f t="shared" si="676"/>
        <v>0</v>
      </c>
      <c r="V352" s="452">
        <f t="shared" si="677"/>
        <v>0</v>
      </c>
      <c r="W352" s="452">
        <f t="shared" si="624"/>
        <v>0</v>
      </c>
      <c r="X352" s="1002">
        <f t="shared" si="625"/>
        <v>0</v>
      </c>
      <c r="Y352" s="1397"/>
      <c r="Z352" s="1398">
        <f t="shared" si="626"/>
        <v>0</v>
      </c>
      <c r="AA352" s="1398">
        <f t="shared" si="627"/>
        <v>0</v>
      </c>
      <c r="AB352" s="1398">
        <f t="shared" si="628"/>
        <v>0</v>
      </c>
      <c r="AC352" s="1398">
        <f t="shared" si="629"/>
        <v>0</v>
      </c>
      <c r="AD352" s="1398">
        <f t="shared" si="630"/>
        <v>0</v>
      </c>
      <c r="AE352" s="1398">
        <f t="shared" si="631"/>
        <v>0</v>
      </c>
      <c r="AF352" s="1398">
        <f t="shared" si="632"/>
        <v>0</v>
      </c>
      <c r="AG352" s="1398">
        <f t="shared" si="633"/>
        <v>0</v>
      </c>
      <c r="AH352" s="1396"/>
      <c r="AI352" s="462">
        <f t="shared" si="678"/>
        <v>0</v>
      </c>
      <c r="AJ352" s="1112"/>
      <c r="AK352" s="1399"/>
      <c r="AL352" s="829">
        <f t="shared" si="635"/>
        <v>45895</v>
      </c>
      <c r="AM352" s="684">
        <f>IFERROR(IF(AND(AT352="",AR352&lt;&gt;S.CAL!$BJ$3,AR352&lt;&gt;S.CAL!$BJ$4,$AR$320="NON"),M352-BD352,IF(AND(AT352="",AR352&lt;&gt;S.CAL!$BJ$3,AR352&lt;&gt;S.CAL!$BJ$4,$AR$320="OUI"),X352-AI352,IF(AT352&lt;&gt;0,AT352,IF(OR(AR352=S.CAL!$BJ$3,AR352=S.CAL!$BJ$4),AR352,"")))),"")</f>
        <v>0</v>
      </c>
      <c r="AN352" s="1115"/>
      <c r="AO352" s="1116"/>
      <c r="AP352" s="684">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400">
        <f t="shared" si="655"/>
        <v>0</v>
      </c>
      <c r="AR352" s="1120"/>
      <c r="AS352" s="1396"/>
      <c r="AT352" s="1123"/>
      <c r="AU352" s="831"/>
      <c r="AV352" s="1392">
        <f t="shared" si="636"/>
        <v>45895</v>
      </c>
      <c r="AW352" s="1396"/>
      <c r="AX352" s="529">
        <f t="shared" si="656"/>
        <v>45895</v>
      </c>
      <c r="AY352" s="541">
        <f t="shared" si="657"/>
        <v>0</v>
      </c>
      <c r="AZ352" s="538" t="s">
        <v>146</v>
      </c>
      <c r="BA352" s="534">
        <f t="shared" si="658"/>
        <v>0</v>
      </c>
      <c r="BB352" s="567" t="str">
        <f t="shared" si="637"/>
        <v/>
      </c>
      <c r="BC352" s="541">
        <f t="shared" si="659"/>
        <v>0</v>
      </c>
      <c r="BD352" s="541">
        <f t="shared" si="660"/>
        <v>0</v>
      </c>
      <c r="BE352" s="750"/>
      <c r="BF352" s="532" t="str">
        <f t="shared" si="638"/>
        <v/>
      </c>
      <c r="BG352" s="532" t="str">
        <f t="shared" si="661"/>
        <v>oui</v>
      </c>
      <c r="BH352" s="395" t="str">
        <f t="shared" si="639"/>
        <v/>
      </c>
      <c r="BI352" s="24" t="str">
        <f t="shared" si="640"/>
        <v/>
      </c>
      <c r="BJ352" s="1404"/>
      <c r="BK352" s="1404"/>
      <c r="BL352" s="1404"/>
      <c r="BM352" s="1404"/>
      <c r="BN352" s="1404"/>
      <c r="BO352" s="1404"/>
      <c r="BP352" s="1404"/>
      <c r="BQ352" s="1404"/>
      <c r="BR352" s="1405"/>
      <c r="BS352" s="1392">
        <f t="shared" si="607"/>
        <v>45895</v>
      </c>
      <c r="BT352" s="1406" t="str">
        <f t="shared" si="669"/>
        <v/>
      </c>
      <c r="BU352" s="1404"/>
      <c r="BV352" s="1404"/>
      <c r="BW352" s="1404"/>
      <c r="BX352" s="1404"/>
      <c r="BY352" s="1404"/>
      <c r="BZ352" s="1404"/>
      <c r="CA352" s="1404"/>
      <c r="CB352" s="1404"/>
      <c r="CD352" s="1408">
        <f t="shared" si="662"/>
        <v>0</v>
      </c>
      <c r="DC352" s="16" t="str">
        <f>Aout!FC45</f>
        <v>non</v>
      </c>
      <c r="DG352" s="333">
        <f t="shared" si="663"/>
        <v>1</v>
      </c>
      <c r="DH352" s="129">
        <f t="shared" si="641"/>
        <v>10</v>
      </c>
      <c r="DI352" s="129">
        <f t="shared" si="664"/>
        <v>1</v>
      </c>
      <c r="DK352" s="16">
        <f>+IF(AND(Aout!$DP$8&lt;&gt;52,AR352=S.CAL!$BJ$4),10,1)</f>
        <v>1</v>
      </c>
      <c r="DN352" s="16">
        <f t="shared" si="642"/>
        <v>1</v>
      </c>
      <c r="DU352" s="1296" t="str">
        <f t="shared" si="665"/>
        <v>Fiche infoA245895</v>
      </c>
      <c r="DV352" s="1384">
        <f t="shared" si="643"/>
        <v>0</v>
      </c>
      <c r="DW352" s="1385">
        <f t="shared" si="644"/>
        <v>0</v>
      </c>
      <c r="DX352" s="1385">
        <f t="shared" si="645"/>
        <v>0</v>
      </c>
      <c r="DY352" s="1385">
        <f t="shared" si="646"/>
        <v>0</v>
      </c>
      <c r="DZ352" s="1385">
        <f t="shared" si="647"/>
        <v>0</v>
      </c>
      <c r="EA352" s="1385">
        <f t="shared" si="648"/>
        <v>0</v>
      </c>
      <c r="EB352" s="1385">
        <f t="shared" si="649"/>
        <v>0</v>
      </c>
      <c r="EC352" s="1385">
        <f t="shared" si="650"/>
        <v>0</v>
      </c>
      <c r="ED352" s="1385">
        <f t="shared" si="666"/>
        <v>0</v>
      </c>
      <c r="EE352" s="1386">
        <f t="shared" si="667"/>
        <v>0</v>
      </c>
      <c r="EG352" s="16" t="str">
        <f t="shared" si="668"/>
        <v>352025</v>
      </c>
      <c r="EH352" s="16" t="str">
        <f t="shared" si="651"/>
        <v>Fiche infoA2</v>
      </c>
      <c r="EI352" s="16" t="str">
        <f t="shared" si="652"/>
        <v/>
      </c>
    </row>
    <row r="353" spans="1:145" x14ac:dyDescent="0.2">
      <c r="A353" s="24" t="str">
        <f>Aout!BJ46</f>
        <v>Fiche infoA3</v>
      </c>
      <c r="B353" s="829">
        <f>Aout!AB46</f>
        <v>45896</v>
      </c>
      <c r="C353" s="1393"/>
      <c r="D353" s="1001">
        <f t="shared" si="608"/>
        <v>0</v>
      </c>
      <c r="E353" s="452">
        <f t="shared" si="609"/>
        <v>0</v>
      </c>
      <c r="F353" s="452">
        <f t="shared" si="610"/>
        <v>0</v>
      </c>
      <c r="G353" s="452">
        <f t="shared" si="611"/>
        <v>0</v>
      </c>
      <c r="H353" s="452">
        <f t="shared" si="612"/>
        <v>0</v>
      </c>
      <c r="I353" s="452">
        <f t="shared" si="613"/>
        <v>0</v>
      </c>
      <c r="J353" s="452">
        <f t="shared" si="614"/>
        <v>0</v>
      </c>
      <c r="K353" s="452">
        <f t="shared" si="615"/>
        <v>0</v>
      </c>
      <c r="L353" s="452">
        <f t="shared" si="653"/>
        <v>0</v>
      </c>
      <c r="M353" s="1002">
        <f t="shared" si="654"/>
        <v>0</v>
      </c>
      <c r="O353" s="1001">
        <f t="shared" si="670"/>
        <v>0</v>
      </c>
      <c r="P353" s="452">
        <f t="shared" si="671"/>
        <v>0</v>
      </c>
      <c r="Q353" s="452">
        <f t="shared" si="672"/>
        <v>0</v>
      </c>
      <c r="R353" s="452">
        <f t="shared" si="673"/>
        <v>0</v>
      </c>
      <c r="S353" s="452">
        <f t="shared" si="674"/>
        <v>0</v>
      </c>
      <c r="T353" s="452">
        <f t="shared" si="675"/>
        <v>0</v>
      </c>
      <c r="U353" s="452">
        <f t="shared" si="676"/>
        <v>0</v>
      </c>
      <c r="V353" s="452">
        <f t="shared" si="677"/>
        <v>0</v>
      </c>
      <c r="W353" s="452">
        <f t="shared" si="624"/>
        <v>0</v>
      </c>
      <c r="X353" s="1002">
        <f t="shared" si="625"/>
        <v>0</v>
      </c>
      <c r="Y353" s="459"/>
      <c r="Z353" s="291">
        <f t="shared" si="626"/>
        <v>0</v>
      </c>
      <c r="AA353" s="291">
        <f t="shared" si="627"/>
        <v>0</v>
      </c>
      <c r="AB353" s="291">
        <f t="shared" si="628"/>
        <v>0</v>
      </c>
      <c r="AC353" s="291">
        <f t="shared" si="629"/>
        <v>0</v>
      </c>
      <c r="AD353" s="291">
        <f t="shared" si="630"/>
        <v>0</v>
      </c>
      <c r="AE353" s="291">
        <f t="shared" si="631"/>
        <v>0</v>
      </c>
      <c r="AF353" s="291">
        <f t="shared" si="632"/>
        <v>0</v>
      </c>
      <c r="AG353" s="291">
        <f t="shared" si="633"/>
        <v>0</v>
      </c>
      <c r="AI353" s="462">
        <f t="shared" si="678"/>
        <v>0</v>
      </c>
      <c r="AJ353" s="1112"/>
      <c r="AK353" s="507"/>
      <c r="AL353" s="829">
        <f t="shared" si="635"/>
        <v>45896</v>
      </c>
      <c r="AM353" s="684">
        <f>IFERROR(IF(AND(AT353="",AR353&lt;&gt;S.CAL!$BJ$3,AR353&lt;&gt;S.CAL!$BJ$4,$AR$320="NON"),M353-BD353,IF(AND(AT353="",AR353&lt;&gt;S.CAL!$BJ$3,AR353&lt;&gt;S.CAL!$BJ$4,$AR$320="OUI"),X353-AI353,IF(AT353&lt;&gt;0,AT353,IF(OR(AR353=S.CAL!$BJ$3,AR353=S.CAL!$BJ$4),AR353,"")))),"")</f>
        <v>0</v>
      </c>
      <c r="AN353" s="1115"/>
      <c r="AO353" s="1116"/>
      <c r="AP353" s="684">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516">
        <f t="shared" si="655"/>
        <v>0</v>
      </c>
      <c r="AR353" s="1120"/>
      <c r="AT353" s="1123"/>
      <c r="AU353" s="831"/>
      <c r="AV353" s="1392">
        <f t="shared" si="636"/>
        <v>45896</v>
      </c>
      <c r="AX353" s="529">
        <f t="shared" si="656"/>
        <v>45896</v>
      </c>
      <c r="AY353" s="541">
        <f t="shared" si="657"/>
        <v>0</v>
      </c>
      <c r="AZ353" s="538" t="s">
        <v>146</v>
      </c>
      <c r="BA353" s="534">
        <f t="shared" si="658"/>
        <v>0</v>
      </c>
      <c r="BB353" s="567" t="str">
        <f t="shared" si="637"/>
        <v/>
      </c>
      <c r="BC353" s="541">
        <f t="shared" si="659"/>
        <v>0</v>
      </c>
      <c r="BD353" s="541">
        <f t="shared" si="660"/>
        <v>0</v>
      </c>
      <c r="BE353" s="750"/>
      <c r="BF353" s="532" t="str">
        <f t="shared" si="638"/>
        <v/>
      </c>
      <c r="BG353" s="532" t="str">
        <f t="shared" si="661"/>
        <v>oui</v>
      </c>
      <c r="BH353" s="395" t="str">
        <f t="shared" si="639"/>
        <v/>
      </c>
      <c r="BI353" s="24" t="str">
        <f t="shared" si="640"/>
        <v/>
      </c>
      <c r="BJ353" s="1403"/>
      <c r="BK353" s="1403"/>
      <c r="BL353" s="1403"/>
      <c r="BM353" s="1403"/>
      <c r="BN353" s="1403"/>
      <c r="BO353" s="1403"/>
      <c r="BP353" s="1403"/>
      <c r="BQ353" s="1403"/>
      <c r="BS353" s="1392">
        <f t="shared" si="607"/>
        <v>45896</v>
      </c>
      <c r="BT353" s="27" t="str">
        <f t="shared" si="669"/>
        <v/>
      </c>
      <c r="BU353" s="1402"/>
      <c r="BV353" s="1402"/>
      <c r="BW353" s="1402"/>
      <c r="BX353" s="1402"/>
      <c r="BY353" s="1402"/>
      <c r="BZ353" s="1402"/>
      <c r="CA353" s="1402"/>
      <c r="CB353" s="1402"/>
      <c r="CD353" s="1408">
        <f t="shared" si="662"/>
        <v>0</v>
      </c>
      <c r="DC353" s="16" t="str">
        <f>Aout!FC46</f>
        <v>non</v>
      </c>
      <c r="DG353" s="333">
        <f t="shared" si="663"/>
        <v>1</v>
      </c>
      <c r="DH353" s="129">
        <f t="shared" si="641"/>
        <v>10</v>
      </c>
      <c r="DI353" s="129">
        <f t="shared" si="664"/>
        <v>1</v>
      </c>
      <c r="DK353" s="16">
        <f>+IF(AND(Aout!$DP$8&lt;&gt;52,AR353=S.CAL!$BJ$4),10,1)</f>
        <v>1</v>
      </c>
      <c r="DN353" s="16">
        <f t="shared" si="642"/>
        <v>1</v>
      </c>
      <c r="DU353" s="1296" t="str">
        <f t="shared" si="665"/>
        <v>Fiche infoA345896</v>
      </c>
      <c r="DV353" s="1384">
        <f t="shared" si="643"/>
        <v>0</v>
      </c>
      <c r="DW353" s="1385">
        <f t="shared" si="644"/>
        <v>0</v>
      </c>
      <c r="DX353" s="1385">
        <f t="shared" si="645"/>
        <v>0</v>
      </c>
      <c r="DY353" s="1385">
        <f t="shared" si="646"/>
        <v>0</v>
      </c>
      <c r="DZ353" s="1385">
        <f t="shared" si="647"/>
        <v>0</v>
      </c>
      <c r="EA353" s="1385">
        <f t="shared" si="648"/>
        <v>0</v>
      </c>
      <c r="EB353" s="1385">
        <f t="shared" si="649"/>
        <v>0</v>
      </c>
      <c r="EC353" s="1385">
        <f t="shared" si="650"/>
        <v>0</v>
      </c>
      <c r="ED353" s="1385">
        <f t="shared" si="666"/>
        <v>0</v>
      </c>
      <c r="EE353" s="1386">
        <f t="shared" si="667"/>
        <v>0</v>
      </c>
      <c r="EG353" s="16" t="str">
        <f t="shared" si="668"/>
        <v>352025</v>
      </c>
      <c r="EH353" s="16" t="str">
        <f t="shared" si="651"/>
        <v>Fiche infoA3</v>
      </c>
      <c r="EI353" s="16" t="str">
        <f t="shared" si="652"/>
        <v/>
      </c>
    </row>
    <row r="354" spans="1:145" x14ac:dyDescent="0.2">
      <c r="A354" s="1395" t="str">
        <f>Aout!BJ47</f>
        <v>Fiche infoA4</v>
      </c>
      <c r="B354" s="829">
        <f>Aout!AB47</f>
        <v>45897</v>
      </c>
      <c r="C354" s="1394"/>
      <c r="D354" s="1001">
        <f t="shared" si="608"/>
        <v>0</v>
      </c>
      <c r="E354" s="452">
        <f t="shared" si="609"/>
        <v>0</v>
      </c>
      <c r="F354" s="452">
        <f t="shared" si="610"/>
        <v>0</v>
      </c>
      <c r="G354" s="452">
        <f t="shared" si="611"/>
        <v>0</v>
      </c>
      <c r="H354" s="452">
        <f t="shared" si="612"/>
        <v>0</v>
      </c>
      <c r="I354" s="452">
        <f t="shared" si="613"/>
        <v>0</v>
      </c>
      <c r="J354" s="452">
        <f t="shared" si="614"/>
        <v>0</v>
      </c>
      <c r="K354" s="452">
        <f t="shared" si="615"/>
        <v>0</v>
      </c>
      <c r="L354" s="452">
        <f t="shared" si="653"/>
        <v>0</v>
      </c>
      <c r="M354" s="1002">
        <f t="shared" si="654"/>
        <v>0</v>
      </c>
      <c r="N354" s="1396"/>
      <c r="O354" s="1001">
        <f t="shared" si="670"/>
        <v>0</v>
      </c>
      <c r="P354" s="452">
        <f t="shared" si="671"/>
        <v>0</v>
      </c>
      <c r="Q354" s="452">
        <f t="shared" si="672"/>
        <v>0</v>
      </c>
      <c r="R354" s="452">
        <f t="shared" si="673"/>
        <v>0</v>
      </c>
      <c r="S354" s="452">
        <f t="shared" si="674"/>
        <v>0</v>
      </c>
      <c r="T354" s="452">
        <f t="shared" si="675"/>
        <v>0</v>
      </c>
      <c r="U354" s="452">
        <f t="shared" si="676"/>
        <v>0</v>
      </c>
      <c r="V354" s="452">
        <f t="shared" si="677"/>
        <v>0</v>
      </c>
      <c r="W354" s="452">
        <f t="shared" si="624"/>
        <v>0</v>
      </c>
      <c r="X354" s="1002">
        <f t="shared" si="625"/>
        <v>0</v>
      </c>
      <c r="Y354" s="1397"/>
      <c r="Z354" s="1398">
        <f t="shared" si="626"/>
        <v>0</v>
      </c>
      <c r="AA354" s="1398">
        <f t="shared" si="627"/>
        <v>0</v>
      </c>
      <c r="AB354" s="1398">
        <f t="shared" si="628"/>
        <v>0</v>
      </c>
      <c r="AC354" s="1398">
        <f t="shared" si="629"/>
        <v>0</v>
      </c>
      <c r="AD354" s="1398">
        <f t="shared" si="630"/>
        <v>0</v>
      </c>
      <c r="AE354" s="1398">
        <f t="shared" si="631"/>
        <v>0</v>
      </c>
      <c r="AF354" s="1398">
        <f t="shared" si="632"/>
        <v>0</v>
      </c>
      <c r="AG354" s="1398">
        <f t="shared" si="633"/>
        <v>0</v>
      </c>
      <c r="AH354" s="1396"/>
      <c r="AI354" s="462">
        <f t="shared" si="678"/>
        <v>0</v>
      </c>
      <c r="AJ354" s="1112"/>
      <c r="AK354" s="1399"/>
      <c r="AL354" s="829">
        <f t="shared" si="635"/>
        <v>45897</v>
      </c>
      <c r="AM354" s="684">
        <f>IFERROR(IF(AND(AT354="",AR354&lt;&gt;S.CAL!$BJ$3,AR354&lt;&gt;S.CAL!$BJ$4,$AR$320="NON"),M354-BD354,IF(AND(AT354="",AR354&lt;&gt;S.CAL!$BJ$3,AR354&lt;&gt;S.CAL!$BJ$4,$AR$320="OUI"),X354-AI354,IF(AT354&lt;&gt;0,AT354,IF(OR(AR354=S.CAL!$BJ$3,AR354=S.CAL!$BJ$4),AR354,"")))),"")</f>
        <v>0</v>
      </c>
      <c r="AN354" s="1115"/>
      <c r="AO354" s="1116"/>
      <c r="AP354" s="684">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400">
        <f t="shared" si="655"/>
        <v>0</v>
      </c>
      <c r="AR354" s="1120"/>
      <c r="AS354" s="1396"/>
      <c r="AT354" s="1123"/>
      <c r="AU354" s="831"/>
      <c r="AV354" s="1392">
        <f t="shared" si="636"/>
        <v>45897</v>
      </c>
      <c r="AW354" s="1396"/>
      <c r="AX354" s="529">
        <f t="shared" si="656"/>
        <v>45897</v>
      </c>
      <c r="AY354" s="541">
        <f t="shared" si="657"/>
        <v>0</v>
      </c>
      <c r="AZ354" s="538" t="s">
        <v>146</v>
      </c>
      <c r="BA354" s="534">
        <f t="shared" si="658"/>
        <v>0</v>
      </c>
      <c r="BB354" s="567" t="str">
        <f t="shared" si="637"/>
        <v/>
      </c>
      <c r="BC354" s="541">
        <f t="shared" si="659"/>
        <v>0</v>
      </c>
      <c r="BD354" s="541">
        <f t="shared" si="660"/>
        <v>0</v>
      </c>
      <c r="BE354" s="750"/>
      <c r="BF354" s="532" t="str">
        <f t="shared" si="638"/>
        <v/>
      </c>
      <c r="BG354" s="532" t="str">
        <f t="shared" si="661"/>
        <v>oui</v>
      </c>
      <c r="BH354" s="395" t="str">
        <f t="shared" si="639"/>
        <v/>
      </c>
      <c r="BI354" s="24" t="str">
        <f t="shared" si="640"/>
        <v/>
      </c>
      <c r="BJ354" s="1404"/>
      <c r="BK354" s="1404"/>
      <c r="BL354" s="1404"/>
      <c r="BM354" s="1404"/>
      <c r="BN354" s="1404"/>
      <c r="BO354" s="1404"/>
      <c r="BP354" s="1404"/>
      <c r="BQ354" s="1404"/>
      <c r="BR354" s="1405"/>
      <c r="BS354" s="1392">
        <f t="shared" si="607"/>
        <v>45897</v>
      </c>
      <c r="BT354" s="1406" t="str">
        <f t="shared" si="669"/>
        <v/>
      </c>
      <c r="BU354" s="1404"/>
      <c r="BV354" s="1404"/>
      <c r="BW354" s="1404"/>
      <c r="BX354" s="1404"/>
      <c r="BY354" s="1404"/>
      <c r="BZ354" s="1404"/>
      <c r="CA354" s="1404"/>
      <c r="CB354" s="1404"/>
      <c r="CD354" s="1408">
        <f t="shared" si="662"/>
        <v>0</v>
      </c>
      <c r="DC354" s="16" t="str">
        <f>Aout!FC47</f>
        <v>non</v>
      </c>
      <c r="DG354" s="333">
        <f t="shared" si="663"/>
        <v>1</v>
      </c>
      <c r="DH354" s="129">
        <f t="shared" si="641"/>
        <v>10</v>
      </c>
      <c r="DI354" s="129">
        <f t="shared" si="664"/>
        <v>1</v>
      </c>
      <c r="DK354" s="16">
        <f>+IF(AND(Aout!$DP$8&lt;&gt;52,AR354=S.CAL!$BJ$4),10,1)</f>
        <v>1</v>
      </c>
      <c r="DN354" s="16">
        <f t="shared" si="642"/>
        <v>1</v>
      </c>
      <c r="DU354" s="1296" t="str">
        <f t="shared" si="665"/>
        <v>Fiche infoA445897</v>
      </c>
      <c r="DV354" s="1384">
        <f t="shared" si="643"/>
        <v>0</v>
      </c>
      <c r="DW354" s="1385">
        <f t="shared" si="644"/>
        <v>0</v>
      </c>
      <c r="DX354" s="1385">
        <f t="shared" si="645"/>
        <v>0</v>
      </c>
      <c r="DY354" s="1385">
        <f t="shared" si="646"/>
        <v>0</v>
      </c>
      <c r="DZ354" s="1385">
        <f t="shared" si="647"/>
        <v>0</v>
      </c>
      <c r="EA354" s="1385">
        <f t="shared" si="648"/>
        <v>0</v>
      </c>
      <c r="EB354" s="1385">
        <f t="shared" si="649"/>
        <v>0</v>
      </c>
      <c r="EC354" s="1385">
        <f t="shared" si="650"/>
        <v>0</v>
      </c>
      <c r="ED354" s="1385">
        <f t="shared" si="666"/>
        <v>0</v>
      </c>
      <c r="EE354" s="1386">
        <f t="shared" si="667"/>
        <v>0</v>
      </c>
      <c r="EG354" s="16" t="str">
        <f t="shared" si="668"/>
        <v>352025</v>
      </c>
      <c r="EH354" s="16" t="str">
        <f t="shared" si="651"/>
        <v>Fiche infoA4</v>
      </c>
      <c r="EI354" s="16" t="str">
        <f t="shared" si="652"/>
        <v/>
      </c>
    </row>
    <row r="355" spans="1:145" x14ac:dyDescent="0.2">
      <c r="A355" s="24" t="str">
        <f>Aout!BJ48</f>
        <v>Fiche infoA5</v>
      </c>
      <c r="B355" s="829">
        <f>Aout!AB48</f>
        <v>45898</v>
      </c>
      <c r="C355" s="1393"/>
      <c r="D355" s="1001">
        <f t="shared" si="608"/>
        <v>0</v>
      </c>
      <c r="E355" s="452">
        <f t="shared" si="609"/>
        <v>0</v>
      </c>
      <c r="F355" s="452">
        <f t="shared" si="610"/>
        <v>0</v>
      </c>
      <c r="G355" s="452">
        <f t="shared" si="611"/>
        <v>0</v>
      </c>
      <c r="H355" s="452">
        <f t="shared" si="612"/>
        <v>0</v>
      </c>
      <c r="I355" s="452">
        <f t="shared" si="613"/>
        <v>0</v>
      </c>
      <c r="J355" s="452">
        <f t="shared" si="614"/>
        <v>0</v>
      </c>
      <c r="K355" s="452">
        <f t="shared" si="615"/>
        <v>0</v>
      </c>
      <c r="L355" s="452">
        <f t="shared" si="653"/>
        <v>0</v>
      </c>
      <c r="M355" s="1002">
        <f t="shared" si="654"/>
        <v>0</v>
      </c>
      <c r="O355" s="1001">
        <f t="shared" si="670"/>
        <v>0</v>
      </c>
      <c r="P355" s="452">
        <f t="shared" si="671"/>
        <v>0</v>
      </c>
      <c r="Q355" s="452">
        <f t="shared" si="672"/>
        <v>0</v>
      </c>
      <c r="R355" s="452">
        <f t="shared" si="673"/>
        <v>0</v>
      </c>
      <c r="S355" s="452">
        <f t="shared" si="674"/>
        <v>0</v>
      </c>
      <c r="T355" s="452">
        <f t="shared" si="675"/>
        <v>0</v>
      </c>
      <c r="U355" s="452">
        <f t="shared" si="676"/>
        <v>0</v>
      </c>
      <c r="V355" s="452">
        <f t="shared" si="677"/>
        <v>0</v>
      </c>
      <c r="W355" s="452">
        <f t="shared" si="624"/>
        <v>0</v>
      </c>
      <c r="X355" s="1002">
        <f t="shared" si="625"/>
        <v>0</v>
      </c>
      <c r="Y355" s="459"/>
      <c r="Z355" s="291">
        <f t="shared" si="626"/>
        <v>0</v>
      </c>
      <c r="AA355" s="291">
        <f t="shared" si="627"/>
        <v>0</v>
      </c>
      <c r="AB355" s="291">
        <f t="shared" si="628"/>
        <v>0</v>
      </c>
      <c r="AC355" s="291">
        <f t="shared" si="629"/>
        <v>0</v>
      </c>
      <c r="AD355" s="291">
        <f t="shared" si="630"/>
        <v>0</v>
      </c>
      <c r="AE355" s="291">
        <f t="shared" si="631"/>
        <v>0</v>
      </c>
      <c r="AF355" s="291">
        <f t="shared" si="632"/>
        <v>0</v>
      </c>
      <c r="AG355" s="291">
        <f t="shared" si="633"/>
        <v>0</v>
      </c>
      <c r="AI355" s="462">
        <f t="shared" si="678"/>
        <v>0</v>
      </c>
      <c r="AJ355" s="1112"/>
      <c r="AK355" s="507"/>
      <c r="AL355" s="829">
        <f t="shared" si="635"/>
        <v>45898</v>
      </c>
      <c r="AM355" s="684">
        <f>IFERROR(IF(AND(AT355="",AR355&lt;&gt;S.CAL!$BJ$3,AR355&lt;&gt;S.CAL!$BJ$4,$AR$320="NON"),M355-BD355,IF(AND(AT355="",AR355&lt;&gt;S.CAL!$BJ$3,AR355&lt;&gt;S.CAL!$BJ$4,$AR$320="OUI"),X355-AI355,IF(AT355&lt;&gt;0,AT355,IF(OR(AR355=S.CAL!$BJ$3,AR355=S.CAL!$BJ$4),AR355,"")))),"")</f>
        <v>0</v>
      </c>
      <c r="AN355" s="1115"/>
      <c r="AO355" s="1116"/>
      <c r="AP355" s="684">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516">
        <f t="shared" si="655"/>
        <v>0</v>
      </c>
      <c r="AR355" s="1120"/>
      <c r="AT355" s="1123"/>
      <c r="AU355" s="831"/>
      <c r="AV355" s="1392">
        <f t="shared" si="636"/>
        <v>45898</v>
      </c>
      <c r="AX355" s="529">
        <f t="shared" si="656"/>
        <v>45898</v>
      </c>
      <c r="AY355" s="541">
        <f t="shared" si="657"/>
        <v>0</v>
      </c>
      <c r="AZ355" s="538" t="s">
        <v>146</v>
      </c>
      <c r="BA355" s="534">
        <f t="shared" si="658"/>
        <v>0</v>
      </c>
      <c r="BB355" s="567" t="str">
        <f t="shared" si="637"/>
        <v/>
      </c>
      <c r="BC355" s="541">
        <f t="shared" si="659"/>
        <v>0</v>
      </c>
      <c r="BD355" s="541">
        <f t="shared" si="660"/>
        <v>0</v>
      </c>
      <c r="BE355" s="750"/>
      <c r="BF355" s="532" t="str">
        <f t="shared" si="638"/>
        <v/>
      </c>
      <c r="BG355" s="532" t="str">
        <f t="shared" si="661"/>
        <v>oui</v>
      </c>
      <c r="BH355" s="395" t="str">
        <f t="shared" si="639"/>
        <v/>
      </c>
      <c r="BI355" s="24" t="str">
        <f t="shared" si="640"/>
        <v/>
      </c>
      <c r="BJ355" s="1403"/>
      <c r="BK355" s="1403"/>
      <c r="BL355" s="1403"/>
      <c r="BM355" s="1403"/>
      <c r="BN355" s="1403"/>
      <c r="BO355" s="1403"/>
      <c r="BP355" s="1403"/>
      <c r="BQ355" s="1403"/>
      <c r="BS355" s="1392">
        <f t="shared" si="607"/>
        <v>45898</v>
      </c>
      <c r="BT355" s="27" t="str">
        <f t="shared" si="669"/>
        <v/>
      </c>
      <c r="BU355" s="1402"/>
      <c r="BV355" s="1402"/>
      <c r="BW355" s="1402"/>
      <c r="BX355" s="1402"/>
      <c r="BY355" s="1402"/>
      <c r="BZ355" s="1402"/>
      <c r="CA355" s="1402"/>
      <c r="CB355" s="1402"/>
      <c r="CD355" s="1408">
        <f t="shared" si="662"/>
        <v>0</v>
      </c>
      <c r="DC355" s="16" t="str">
        <f>Aout!FC48</f>
        <v>non</v>
      </c>
      <c r="DG355" s="333">
        <f t="shared" si="663"/>
        <v>1</v>
      </c>
      <c r="DH355" s="129">
        <f t="shared" si="641"/>
        <v>10</v>
      </c>
      <c r="DI355" s="129">
        <f t="shared" si="664"/>
        <v>1</v>
      </c>
      <c r="DK355" s="16">
        <f>+IF(AND(Aout!$DP$8&lt;&gt;52,AR355=S.CAL!$BJ$4),10,1)</f>
        <v>1</v>
      </c>
      <c r="DN355" s="16">
        <f t="shared" si="642"/>
        <v>1</v>
      </c>
      <c r="DU355" s="1296" t="str">
        <f t="shared" si="665"/>
        <v>Fiche infoA545898</v>
      </c>
      <c r="DV355" s="1384">
        <f t="shared" si="643"/>
        <v>0</v>
      </c>
      <c r="DW355" s="1385">
        <f t="shared" si="644"/>
        <v>0</v>
      </c>
      <c r="DX355" s="1385">
        <f t="shared" si="645"/>
        <v>0</v>
      </c>
      <c r="DY355" s="1385">
        <f t="shared" si="646"/>
        <v>0</v>
      </c>
      <c r="DZ355" s="1385">
        <f t="shared" si="647"/>
        <v>0</v>
      </c>
      <c r="EA355" s="1385">
        <f t="shared" si="648"/>
        <v>0</v>
      </c>
      <c r="EB355" s="1385">
        <f t="shared" si="649"/>
        <v>0</v>
      </c>
      <c r="EC355" s="1385">
        <f t="shared" si="650"/>
        <v>0</v>
      </c>
      <c r="ED355" s="1385">
        <f t="shared" si="666"/>
        <v>0</v>
      </c>
      <c r="EE355" s="1386">
        <f t="shared" si="667"/>
        <v>0</v>
      </c>
      <c r="EG355" s="16" t="str">
        <f t="shared" si="668"/>
        <v>352025</v>
      </c>
      <c r="EH355" s="16" t="str">
        <f t="shared" si="651"/>
        <v>Fiche infoA5</v>
      </c>
      <c r="EI355" s="16" t="str">
        <f t="shared" si="652"/>
        <v/>
      </c>
    </row>
    <row r="356" spans="1:145" x14ac:dyDescent="0.2">
      <c r="A356" s="1395" t="str">
        <f>Aout!BJ49</f>
        <v>Fiche infoA6</v>
      </c>
      <c r="B356" s="829">
        <f>Aout!AB49</f>
        <v>45899</v>
      </c>
      <c r="C356" s="1394"/>
      <c r="D356" s="1001">
        <f t="shared" si="608"/>
        <v>0</v>
      </c>
      <c r="E356" s="452">
        <f t="shared" si="609"/>
        <v>0</v>
      </c>
      <c r="F356" s="452">
        <f t="shared" si="610"/>
        <v>0</v>
      </c>
      <c r="G356" s="452">
        <f t="shared" si="611"/>
        <v>0</v>
      </c>
      <c r="H356" s="452">
        <f t="shared" si="612"/>
        <v>0</v>
      </c>
      <c r="I356" s="452">
        <f t="shared" si="613"/>
        <v>0</v>
      </c>
      <c r="J356" s="452">
        <f t="shared" si="614"/>
        <v>0</v>
      </c>
      <c r="K356" s="452">
        <f t="shared" si="615"/>
        <v>0</v>
      </c>
      <c r="L356" s="452">
        <f t="shared" si="653"/>
        <v>0</v>
      </c>
      <c r="M356" s="1002">
        <f t="shared" si="654"/>
        <v>0</v>
      </c>
      <c r="N356" s="1396"/>
      <c r="O356" s="1001">
        <f t="shared" si="670"/>
        <v>0</v>
      </c>
      <c r="P356" s="452">
        <f t="shared" si="671"/>
        <v>0</v>
      </c>
      <c r="Q356" s="452">
        <f t="shared" si="672"/>
        <v>0</v>
      </c>
      <c r="R356" s="452">
        <f t="shared" si="673"/>
        <v>0</v>
      </c>
      <c r="S356" s="452">
        <f t="shared" si="674"/>
        <v>0</v>
      </c>
      <c r="T356" s="452">
        <f t="shared" si="675"/>
        <v>0</v>
      </c>
      <c r="U356" s="452">
        <f t="shared" si="676"/>
        <v>0</v>
      </c>
      <c r="V356" s="452">
        <f t="shared" si="677"/>
        <v>0</v>
      </c>
      <c r="W356" s="452">
        <f t="shared" si="624"/>
        <v>0</v>
      </c>
      <c r="X356" s="1002">
        <f t="shared" si="625"/>
        <v>0</v>
      </c>
      <c r="Y356" s="1397"/>
      <c r="Z356" s="1398">
        <f t="shared" si="626"/>
        <v>0</v>
      </c>
      <c r="AA356" s="1398">
        <f t="shared" si="627"/>
        <v>0</v>
      </c>
      <c r="AB356" s="1398">
        <f t="shared" si="628"/>
        <v>0</v>
      </c>
      <c r="AC356" s="1398">
        <f t="shared" si="629"/>
        <v>0</v>
      </c>
      <c r="AD356" s="1398">
        <f t="shared" si="630"/>
        <v>0</v>
      </c>
      <c r="AE356" s="1398">
        <f t="shared" si="631"/>
        <v>0</v>
      </c>
      <c r="AF356" s="1398">
        <f t="shared" si="632"/>
        <v>0</v>
      </c>
      <c r="AG356" s="1398">
        <f t="shared" si="633"/>
        <v>0</v>
      </c>
      <c r="AH356" s="1396"/>
      <c r="AI356" s="462">
        <f t="shared" si="678"/>
        <v>0</v>
      </c>
      <c r="AJ356" s="1112"/>
      <c r="AK356" s="1399"/>
      <c r="AL356" s="829">
        <f t="shared" si="635"/>
        <v>45899</v>
      </c>
      <c r="AM356" s="684">
        <f>IFERROR(IF(AND(AT356="",AR356&lt;&gt;S.CAL!$BJ$3,AR356&lt;&gt;S.CAL!$BJ$4,$AR$320="NON"),M356-BD356,IF(AND(AT356="",AR356&lt;&gt;S.CAL!$BJ$3,AR356&lt;&gt;S.CAL!$BJ$4,$AR$320="OUI"),X356-AI356,IF(AT356&lt;&gt;0,AT356,IF(OR(AR356=S.CAL!$BJ$3,AR356=S.CAL!$BJ$4),AR356,"")))),"")</f>
        <v>0</v>
      </c>
      <c r="AN356" s="1115"/>
      <c r="AO356" s="1116"/>
      <c r="AP356" s="684">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400">
        <f t="shared" si="655"/>
        <v>0</v>
      </c>
      <c r="AR356" s="1120"/>
      <c r="AS356" s="1396"/>
      <c r="AT356" s="1123"/>
      <c r="AU356" s="831"/>
      <c r="AV356" s="1392">
        <f t="shared" si="636"/>
        <v>45899</v>
      </c>
      <c r="AW356" s="1396"/>
      <c r="AX356" s="529">
        <f t="shared" si="656"/>
        <v>45899</v>
      </c>
      <c r="AY356" s="541">
        <f t="shared" si="657"/>
        <v>0</v>
      </c>
      <c r="AZ356" s="538" t="s">
        <v>146</v>
      </c>
      <c r="BA356" s="534">
        <f t="shared" si="658"/>
        <v>0</v>
      </c>
      <c r="BB356" s="567" t="str">
        <f t="shared" si="637"/>
        <v/>
      </c>
      <c r="BC356" s="541">
        <f t="shared" si="659"/>
        <v>0</v>
      </c>
      <c r="BD356" s="541">
        <f t="shared" si="660"/>
        <v>0</v>
      </c>
      <c r="BE356" s="750"/>
      <c r="BF356" s="532" t="str">
        <f t="shared" si="638"/>
        <v/>
      </c>
      <c r="BG356" s="532" t="str">
        <f t="shared" si="661"/>
        <v>oui</v>
      </c>
      <c r="BH356" s="395" t="str">
        <f t="shared" si="639"/>
        <v/>
      </c>
      <c r="BI356" s="24" t="str">
        <f t="shared" si="640"/>
        <v/>
      </c>
      <c r="BJ356" s="1404"/>
      <c r="BK356" s="1404"/>
      <c r="BL356" s="1404"/>
      <c r="BM356" s="1404"/>
      <c r="BN356" s="1404"/>
      <c r="BO356" s="1404"/>
      <c r="BP356" s="1404"/>
      <c r="BQ356" s="1404"/>
      <c r="BR356" s="1405"/>
      <c r="BS356" s="1392">
        <f t="shared" si="607"/>
        <v>45899</v>
      </c>
      <c r="BT356" s="1406" t="str">
        <f t="shared" si="669"/>
        <v/>
      </c>
      <c r="BU356" s="1404"/>
      <c r="BV356" s="1404"/>
      <c r="BW356" s="1404"/>
      <c r="BX356" s="1404"/>
      <c r="BY356" s="1404"/>
      <c r="BZ356" s="1404"/>
      <c r="CA356" s="1404"/>
      <c r="CB356" s="1404"/>
      <c r="CD356" s="1408">
        <f t="shared" si="662"/>
        <v>0</v>
      </c>
      <c r="DC356" s="16" t="str">
        <f>Aout!FC49</f>
        <v>non</v>
      </c>
      <c r="DG356" s="333">
        <f t="shared" si="663"/>
        <v>1</v>
      </c>
      <c r="DH356" s="129">
        <f t="shared" si="641"/>
        <v>10</v>
      </c>
      <c r="DI356" s="129">
        <f t="shared" si="664"/>
        <v>1</v>
      </c>
      <c r="DK356" s="16">
        <f>+IF(AND(Aout!$DP$8&lt;&gt;52,AR356=S.CAL!$BJ$4),10,1)</f>
        <v>1</v>
      </c>
      <c r="DN356" s="16">
        <f t="shared" si="642"/>
        <v>1</v>
      </c>
      <c r="DU356" s="1296" t="str">
        <f t="shared" si="665"/>
        <v>Fiche infoA645899</v>
      </c>
      <c r="DV356" s="1384">
        <f t="shared" si="643"/>
        <v>0</v>
      </c>
      <c r="DW356" s="1385">
        <f t="shared" si="644"/>
        <v>0</v>
      </c>
      <c r="DX356" s="1385">
        <f t="shared" si="645"/>
        <v>0</v>
      </c>
      <c r="DY356" s="1385">
        <f t="shared" si="646"/>
        <v>0</v>
      </c>
      <c r="DZ356" s="1385">
        <f t="shared" si="647"/>
        <v>0</v>
      </c>
      <c r="EA356" s="1385">
        <f t="shared" si="648"/>
        <v>0</v>
      </c>
      <c r="EB356" s="1385">
        <f t="shared" si="649"/>
        <v>0</v>
      </c>
      <c r="EC356" s="1385">
        <f t="shared" si="650"/>
        <v>0</v>
      </c>
      <c r="ED356" s="1385">
        <f t="shared" si="666"/>
        <v>0</v>
      </c>
      <c r="EE356" s="1386">
        <f t="shared" si="667"/>
        <v>0</v>
      </c>
      <c r="EG356" s="16" t="str">
        <f t="shared" si="668"/>
        <v>352025</v>
      </c>
      <c r="EH356" s="16" t="str">
        <f t="shared" si="651"/>
        <v>Fiche infoA6</v>
      </c>
      <c r="EI356" s="16" t="str">
        <f t="shared" si="652"/>
        <v/>
      </c>
    </row>
    <row r="357" spans="1:145" x14ac:dyDescent="0.2">
      <c r="A357" s="24" t="str">
        <f>Aout!BJ50</f>
        <v>Fiche infoA7</v>
      </c>
      <c r="B357" s="830">
        <f>Aout!AB50</f>
        <v>45900</v>
      </c>
      <c r="C357" s="1393"/>
      <c r="D357" s="1003">
        <f t="shared" si="608"/>
        <v>0</v>
      </c>
      <c r="E357" s="1004">
        <f t="shared" si="609"/>
        <v>0</v>
      </c>
      <c r="F357" s="1004">
        <f t="shared" si="610"/>
        <v>0</v>
      </c>
      <c r="G357" s="1004">
        <f t="shared" si="611"/>
        <v>0</v>
      </c>
      <c r="H357" s="1004">
        <f t="shared" si="612"/>
        <v>0</v>
      </c>
      <c r="I357" s="1004">
        <f t="shared" si="613"/>
        <v>0</v>
      </c>
      <c r="J357" s="1004">
        <f t="shared" si="614"/>
        <v>0</v>
      </c>
      <c r="K357" s="1004">
        <f t="shared" si="615"/>
        <v>0</v>
      </c>
      <c r="L357" s="1004">
        <f t="shared" si="653"/>
        <v>0</v>
      </c>
      <c r="M357" s="1005">
        <f t="shared" si="654"/>
        <v>0</v>
      </c>
      <c r="O357" s="1003">
        <f t="shared" si="670"/>
        <v>0</v>
      </c>
      <c r="P357" s="1004">
        <f t="shared" si="671"/>
        <v>0</v>
      </c>
      <c r="Q357" s="1004">
        <f t="shared" si="672"/>
        <v>0</v>
      </c>
      <c r="R357" s="1004">
        <f t="shared" si="673"/>
        <v>0</v>
      </c>
      <c r="S357" s="1004">
        <f t="shared" si="674"/>
        <v>0</v>
      </c>
      <c r="T357" s="1004">
        <f t="shared" si="675"/>
        <v>0</v>
      </c>
      <c r="U357" s="1004">
        <f t="shared" si="676"/>
        <v>0</v>
      </c>
      <c r="V357" s="1004">
        <f t="shared" si="677"/>
        <v>0</v>
      </c>
      <c r="W357" s="1004">
        <f t="shared" si="624"/>
        <v>0</v>
      </c>
      <c r="X357" s="1005">
        <f t="shared" si="625"/>
        <v>0</v>
      </c>
      <c r="Y357" s="459"/>
      <c r="Z357" s="291">
        <f t="shared" si="626"/>
        <v>0</v>
      </c>
      <c r="AA357" s="291">
        <f t="shared" si="627"/>
        <v>0</v>
      </c>
      <c r="AB357" s="291">
        <f t="shared" si="628"/>
        <v>0</v>
      </c>
      <c r="AC357" s="291">
        <f t="shared" si="629"/>
        <v>0</v>
      </c>
      <c r="AD357" s="291">
        <f t="shared" si="630"/>
        <v>0</v>
      </c>
      <c r="AE357" s="291">
        <f t="shared" si="631"/>
        <v>0</v>
      </c>
      <c r="AF357" s="291">
        <f t="shared" si="632"/>
        <v>0</v>
      </c>
      <c r="AG357" s="291">
        <f t="shared" si="633"/>
        <v>0</v>
      </c>
      <c r="AI357" s="462">
        <f t="shared" si="678"/>
        <v>0</v>
      </c>
      <c r="AJ357" s="1112"/>
      <c r="AK357" s="507"/>
      <c r="AL357" s="830">
        <f t="shared" si="635"/>
        <v>45900</v>
      </c>
      <c r="AM357" s="517">
        <f>IFERROR(IF(AND(AT357="",AR357&lt;&gt;S.CAL!$BJ$3,AR357&lt;&gt;S.CAL!$BJ$4,$AR$320="NON"),M357-BD357,IF(AND(AT357="",AR357&lt;&gt;S.CAL!$BJ$3,AR357&lt;&gt;S.CAL!$BJ$4,$AR$320="OUI"),X357-AI357,IF(AT357&lt;&gt;0,AT357,IF(OR(AR357=S.CAL!$BJ$3,AR357=S.CAL!$BJ$4),AR357,"")))),"")</f>
        <v>0</v>
      </c>
      <c r="AN357" s="1117"/>
      <c r="AO357" s="1118"/>
      <c r="AP357" s="517">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516">
        <f t="shared" si="655"/>
        <v>0</v>
      </c>
      <c r="AR357" s="1121"/>
      <c r="AT357" s="1124"/>
      <c r="AU357" s="832"/>
      <c r="AV357" s="830">
        <f t="shared" si="636"/>
        <v>45900</v>
      </c>
      <c r="AX357" s="529">
        <f t="shared" si="656"/>
        <v>45900</v>
      </c>
      <c r="AY357" s="542">
        <f t="shared" si="657"/>
        <v>0</v>
      </c>
      <c r="AZ357" s="539" t="s">
        <v>146</v>
      </c>
      <c r="BA357" s="552">
        <f t="shared" si="658"/>
        <v>0</v>
      </c>
      <c r="BB357" s="540" t="str">
        <f t="shared" si="637"/>
        <v/>
      </c>
      <c r="BC357" s="542">
        <f t="shared" si="659"/>
        <v>0</v>
      </c>
      <c r="BD357" s="542">
        <f t="shared" si="660"/>
        <v>0</v>
      </c>
      <c r="BE357" s="509"/>
      <c r="BF357" s="532" t="str">
        <f t="shared" si="638"/>
        <v/>
      </c>
      <c r="BG357" s="532" t="str">
        <f t="shared" si="661"/>
        <v>oui</v>
      </c>
      <c r="BH357" s="395" t="str">
        <f t="shared" si="639"/>
        <v/>
      </c>
      <c r="BI357" s="24" t="str">
        <f t="shared" si="640"/>
        <v/>
      </c>
      <c r="BJ357" s="1403"/>
      <c r="BK357" s="1403"/>
      <c r="BL357" s="1403"/>
      <c r="BM357" s="1403"/>
      <c r="BN357" s="1403"/>
      <c r="BO357" s="1403"/>
      <c r="BP357" s="1403"/>
      <c r="BQ357" s="1403"/>
      <c r="BS357" s="830">
        <f t="shared" si="607"/>
        <v>45900</v>
      </c>
      <c r="BT357" s="27" t="str">
        <f t="shared" si="669"/>
        <v/>
      </c>
      <c r="BU357" s="1402"/>
      <c r="BV357" s="1402"/>
      <c r="BW357" s="1402"/>
      <c r="BX357" s="1402"/>
      <c r="BY357" s="1402"/>
      <c r="BZ357" s="1402"/>
      <c r="CA357" s="1402"/>
      <c r="CB357" s="1402"/>
      <c r="CD357" s="1409">
        <f t="shared" si="662"/>
        <v>0</v>
      </c>
      <c r="DC357" s="16" t="str">
        <f>Aout!FC50</f>
        <v>non</v>
      </c>
      <c r="DG357" s="333">
        <f t="shared" si="663"/>
        <v>1</v>
      </c>
      <c r="DH357" s="129">
        <f t="shared" si="641"/>
        <v>10</v>
      </c>
      <c r="DI357" s="129">
        <f t="shared" si="664"/>
        <v>1</v>
      </c>
      <c r="DK357" s="16">
        <f>+IF(AND(Aout!$DP$8&lt;&gt;52,AR357=S.CAL!$BJ$4),10,1)</f>
        <v>1</v>
      </c>
      <c r="DN357" s="16">
        <f t="shared" si="642"/>
        <v>1</v>
      </c>
      <c r="DU357" s="1296" t="str">
        <f t="shared" si="665"/>
        <v>Fiche infoA745900</v>
      </c>
      <c r="DV357" s="1384">
        <f t="shared" si="643"/>
        <v>0</v>
      </c>
      <c r="DW357" s="1385">
        <f t="shared" si="644"/>
        <v>0</v>
      </c>
      <c r="DX357" s="1385">
        <f t="shared" si="645"/>
        <v>0</v>
      </c>
      <c r="DY357" s="1385">
        <f t="shared" si="646"/>
        <v>0</v>
      </c>
      <c r="DZ357" s="1385">
        <f t="shared" si="647"/>
        <v>0</v>
      </c>
      <c r="EA357" s="1385">
        <f t="shared" si="648"/>
        <v>0</v>
      </c>
      <c r="EB357" s="1385">
        <f t="shared" si="649"/>
        <v>0</v>
      </c>
      <c r="EC357" s="1385">
        <f t="shared" si="650"/>
        <v>0</v>
      </c>
      <c r="ED357" s="1385">
        <f t="shared" si="666"/>
        <v>0</v>
      </c>
      <c r="EE357" s="1386">
        <f t="shared" si="667"/>
        <v>0</v>
      </c>
      <c r="EG357" s="16" t="str">
        <f t="shared" si="668"/>
        <v>352025</v>
      </c>
      <c r="EH357" s="16" t="str">
        <f t="shared" si="651"/>
        <v>Fiche infoA7</v>
      </c>
      <c r="EI357" s="16" t="str">
        <f t="shared" si="652"/>
        <v/>
      </c>
    </row>
    <row r="358" spans="1:145" x14ac:dyDescent="0.2">
      <c r="AM358" s="554">
        <f>SUM(AM327:AM357)</f>
        <v>0</v>
      </c>
      <c r="AN358" s="518">
        <f>SUM(AN327:AN357)</f>
        <v>0</v>
      </c>
      <c r="AO358" s="518">
        <f>SUM(AO327:AO357)</f>
        <v>0</v>
      </c>
      <c r="AP358" s="519">
        <f>SUM(AP327:AP357)</f>
        <v>0</v>
      </c>
      <c r="BD358" s="555">
        <f>SUM(BD327:BD357)</f>
        <v>0</v>
      </c>
      <c r="EE358" s="1386"/>
    </row>
    <row r="359" spans="1:145" x14ac:dyDescent="0.2">
      <c r="X359" s="29" t="s">
        <v>450</v>
      </c>
      <c r="Y359" s="29"/>
      <c r="Z359" s="29"/>
      <c r="AA359" s="29"/>
      <c r="AB359" s="29"/>
      <c r="AC359" s="29"/>
      <c r="AD359" s="29"/>
      <c r="AE359" s="29"/>
      <c r="AF359" s="29"/>
      <c r="AG359" s="29"/>
      <c r="AI359" s="463">
        <f>SUM(AI327:AI357)</f>
        <v>0</v>
      </c>
      <c r="AJ359" s="19"/>
      <c r="AK359" s="19"/>
      <c r="AL359" s="19"/>
      <c r="AM359" s="19"/>
      <c r="AN359" s="19"/>
      <c r="AO359" s="19"/>
      <c r="AP359" s="19"/>
      <c r="AQ359" s="512"/>
    </row>
    <row r="361" spans="1:145" ht="23.25" x14ac:dyDescent="0.35">
      <c r="B361" s="453" t="s">
        <v>806</v>
      </c>
      <c r="C361" s="453"/>
      <c r="D361" s="453"/>
      <c r="BS361" s="19" t="s">
        <v>1552</v>
      </c>
      <c r="EK361" s="16" t="str">
        <f>+EG371</f>
        <v>numero sem</v>
      </c>
      <c r="EL361" s="27" t="s">
        <v>1546</v>
      </c>
      <c r="EM361" s="27" t="s">
        <v>1547</v>
      </c>
      <c r="EN361" s="16" t="s">
        <v>1548</v>
      </c>
    </row>
    <row r="362" spans="1:145" ht="13.5" thickBot="1" x14ac:dyDescent="0.25">
      <c r="AR362" s="1713" t="s">
        <v>1003</v>
      </c>
      <c r="AS362" s="1714"/>
      <c r="AT362" s="1715"/>
      <c r="BT362" s="29" t="s">
        <v>1555</v>
      </c>
      <c r="BU362" s="27" t="str">
        <f>+IFERROR(EJ362,"")</f>
        <v>36</v>
      </c>
      <c r="BV362" s="53" t="str">
        <f>IF(BU362="","",+EN362)</f>
        <v>non</v>
      </c>
      <c r="BW362" s="1711" t="str">
        <f>+IF(BV362="oui", "Ecart "&amp;EO362&amp;" hrs","")</f>
        <v/>
      </c>
      <c r="BX362" s="1711"/>
      <c r="EJ362" s="16" t="str">
        <f>LEFT(EK362,LEN(EK362)-4)</f>
        <v>36</v>
      </c>
      <c r="EK362" s="16" t="str" cm="1">
        <f t="array" ref="EK362">IFERROR(INDEX(EG372:EG402,MATCH(0,INDEX(COUNTIF(EK361:EK361,EG372:EG402),0,0),0)),"")</f>
        <v>362025</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805</v>
      </c>
      <c r="D363" s="1710">
        <f>+Identification!$B$7</f>
        <v>0</v>
      </c>
      <c r="E363" s="1710"/>
      <c r="F363" s="1710"/>
      <c r="G363" s="1710"/>
      <c r="O363" s="454" t="s">
        <v>84</v>
      </c>
      <c r="P363" s="32"/>
      <c r="Q363" s="33"/>
      <c r="R363" s="454" t="s">
        <v>149</v>
      </c>
      <c r="S363" s="32"/>
      <c r="T363" s="32"/>
      <c r="U363" s="32"/>
      <c r="V363" s="32"/>
      <c r="W363" s="32"/>
      <c r="X363" s="33"/>
      <c r="AR363" s="1716"/>
      <c r="AS363" s="1717"/>
      <c r="AT363" s="1718"/>
      <c r="BU363" s="27" t="str">
        <f t="shared" ref="BU363:BU367" si="680">+IFERROR(EJ363,"")</f>
        <v>37</v>
      </c>
      <c r="BV363" s="53" t="str">
        <f t="shared" ref="BV363:BV367" si="681">IF(BU363="","",+EN363)</f>
        <v>non</v>
      </c>
      <c r="BW363" s="1711" t="str">
        <f t="shared" ref="BW363:BW367" si="682">+IF(BV363="oui", "Ecart "&amp;EO363&amp;" hrs","")</f>
        <v/>
      </c>
      <c r="BX363" s="1711"/>
      <c r="EJ363" s="16" t="str">
        <f t="shared" ref="EJ363:EJ368" si="683">LEFT(EK363,LEN(EK363)-4)</f>
        <v>37</v>
      </c>
      <c r="EK363" s="16" t="str" cm="1">
        <f t="array" ref="EK363">IFERROR(INDEX(EG372:EG402,MATCH(0,INDEX(COUNTIF(EK361:EK362,EG372:EG402),0,0),0)),"")</f>
        <v>372025</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21"/>
      <c r="S364" s="1722"/>
      <c r="T364" s="1722"/>
      <c r="U364" s="1722"/>
      <c r="V364" s="1722"/>
      <c r="W364" s="1722"/>
      <c r="X364" s="1723"/>
      <c r="Y364" s="460"/>
      <c r="Z364" s="460"/>
      <c r="AA364" s="460"/>
      <c r="AB364" s="460"/>
      <c r="AC364" s="460"/>
      <c r="AD364" s="460"/>
      <c r="AE364" s="460"/>
      <c r="AF364" s="460"/>
      <c r="AG364" s="460"/>
      <c r="AR364" s="1716"/>
      <c r="AS364" s="1717"/>
      <c r="AT364" s="1718"/>
      <c r="BU364" s="27" t="str">
        <f t="shared" si="680"/>
        <v>38</v>
      </c>
      <c r="BV364" s="53" t="str">
        <f t="shared" si="681"/>
        <v>non</v>
      </c>
      <c r="BW364" s="1711" t="str">
        <f t="shared" si="682"/>
        <v/>
      </c>
      <c r="BX364" s="1711"/>
      <c r="EJ364" s="16" t="str">
        <f t="shared" si="683"/>
        <v>38</v>
      </c>
      <c r="EK364" s="16" t="str">
        <f t="array" ref="EK364">IFERROR(INDEX(EG372:EG402,MATCH(0,INDEX(COUNTIF(EK361:EK363,EG372:EG402),0,0),0)),"")</f>
        <v>382025</v>
      </c>
      <c r="EL364" s="27">
        <f t="shared" si="684"/>
        <v>0</v>
      </c>
      <c r="EM364" s="27">
        <f t="shared" si="685"/>
        <v>0</v>
      </c>
      <c r="EN364" s="16" t="str">
        <f t="shared" si="679"/>
        <v>non</v>
      </c>
      <c r="EO364" s="16">
        <f t="shared" si="686"/>
        <v>0</v>
      </c>
    </row>
    <row r="365" spans="1:145" x14ac:dyDescent="0.2">
      <c r="C365" s="39" t="s">
        <v>29</v>
      </c>
      <c r="D365" s="1710">
        <f>+Identification!$B$25</f>
        <v>0</v>
      </c>
      <c r="E365" s="1710"/>
      <c r="O365" s="35"/>
      <c r="Q365" s="36"/>
      <c r="R365" s="1721"/>
      <c r="S365" s="1722"/>
      <c r="T365" s="1722"/>
      <c r="U365" s="1722"/>
      <c r="V365" s="1722"/>
      <c r="W365" s="1722"/>
      <c r="X365" s="1723"/>
      <c r="Y365" s="460"/>
      <c r="Z365" s="460"/>
      <c r="AA365" s="460"/>
      <c r="AB365" s="460"/>
      <c r="AC365" s="460"/>
      <c r="AD365" s="460"/>
      <c r="AE365" s="460"/>
      <c r="AF365" s="460"/>
      <c r="AG365" s="460"/>
      <c r="AL365" s="16" t="str">
        <f t="shared" ref="AL365" si="687">C368</f>
        <v>Mois :</v>
      </c>
      <c r="AM365" s="1712">
        <f t="shared" ref="AM365" si="688">D368</f>
        <v>45901</v>
      </c>
      <c r="AN365" s="1712">
        <f t="shared" ref="AN365" si="689">E368</f>
        <v>0</v>
      </c>
      <c r="AR365" s="557" t="str">
        <f>IF(AT365="",AR320,AT365)</f>
        <v>NON</v>
      </c>
      <c r="AS365" s="556" t="s">
        <v>503</v>
      </c>
      <c r="AT365" s="1105"/>
      <c r="BJ365" s="16" t="str">
        <f t="shared" ref="BJ365" si="690">AL365</f>
        <v>Mois :</v>
      </c>
      <c r="BK365" s="1712">
        <f t="shared" ref="BK365" si="691">AM365</f>
        <v>45901</v>
      </c>
      <c r="BL365" s="1712"/>
      <c r="BU365" s="27" t="str">
        <f t="shared" si="680"/>
        <v>39</v>
      </c>
      <c r="BV365" s="53" t="str">
        <f t="shared" si="681"/>
        <v>non</v>
      </c>
      <c r="BW365" s="1711" t="str">
        <f t="shared" si="682"/>
        <v/>
      </c>
      <c r="BX365" s="1711"/>
      <c r="EJ365" s="16" t="str">
        <f t="shared" si="683"/>
        <v>39</v>
      </c>
      <c r="EK365" s="16" t="str">
        <f t="array" ref="EK365">IFERROR(INDEX(EG372:EG402,MATCH(0,INDEX(COUNTIF(EK361:EK364,EG372:EG402),0,0),0)),"")</f>
        <v>392025</v>
      </c>
      <c r="EL365" s="27">
        <f t="shared" si="684"/>
        <v>0</v>
      </c>
      <c r="EM365" s="27">
        <f t="shared" si="685"/>
        <v>0</v>
      </c>
      <c r="EN365" s="16" t="str">
        <f t="shared" si="679"/>
        <v>non</v>
      </c>
      <c r="EO365" s="16">
        <f t="shared" si="686"/>
        <v>0</v>
      </c>
    </row>
    <row r="366" spans="1:145" ht="13.5" thickBot="1" x14ac:dyDescent="0.25">
      <c r="O366" s="42"/>
      <c r="P366" s="43"/>
      <c r="Q366" s="44"/>
      <c r="R366" s="1724"/>
      <c r="S366" s="1725"/>
      <c r="T366" s="1725"/>
      <c r="U366" s="1725"/>
      <c r="V366" s="1725"/>
      <c r="W366" s="1725"/>
      <c r="X366" s="1726"/>
      <c r="Y366" s="460"/>
      <c r="Z366" s="460"/>
      <c r="AA366" s="460"/>
      <c r="AB366" s="460"/>
      <c r="AC366" s="460"/>
      <c r="AD366" s="460"/>
      <c r="AE366" s="460"/>
      <c r="AF366" s="460"/>
      <c r="AG366" s="460"/>
      <c r="BU366" s="27" t="str">
        <f t="shared" si="680"/>
        <v>40</v>
      </c>
      <c r="BV366" s="53" t="str">
        <f t="shared" si="681"/>
        <v>non</v>
      </c>
      <c r="BW366" s="1711" t="str">
        <f t="shared" si="682"/>
        <v/>
      </c>
      <c r="BX366" s="1711"/>
      <c r="EJ366" s="16" t="str">
        <f t="shared" si="683"/>
        <v>40</v>
      </c>
      <c r="EK366" s="16" t="str">
        <f t="array" ref="EK366">IFERROR(INDEX(EG372:EG402,MATCH(0,INDEX(COUNTIF(EK361:EK365,EG372:EG402),0,0),0)),"")</f>
        <v>402025</v>
      </c>
      <c r="EL366" s="27">
        <f t="shared" si="684"/>
        <v>0</v>
      </c>
      <c r="EM366" s="27">
        <f t="shared" si="685"/>
        <v>0</v>
      </c>
      <c r="EN366" s="16" t="str">
        <f t="shared" si="679"/>
        <v>non</v>
      </c>
      <c r="EO366" s="16">
        <f t="shared" si="686"/>
        <v>0</v>
      </c>
    </row>
    <row r="367" spans="1:145" ht="13.5" thickTop="1" x14ac:dyDescent="0.2">
      <c r="AI367" s="553" t="s">
        <v>1000</v>
      </c>
      <c r="BU367" s="27" t="str">
        <f t="shared" si="680"/>
        <v/>
      </c>
      <c r="BV367" s="53" t="str">
        <f t="shared" si="681"/>
        <v/>
      </c>
      <c r="BW367" s="1711" t="str">
        <f t="shared" si="682"/>
        <v/>
      </c>
      <c r="BX367" s="1711"/>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32</v>
      </c>
      <c r="D368" s="1712">
        <f>+Septembre!X3</f>
        <v>45901</v>
      </c>
      <c r="E368" s="1712"/>
      <c r="F368" s="39" t="s">
        <v>12</v>
      </c>
      <c r="G368" s="63">
        <f>+Septembre!X4</f>
        <v>2025</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20" t="s">
        <v>974</v>
      </c>
      <c r="AM369" s="1720"/>
      <c r="AN369" s="1720"/>
      <c r="AO369" s="1720"/>
      <c r="AP369" s="1720"/>
      <c r="AQ369" s="510"/>
      <c r="AT369" s="1719" t="s">
        <v>761</v>
      </c>
      <c r="AU369" s="1719"/>
      <c r="AV369" s="1719"/>
      <c r="AW369" s="63"/>
      <c r="AX369" s="63"/>
      <c r="AY369" s="535" t="s">
        <v>989</v>
      </c>
      <c r="AZ369" s="536"/>
      <c r="BA369" s="536"/>
      <c r="BB369" s="536"/>
      <c r="BC369" s="537"/>
      <c r="BD369" s="537"/>
      <c r="BE369" s="537"/>
      <c r="BF369" s="530"/>
      <c r="BG369" s="530"/>
      <c r="BJ369" s="455"/>
      <c r="BK369" s="455"/>
      <c r="BL369" s="455"/>
      <c r="BM369" s="455"/>
      <c r="BN369" s="455"/>
      <c r="BO369" s="455"/>
      <c r="BP369" s="455"/>
      <c r="BQ369" s="455"/>
      <c r="BU369" s="456"/>
      <c r="BV369" s="456"/>
      <c r="BW369" s="456"/>
      <c r="BX369" s="456"/>
      <c r="BY369" s="456"/>
      <c r="BZ369" s="456"/>
      <c r="CA369" s="456"/>
      <c r="CB369" s="456"/>
    </row>
    <row r="370" spans="1:139" ht="15" customHeight="1" x14ac:dyDescent="0.2">
      <c r="D370" s="457" t="s">
        <v>803</v>
      </c>
      <c r="E370" s="456"/>
      <c r="F370" s="456"/>
      <c r="G370" s="456"/>
      <c r="H370" s="456"/>
      <c r="I370" s="456"/>
      <c r="J370" s="456"/>
      <c r="K370" s="456"/>
      <c r="L370" s="456"/>
      <c r="M370" s="456"/>
      <c r="O370" s="458" t="s">
        <v>802</v>
      </c>
      <c r="P370" s="455"/>
      <c r="Q370" s="455"/>
      <c r="R370" s="455"/>
      <c r="S370" s="455"/>
      <c r="T370" s="455"/>
      <c r="U370" s="455"/>
      <c r="V370" s="455"/>
      <c r="W370" s="455"/>
      <c r="X370" s="455"/>
      <c r="BJ370" s="1109" t="s">
        <v>804</v>
      </c>
      <c r="BK370" s="1110"/>
      <c r="BL370" s="1110"/>
      <c r="BM370" s="1110"/>
      <c r="BN370" s="1110"/>
      <c r="BO370" s="1110"/>
      <c r="BP370" s="1110"/>
      <c r="BQ370" s="1110"/>
      <c r="BU370" s="1109" t="s">
        <v>1394</v>
      </c>
      <c r="BV370" s="1110"/>
      <c r="BW370" s="1110"/>
      <c r="BX370" s="1110"/>
      <c r="BY370" s="1110"/>
      <c r="BZ370" s="1110"/>
      <c r="CA370" s="1110"/>
      <c r="CB370" s="1110"/>
      <c r="DG370" s="333" t="s">
        <v>1349</v>
      </c>
      <c r="DH370" s="129"/>
      <c r="DI370" s="129"/>
      <c r="DK370" s="129" t="s">
        <v>1354</v>
      </c>
      <c r="DN370" s="16" t="s">
        <v>1357</v>
      </c>
      <c r="DV370" s="843" t="s">
        <v>1549</v>
      </c>
      <c r="DW370" s="843"/>
      <c r="DX370" s="843"/>
      <c r="DY370" s="843"/>
      <c r="DZ370" s="843"/>
      <c r="EA370" s="843"/>
      <c r="EB370" s="843"/>
      <c r="EC370" s="843"/>
      <c r="ED370" s="843"/>
      <c r="EE370" s="843"/>
    </row>
    <row r="371" spans="1:139" ht="56.25" customHeight="1" x14ac:dyDescent="0.2">
      <c r="A371" s="24" t="s">
        <v>801</v>
      </c>
      <c r="B371" s="450" t="s">
        <v>16</v>
      </c>
      <c r="C371" s="451"/>
      <c r="D371" s="450" t="s">
        <v>228</v>
      </c>
      <c r="E371" s="450" t="s">
        <v>229</v>
      </c>
      <c r="F371" s="450" t="s">
        <v>230</v>
      </c>
      <c r="G371" s="450" t="s">
        <v>231</v>
      </c>
      <c r="H371" s="450" t="s">
        <v>533</v>
      </c>
      <c r="I371" s="450" t="s">
        <v>534</v>
      </c>
      <c r="J371" s="450" t="s">
        <v>535</v>
      </c>
      <c r="K371" s="450" t="s">
        <v>536</v>
      </c>
      <c r="L371" s="450" t="s">
        <v>191</v>
      </c>
      <c r="M371" s="450" t="s">
        <v>192</v>
      </c>
      <c r="N371" s="451"/>
      <c r="O371" s="450" t="s">
        <v>228</v>
      </c>
      <c r="P371" s="450" t="s">
        <v>229</v>
      </c>
      <c r="Q371" s="450" t="s">
        <v>230</v>
      </c>
      <c r="R371" s="450" t="s">
        <v>231</v>
      </c>
      <c r="S371" s="450" t="s">
        <v>533</v>
      </c>
      <c r="T371" s="450" t="s">
        <v>534</v>
      </c>
      <c r="U371" s="450" t="s">
        <v>535</v>
      </c>
      <c r="V371" s="450" t="s">
        <v>536</v>
      </c>
      <c r="W371" s="450" t="s">
        <v>191</v>
      </c>
      <c r="X371" s="450" t="s">
        <v>192</v>
      </c>
      <c r="Y371" s="451"/>
      <c r="Z371" s="450" t="s">
        <v>808</v>
      </c>
      <c r="AA371" s="450" t="s">
        <v>809</v>
      </c>
      <c r="AB371" s="450" t="s">
        <v>810</v>
      </c>
      <c r="AC371" s="450" t="s">
        <v>811</v>
      </c>
      <c r="AD371" s="450" t="s">
        <v>812</v>
      </c>
      <c r="AE371" s="450" t="s">
        <v>813</v>
      </c>
      <c r="AF371" s="450" t="s">
        <v>814</v>
      </c>
      <c r="AG371" s="450" t="s">
        <v>815</v>
      </c>
      <c r="AI371" s="450" t="s">
        <v>816</v>
      </c>
      <c r="AJ371" s="450" t="s">
        <v>807</v>
      </c>
      <c r="AK371" s="451"/>
      <c r="AL371" s="513" t="s">
        <v>16</v>
      </c>
      <c r="AM371" s="548" t="s">
        <v>1017</v>
      </c>
      <c r="AN371" s="1106" t="s">
        <v>972</v>
      </c>
      <c r="AO371" s="1107" t="s">
        <v>973</v>
      </c>
      <c r="AP371" s="514" t="s">
        <v>1018</v>
      </c>
      <c r="AQ371" s="511"/>
      <c r="AR371" s="1108" t="s">
        <v>696</v>
      </c>
      <c r="AT371" s="1108" t="s">
        <v>1356</v>
      </c>
      <c r="AU371" s="1107" t="s">
        <v>1019</v>
      </c>
      <c r="AV371" s="450" t="s">
        <v>16</v>
      </c>
      <c r="AW371" s="451"/>
      <c r="AX371" s="451"/>
      <c r="AY371" s="547" t="s">
        <v>986</v>
      </c>
      <c r="AZ371" s="548" t="s">
        <v>992</v>
      </c>
      <c r="BA371" s="531" t="s">
        <v>990</v>
      </c>
      <c r="BB371" s="568" t="s">
        <v>991</v>
      </c>
      <c r="BC371" s="569" t="s">
        <v>1021</v>
      </c>
      <c r="BD371" s="568" t="s">
        <v>993</v>
      </c>
      <c r="BE371" s="570" t="s">
        <v>1020</v>
      </c>
      <c r="BF371" s="531" t="s">
        <v>994</v>
      </c>
      <c r="BG371" s="531" t="s">
        <v>999</v>
      </c>
      <c r="BI371" s="24" t="s">
        <v>1027</v>
      </c>
      <c r="BJ371" s="450" t="s">
        <v>228</v>
      </c>
      <c r="BK371" s="450" t="s">
        <v>229</v>
      </c>
      <c r="BL371" s="450" t="s">
        <v>230</v>
      </c>
      <c r="BM371" s="450" t="s">
        <v>231</v>
      </c>
      <c r="BN371" s="450" t="s">
        <v>533</v>
      </c>
      <c r="BO371" s="450" t="s">
        <v>534</v>
      </c>
      <c r="BP371" s="450" t="s">
        <v>535</v>
      </c>
      <c r="BQ371" s="450" t="s">
        <v>536</v>
      </c>
      <c r="BS371" s="1383" t="str">
        <f t="shared" ref="BS371:BS402" si="692">AV371</f>
        <v>Jours</v>
      </c>
      <c r="BU371" s="450" t="s">
        <v>228</v>
      </c>
      <c r="BV371" s="450" t="s">
        <v>229</v>
      </c>
      <c r="BW371" s="450" t="s">
        <v>230</v>
      </c>
      <c r="BX371" s="450" t="s">
        <v>231</v>
      </c>
      <c r="BY371" s="450" t="s">
        <v>533</v>
      </c>
      <c r="BZ371" s="450" t="s">
        <v>534</v>
      </c>
      <c r="CA371" s="450" t="s">
        <v>535</v>
      </c>
      <c r="CB371" s="450" t="s">
        <v>536</v>
      </c>
      <c r="CD371" s="1383" t="s">
        <v>1554</v>
      </c>
      <c r="CS371" s="506"/>
      <c r="CT371" s="506"/>
      <c r="CU371" s="506"/>
      <c r="CV371" s="506"/>
      <c r="DG371" s="333" t="s">
        <v>1350</v>
      </c>
      <c r="DH371" s="129" t="s">
        <v>1351</v>
      </c>
      <c r="DI371" s="129" t="s">
        <v>1353</v>
      </c>
      <c r="DK371" s="129" t="s">
        <v>1355</v>
      </c>
      <c r="DU371" s="1383" t="s">
        <v>247</v>
      </c>
      <c r="DV371" s="1383" t="s">
        <v>228</v>
      </c>
      <c r="DW371" s="1383" t="s">
        <v>229</v>
      </c>
      <c r="DX371" s="1383" t="s">
        <v>230</v>
      </c>
      <c r="DY371" s="1383" t="s">
        <v>231</v>
      </c>
      <c r="DZ371" s="1383" t="s">
        <v>533</v>
      </c>
      <c r="EA371" s="1383" t="s">
        <v>534</v>
      </c>
      <c r="EB371" s="1383" t="s">
        <v>535</v>
      </c>
      <c r="EC371" s="1383" t="s">
        <v>536</v>
      </c>
      <c r="ED371" s="1383" t="s">
        <v>191</v>
      </c>
      <c r="EE371" s="1383" t="s">
        <v>192</v>
      </c>
      <c r="EG371" s="1383" t="s">
        <v>1244</v>
      </c>
      <c r="EH371" s="1383" t="s">
        <v>1550</v>
      </c>
      <c r="EI371" s="1383" t="s">
        <v>1551</v>
      </c>
    </row>
    <row r="372" spans="1:139" x14ac:dyDescent="0.2">
      <c r="A372" s="24" t="str">
        <f>Septembre!BJ20</f>
        <v>Fiche infoA1</v>
      </c>
      <c r="B372" s="828">
        <f>Septembre!AB20</f>
        <v>45901</v>
      </c>
      <c r="C372" s="1393"/>
      <c r="D372" s="998">
        <f t="shared" ref="D372:D402" si="693">IF(AR372&lt;&gt;"",0,IF(DN372=10,0,IFERROR(+IF(BU372="",VLOOKUP(A372,base_horaire,2,FALSE),BU372),0)))</f>
        <v>0</v>
      </c>
      <c r="E372" s="999">
        <f t="shared" ref="E372:E402" si="694">IF(AR372&lt;&gt;"",0,IF(DN372=10,0,IFERROR(+IF(BV372="",VLOOKUP(A372,base_horaire,3,FALSE),BV372),0)))</f>
        <v>0</v>
      </c>
      <c r="F372" s="999">
        <f t="shared" ref="F372:F402" si="695">IF(AR372&lt;&gt;"",0,IF(DN372=10,0,IFERROR(+IF(BW372="",VLOOKUP(A372,base_horaire,4,FALSE),BW372),0)))</f>
        <v>0</v>
      </c>
      <c r="G372" s="999">
        <f t="shared" ref="G372:G402" si="696">IF(AR372&lt;&gt;"",0,IF(DN372=10,0,IFERROR(+IF(BX372="",VLOOKUP(A372,base_horaire,5,FALSE),BX372),0)))</f>
        <v>0</v>
      </c>
      <c r="H372" s="999">
        <f t="shared" ref="H372:H402" si="697">IF(AR372&lt;&gt;"",0,IF(DN372=10,0,IFERROR(+IF(BY372="",VLOOKUP(A372,base_horaire,6,FALSE),BY372),0)))</f>
        <v>0</v>
      </c>
      <c r="I372" s="999">
        <f t="shared" ref="I372:I402" si="698">IF(AR372&lt;&gt;"",0,IF(DN372=10,0,IFERROR(+IF(BZ372="",VLOOKUP(A372,base_horaire,7,FALSE),BZ372),0)))</f>
        <v>0</v>
      </c>
      <c r="J372" s="999">
        <f t="shared" ref="J372:J402" si="699">IF(AR372&lt;&gt;"",0,IF(DN372=10,0,IFERROR(+IF(CA372="",VLOOKUP(A372,base_horaire,8,FALSE),CA372),0)))</f>
        <v>0</v>
      </c>
      <c r="K372" s="999">
        <f t="shared" ref="K372:K402" si="700">IF(AR372&lt;&gt;"",0,IF(DN372=10,0,IFERROR(+IF(CB372="",VLOOKUP(A372,base_horaire,9,FALSE),CB372),0)))</f>
        <v>0</v>
      </c>
      <c r="L372" s="999">
        <f>+E372-D372+G372-F372+I372-H372+K372-J372</f>
        <v>0</v>
      </c>
      <c r="M372" s="1000">
        <f>ROUND(+L372*24,2)</f>
        <v>0</v>
      </c>
      <c r="O372" s="998">
        <f t="shared" ref="O372:O379" si="701">IF(AR372&lt;&gt;"",0,IF(DC372="oui",0,IF(AND(ISTEXT(AT372)=TRUE,BJ372=""),0,IF(BJ372="",D372,BJ372))))</f>
        <v>0</v>
      </c>
      <c r="P372" s="999">
        <f t="shared" ref="P372:P379" si="702">IF(AR372&lt;&gt;"",0,IF(DC372="oui",0,IF(AND(ISTEXT(AT372)=TRUE,BK372=""),0,IF(BK372="",E372,BK372))))</f>
        <v>0</v>
      </c>
      <c r="Q372" s="999">
        <f t="shared" ref="Q372:Q379" si="703">IF(AR372&lt;&gt;"",0,IF(DC372="oui",0,IF(AND(ISTEXT(AT372)=TRUE,BL372=""),0,IF(BL372="",F372,BL372))))</f>
        <v>0</v>
      </c>
      <c r="R372" s="999">
        <f t="shared" ref="R372:R379" si="704">IF(AR372&lt;&gt;"",0,IF(DC372="oui",0,IF(AND(ISTEXT(AT372)=TRUE,BM372=""),0,IF(BM372="",G372,BM372))))</f>
        <v>0</v>
      </c>
      <c r="S372" s="999">
        <f t="shared" ref="S372:S379" si="705">IF(AR372&lt;&gt;"",0,IF(DC372="oui",0,IF(AND(ISTEXT(AT372)=TRUE,BN372=""),0,IF(BN372="",H372,BN372))))</f>
        <v>0</v>
      </c>
      <c r="T372" s="999">
        <f t="shared" ref="T372:T379" si="706">IF(AR372&lt;&gt;"",0,IF(DC372="oui",0,IF(AND(ISTEXT(AT372)=TRUE,BO372=""),0,IF(BO372="",I372,BO372))))</f>
        <v>0</v>
      </c>
      <c r="U372" s="999">
        <f t="shared" ref="U372:U379" si="707">IF(AR372&lt;&gt;"",0,IF(DC372="oui",0,IF(AND(ISTEXT(AT372)=TRUE,BP372=""),0,IF(BP372="",J372,BP372))))</f>
        <v>0</v>
      </c>
      <c r="V372" s="999">
        <f t="shared" ref="V372:V379" si="708">IF(AR372&lt;&gt;"",0,IF(DC372="oui",0,IF(AND(ISTEXT(AT372)=TRUE,BQ372=""),0,IF(BQ372="",K372,BQ372))))</f>
        <v>0</v>
      </c>
      <c r="W372" s="999">
        <f t="shared" ref="W372:W402" si="709">+P372-O372+R372-Q372+T372-S372+V372-U372</f>
        <v>0</v>
      </c>
      <c r="X372" s="1000">
        <f t="shared" ref="X372:X402" si="710">ROUND(+W372*24,2)</f>
        <v>0</v>
      </c>
      <c r="Y372" s="459"/>
      <c r="Z372" s="291">
        <f t="shared" ref="Z372:Z402" si="711">+IF(AND(O372&gt;D372,D372&gt;0),D372,O372)</f>
        <v>0</v>
      </c>
      <c r="AA372" s="291">
        <f t="shared" ref="AA372:AA402" si="712">+IF(P372&gt;E372,P372,E372)</f>
        <v>0</v>
      </c>
      <c r="AB372" s="291">
        <f t="shared" ref="AB372:AB402" si="713">+IF(AND(Q372&gt;F372,F372&gt;0),F372,Q372)</f>
        <v>0</v>
      </c>
      <c r="AC372" s="291">
        <f t="shared" ref="AC372:AC402" si="714">+IF(R372&gt;G372,R372,G372)</f>
        <v>0</v>
      </c>
      <c r="AD372" s="291">
        <f t="shared" ref="AD372:AD402" si="715">+IF(AND(S372&gt;H372,H372&gt;0),H372,S372)</f>
        <v>0</v>
      </c>
      <c r="AE372" s="291">
        <f t="shared" ref="AE372:AE402" si="716">+IF(T372&gt;I372,T372,I372)</f>
        <v>0</v>
      </c>
      <c r="AF372" s="291">
        <f t="shared" ref="AF372:AF402" si="717">+IF(AND(U372&gt;J372,J372&gt;0),J372,U372)</f>
        <v>0</v>
      </c>
      <c r="AG372" s="291">
        <f t="shared" ref="AG372:AG402" si="718">+IF(V372&gt;K372,V372,K372)</f>
        <v>0</v>
      </c>
      <c r="AI372" s="461">
        <f t="shared" ref="AI372:AI379" si="719">IF(DC372="oui",0,IF(AND(ISTEXT(AT372)=TRUE,OR(X372=0,X372="")),0,ROUND(((((AA372-Z372)-(E372-D372))+((AC372-AB372)-(G372-F372))+((AE372-AD372)-(I372-H372))+(AG372-AF372)-(K372-J372))*24),2)))</f>
        <v>0</v>
      </c>
      <c r="AJ372" s="1111"/>
      <c r="AK372" s="507"/>
      <c r="AL372" s="828">
        <f t="shared" ref="AL372:AL402" si="720">B372</f>
        <v>45901</v>
      </c>
      <c r="AM372" s="515">
        <f>IFERROR(IF(AND(AT372="",AR372&lt;&gt;S.CAL!$BJ$3,AR372&lt;&gt;S.CAL!$BJ$4,$AR$365="NON"),M372-BD372,IF(AND(AT372="",AR372&lt;&gt;S.CAL!$BJ$3,AR372&lt;&gt;S.CAL!$BJ$4,$AR$365="OUI"),X372-AI372,IF(AT372&lt;&gt;0,AT372,IF(OR(AR372=S.CAL!$BJ$3,AR372=S.CAL!$BJ$4),AR372,"")))),"")</f>
        <v>0</v>
      </c>
      <c r="AN372" s="1113"/>
      <c r="AO372" s="1114"/>
      <c r="AP372" s="515">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516">
        <f>AI372-SUM(AN372:AO372)</f>
        <v>0</v>
      </c>
      <c r="AR372" s="1119"/>
      <c r="AT372" s="1122"/>
      <c r="AU372" s="831"/>
      <c r="AV372" s="1391">
        <f t="shared" ref="AV372:AV402" si="721">B372</f>
        <v>45901</v>
      </c>
      <c r="AX372" s="529">
        <f>+AV372</f>
        <v>45901</v>
      </c>
      <c r="AY372" s="546">
        <f>+IF(M372-X372&lt;0,0,M372-X372)</f>
        <v>0</v>
      </c>
      <c r="AZ372" s="549" t="s">
        <v>146</v>
      </c>
      <c r="BA372" s="550">
        <f>+IF(AZ372="OUI",AY372,0)</f>
        <v>0</v>
      </c>
      <c r="BB372" s="551" t="str">
        <f t="shared" ref="BB372:BB402" si="722">IF(AND(BE372="",+IFERROR(VLOOKUP(AT372,Liste_motif_formule,5,FALSE),0)="OUI"),"OUI",IF(AND(BE372="",IFERROR(VLOOKUP(AT372,Liste_motif_formule,5,FALSE),0)="NON"),"NON",IF(AND(BE372="",IFERROR(M372-AT372&gt;=0,0),AT372&lt;&gt;""),"OUI",IF(AND(BE372="",DC372="oui"),"OUI",IF(BE372&lt;&gt;"",BE372,"")))))</f>
        <v/>
      </c>
      <c r="BC372" s="546">
        <f>+IF(BB372="OUI",IFERROR(M372-AT372,M372),0)</f>
        <v>0</v>
      </c>
      <c r="BD372" s="546">
        <f>+BC372+BA372</f>
        <v>0</v>
      </c>
      <c r="BE372" s="1125"/>
      <c r="BF372" s="532" t="str">
        <f t="shared" ref="BF372:BF402" si="723">+IF(AND(AZ372="OUI",BB372="OUI"),"ERREUR","")</f>
        <v/>
      </c>
      <c r="BG372" s="532" t="str">
        <f>+IF(AND(M372=0,AT372=""),"oui","non")</f>
        <v>oui</v>
      </c>
      <c r="BH372" s="395" t="str">
        <f t="shared" ref="BH372:BH402" si="724">IFERROR(+VLOOKUP(AT372,Liste_motif_formule,4,FALSE),"")</f>
        <v/>
      </c>
      <c r="BI372" s="24" t="str">
        <f t="shared" ref="BI372:BI402" si="725">IFERROR(+VLOOKUP(AT372,Liste_motif_formule,5,FALSE),"")</f>
        <v/>
      </c>
      <c r="BJ372" s="1403"/>
      <c r="BK372" s="1403"/>
      <c r="BL372" s="1403"/>
      <c r="BM372" s="1403"/>
      <c r="BN372" s="1403"/>
      <c r="BO372" s="1403"/>
      <c r="BP372" s="1403"/>
      <c r="BQ372" s="1403"/>
      <c r="BS372" s="1391">
        <f t="shared" si="692"/>
        <v>45901</v>
      </c>
      <c r="BT372" s="27">
        <f>IFERROR(WEEKNUM(BS372,21),"")</f>
        <v>36</v>
      </c>
      <c r="BU372" s="1401"/>
      <c r="BV372" s="1401"/>
      <c r="BW372" s="1401"/>
      <c r="BX372" s="1401"/>
      <c r="BY372" s="1401"/>
      <c r="BZ372" s="1401"/>
      <c r="CA372" s="1401"/>
      <c r="CB372" s="1401"/>
      <c r="CD372" s="1407">
        <f>+M372</f>
        <v>0</v>
      </c>
      <c r="DC372" s="16" t="str">
        <f>Septembre!FC20</f>
        <v>non</v>
      </c>
      <c r="DG372" s="333">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96" t="str">
        <f>+A372&amp;B372</f>
        <v>Fiche infoA145901</v>
      </c>
      <c r="DV372" s="1384">
        <f t="shared" ref="DV372:DV402" si="728">+IFERROR(+IF(BU372="",VLOOKUP(A372,base_horaire,2,FALSE),BU372),0)</f>
        <v>0</v>
      </c>
      <c r="DW372" s="1385">
        <f t="shared" ref="DW372:DW402" si="729">+IFERROR(+IF(BV372="",VLOOKUP(A372,base_horaire,3,FALSE),BV372),0)</f>
        <v>0</v>
      </c>
      <c r="DX372" s="1385">
        <f t="shared" ref="DX372:DX402" si="730">+IFERROR(+IF(BW372="",VLOOKUP(A372,base_horaire,4,FALSE),BW372),0)</f>
        <v>0</v>
      </c>
      <c r="DY372" s="1385">
        <f t="shared" ref="DY372:DY402" si="731">+IFERROR(+IF(BX372="",VLOOKUP(A372,base_horaire,5,FALSE),BX372),0)</f>
        <v>0</v>
      </c>
      <c r="DZ372" s="1385">
        <f t="shared" ref="DZ372:DZ402" si="732">+IFERROR(+IF(BY372="",VLOOKUP(A372,base_horaire,6,FALSE),BY372),0)</f>
        <v>0</v>
      </c>
      <c r="EA372" s="1385">
        <f t="shared" ref="EA372:EA402" si="733">IFERROR(+IF(BZ372="",VLOOKUP(A372,base_horaire,7,FALSE),BZ372),0)</f>
        <v>0</v>
      </c>
      <c r="EB372" s="1385">
        <f t="shared" ref="EB372:EB402" si="734">IFERROR(+IF(CA372="",VLOOKUP(A372,base_horaire,8,FALSE),CA372),0)</f>
        <v>0</v>
      </c>
      <c r="EC372" s="1385">
        <f t="shared" ref="EC372:EC402" si="735">IFERROR(+IF(CB372="",VLOOKUP(A372,base_horaire,9,FALSE),CB372),0)</f>
        <v>0</v>
      </c>
      <c r="ED372" s="1385">
        <f>+DW372-DV372+DY372-DX372+EA372-DZ372+EC372-EB372</f>
        <v>0</v>
      </c>
      <c r="EE372" s="1386">
        <f>ROUND(+ED372*24,2)</f>
        <v>0</v>
      </c>
      <c r="EG372" s="16" t="str">
        <f>+WEEKNUM(B372,21)&amp;YEAR(B372)</f>
        <v>362025</v>
      </c>
      <c r="EH372" s="16" t="str">
        <f t="shared" ref="EH372:EH402" si="736">+A372</f>
        <v>Fiche infoA1</v>
      </c>
      <c r="EI372" s="16" t="str">
        <f t="shared" ref="EI372:EI402" si="737">+VLOOKUP(EH372,Base_heures,6,FALSE)</f>
        <v/>
      </c>
    </row>
    <row r="373" spans="1:139" x14ac:dyDescent="0.2">
      <c r="A373" s="1395" t="str">
        <f>Septembre!BJ21</f>
        <v>Fiche infoA2</v>
      </c>
      <c r="B373" s="829">
        <f>Septembre!AB21</f>
        <v>45902</v>
      </c>
      <c r="C373" s="1394"/>
      <c r="D373" s="1001">
        <f t="shared" si="693"/>
        <v>0</v>
      </c>
      <c r="E373" s="452">
        <f t="shared" si="694"/>
        <v>0</v>
      </c>
      <c r="F373" s="452">
        <f t="shared" si="695"/>
        <v>0</v>
      </c>
      <c r="G373" s="452">
        <f t="shared" si="696"/>
        <v>0</v>
      </c>
      <c r="H373" s="452">
        <f t="shared" si="697"/>
        <v>0</v>
      </c>
      <c r="I373" s="452">
        <f t="shared" si="698"/>
        <v>0</v>
      </c>
      <c r="J373" s="452">
        <f t="shared" si="699"/>
        <v>0</v>
      </c>
      <c r="K373" s="452">
        <f t="shared" si="700"/>
        <v>0</v>
      </c>
      <c r="L373" s="452">
        <f t="shared" ref="L373:L402" si="738">+E373-D373+G373-F373+I373-H373+K373-J373</f>
        <v>0</v>
      </c>
      <c r="M373" s="1002">
        <f t="shared" ref="M373:M402" si="739">ROUND(+L373*24,2)</f>
        <v>0</v>
      </c>
      <c r="N373" s="1396"/>
      <c r="O373" s="1001">
        <f t="shared" si="701"/>
        <v>0</v>
      </c>
      <c r="P373" s="452">
        <f t="shared" si="702"/>
        <v>0</v>
      </c>
      <c r="Q373" s="452">
        <f t="shared" si="703"/>
        <v>0</v>
      </c>
      <c r="R373" s="452">
        <f t="shared" si="704"/>
        <v>0</v>
      </c>
      <c r="S373" s="452">
        <f t="shared" si="705"/>
        <v>0</v>
      </c>
      <c r="T373" s="452">
        <f t="shared" si="706"/>
        <v>0</v>
      </c>
      <c r="U373" s="452">
        <f t="shared" si="707"/>
        <v>0</v>
      </c>
      <c r="V373" s="452">
        <f t="shared" si="708"/>
        <v>0</v>
      </c>
      <c r="W373" s="452">
        <f t="shared" si="709"/>
        <v>0</v>
      </c>
      <c r="X373" s="1002">
        <f t="shared" si="710"/>
        <v>0</v>
      </c>
      <c r="Y373" s="1397"/>
      <c r="Z373" s="1398">
        <f t="shared" si="711"/>
        <v>0</v>
      </c>
      <c r="AA373" s="1398">
        <f t="shared" si="712"/>
        <v>0</v>
      </c>
      <c r="AB373" s="1398">
        <f t="shared" si="713"/>
        <v>0</v>
      </c>
      <c r="AC373" s="1398">
        <f t="shared" si="714"/>
        <v>0</v>
      </c>
      <c r="AD373" s="1398">
        <f t="shared" si="715"/>
        <v>0</v>
      </c>
      <c r="AE373" s="1398">
        <f t="shared" si="716"/>
        <v>0</v>
      </c>
      <c r="AF373" s="1398">
        <f t="shared" si="717"/>
        <v>0</v>
      </c>
      <c r="AG373" s="1398">
        <f t="shared" si="718"/>
        <v>0</v>
      </c>
      <c r="AH373" s="1396"/>
      <c r="AI373" s="462">
        <f t="shared" si="719"/>
        <v>0</v>
      </c>
      <c r="AJ373" s="1112"/>
      <c r="AK373" s="1399"/>
      <c r="AL373" s="829">
        <f t="shared" si="720"/>
        <v>45902</v>
      </c>
      <c r="AM373" s="684">
        <f>IFERROR(IF(AND(AT373="",AR373&lt;&gt;S.CAL!$BJ$3,AR373&lt;&gt;S.CAL!$BJ$4,$AR$365="NON"),M373-BD373,IF(AND(AT373="",AR373&lt;&gt;S.CAL!$BJ$3,AR373&lt;&gt;S.CAL!$BJ$4,$AR$365="OUI"),X373-AI373,IF(AT373&lt;&gt;0,AT373,IF(OR(AR373=S.CAL!$BJ$3,AR373=S.CAL!$BJ$4),AR373,"")))),"")</f>
        <v>0</v>
      </c>
      <c r="AN373" s="1115"/>
      <c r="AO373" s="1116"/>
      <c r="AP373" s="684">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400">
        <f t="shared" ref="AQ373:AQ402" si="740">AI373-SUM(AN373:AO373)</f>
        <v>0</v>
      </c>
      <c r="AR373" s="1120"/>
      <c r="AS373" s="1396"/>
      <c r="AT373" s="1123"/>
      <c r="AU373" s="831"/>
      <c r="AV373" s="1392">
        <f t="shared" si="721"/>
        <v>45902</v>
      </c>
      <c r="AW373" s="1396"/>
      <c r="AX373" s="529">
        <f t="shared" ref="AX373:AX402" si="741">+AV373</f>
        <v>45902</v>
      </c>
      <c r="AY373" s="541">
        <f t="shared" ref="AY373:AY402" si="742">+IF(M373-X373&lt;0,0,M373-X373)</f>
        <v>0</v>
      </c>
      <c r="AZ373" s="538" t="s">
        <v>146</v>
      </c>
      <c r="BA373" s="534">
        <f t="shared" ref="BA373:BA402" si="743">+IF(AZ373="OUI",AY373,0)</f>
        <v>0</v>
      </c>
      <c r="BB373" s="567" t="str">
        <f t="shared" si="722"/>
        <v/>
      </c>
      <c r="BC373" s="541">
        <f t="shared" ref="BC373:BC402" si="744">+IF(BB373="OUI",IFERROR(M373-AT373,M373),0)</f>
        <v>0</v>
      </c>
      <c r="BD373" s="541">
        <f t="shared" ref="BD373:BD402" si="745">+BC373+BA373</f>
        <v>0</v>
      </c>
      <c r="BE373" s="1126"/>
      <c r="BF373" s="532" t="str">
        <f t="shared" si="723"/>
        <v/>
      </c>
      <c r="BG373" s="532" t="str">
        <f t="shared" ref="BG373:BG402" si="746">+IF(AND(M373=0,AT373=""),"oui","non")</f>
        <v>oui</v>
      </c>
      <c r="BH373" s="395" t="str">
        <f t="shared" si="724"/>
        <v/>
      </c>
      <c r="BI373" s="24" t="str">
        <f t="shared" si="725"/>
        <v/>
      </c>
      <c r="BJ373" s="1404"/>
      <c r="BK373" s="1404"/>
      <c r="BL373" s="1404"/>
      <c r="BM373" s="1404"/>
      <c r="BN373" s="1404"/>
      <c r="BO373" s="1404"/>
      <c r="BP373" s="1404"/>
      <c r="BQ373" s="1404"/>
      <c r="BR373" s="1405"/>
      <c r="BS373" s="1392">
        <f t="shared" si="692"/>
        <v>45902</v>
      </c>
      <c r="BT373" s="1406" t="str">
        <f>IFERROR(IF(WEEKDAY(BS373,11)=1,WEEKNUM(BS373,21),""),"")</f>
        <v/>
      </c>
      <c r="BU373" s="1404"/>
      <c r="BV373" s="1404"/>
      <c r="BW373" s="1404"/>
      <c r="BX373" s="1404"/>
      <c r="BY373" s="1404"/>
      <c r="BZ373" s="1404"/>
      <c r="CA373" s="1404"/>
      <c r="CB373" s="1404"/>
      <c r="CD373" s="1408">
        <f t="shared" ref="CD373:CD402" si="747">+M373</f>
        <v>0</v>
      </c>
      <c r="DC373" s="16" t="str">
        <f>Septembre!FC21</f>
        <v>non</v>
      </c>
      <c r="DG373" s="333">
        <f t="shared" ref="DG373:DG402" si="748">IF(OR(AT373=0,AT373=""),1,10)</f>
        <v>1</v>
      </c>
      <c r="DH373" s="129">
        <f t="shared" si="726"/>
        <v>10</v>
      </c>
      <c r="DI373" s="129">
        <f t="shared" ref="DI373:DI402" si="749">+IF(OR(DG373=1,DH373=1),1,10)</f>
        <v>1</v>
      </c>
      <c r="DK373" s="16">
        <f>+IF(AND(Septembre!$DP$8&lt;&gt;52,AR373=S.CAL!$BJ$4),10,1)</f>
        <v>1</v>
      </c>
      <c r="DN373" s="16">
        <f t="shared" si="727"/>
        <v>1</v>
      </c>
      <c r="DU373" s="1296" t="str">
        <f t="shared" ref="DU373:DU402" si="750">+A373&amp;B373</f>
        <v>Fiche infoA245902</v>
      </c>
      <c r="DV373" s="1384">
        <f t="shared" si="728"/>
        <v>0</v>
      </c>
      <c r="DW373" s="1385">
        <f t="shared" si="729"/>
        <v>0</v>
      </c>
      <c r="DX373" s="1385">
        <f t="shared" si="730"/>
        <v>0</v>
      </c>
      <c r="DY373" s="1385">
        <f t="shared" si="731"/>
        <v>0</v>
      </c>
      <c r="DZ373" s="1385">
        <f t="shared" si="732"/>
        <v>0</v>
      </c>
      <c r="EA373" s="1385">
        <f t="shared" si="733"/>
        <v>0</v>
      </c>
      <c r="EB373" s="1385">
        <f t="shared" si="734"/>
        <v>0</v>
      </c>
      <c r="EC373" s="1385">
        <f t="shared" si="735"/>
        <v>0</v>
      </c>
      <c r="ED373" s="1385">
        <f t="shared" ref="ED373:ED402" si="751">+DW373-DV373+DY373-DX373+EA373-DZ373+EC373-EB373</f>
        <v>0</v>
      </c>
      <c r="EE373" s="1386">
        <f t="shared" ref="EE373:EE402" si="752">ROUND(+ED373*24,2)</f>
        <v>0</v>
      </c>
      <c r="EG373" s="16" t="str">
        <f t="shared" ref="EG373:EG402" si="753">+WEEKNUM(B373,21)&amp;YEAR(B373)</f>
        <v>362025</v>
      </c>
      <c r="EH373" s="16" t="str">
        <f t="shared" si="736"/>
        <v>Fiche infoA2</v>
      </c>
      <c r="EI373" s="16" t="str">
        <f t="shared" si="737"/>
        <v/>
      </c>
    </row>
    <row r="374" spans="1:139" x14ac:dyDescent="0.2">
      <c r="A374" s="24" t="str">
        <f>Septembre!BJ22</f>
        <v>Fiche infoA3</v>
      </c>
      <c r="B374" s="829">
        <f>Septembre!AB22</f>
        <v>45903</v>
      </c>
      <c r="C374" s="1393"/>
      <c r="D374" s="1001">
        <f t="shared" si="693"/>
        <v>0</v>
      </c>
      <c r="E374" s="452">
        <f t="shared" si="694"/>
        <v>0</v>
      </c>
      <c r="F374" s="452">
        <f t="shared" si="695"/>
        <v>0</v>
      </c>
      <c r="G374" s="452">
        <f t="shared" si="696"/>
        <v>0</v>
      </c>
      <c r="H374" s="452">
        <f t="shared" si="697"/>
        <v>0</v>
      </c>
      <c r="I374" s="452">
        <f t="shared" si="698"/>
        <v>0</v>
      </c>
      <c r="J374" s="452">
        <f t="shared" si="699"/>
        <v>0</v>
      </c>
      <c r="K374" s="452">
        <f t="shared" si="700"/>
        <v>0</v>
      </c>
      <c r="L374" s="452">
        <f t="shared" si="738"/>
        <v>0</v>
      </c>
      <c r="M374" s="1002">
        <f t="shared" si="739"/>
        <v>0</v>
      </c>
      <c r="O374" s="1001">
        <f t="shared" si="701"/>
        <v>0</v>
      </c>
      <c r="P374" s="452">
        <f t="shared" si="702"/>
        <v>0</v>
      </c>
      <c r="Q374" s="452">
        <f t="shared" si="703"/>
        <v>0</v>
      </c>
      <c r="R374" s="452">
        <f t="shared" si="704"/>
        <v>0</v>
      </c>
      <c r="S374" s="452">
        <f t="shared" si="705"/>
        <v>0</v>
      </c>
      <c r="T374" s="452">
        <f t="shared" si="706"/>
        <v>0</v>
      </c>
      <c r="U374" s="452">
        <f t="shared" si="707"/>
        <v>0</v>
      </c>
      <c r="V374" s="452">
        <f t="shared" si="708"/>
        <v>0</v>
      </c>
      <c r="W374" s="452">
        <f t="shared" si="709"/>
        <v>0</v>
      </c>
      <c r="X374" s="1002">
        <f t="shared" si="710"/>
        <v>0</v>
      </c>
      <c r="Y374" s="459"/>
      <c r="Z374" s="291">
        <f t="shared" si="711"/>
        <v>0</v>
      </c>
      <c r="AA374" s="291">
        <f t="shared" si="712"/>
        <v>0</v>
      </c>
      <c r="AB374" s="291">
        <f t="shared" si="713"/>
        <v>0</v>
      </c>
      <c r="AC374" s="291">
        <f t="shared" si="714"/>
        <v>0</v>
      </c>
      <c r="AD374" s="291">
        <f t="shared" si="715"/>
        <v>0</v>
      </c>
      <c r="AE374" s="291">
        <f t="shared" si="716"/>
        <v>0</v>
      </c>
      <c r="AF374" s="291">
        <f t="shared" si="717"/>
        <v>0</v>
      </c>
      <c r="AG374" s="291">
        <f t="shared" si="718"/>
        <v>0</v>
      </c>
      <c r="AI374" s="462">
        <f t="shared" si="719"/>
        <v>0</v>
      </c>
      <c r="AJ374" s="1112"/>
      <c r="AK374" s="507"/>
      <c r="AL374" s="829">
        <f t="shared" si="720"/>
        <v>45903</v>
      </c>
      <c r="AM374" s="684">
        <f>IFERROR(IF(AND(AT374="",AR374&lt;&gt;S.CAL!$BJ$3,AR374&lt;&gt;S.CAL!$BJ$4,$AR$365="NON"),M374-BD374,IF(AND(AT374="",AR374&lt;&gt;S.CAL!$BJ$3,AR374&lt;&gt;S.CAL!$BJ$4,$AR$365="OUI"),X374-AI374,IF(AT374&lt;&gt;0,AT374,IF(OR(AR374=S.CAL!$BJ$3,AR374=S.CAL!$BJ$4),AR374,"")))),"")</f>
        <v>0</v>
      </c>
      <c r="AN374" s="1115"/>
      <c r="AO374" s="1116"/>
      <c r="AP374" s="684">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516">
        <f t="shared" si="740"/>
        <v>0</v>
      </c>
      <c r="AR374" s="1120"/>
      <c r="AT374" s="1123"/>
      <c r="AU374" s="831"/>
      <c r="AV374" s="1392">
        <f t="shared" si="721"/>
        <v>45903</v>
      </c>
      <c r="AX374" s="529">
        <f t="shared" si="741"/>
        <v>45903</v>
      </c>
      <c r="AY374" s="541">
        <f t="shared" si="742"/>
        <v>0</v>
      </c>
      <c r="AZ374" s="538" t="s">
        <v>146</v>
      </c>
      <c r="BA374" s="534">
        <f t="shared" si="743"/>
        <v>0</v>
      </c>
      <c r="BB374" s="567" t="str">
        <f t="shared" si="722"/>
        <v/>
      </c>
      <c r="BC374" s="541">
        <f t="shared" si="744"/>
        <v>0</v>
      </c>
      <c r="BD374" s="541">
        <f t="shared" si="745"/>
        <v>0</v>
      </c>
      <c r="BE374" s="1126"/>
      <c r="BF374" s="532" t="str">
        <f t="shared" si="723"/>
        <v/>
      </c>
      <c r="BG374" s="532" t="str">
        <f t="shared" si="746"/>
        <v>oui</v>
      </c>
      <c r="BH374" s="395" t="str">
        <f t="shared" si="724"/>
        <v/>
      </c>
      <c r="BI374" s="24" t="str">
        <f t="shared" si="725"/>
        <v/>
      </c>
      <c r="BJ374" s="1403"/>
      <c r="BK374" s="1403"/>
      <c r="BL374" s="1403"/>
      <c r="BM374" s="1403"/>
      <c r="BN374" s="1403"/>
      <c r="BO374" s="1403"/>
      <c r="BP374" s="1403"/>
      <c r="BQ374" s="1403"/>
      <c r="BS374" s="1392">
        <f t="shared" si="692"/>
        <v>45903</v>
      </c>
      <c r="BT374" s="27" t="str">
        <f t="shared" ref="BT374:BT402" si="754">IFERROR(IF(WEEKDAY(BS374,11)=1,WEEKNUM(BS374,21),""),"")</f>
        <v/>
      </c>
      <c r="BU374" s="1402"/>
      <c r="BV374" s="1402"/>
      <c r="BW374" s="1402"/>
      <c r="BX374" s="1402"/>
      <c r="BY374" s="1402"/>
      <c r="BZ374" s="1402"/>
      <c r="CA374" s="1402"/>
      <c r="CB374" s="1402"/>
      <c r="CD374" s="1408">
        <f t="shared" si="747"/>
        <v>0</v>
      </c>
      <c r="DC374" s="16" t="str">
        <f>Septembre!FC22</f>
        <v>non</v>
      </c>
      <c r="DG374" s="333">
        <f t="shared" si="748"/>
        <v>1</v>
      </c>
      <c r="DH374" s="129">
        <f t="shared" si="726"/>
        <v>10</v>
      </c>
      <c r="DI374" s="129">
        <f t="shared" si="749"/>
        <v>1</v>
      </c>
      <c r="DK374" s="16">
        <f>+IF(AND(Septembre!$DP$8&lt;&gt;52,AR374=S.CAL!$BJ$4),10,1)</f>
        <v>1</v>
      </c>
      <c r="DN374" s="16">
        <f t="shared" si="727"/>
        <v>1</v>
      </c>
      <c r="DU374" s="1296" t="str">
        <f t="shared" si="750"/>
        <v>Fiche infoA345903</v>
      </c>
      <c r="DV374" s="1384">
        <f t="shared" si="728"/>
        <v>0</v>
      </c>
      <c r="DW374" s="1385">
        <f t="shared" si="729"/>
        <v>0</v>
      </c>
      <c r="DX374" s="1385">
        <f t="shared" si="730"/>
        <v>0</v>
      </c>
      <c r="DY374" s="1385">
        <f t="shared" si="731"/>
        <v>0</v>
      </c>
      <c r="DZ374" s="1385">
        <f t="shared" si="732"/>
        <v>0</v>
      </c>
      <c r="EA374" s="1385">
        <f t="shared" si="733"/>
        <v>0</v>
      </c>
      <c r="EB374" s="1385">
        <f t="shared" si="734"/>
        <v>0</v>
      </c>
      <c r="EC374" s="1385">
        <f t="shared" si="735"/>
        <v>0</v>
      </c>
      <c r="ED374" s="1385">
        <f t="shared" si="751"/>
        <v>0</v>
      </c>
      <c r="EE374" s="1386">
        <f t="shared" si="752"/>
        <v>0</v>
      </c>
      <c r="EG374" s="16" t="str">
        <f t="shared" si="753"/>
        <v>362025</v>
      </c>
      <c r="EH374" s="16" t="str">
        <f t="shared" si="736"/>
        <v>Fiche infoA3</v>
      </c>
      <c r="EI374" s="16" t="str">
        <f t="shared" si="737"/>
        <v/>
      </c>
    </row>
    <row r="375" spans="1:139" x14ac:dyDescent="0.2">
      <c r="A375" s="1395" t="str">
        <f>Septembre!BJ23</f>
        <v>Fiche infoA4</v>
      </c>
      <c r="B375" s="829">
        <f>Septembre!AB23</f>
        <v>45904</v>
      </c>
      <c r="C375" s="1394"/>
      <c r="D375" s="1001">
        <f t="shared" si="693"/>
        <v>0</v>
      </c>
      <c r="E375" s="452">
        <f t="shared" si="694"/>
        <v>0</v>
      </c>
      <c r="F375" s="452">
        <f t="shared" si="695"/>
        <v>0</v>
      </c>
      <c r="G375" s="452">
        <f t="shared" si="696"/>
        <v>0</v>
      </c>
      <c r="H375" s="452">
        <f t="shared" si="697"/>
        <v>0</v>
      </c>
      <c r="I375" s="452">
        <f t="shared" si="698"/>
        <v>0</v>
      </c>
      <c r="J375" s="452">
        <f t="shared" si="699"/>
        <v>0</v>
      </c>
      <c r="K375" s="452">
        <f t="shared" si="700"/>
        <v>0</v>
      </c>
      <c r="L375" s="452">
        <f t="shared" si="738"/>
        <v>0</v>
      </c>
      <c r="M375" s="1002">
        <f t="shared" si="739"/>
        <v>0</v>
      </c>
      <c r="N375" s="1396"/>
      <c r="O375" s="1001">
        <f t="shared" si="701"/>
        <v>0</v>
      </c>
      <c r="P375" s="452">
        <f t="shared" si="702"/>
        <v>0</v>
      </c>
      <c r="Q375" s="452">
        <f t="shared" si="703"/>
        <v>0</v>
      </c>
      <c r="R375" s="452">
        <f t="shared" si="704"/>
        <v>0</v>
      </c>
      <c r="S375" s="452">
        <f t="shared" si="705"/>
        <v>0</v>
      </c>
      <c r="T375" s="452">
        <f t="shared" si="706"/>
        <v>0</v>
      </c>
      <c r="U375" s="452">
        <f t="shared" si="707"/>
        <v>0</v>
      </c>
      <c r="V375" s="452">
        <f t="shared" si="708"/>
        <v>0</v>
      </c>
      <c r="W375" s="452">
        <f t="shared" si="709"/>
        <v>0</v>
      </c>
      <c r="X375" s="1002">
        <f t="shared" si="710"/>
        <v>0</v>
      </c>
      <c r="Y375" s="1397"/>
      <c r="Z375" s="1398">
        <f t="shared" si="711"/>
        <v>0</v>
      </c>
      <c r="AA375" s="1398">
        <f t="shared" si="712"/>
        <v>0</v>
      </c>
      <c r="AB375" s="1398">
        <f t="shared" si="713"/>
        <v>0</v>
      </c>
      <c r="AC375" s="1398">
        <f t="shared" si="714"/>
        <v>0</v>
      </c>
      <c r="AD375" s="1398">
        <f t="shared" si="715"/>
        <v>0</v>
      </c>
      <c r="AE375" s="1398">
        <f t="shared" si="716"/>
        <v>0</v>
      </c>
      <c r="AF375" s="1398">
        <f t="shared" si="717"/>
        <v>0</v>
      </c>
      <c r="AG375" s="1398">
        <f t="shared" si="718"/>
        <v>0</v>
      </c>
      <c r="AH375" s="1396"/>
      <c r="AI375" s="462">
        <f t="shared" si="719"/>
        <v>0</v>
      </c>
      <c r="AJ375" s="1112"/>
      <c r="AK375" s="1399"/>
      <c r="AL375" s="829">
        <f t="shared" si="720"/>
        <v>45904</v>
      </c>
      <c r="AM375" s="684">
        <f>IFERROR(IF(AND(AT375="",AR375&lt;&gt;S.CAL!$BJ$3,AR375&lt;&gt;S.CAL!$BJ$4,$AR$365="NON"),M375-BD375,IF(AND(AT375="",AR375&lt;&gt;S.CAL!$BJ$3,AR375&lt;&gt;S.CAL!$BJ$4,$AR$365="OUI"),X375-AI375,IF(AT375&lt;&gt;0,AT375,IF(OR(AR375=S.CAL!$BJ$3,AR375=S.CAL!$BJ$4),AR375,"")))),"")</f>
        <v>0</v>
      </c>
      <c r="AN375" s="1115"/>
      <c r="AO375" s="1116"/>
      <c r="AP375" s="684">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400">
        <f t="shared" si="740"/>
        <v>0</v>
      </c>
      <c r="AR375" s="1120"/>
      <c r="AS375" s="1396"/>
      <c r="AT375" s="1123"/>
      <c r="AU375" s="831"/>
      <c r="AV375" s="1392">
        <f t="shared" si="721"/>
        <v>45904</v>
      </c>
      <c r="AW375" s="1396"/>
      <c r="AX375" s="529">
        <f t="shared" si="741"/>
        <v>45904</v>
      </c>
      <c r="AY375" s="541">
        <f t="shared" si="742"/>
        <v>0</v>
      </c>
      <c r="AZ375" s="538" t="s">
        <v>146</v>
      </c>
      <c r="BA375" s="534">
        <f t="shared" si="743"/>
        <v>0</v>
      </c>
      <c r="BB375" s="567" t="str">
        <f t="shared" si="722"/>
        <v/>
      </c>
      <c r="BC375" s="541">
        <f t="shared" si="744"/>
        <v>0</v>
      </c>
      <c r="BD375" s="541">
        <f t="shared" si="745"/>
        <v>0</v>
      </c>
      <c r="BE375" s="1126"/>
      <c r="BF375" s="532" t="str">
        <f t="shared" si="723"/>
        <v/>
      </c>
      <c r="BG375" s="532" t="str">
        <f t="shared" si="746"/>
        <v>oui</v>
      </c>
      <c r="BH375" s="395" t="str">
        <f t="shared" si="724"/>
        <v/>
      </c>
      <c r="BI375" s="24" t="str">
        <f t="shared" si="725"/>
        <v/>
      </c>
      <c r="BJ375" s="1404"/>
      <c r="BK375" s="1404"/>
      <c r="BL375" s="1404"/>
      <c r="BM375" s="1404"/>
      <c r="BN375" s="1404"/>
      <c r="BO375" s="1404"/>
      <c r="BP375" s="1404"/>
      <c r="BQ375" s="1404"/>
      <c r="BR375" s="1405"/>
      <c r="BS375" s="1392">
        <f t="shared" si="692"/>
        <v>45904</v>
      </c>
      <c r="BT375" s="1406" t="str">
        <f t="shared" si="754"/>
        <v/>
      </c>
      <c r="BU375" s="1404"/>
      <c r="BV375" s="1404"/>
      <c r="BW375" s="1404"/>
      <c r="BX375" s="1404"/>
      <c r="BY375" s="1404"/>
      <c r="BZ375" s="1404"/>
      <c r="CA375" s="1404"/>
      <c r="CB375" s="1404"/>
      <c r="CD375" s="1408">
        <f t="shared" si="747"/>
        <v>0</v>
      </c>
      <c r="DC375" s="16" t="str">
        <f>Septembre!FC23</f>
        <v>non</v>
      </c>
      <c r="DG375" s="333">
        <f t="shared" si="748"/>
        <v>1</v>
      </c>
      <c r="DH375" s="129">
        <f t="shared" si="726"/>
        <v>10</v>
      </c>
      <c r="DI375" s="129">
        <f t="shared" si="749"/>
        <v>1</v>
      </c>
      <c r="DK375" s="16">
        <f>+IF(AND(Septembre!$DP$8&lt;&gt;52,AR375=S.CAL!$BJ$4),10,1)</f>
        <v>1</v>
      </c>
      <c r="DN375" s="16">
        <f t="shared" si="727"/>
        <v>1</v>
      </c>
      <c r="DU375" s="1296" t="str">
        <f t="shared" si="750"/>
        <v>Fiche infoA445904</v>
      </c>
      <c r="DV375" s="1384">
        <f t="shared" si="728"/>
        <v>0</v>
      </c>
      <c r="DW375" s="1385">
        <f t="shared" si="729"/>
        <v>0</v>
      </c>
      <c r="DX375" s="1385">
        <f t="shared" si="730"/>
        <v>0</v>
      </c>
      <c r="DY375" s="1385">
        <f t="shared" si="731"/>
        <v>0</v>
      </c>
      <c r="DZ375" s="1385">
        <f t="shared" si="732"/>
        <v>0</v>
      </c>
      <c r="EA375" s="1385">
        <f t="shared" si="733"/>
        <v>0</v>
      </c>
      <c r="EB375" s="1385">
        <f t="shared" si="734"/>
        <v>0</v>
      </c>
      <c r="EC375" s="1385">
        <f t="shared" si="735"/>
        <v>0</v>
      </c>
      <c r="ED375" s="1385">
        <f t="shared" si="751"/>
        <v>0</v>
      </c>
      <c r="EE375" s="1386">
        <f t="shared" si="752"/>
        <v>0</v>
      </c>
      <c r="EG375" s="16" t="str">
        <f t="shared" si="753"/>
        <v>362025</v>
      </c>
      <c r="EH375" s="16" t="str">
        <f t="shared" si="736"/>
        <v>Fiche infoA4</v>
      </c>
      <c r="EI375" s="16" t="str">
        <f t="shared" si="737"/>
        <v/>
      </c>
    </row>
    <row r="376" spans="1:139" x14ac:dyDescent="0.2">
      <c r="A376" s="24" t="str">
        <f>Septembre!BJ24</f>
        <v>Fiche infoA5</v>
      </c>
      <c r="B376" s="829">
        <f>Septembre!AB24</f>
        <v>45905</v>
      </c>
      <c r="C376" s="1393"/>
      <c r="D376" s="1001">
        <f t="shared" si="693"/>
        <v>0</v>
      </c>
      <c r="E376" s="452">
        <f t="shared" si="694"/>
        <v>0</v>
      </c>
      <c r="F376" s="452">
        <f t="shared" si="695"/>
        <v>0</v>
      </c>
      <c r="G376" s="452">
        <f t="shared" si="696"/>
        <v>0</v>
      </c>
      <c r="H376" s="452">
        <f t="shared" si="697"/>
        <v>0</v>
      </c>
      <c r="I376" s="452">
        <f t="shared" si="698"/>
        <v>0</v>
      </c>
      <c r="J376" s="452">
        <f t="shared" si="699"/>
        <v>0</v>
      </c>
      <c r="K376" s="452">
        <f t="shared" si="700"/>
        <v>0</v>
      </c>
      <c r="L376" s="452">
        <f t="shared" si="738"/>
        <v>0</v>
      </c>
      <c r="M376" s="1002">
        <f t="shared" si="739"/>
        <v>0</v>
      </c>
      <c r="O376" s="1001">
        <f t="shared" si="701"/>
        <v>0</v>
      </c>
      <c r="P376" s="452">
        <f t="shared" si="702"/>
        <v>0</v>
      </c>
      <c r="Q376" s="452">
        <f t="shared" si="703"/>
        <v>0</v>
      </c>
      <c r="R376" s="452">
        <f t="shared" si="704"/>
        <v>0</v>
      </c>
      <c r="S376" s="452">
        <f t="shared" si="705"/>
        <v>0</v>
      </c>
      <c r="T376" s="452">
        <f t="shared" si="706"/>
        <v>0</v>
      </c>
      <c r="U376" s="452">
        <f t="shared" si="707"/>
        <v>0</v>
      </c>
      <c r="V376" s="452">
        <f t="shared" si="708"/>
        <v>0</v>
      </c>
      <c r="W376" s="452">
        <f t="shared" si="709"/>
        <v>0</v>
      </c>
      <c r="X376" s="1002">
        <f t="shared" si="710"/>
        <v>0</v>
      </c>
      <c r="Y376" s="459"/>
      <c r="Z376" s="291">
        <f t="shared" si="711"/>
        <v>0</v>
      </c>
      <c r="AA376" s="291">
        <f t="shared" si="712"/>
        <v>0</v>
      </c>
      <c r="AB376" s="291">
        <f t="shared" si="713"/>
        <v>0</v>
      </c>
      <c r="AC376" s="291">
        <f t="shared" si="714"/>
        <v>0</v>
      </c>
      <c r="AD376" s="291">
        <f t="shared" si="715"/>
        <v>0</v>
      </c>
      <c r="AE376" s="291">
        <f t="shared" si="716"/>
        <v>0</v>
      </c>
      <c r="AF376" s="291">
        <f t="shared" si="717"/>
        <v>0</v>
      </c>
      <c r="AG376" s="291">
        <f t="shared" si="718"/>
        <v>0</v>
      </c>
      <c r="AI376" s="462">
        <f t="shared" si="719"/>
        <v>0</v>
      </c>
      <c r="AJ376" s="1112"/>
      <c r="AK376" s="507"/>
      <c r="AL376" s="829">
        <f t="shared" si="720"/>
        <v>45905</v>
      </c>
      <c r="AM376" s="684">
        <f>IFERROR(IF(AND(AT376="",AR376&lt;&gt;S.CAL!$BJ$3,AR376&lt;&gt;S.CAL!$BJ$4,$AR$365="NON"),M376-BD376,IF(AND(AT376="",AR376&lt;&gt;S.CAL!$BJ$3,AR376&lt;&gt;S.CAL!$BJ$4,$AR$365="OUI"),X376-AI376,IF(AT376&lt;&gt;0,AT376,IF(OR(AR376=S.CAL!$BJ$3,AR376=S.CAL!$BJ$4),AR376,"")))),"")</f>
        <v>0</v>
      </c>
      <c r="AN376" s="1115"/>
      <c r="AO376" s="1116"/>
      <c r="AP376" s="684">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516">
        <f t="shared" si="740"/>
        <v>0</v>
      </c>
      <c r="AR376" s="1120"/>
      <c r="AT376" s="1123"/>
      <c r="AU376" s="831"/>
      <c r="AV376" s="1392">
        <f t="shared" si="721"/>
        <v>45905</v>
      </c>
      <c r="AX376" s="529">
        <f t="shared" si="741"/>
        <v>45905</v>
      </c>
      <c r="AY376" s="541">
        <f t="shared" si="742"/>
        <v>0</v>
      </c>
      <c r="AZ376" s="538" t="s">
        <v>146</v>
      </c>
      <c r="BA376" s="534">
        <f t="shared" si="743"/>
        <v>0</v>
      </c>
      <c r="BB376" s="567" t="str">
        <f t="shared" si="722"/>
        <v/>
      </c>
      <c r="BC376" s="541">
        <f t="shared" si="744"/>
        <v>0</v>
      </c>
      <c r="BD376" s="541">
        <f t="shared" si="745"/>
        <v>0</v>
      </c>
      <c r="BE376" s="1126"/>
      <c r="BF376" s="532" t="str">
        <f t="shared" si="723"/>
        <v/>
      </c>
      <c r="BG376" s="532" t="str">
        <f t="shared" si="746"/>
        <v>oui</v>
      </c>
      <c r="BH376" s="395" t="str">
        <f t="shared" si="724"/>
        <v/>
      </c>
      <c r="BI376" s="24" t="str">
        <f t="shared" si="725"/>
        <v/>
      </c>
      <c r="BJ376" s="1403"/>
      <c r="BK376" s="1403"/>
      <c r="BL376" s="1403"/>
      <c r="BM376" s="1403"/>
      <c r="BN376" s="1403"/>
      <c r="BO376" s="1403"/>
      <c r="BP376" s="1403"/>
      <c r="BQ376" s="1403"/>
      <c r="BS376" s="1392">
        <f t="shared" si="692"/>
        <v>45905</v>
      </c>
      <c r="BT376" s="27" t="str">
        <f t="shared" si="754"/>
        <v/>
      </c>
      <c r="BU376" s="1402"/>
      <c r="BV376" s="1402"/>
      <c r="BW376" s="1402"/>
      <c r="BX376" s="1402"/>
      <c r="BY376" s="1402"/>
      <c r="BZ376" s="1402"/>
      <c r="CA376" s="1402"/>
      <c r="CB376" s="1402"/>
      <c r="CD376" s="1408">
        <f t="shared" si="747"/>
        <v>0</v>
      </c>
      <c r="DC376" s="16" t="str">
        <f>Septembre!FC24</f>
        <v>non</v>
      </c>
      <c r="DG376" s="333">
        <f t="shared" si="748"/>
        <v>1</v>
      </c>
      <c r="DH376" s="129">
        <f t="shared" si="726"/>
        <v>10</v>
      </c>
      <c r="DI376" s="129">
        <f t="shared" si="749"/>
        <v>1</v>
      </c>
      <c r="DK376" s="16">
        <f>+IF(AND(Septembre!$DP$8&lt;&gt;52,AR376=S.CAL!$BJ$4),10,1)</f>
        <v>1</v>
      </c>
      <c r="DN376" s="16">
        <f t="shared" si="727"/>
        <v>1</v>
      </c>
      <c r="DU376" s="1296" t="str">
        <f t="shared" si="750"/>
        <v>Fiche infoA545905</v>
      </c>
      <c r="DV376" s="1384">
        <f t="shared" si="728"/>
        <v>0</v>
      </c>
      <c r="DW376" s="1385">
        <f t="shared" si="729"/>
        <v>0</v>
      </c>
      <c r="DX376" s="1385">
        <f t="shared" si="730"/>
        <v>0</v>
      </c>
      <c r="DY376" s="1385">
        <f t="shared" si="731"/>
        <v>0</v>
      </c>
      <c r="DZ376" s="1385">
        <f t="shared" si="732"/>
        <v>0</v>
      </c>
      <c r="EA376" s="1385">
        <f t="shared" si="733"/>
        <v>0</v>
      </c>
      <c r="EB376" s="1385">
        <f t="shared" si="734"/>
        <v>0</v>
      </c>
      <c r="EC376" s="1385">
        <f t="shared" si="735"/>
        <v>0</v>
      </c>
      <c r="ED376" s="1385">
        <f t="shared" si="751"/>
        <v>0</v>
      </c>
      <c r="EE376" s="1386">
        <f t="shared" si="752"/>
        <v>0</v>
      </c>
      <c r="EG376" s="16" t="str">
        <f t="shared" si="753"/>
        <v>362025</v>
      </c>
      <c r="EH376" s="16" t="str">
        <f t="shared" si="736"/>
        <v>Fiche infoA5</v>
      </c>
      <c r="EI376" s="16" t="str">
        <f t="shared" si="737"/>
        <v/>
      </c>
    </row>
    <row r="377" spans="1:139" x14ac:dyDescent="0.2">
      <c r="A377" s="1395" t="str">
        <f>Septembre!BJ25</f>
        <v>Fiche infoA6</v>
      </c>
      <c r="B377" s="829">
        <f>Septembre!AB25</f>
        <v>45906</v>
      </c>
      <c r="C377" s="1394"/>
      <c r="D377" s="1001">
        <f t="shared" si="693"/>
        <v>0</v>
      </c>
      <c r="E377" s="452">
        <f t="shared" si="694"/>
        <v>0</v>
      </c>
      <c r="F377" s="452">
        <f t="shared" si="695"/>
        <v>0</v>
      </c>
      <c r="G377" s="452">
        <f t="shared" si="696"/>
        <v>0</v>
      </c>
      <c r="H377" s="452">
        <f t="shared" si="697"/>
        <v>0</v>
      </c>
      <c r="I377" s="452">
        <f t="shared" si="698"/>
        <v>0</v>
      </c>
      <c r="J377" s="452">
        <f t="shared" si="699"/>
        <v>0</v>
      </c>
      <c r="K377" s="452">
        <f t="shared" si="700"/>
        <v>0</v>
      </c>
      <c r="L377" s="452">
        <f t="shared" si="738"/>
        <v>0</v>
      </c>
      <c r="M377" s="1002">
        <f t="shared" si="739"/>
        <v>0</v>
      </c>
      <c r="N377" s="1396"/>
      <c r="O377" s="1001">
        <f t="shared" si="701"/>
        <v>0</v>
      </c>
      <c r="P377" s="452">
        <f t="shared" si="702"/>
        <v>0</v>
      </c>
      <c r="Q377" s="452">
        <f t="shared" si="703"/>
        <v>0</v>
      </c>
      <c r="R377" s="452">
        <f t="shared" si="704"/>
        <v>0</v>
      </c>
      <c r="S377" s="452">
        <f t="shared" si="705"/>
        <v>0</v>
      </c>
      <c r="T377" s="452">
        <f t="shared" si="706"/>
        <v>0</v>
      </c>
      <c r="U377" s="452">
        <f t="shared" si="707"/>
        <v>0</v>
      </c>
      <c r="V377" s="452">
        <f t="shared" si="708"/>
        <v>0</v>
      </c>
      <c r="W377" s="452">
        <f t="shared" si="709"/>
        <v>0</v>
      </c>
      <c r="X377" s="1002">
        <f t="shared" si="710"/>
        <v>0</v>
      </c>
      <c r="Y377" s="1397"/>
      <c r="Z377" s="1398">
        <f t="shared" si="711"/>
        <v>0</v>
      </c>
      <c r="AA377" s="1398">
        <f t="shared" si="712"/>
        <v>0</v>
      </c>
      <c r="AB377" s="1398">
        <f t="shared" si="713"/>
        <v>0</v>
      </c>
      <c r="AC377" s="1398">
        <f t="shared" si="714"/>
        <v>0</v>
      </c>
      <c r="AD377" s="1398">
        <f t="shared" si="715"/>
        <v>0</v>
      </c>
      <c r="AE377" s="1398">
        <f t="shared" si="716"/>
        <v>0</v>
      </c>
      <c r="AF377" s="1398">
        <f t="shared" si="717"/>
        <v>0</v>
      </c>
      <c r="AG377" s="1398">
        <f t="shared" si="718"/>
        <v>0</v>
      </c>
      <c r="AH377" s="1396"/>
      <c r="AI377" s="462">
        <f t="shared" si="719"/>
        <v>0</v>
      </c>
      <c r="AJ377" s="1112"/>
      <c r="AK377" s="1399"/>
      <c r="AL377" s="829">
        <f t="shared" si="720"/>
        <v>45906</v>
      </c>
      <c r="AM377" s="684">
        <f>IFERROR(IF(AND(AT377="",AR377&lt;&gt;S.CAL!$BJ$3,AR377&lt;&gt;S.CAL!$BJ$4,$AR$365="NON"),M377-BD377,IF(AND(AT377="",AR377&lt;&gt;S.CAL!$BJ$3,AR377&lt;&gt;S.CAL!$BJ$4,$AR$365="OUI"),X377-AI377,IF(AT377&lt;&gt;0,AT377,IF(OR(AR377=S.CAL!$BJ$3,AR377=S.CAL!$BJ$4),AR377,"")))),"")</f>
        <v>0</v>
      </c>
      <c r="AN377" s="1115"/>
      <c r="AO377" s="1116"/>
      <c r="AP377" s="684">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400">
        <f t="shared" si="740"/>
        <v>0</v>
      </c>
      <c r="AR377" s="1120"/>
      <c r="AS377" s="1396"/>
      <c r="AT377" s="1123"/>
      <c r="AU377" s="831"/>
      <c r="AV377" s="1392">
        <f t="shared" si="721"/>
        <v>45906</v>
      </c>
      <c r="AW377" s="1396"/>
      <c r="AX377" s="529">
        <f t="shared" si="741"/>
        <v>45906</v>
      </c>
      <c r="AY377" s="541">
        <f t="shared" si="742"/>
        <v>0</v>
      </c>
      <c r="AZ377" s="538" t="s">
        <v>146</v>
      </c>
      <c r="BA377" s="534">
        <f t="shared" si="743"/>
        <v>0</v>
      </c>
      <c r="BB377" s="567" t="str">
        <f t="shared" si="722"/>
        <v/>
      </c>
      <c r="BC377" s="541">
        <f t="shared" si="744"/>
        <v>0</v>
      </c>
      <c r="BD377" s="541">
        <f t="shared" si="745"/>
        <v>0</v>
      </c>
      <c r="BE377" s="1126"/>
      <c r="BF377" s="532" t="str">
        <f t="shared" si="723"/>
        <v/>
      </c>
      <c r="BG377" s="532" t="str">
        <f t="shared" si="746"/>
        <v>oui</v>
      </c>
      <c r="BH377" s="395" t="str">
        <f t="shared" si="724"/>
        <v/>
      </c>
      <c r="BI377" s="24" t="str">
        <f t="shared" si="725"/>
        <v/>
      </c>
      <c r="BJ377" s="1404"/>
      <c r="BK377" s="1404"/>
      <c r="BL377" s="1404"/>
      <c r="BM377" s="1404"/>
      <c r="BN377" s="1404"/>
      <c r="BO377" s="1404"/>
      <c r="BP377" s="1404"/>
      <c r="BQ377" s="1404"/>
      <c r="BR377" s="1405"/>
      <c r="BS377" s="1392">
        <f t="shared" si="692"/>
        <v>45906</v>
      </c>
      <c r="BT377" s="1406" t="str">
        <f t="shared" si="754"/>
        <v/>
      </c>
      <c r="BU377" s="1404"/>
      <c r="BV377" s="1404"/>
      <c r="BW377" s="1404"/>
      <c r="BX377" s="1404"/>
      <c r="BY377" s="1404"/>
      <c r="BZ377" s="1404"/>
      <c r="CA377" s="1404"/>
      <c r="CB377" s="1404"/>
      <c r="CD377" s="1408">
        <f t="shared" si="747"/>
        <v>0</v>
      </c>
      <c r="DC377" s="16" t="str">
        <f>Septembre!FC25</f>
        <v>non</v>
      </c>
      <c r="DG377" s="333">
        <f t="shared" si="748"/>
        <v>1</v>
      </c>
      <c r="DH377" s="129">
        <f t="shared" si="726"/>
        <v>10</v>
      </c>
      <c r="DI377" s="129">
        <f t="shared" si="749"/>
        <v>1</v>
      </c>
      <c r="DK377" s="16">
        <f>+IF(AND(Septembre!$DP$8&lt;&gt;52,AR377=S.CAL!$BJ$4),10,1)</f>
        <v>1</v>
      </c>
      <c r="DN377" s="16">
        <f t="shared" si="727"/>
        <v>1</v>
      </c>
      <c r="DU377" s="1296" t="str">
        <f t="shared" si="750"/>
        <v>Fiche infoA645906</v>
      </c>
      <c r="DV377" s="1384">
        <f t="shared" si="728"/>
        <v>0</v>
      </c>
      <c r="DW377" s="1385">
        <f t="shared" si="729"/>
        <v>0</v>
      </c>
      <c r="DX377" s="1385">
        <f t="shared" si="730"/>
        <v>0</v>
      </c>
      <c r="DY377" s="1385">
        <f t="shared" si="731"/>
        <v>0</v>
      </c>
      <c r="DZ377" s="1385">
        <f t="shared" si="732"/>
        <v>0</v>
      </c>
      <c r="EA377" s="1385">
        <f t="shared" si="733"/>
        <v>0</v>
      </c>
      <c r="EB377" s="1385">
        <f t="shared" si="734"/>
        <v>0</v>
      </c>
      <c r="EC377" s="1385">
        <f t="shared" si="735"/>
        <v>0</v>
      </c>
      <c r="ED377" s="1385">
        <f t="shared" si="751"/>
        <v>0</v>
      </c>
      <c r="EE377" s="1386">
        <f t="shared" si="752"/>
        <v>0</v>
      </c>
      <c r="EG377" s="16" t="str">
        <f t="shared" si="753"/>
        <v>362025</v>
      </c>
      <c r="EH377" s="16" t="str">
        <f t="shared" si="736"/>
        <v>Fiche infoA6</v>
      </c>
      <c r="EI377" s="16" t="str">
        <f t="shared" si="737"/>
        <v/>
      </c>
    </row>
    <row r="378" spans="1:139" x14ac:dyDescent="0.2">
      <c r="A378" s="24" t="str">
        <f>Septembre!BJ26</f>
        <v>Fiche infoA7</v>
      </c>
      <c r="B378" s="829">
        <f>Septembre!AB26</f>
        <v>45907</v>
      </c>
      <c r="C378" s="1393"/>
      <c r="D378" s="1001">
        <f t="shared" si="693"/>
        <v>0</v>
      </c>
      <c r="E378" s="452">
        <f t="shared" si="694"/>
        <v>0</v>
      </c>
      <c r="F378" s="452">
        <f t="shared" si="695"/>
        <v>0</v>
      </c>
      <c r="G378" s="452">
        <f t="shared" si="696"/>
        <v>0</v>
      </c>
      <c r="H378" s="452">
        <f t="shared" si="697"/>
        <v>0</v>
      </c>
      <c r="I378" s="452">
        <f t="shared" si="698"/>
        <v>0</v>
      </c>
      <c r="J378" s="452">
        <f t="shared" si="699"/>
        <v>0</v>
      </c>
      <c r="K378" s="452">
        <f t="shared" si="700"/>
        <v>0</v>
      </c>
      <c r="L378" s="452">
        <f t="shared" si="738"/>
        <v>0</v>
      </c>
      <c r="M378" s="1002">
        <f t="shared" si="739"/>
        <v>0</v>
      </c>
      <c r="O378" s="1001">
        <f t="shared" si="701"/>
        <v>0</v>
      </c>
      <c r="P378" s="452">
        <f t="shared" si="702"/>
        <v>0</v>
      </c>
      <c r="Q378" s="452">
        <f t="shared" si="703"/>
        <v>0</v>
      </c>
      <c r="R378" s="452">
        <f t="shared" si="704"/>
        <v>0</v>
      </c>
      <c r="S378" s="452">
        <f t="shared" si="705"/>
        <v>0</v>
      </c>
      <c r="T378" s="452">
        <f t="shared" si="706"/>
        <v>0</v>
      </c>
      <c r="U378" s="452">
        <f t="shared" si="707"/>
        <v>0</v>
      </c>
      <c r="V378" s="452">
        <f t="shared" si="708"/>
        <v>0</v>
      </c>
      <c r="W378" s="452">
        <f t="shared" si="709"/>
        <v>0</v>
      </c>
      <c r="X378" s="1002">
        <f t="shared" si="710"/>
        <v>0</v>
      </c>
      <c r="Y378" s="459"/>
      <c r="Z378" s="291">
        <f t="shared" si="711"/>
        <v>0</v>
      </c>
      <c r="AA378" s="291">
        <f t="shared" si="712"/>
        <v>0</v>
      </c>
      <c r="AB378" s="291">
        <f t="shared" si="713"/>
        <v>0</v>
      </c>
      <c r="AC378" s="291">
        <f t="shared" si="714"/>
        <v>0</v>
      </c>
      <c r="AD378" s="291">
        <f t="shared" si="715"/>
        <v>0</v>
      </c>
      <c r="AE378" s="291">
        <f t="shared" si="716"/>
        <v>0</v>
      </c>
      <c r="AF378" s="291">
        <f t="shared" si="717"/>
        <v>0</v>
      </c>
      <c r="AG378" s="291">
        <f t="shared" si="718"/>
        <v>0</v>
      </c>
      <c r="AI378" s="462">
        <f t="shared" si="719"/>
        <v>0</v>
      </c>
      <c r="AJ378" s="1112"/>
      <c r="AK378" s="507"/>
      <c r="AL378" s="829">
        <f t="shared" si="720"/>
        <v>45907</v>
      </c>
      <c r="AM378" s="684">
        <f>IFERROR(IF(AND(AT378="",AR378&lt;&gt;S.CAL!$BJ$3,AR378&lt;&gt;S.CAL!$BJ$4,$AR$365="NON"),M378-BD378,IF(AND(AT378="",AR378&lt;&gt;S.CAL!$BJ$3,AR378&lt;&gt;S.CAL!$BJ$4,$AR$365="OUI"),X378-AI378,IF(AT378&lt;&gt;0,AT378,IF(OR(AR378=S.CAL!$BJ$3,AR378=S.CAL!$BJ$4),AR378,"")))),"")</f>
        <v>0</v>
      </c>
      <c r="AN378" s="1115"/>
      <c r="AO378" s="1116"/>
      <c r="AP378" s="684">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516">
        <f t="shared" si="740"/>
        <v>0</v>
      </c>
      <c r="AR378" s="1120"/>
      <c r="AT378" s="1123"/>
      <c r="AU378" s="831"/>
      <c r="AV378" s="1392">
        <f t="shared" si="721"/>
        <v>45907</v>
      </c>
      <c r="AX378" s="529">
        <f t="shared" si="741"/>
        <v>45907</v>
      </c>
      <c r="AY378" s="541">
        <f t="shared" si="742"/>
        <v>0</v>
      </c>
      <c r="AZ378" s="538" t="s">
        <v>146</v>
      </c>
      <c r="BA378" s="534">
        <f t="shared" si="743"/>
        <v>0</v>
      </c>
      <c r="BB378" s="567" t="str">
        <f t="shared" si="722"/>
        <v/>
      </c>
      <c r="BC378" s="541">
        <f t="shared" si="744"/>
        <v>0</v>
      </c>
      <c r="BD378" s="541">
        <f t="shared" si="745"/>
        <v>0</v>
      </c>
      <c r="BE378" s="1126"/>
      <c r="BF378" s="532" t="str">
        <f t="shared" si="723"/>
        <v/>
      </c>
      <c r="BG378" s="532" t="str">
        <f t="shared" si="746"/>
        <v>oui</v>
      </c>
      <c r="BH378" s="395" t="str">
        <f t="shared" si="724"/>
        <v/>
      </c>
      <c r="BI378" s="24" t="str">
        <f t="shared" si="725"/>
        <v/>
      </c>
      <c r="BJ378" s="1403"/>
      <c r="BK378" s="1403"/>
      <c r="BL378" s="1403"/>
      <c r="BM378" s="1403"/>
      <c r="BN378" s="1403"/>
      <c r="BO378" s="1403"/>
      <c r="BP378" s="1403"/>
      <c r="BQ378" s="1403"/>
      <c r="BS378" s="1392">
        <f t="shared" si="692"/>
        <v>45907</v>
      </c>
      <c r="BT378" s="27" t="str">
        <f t="shared" si="754"/>
        <v/>
      </c>
      <c r="BU378" s="1402"/>
      <c r="BV378" s="1402"/>
      <c r="BW378" s="1402"/>
      <c r="BX378" s="1402"/>
      <c r="BY378" s="1402"/>
      <c r="BZ378" s="1402"/>
      <c r="CA378" s="1402"/>
      <c r="CB378" s="1402"/>
      <c r="CD378" s="1408">
        <f t="shared" si="747"/>
        <v>0</v>
      </c>
      <c r="DC378" s="16" t="str">
        <f>Septembre!FC26</f>
        <v>non</v>
      </c>
      <c r="DG378" s="333">
        <f t="shared" si="748"/>
        <v>1</v>
      </c>
      <c r="DH378" s="129">
        <f t="shared" si="726"/>
        <v>10</v>
      </c>
      <c r="DI378" s="129">
        <f t="shared" si="749"/>
        <v>1</v>
      </c>
      <c r="DK378" s="16">
        <f>+IF(AND(Septembre!$DP$8&lt;&gt;52,AR378=S.CAL!$BJ$4),10,1)</f>
        <v>1</v>
      </c>
      <c r="DN378" s="16">
        <f t="shared" si="727"/>
        <v>1</v>
      </c>
      <c r="DU378" s="1296" t="str">
        <f t="shared" si="750"/>
        <v>Fiche infoA745907</v>
      </c>
      <c r="DV378" s="1384">
        <f t="shared" si="728"/>
        <v>0</v>
      </c>
      <c r="DW378" s="1385">
        <f t="shared" si="729"/>
        <v>0</v>
      </c>
      <c r="DX378" s="1385">
        <f t="shared" si="730"/>
        <v>0</v>
      </c>
      <c r="DY378" s="1385">
        <f t="shared" si="731"/>
        <v>0</v>
      </c>
      <c r="DZ378" s="1385">
        <f t="shared" si="732"/>
        <v>0</v>
      </c>
      <c r="EA378" s="1385">
        <f t="shared" si="733"/>
        <v>0</v>
      </c>
      <c r="EB378" s="1385">
        <f t="shared" si="734"/>
        <v>0</v>
      </c>
      <c r="EC378" s="1385">
        <f t="shared" si="735"/>
        <v>0</v>
      </c>
      <c r="ED378" s="1385">
        <f t="shared" si="751"/>
        <v>0</v>
      </c>
      <c r="EE378" s="1386">
        <f t="shared" si="752"/>
        <v>0</v>
      </c>
      <c r="EG378" s="16" t="str">
        <f t="shared" si="753"/>
        <v>362025</v>
      </c>
      <c r="EH378" s="16" t="str">
        <f t="shared" si="736"/>
        <v>Fiche infoA7</v>
      </c>
      <c r="EI378" s="16" t="str">
        <f t="shared" si="737"/>
        <v/>
      </c>
    </row>
    <row r="379" spans="1:139" x14ac:dyDescent="0.2">
      <c r="A379" s="1395" t="str">
        <f>Septembre!BJ27</f>
        <v>Fiche infoA1</v>
      </c>
      <c r="B379" s="829">
        <f>Septembre!AB27</f>
        <v>45908</v>
      </c>
      <c r="C379" s="1394"/>
      <c r="D379" s="1001">
        <f t="shared" si="693"/>
        <v>0</v>
      </c>
      <c r="E379" s="452">
        <f t="shared" si="694"/>
        <v>0</v>
      </c>
      <c r="F379" s="452">
        <f t="shared" si="695"/>
        <v>0</v>
      </c>
      <c r="G379" s="452">
        <f t="shared" si="696"/>
        <v>0</v>
      </c>
      <c r="H379" s="452">
        <f t="shared" si="697"/>
        <v>0</v>
      </c>
      <c r="I379" s="452">
        <f t="shared" si="698"/>
        <v>0</v>
      </c>
      <c r="J379" s="452">
        <f t="shared" si="699"/>
        <v>0</v>
      </c>
      <c r="K379" s="452">
        <f t="shared" si="700"/>
        <v>0</v>
      </c>
      <c r="L379" s="452">
        <f t="shared" si="738"/>
        <v>0</v>
      </c>
      <c r="M379" s="1002">
        <f t="shared" si="739"/>
        <v>0</v>
      </c>
      <c r="N379" s="1396"/>
      <c r="O379" s="1001">
        <f t="shared" si="701"/>
        <v>0</v>
      </c>
      <c r="P379" s="452">
        <f t="shared" si="702"/>
        <v>0</v>
      </c>
      <c r="Q379" s="452">
        <f t="shared" si="703"/>
        <v>0</v>
      </c>
      <c r="R379" s="452">
        <f t="shared" si="704"/>
        <v>0</v>
      </c>
      <c r="S379" s="452">
        <f t="shared" si="705"/>
        <v>0</v>
      </c>
      <c r="T379" s="452">
        <f t="shared" si="706"/>
        <v>0</v>
      </c>
      <c r="U379" s="452">
        <f t="shared" si="707"/>
        <v>0</v>
      </c>
      <c r="V379" s="452">
        <f t="shared" si="708"/>
        <v>0</v>
      </c>
      <c r="W379" s="452">
        <f t="shared" si="709"/>
        <v>0</v>
      </c>
      <c r="X379" s="1002">
        <f t="shared" si="710"/>
        <v>0</v>
      </c>
      <c r="Y379" s="1397"/>
      <c r="Z379" s="1398">
        <f t="shared" si="711"/>
        <v>0</v>
      </c>
      <c r="AA379" s="1398">
        <f t="shared" si="712"/>
        <v>0</v>
      </c>
      <c r="AB379" s="1398">
        <f t="shared" si="713"/>
        <v>0</v>
      </c>
      <c r="AC379" s="1398">
        <f t="shared" si="714"/>
        <v>0</v>
      </c>
      <c r="AD379" s="1398">
        <f t="shared" si="715"/>
        <v>0</v>
      </c>
      <c r="AE379" s="1398">
        <f t="shared" si="716"/>
        <v>0</v>
      </c>
      <c r="AF379" s="1398">
        <f t="shared" si="717"/>
        <v>0</v>
      </c>
      <c r="AG379" s="1398">
        <f t="shared" si="718"/>
        <v>0</v>
      </c>
      <c r="AH379" s="1396"/>
      <c r="AI379" s="462">
        <f t="shared" si="719"/>
        <v>0</v>
      </c>
      <c r="AJ379" s="1112"/>
      <c r="AK379" s="1399"/>
      <c r="AL379" s="829">
        <f t="shared" si="720"/>
        <v>45908</v>
      </c>
      <c r="AM379" s="684">
        <f>IFERROR(IF(AND(AT379="",AR379&lt;&gt;S.CAL!$BJ$3,AR379&lt;&gt;S.CAL!$BJ$4,$AR$365="NON"),M379-BD379,IF(AND(AT379="",AR379&lt;&gt;S.CAL!$BJ$3,AR379&lt;&gt;S.CAL!$BJ$4,$AR$365="OUI"),X379-AI379,IF(AT379&lt;&gt;0,AT379,IF(OR(AR379=S.CAL!$BJ$3,AR379=S.CAL!$BJ$4),AR379,"")))),"")</f>
        <v>0</v>
      </c>
      <c r="AN379" s="1115"/>
      <c r="AO379" s="1116"/>
      <c r="AP379" s="684">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400">
        <f t="shared" si="740"/>
        <v>0</v>
      </c>
      <c r="AR379" s="1120"/>
      <c r="AS379" s="1396"/>
      <c r="AT379" s="1123"/>
      <c r="AU379" s="831"/>
      <c r="AV379" s="1392">
        <f t="shared" si="721"/>
        <v>45908</v>
      </c>
      <c r="AW379" s="1396"/>
      <c r="AX379" s="529">
        <f t="shared" si="741"/>
        <v>45908</v>
      </c>
      <c r="AY379" s="541">
        <f t="shared" si="742"/>
        <v>0</v>
      </c>
      <c r="AZ379" s="538" t="s">
        <v>146</v>
      </c>
      <c r="BA379" s="534">
        <f t="shared" si="743"/>
        <v>0</v>
      </c>
      <c r="BB379" s="567" t="str">
        <f t="shared" si="722"/>
        <v/>
      </c>
      <c r="BC379" s="541">
        <f t="shared" si="744"/>
        <v>0</v>
      </c>
      <c r="BD379" s="541">
        <f t="shared" si="745"/>
        <v>0</v>
      </c>
      <c r="BE379" s="1126"/>
      <c r="BF379" s="532" t="str">
        <f t="shared" si="723"/>
        <v/>
      </c>
      <c r="BG379" s="532" t="str">
        <f t="shared" si="746"/>
        <v>oui</v>
      </c>
      <c r="BH379" s="395" t="str">
        <f t="shared" si="724"/>
        <v/>
      </c>
      <c r="BI379" s="24" t="str">
        <f t="shared" si="725"/>
        <v/>
      </c>
      <c r="BJ379" s="1404"/>
      <c r="BK379" s="1404"/>
      <c r="BL379" s="1404"/>
      <c r="BM379" s="1404"/>
      <c r="BN379" s="1404"/>
      <c r="BO379" s="1404"/>
      <c r="BP379" s="1404"/>
      <c r="BQ379" s="1404"/>
      <c r="BR379" s="1405"/>
      <c r="BS379" s="1392">
        <f t="shared" si="692"/>
        <v>45908</v>
      </c>
      <c r="BT379" s="1406">
        <f t="shared" si="754"/>
        <v>37</v>
      </c>
      <c r="BU379" s="1404"/>
      <c r="BV379" s="1404"/>
      <c r="BW379" s="1404"/>
      <c r="BX379" s="1404"/>
      <c r="BY379" s="1404"/>
      <c r="BZ379" s="1404"/>
      <c r="CA379" s="1404"/>
      <c r="CB379" s="1404"/>
      <c r="CD379" s="1408">
        <f t="shared" si="747"/>
        <v>0</v>
      </c>
      <c r="DC379" s="16" t="str">
        <f>Septembre!FC27</f>
        <v>non</v>
      </c>
      <c r="DG379" s="333">
        <f t="shared" si="748"/>
        <v>1</v>
      </c>
      <c r="DH379" s="129">
        <f t="shared" si="726"/>
        <v>10</v>
      </c>
      <c r="DI379" s="129">
        <f t="shared" si="749"/>
        <v>1</v>
      </c>
      <c r="DK379" s="16">
        <f>+IF(AND(Septembre!$DP$8&lt;&gt;52,AR379=S.CAL!$BJ$4),10,1)</f>
        <v>1</v>
      </c>
      <c r="DN379" s="16">
        <f t="shared" si="727"/>
        <v>1</v>
      </c>
      <c r="DU379" s="1296" t="str">
        <f t="shared" si="750"/>
        <v>Fiche infoA145908</v>
      </c>
      <c r="DV379" s="1384">
        <f t="shared" si="728"/>
        <v>0</v>
      </c>
      <c r="DW379" s="1385">
        <f t="shared" si="729"/>
        <v>0</v>
      </c>
      <c r="DX379" s="1385">
        <f t="shared" si="730"/>
        <v>0</v>
      </c>
      <c r="DY379" s="1385">
        <f t="shared" si="731"/>
        <v>0</v>
      </c>
      <c r="DZ379" s="1385">
        <f t="shared" si="732"/>
        <v>0</v>
      </c>
      <c r="EA379" s="1385">
        <f t="shared" si="733"/>
        <v>0</v>
      </c>
      <c r="EB379" s="1385">
        <f t="shared" si="734"/>
        <v>0</v>
      </c>
      <c r="EC379" s="1385">
        <f t="shared" si="735"/>
        <v>0</v>
      </c>
      <c r="ED379" s="1385">
        <f t="shared" si="751"/>
        <v>0</v>
      </c>
      <c r="EE379" s="1386">
        <f t="shared" si="752"/>
        <v>0</v>
      </c>
      <c r="EG379" s="16" t="str">
        <f t="shared" si="753"/>
        <v>372025</v>
      </c>
      <c r="EH379" s="16" t="str">
        <f t="shared" si="736"/>
        <v>Fiche infoA1</v>
      </c>
      <c r="EI379" s="16" t="str">
        <f t="shared" si="737"/>
        <v/>
      </c>
    </row>
    <row r="380" spans="1:139" x14ac:dyDescent="0.2">
      <c r="A380" s="24" t="str">
        <f>Septembre!BJ28</f>
        <v>Fiche infoA2</v>
      </c>
      <c r="B380" s="829">
        <f>Septembre!AB28</f>
        <v>45909</v>
      </c>
      <c r="C380" s="1393"/>
      <c r="D380" s="1001">
        <f t="shared" si="693"/>
        <v>0</v>
      </c>
      <c r="E380" s="452">
        <f t="shared" si="694"/>
        <v>0</v>
      </c>
      <c r="F380" s="452">
        <f t="shared" si="695"/>
        <v>0</v>
      </c>
      <c r="G380" s="452">
        <f t="shared" si="696"/>
        <v>0</v>
      </c>
      <c r="H380" s="452">
        <f t="shared" si="697"/>
        <v>0</v>
      </c>
      <c r="I380" s="452">
        <f t="shared" si="698"/>
        <v>0</v>
      </c>
      <c r="J380" s="452">
        <f t="shared" si="699"/>
        <v>0</v>
      </c>
      <c r="K380" s="452">
        <f t="shared" si="700"/>
        <v>0</v>
      </c>
      <c r="L380" s="452">
        <f t="shared" si="738"/>
        <v>0</v>
      </c>
      <c r="M380" s="1002">
        <f t="shared" si="739"/>
        <v>0</v>
      </c>
      <c r="O380" s="1001">
        <f>IF(AR380&lt;&gt;"",0,IF(DC380="oui",0,IF(AND(ISTEXT(AT380)=TRUE,BJ380=""),0,IF(BJ380="",D380,BJ380))))</f>
        <v>0</v>
      </c>
      <c r="P380" s="452">
        <f>IF(AR380&lt;&gt;"",0,IF(DC380="oui",0,IF(AND(ISTEXT(AT380)=TRUE,BK380=""),0,IF(BK380="",E380,BK380))))</f>
        <v>0</v>
      </c>
      <c r="Q380" s="452">
        <f>IF(AR380&lt;&gt;"",0,IF(DC380="oui",0,IF(AND(ISTEXT(AT380)=TRUE,BL380=""),0,IF(BL380="",F380,BL380))))</f>
        <v>0</v>
      </c>
      <c r="R380" s="452">
        <f>IF(AR380&lt;&gt;"",0,IF(DC380="oui",0,IF(AND(ISTEXT(AT380)=TRUE,BM380=""),0,IF(BM380="",G380,BM380))))</f>
        <v>0</v>
      </c>
      <c r="S380" s="452">
        <f>IF(AR380&lt;&gt;"",0,IF(DC380="oui",0,IF(AND(ISTEXT(AT380)=TRUE,BN380=""),0,IF(BN380="",H380,BN380))))</f>
        <v>0</v>
      </c>
      <c r="T380" s="452">
        <f>IF(AR380&lt;&gt;"",0,IF(DC380="oui",0,IF(AND(ISTEXT(AT380)=TRUE,BO380=""),0,IF(BO380="",I380,BO380))))</f>
        <v>0</v>
      </c>
      <c r="U380" s="452">
        <f>IF(AR380&lt;&gt;"",0,IF(DC380="oui",0,IF(AND(ISTEXT(AT380)=TRUE,BP380=""),0,IF(BP380="",J380,BP380))))</f>
        <v>0</v>
      </c>
      <c r="V380" s="452">
        <f>IF(AR380&lt;&gt;"",0,IF(DC380="oui",0,IF(AND(ISTEXT(AT380)=TRUE,BQ380=""),0,IF(BQ380="",K380,BQ380))))</f>
        <v>0</v>
      </c>
      <c r="W380" s="452">
        <f t="shared" si="709"/>
        <v>0</v>
      </c>
      <c r="X380" s="1002">
        <f t="shared" si="710"/>
        <v>0</v>
      </c>
      <c r="Y380" s="459"/>
      <c r="Z380" s="291">
        <f t="shared" si="711"/>
        <v>0</v>
      </c>
      <c r="AA380" s="291">
        <f t="shared" si="712"/>
        <v>0</v>
      </c>
      <c r="AB380" s="291">
        <f t="shared" si="713"/>
        <v>0</v>
      </c>
      <c r="AC380" s="291">
        <f t="shared" si="714"/>
        <v>0</v>
      </c>
      <c r="AD380" s="291">
        <f t="shared" si="715"/>
        <v>0</v>
      </c>
      <c r="AE380" s="291">
        <f t="shared" si="716"/>
        <v>0</v>
      </c>
      <c r="AF380" s="291">
        <f t="shared" si="717"/>
        <v>0</v>
      </c>
      <c r="AG380" s="291">
        <f t="shared" si="718"/>
        <v>0</v>
      </c>
      <c r="AI380" s="462">
        <f>IF(DC380="oui",0,IF(AND(ISTEXT(AT380)=TRUE,OR(X380=0,X380="")),0,ROUND(((((AA380-Z380)-(E380-D380))+((AC380-AB380)-(G380-F380))+((AE380-AD380)-(I380-H380))+(AG380-AF380)-(K380-J380))*24),2)))</f>
        <v>0</v>
      </c>
      <c r="AJ380" s="1112"/>
      <c r="AK380" s="507"/>
      <c r="AL380" s="829">
        <f t="shared" si="720"/>
        <v>45909</v>
      </c>
      <c r="AM380" s="684">
        <f>IFERROR(IF(AND(AT380="",AR380&lt;&gt;S.CAL!$BJ$3,AR380&lt;&gt;S.CAL!$BJ$4,$AR$365="NON"),M380-BD380,IF(AND(AT380="",AR380&lt;&gt;S.CAL!$BJ$3,AR380&lt;&gt;S.CAL!$BJ$4,$AR$365="OUI"),X380-AI380,IF(AT380&lt;&gt;0,AT380,IF(OR(AR380=S.CAL!$BJ$3,AR380=S.CAL!$BJ$4),AR380,"")))),"")</f>
        <v>0</v>
      </c>
      <c r="AN380" s="1115"/>
      <c r="AO380" s="1116"/>
      <c r="AP380" s="684">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516">
        <f t="shared" si="740"/>
        <v>0</v>
      </c>
      <c r="AR380" s="1120"/>
      <c r="AT380" s="1123"/>
      <c r="AU380" s="831"/>
      <c r="AV380" s="1392">
        <f t="shared" si="721"/>
        <v>45909</v>
      </c>
      <c r="AX380" s="529">
        <f t="shared" si="741"/>
        <v>45909</v>
      </c>
      <c r="AY380" s="541">
        <f t="shared" si="742"/>
        <v>0</v>
      </c>
      <c r="AZ380" s="538" t="s">
        <v>146</v>
      </c>
      <c r="BA380" s="534">
        <f t="shared" si="743"/>
        <v>0</v>
      </c>
      <c r="BB380" s="567" t="str">
        <f t="shared" si="722"/>
        <v/>
      </c>
      <c r="BC380" s="541">
        <f t="shared" si="744"/>
        <v>0</v>
      </c>
      <c r="BD380" s="541">
        <f t="shared" si="745"/>
        <v>0</v>
      </c>
      <c r="BE380" s="1126"/>
      <c r="BF380" s="532" t="str">
        <f t="shared" si="723"/>
        <v/>
      </c>
      <c r="BG380" s="532" t="str">
        <f t="shared" si="746"/>
        <v>oui</v>
      </c>
      <c r="BH380" s="395" t="str">
        <f t="shared" si="724"/>
        <v/>
      </c>
      <c r="BI380" s="24" t="str">
        <f t="shared" si="725"/>
        <v/>
      </c>
      <c r="BJ380" s="1403"/>
      <c r="BK380" s="1403"/>
      <c r="BL380" s="1403"/>
      <c r="BM380" s="1403"/>
      <c r="BN380" s="1403"/>
      <c r="BO380" s="1403"/>
      <c r="BP380" s="1403"/>
      <c r="BQ380" s="1403"/>
      <c r="BS380" s="1392">
        <f t="shared" si="692"/>
        <v>45909</v>
      </c>
      <c r="BT380" s="27" t="str">
        <f t="shared" si="754"/>
        <v/>
      </c>
      <c r="BU380" s="1402"/>
      <c r="BV380" s="1402"/>
      <c r="BW380" s="1402"/>
      <c r="BX380" s="1402"/>
      <c r="BY380" s="1402"/>
      <c r="BZ380" s="1402"/>
      <c r="CA380" s="1402"/>
      <c r="CB380" s="1402"/>
      <c r="CD380" s="1408">
        <f t="shared" si="747"/>
        <v>0</v>
      </c>
      <c r="DC380" s="16" t="str">
        <f>Septembre!FC28</f>
        <v>non</v>
      </c>
      <c r="DG380" s="333">
        <f t="shared" si="748"/>
        <v>1</v>
      </c>
      <c r="DH380" s="129">
        <f t="shared" si="726"/>
        <v>10</v>
      </c>
      <c r="DI380" s="129">
        <f t="shared" si="749"/>
        <v>1</v>
      </c>
      <c r="DK380" s="16">
        <f>+IF(AND(Septembre!$DP$8&lt;&gt;52,AR380=S.CAL!$BJ$4),10,1)</f>
        <v>1</v>
      </c>
      <c r="DN380" s="16">
        <f t="shared" si="727"/>
        <v>1</v>
      </c>
      <c r="DU380" s="1296" t="str">
        <f t="shared" si="750"/>
        <v>Fiche infoA245909</v>
      </c>
      <c r="DV380" s="1384">
        <f t="shared" si="728"/>
        <v>0</v>
      </c>
      <c r="DW380" s="1385">
        <f t="shared" si="729"/>
        <v>0</v>
      </c>
      <c r="DX380" s="1385">
        <f t="shared" si="730"/>
        <v>0</v>
      </c>
      <c r="DY380" s="1385">
        <f t="shared" si="731"/>
        <v>0</v>
      </c>
      <c r="DZ380" s="1385">
        <f t="shared" si="732"/>
        <v>0</v>
      </c>
      <c r="EA380" s="1385">
        <f t="shared" si="733"/>
        <v>0</v>
      </c>
      <c r="EB380" s="1385">
        <f t="shared" si="734"/>
        <v>0</v>
      </c>
      <c r="EC380" s="1385">
        <f t="shared" si="735"/>
        <v>0</v>
      </c>
      <c r="ED380" s="1385">
        <f t="shared" si="751"/>
        <v>0</v>
      </c>
      <c r="EE380" s="1386">
        <f t="shared" si="752"/>
        <v>0</v>
      </c>
      <c r="EG380" s="16" t="str">
        <f t="shared" si="753"/>
        <v>372025</v>
      </c>
      <c r="EH380" s="16" t="str">
        <f t="shared" si="736"/>
        <v>Fiche infoA2</v>
      </c>
      <c r="EI380" s="16" t="str">
        <f t="shared" si="737"/>
        <v/>
      </c>
    </row>
    <row r="381" spans="1:139" x14ac:dyDescent="0.2">
      <c r="A381" s="1395" t="str">
        <f>Septembre!BJ29</f>
        <v>Fiche infoA3</v>
      </c>
      <c r="B381" s="829">
        <f>Septembre!AB29</f>
        <v>45910</v>
      </c>
      <c r="C381" s="1394"/>
      <c r="D381" s="1001">
        <f t="shared" si="693"/>
        <v>0</v>
      </c>
      <c r="E381" s="452">
        <f t="shared" si="694"/>
        <v>0</v>
      </c>
      <c r="F381" s="452">
        <f t="shared" si="695"/>
        <v>0</v>
      </c>
      <c r="G381" s="452">
        <f t="shared" si="696"/>
        <v>0</v>
      </c>
      <c r="H381" s="452">
        <f t="shared" si="697"/>
        <v>0</v>
      </c>
      <c r="I381" s="452">
        <f t="shared" si="698"/>
        <v>0</v>
      </c>
      <c r="J381" s="452">
        <f t="shared" si="699"/>
        <v>0</v>
      </c>
      <c r="K381" s="452">
        <f t="shared" si="700"/>
        <v>0</v>
      </c>
      <c r="L381" s="452">
        <f t="shared" si="738"/>
        <v>0</v>
      </c>
      <c r="M381" s="1002">
        <f t="shared" si="739"/>
        <v>0</v>
      </c>
      <c r="N381" s="1396"/>
      <c r="O381" s="1001">
        <f t="shared" ref="O381:O402" si="755">IF(AR381&lt;&gt;"",0,IF(DC381="oui",0,IF(AND(ISTEXT(AT381)=TRUE,BJ381=""),0,IF(BJ381="",D381,BJ381))))</f>
        <v>0</v>
      </c>
      <c r="P381" s="452">
        <f t="shared" ref="P381:P402" si="756">IF(AR381&lt;&gt;"",0,IF(DC381="oui",0,IF(AND(ISTEXT(AT381)=TRUE,BK381=""),0,IF(BK381="",E381,BK381))))</f>
        <v>0</v>
      </c>
      <c r="Q381" s="452">
        <f t="shared" ref="Q381:Q402" si="757">IF(AR381&lt;&gt;"",0,IF(DC381="oui",0,IF(AND(ISTEXT(AT381)=TRUE,BL381=""),0,IF(BL381="",F381,BL381))))</f>
        <v>0</v>
      </c>
      <c r="R381" s="452">
        <f t="shared" ref="R381:R402" si="758">IF(AR381&lt;&gt;"",0,IF(DC381="oui",0,IF(AND(ISTEXT(AT381)=TRUE,BM381=""),0,IF(BM381="",G381,BM381))))</f>
        <v>0</v>
      </c>
      <c r="S381" s="452">
        <f t="shared" ref="S381:S402" si="759">IF(AR381&lt;&gt;"",0,IF(DC381="oui",0,IF(AND(ISTEXT(AT381)=TRUE,BN381=""),0,IF(BN381="",H381,BN381))))</f>
        <v>0</v>
      </c>
      <c r="T381" s="452">
        <f t="shared" ref="T381:T402" si="760">IF(AR381&lt;&gt;"",0,IF(DC381="oui",0,IF(AND(ISTEXT(AT381)=TRUE,BO381=""),0,IF(BO381="",I381,BO381))))</f>
        <v>0</v>
      </c>
      <c r="U381" s="452">
        <f t="shared" ref="U381:U402" si="761">IF(AR381&lt;&gt;"",0,IF(DC381="oui",0,IF(AND(ISTEXT(AT381)=TRUE,BP381=""),0,IF(BP381="",J381,BP381))))</f>
        <v>0</v>
      </c>
      <c r="V381" s="452">
        <f t="shared" ref="V381:V402" si="762">IF(AR381&lt;&gt;"",0,IF(DC381="oui",0,IF(AND(ISTEXT(AT381)=TRUE,BQ381=""),0,IF(BQ381="",K381,BQ381))))</f>
        <v>0</v>
      </c>
      <c r="W381" s="452">
        <f t="shared" si="709"/>
        <v>0</v>
      </c>
      <c r="X381" s="1002">
        <f t="shared" si="710"/>
        <v>0</v>
      </c>
      <c r="Y381" s="1397"/>
      <c r="Z381" s="1398">
        <f t="shared" si="711"/>
        <v>0</v>
      </c>
      <c r="AA381" s="1398">
        <f t="shared" si="712"/>
        <v>0</v>
      </c>
      <c r="AB381" s="1398">
        <f t="shared" si="713"/>
        <v>0</v>
      </c>
      <c r="AC381" s="1398">
        <f t="shared" si="714"/>
        <v>0</v>
      </c>
      <c r="AD381" s="1398">
        <f t="shared" si="715"/>
        <v>0</v>
      </c>
      <c r="AE381" s="1398">
        <f t="shared" si="716"/>
        <v>0</v>
      </c>
      <c r="AF381" s="1398">
        <f t="shared" si="717"/>
        <v>0</v>
      </c>
      <c r="AG381" s="1398">
        <f t="shared" si="718"/>
        <v>0</v>
      </c>
      <c r="AH381" s="1396"/>
      <c r="AI381" s="462">
        <f t="shared" ref="AI381:AI402" si="763">IF(DC381="oui",0,IF(AND(ISTEXT(AT381)=TRUE,OR(X381=0,X381="")),0,ROUND(((((AA381-Z381)-(E381-D381))+((AC381-AB381)-(G381-F381))+((AE381-AD381)-(I381-H381))+(AG381-AF381)-(K381-J381))*24),2)))</f>
        <v>0</v>
      </c>
      <c r="AJ381" s="1112"/>
      <c r="AK381" s="1399"/>
      <c r="AL381" s="829">
        <f t="shared" si="720"/>
        <v>45910</v>
      </c>
      <c r="AM381" s="684">
        <f>IFERROR(IF(AND(AT381="",AR381&lt;&gt;S.CAL!$BJ$3,AR381&lt;&gt;S.CAL!$BJ$4,$AR$365="NON"),M381-BD381,IF(AND(AT381="",AR381&lt;&gt;S.CAL!$BJ$3,AR381&lt;&gt;S.CAL!$BJ$4,$AR$365="OUI"),X381-AI381,IF(AT381&lt;&gt;0,AT381,IF(OR(AR381=S.CAL!$BJ$3,AR381=S.CAL!$BJ$4),AR381,"")))),"")</f>
        <v>0</v>
      </c>
      <c r="AN381" s="1115"/>
      <c r="AO381" s="1116"/>
      <c r="AP381" s="684">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400">
        <f t="shared" si="740"/>
        <v>0</v>
      </c>
      <c r="AR381" s="1120"/>
      <c r="AS381" s="1396"/>
      <c r="AT381" s="1123"/>
      <c r="AU381" s="831"/>
      <c r="AV381" s="1392">
        <f t="shared" si="721"/>
        <v>45910</v>
      </c>
      <c r="AW381" s="1396"/>
      <c r="AX381" s="529">
        <f t="shared" si="741"/>
        <v>45910</v>
      </c>
      <c r="AY381" s="541">
        <f t="shared" si="742"/>
        <v>0</v>
      </c>
      <c r="AZ381" s="538" t="s">
        <v>146</v>
      </c>
      <c r="BA381" s="534">
        <f t="shared" si="743"/>
        <v>0</v>
      </c>
      <c r="BB381" s="567" t="str">
        <f t="shared" si="722"/>
        <v/>
      </c>
      <c r="BC381" s="541">
        <f t="shared" si="744"/>
        <v>0</v>
      </c>
      <c r="BD381" s="541">
        <f t="shared" si="745"/>
        <v>0</v>
      </c>
      <c r="BE381" s="1126"/>
      <c r="BF381" s="532" t="str">
        <f t="shared" si="723"/>
        <v/>
      </c>
      <c r="BG381" s="532" t="str">
        <f t="shared" si="746"/>
        <v>oui</v>
      </c>
      <c r="BH381" s="395" t="str">
        <f t="shared" si="724"/>
        <v/>
      </c>
      <c r="BI381" s="24" t="str">
        <f t="shared" si="725"/>
        <v/>
      </c>
      <c r="BJ381" s="1404"/>
      <c r="BK381" s="1404"/>
      <c r="BL381" s="1404"/>
      <c r="BM381" s="1404"/>
      <c r="BN381" s="1404"/>
      <c r="BO381" s="1404"/>
      <c r="BP381" s="1404"/>
      <c r="BQ381" s="1404"/>
      <c r="BR381" s="1405"/>
      <c r="BS381" s="1392">
        <f t="shared" si="692"/>
        <v>45910</v>
      </c>
      <c r="BT381" s="1406" t="str">
        <f t="shared" si="754"/>
        <v/>
      </c>
      <c r="BU381" s="1404"/>
      <c r="BV381" s="1404"/>
      <c r="BW381" s="1404"/>
      <c r="BX381" s="1404"/>
      <c r="BY381" s="1404"/>
      <c r="BZ381" s="1404"/>
      <c r="CA381" s="1404"/>
      <c r="CB381" s="1404"/>
      <c r="CD381" s="1408">
        <f t="shared" si="747"/>
        <v>0</v>
      </c>
      <c r="DC381" s="16" t="str">
        <f>Septembre!FC29</f>
        <v>non</v>
      </c>
      <c r="DG381" s="333">
        <f t="shared" si="748"/>
        <v>1</v>
      </c>
      <c r="DH381" s="129">
        <f t="shared" si="726"/>
        <v>10</v>
      </c>
      <c r="DI381" s="129">
        <f t="shared" si="749"/>
        <v>1</v>
      </c>
      <c r="DK381" s="16">
        <f>+IF(AND(Septembre!$DP$8&lt;&gt;52,AR381=S.CAL!$BJ$4),10,1)</f>
        <v>1</v>
      </c>
      <c r="DN381" s="16">
        <f t="shared" si="727"/>
        <v>1</v>
      </c>
      <c r="DU381" s="1296" t="str">
        <f t="shared" si="750"/>
        <v>Fiche infoA345910</v>
      </c>
      <c r="DV381" s="1384">
        <f t="shared" si="728"/>
        <v>0</v>
      </c>
      <c r="DW381" s="1385">
        <f t="shared" si="729"/>
        <v>0</v>
      </c>
      <c r="DX381" s="1385">
        <f t="shared" si="730"/>
        <v>0</v>
      </c>
      <c r="DY381" s="1385">
        <f t="shared" si="731"/>
        <v>0</v>
      </c>
      <c r="DZ381" s="1385">
        <f t="shared" si="732"/>
        <v>0</v>
      </c>
      <c r="EA381" s="1385">
        <f t="shared" si="733"/>
        <v>0</v>
      </c>
      <c r="EB381" s="1385">
        <f t="shared" si="734"/>
        <v>0</v>
      </c>
      <c r="EC381" s="1385">
        <f t="shared" si="735"/>
        <v>0</v>
      </c>
      <c r="ED381" s="1385">
        <f t="shared" si="751"/>
        <v>0</v>
      </c>
      <c r="EE381" s="1386">
        <f t="shared" si="752"/>
        <v>0</v>
      </c>
      <c r="EG381" s="16" t="str">
        <f t="shared" si="753"/>
        <v>372025</v>
      </c>
      <c r="EH381" s="16" t="str">
        <f t="shared" si="736"/>
        <v>Fiche infoA3</v>
      </c>
      <c r="EI381" s="16" t="str">
        <f t="shared" si="737"/>
        <v/>
      </c>
    </row>
    <row r="382" spans="1:139" x14ac:dyDescent="0.2">
      <c r="A382" s="24" t="str">
        <f>Septembre!BJ30</f>
        <v>Fiche infoA4</v>
      </c>
      <c r="B382" s="829">
        <f>Septembre!AB30</f>
        <v>45911</v>
      </c>
      <c r="C382" s="1393"/>
      <c r="D382" s="1001">
        <f t="shared" si="693"/>
        <v>0</v>
      </c>
      <c r="E382" s="452">
        <f t="shared" si="694"/>
        <v>0</v>
      </c>
      <c r="F382" s="452">
        <f t="shared" si="695"/>
        <v>0</v>
      </c>
      <c r="G382" s="452">
        <f t="shared" si="696"/>
        <v>0</v>
      </c>
      <c r="H382" s="452">
        <f t="shared" si="697"/>
        <v>0</v>
      </c>
      <c r="I382" s="452">
        <f t="shared" si="698"/>
        <v>0</v>
      </c>
      <c r="J382" s="452">
        <f t="shared" si="699"/>
        <v>0</v>
      </c>
      <c r="K382" s="452">
        <f t="shared" si="700"/>
        <v>0</v>
      </c>
      <c r="L382" s="452">
        <f t="shared" si="738"/>
        <v>0</v>
      </c>
      <c r="M382" s="1002">
        <f t="shared" si="739"/>
        <v>0</v>
      </c>
      <c r="O382" s="1001">
        <f t="shared" si="755"/>
        <v>0</v>
      </c>
      <c r="P382" s="452">
        <f t="shared" si="756"/>
        <v>0</v>
      </c>
      <c r="Q382" s="452">
        <f t="shared" si="757"/>
        <v>0</v>
      </c>
      <c r="R382" s="452">
        <f t="shared" si="758"/>
        <v>0</v>
      </c>
      <c r="S382" s="452">
        <f t="shared" si="759"/>
        <v>0</v>
      </c>
      <c r="T382" s="452">
        <f t="shared" si="760"/>
        <v>0</v>
      </c>
      <c r="U382" s="452">
        <f t="shared" si="761"/>
        <v>0</v>
      </c>
      <c r="V382" s="452">
        <f t="shared" si="762"/>
        <v>0</v>
      </c>
      <c r="W382" s="452">
        <f t="shared" si="709"/>
        <v>0</v>
      </c>
      <c r="X382" s="1002">
        <f t="shared" si="710"/>
        <v>0</v>
      </c>
      <c r="Y382" s="459"/>
      <c r="Z382" s="291">
        <f t="shared" si="711"/>
        <v>0</v>
      </c>
      <c r="AA382" s="291">
        <f t="shared" si="712"/>
        <v>0</v>
      </c>
      <c r="AB382" s="291">
        <f t="shared" si="713"/>
        <v>0</v>
      </c>
      <c r="AC382" s="291">
        <f t="shared" si="714"/>
        <v>0</v>
      </c>
      <c r="AD382" s="291">
        <f t="shared" si="715"/>
        <v>0</v>
      </c>
      <c r="AE382" s="291">
        <f t="shared" si="716"/>
        <v>0</v>
      </c>
      <c r="AF382" s="291">
        <f t="shared" si="717"/>
        <v>0</v>
      </c>
      <c r="AG382" s="291">
        <f t="shared" si="718"/>
        <v>0</v>
      </c>
      <c r="AI382" s="462">
        <f t="shared" si="763"/>
        <v>0</v>
      </c>
      <c r="AJ382" s="1112"/>
      <c r="AK382" s="507"/>
      <c r="AL382" s="829">
        <f t="shared" si="720"/>
        <v>45911</v>
      </c>
      <c r="AM382" s="684">
        <f>IFERROR(IF(AND(AT382="",AR382&lt;&gt;S.CAL!$BJ$3,AR382&lt;&gt;S.CAL!$BJ$4,$AR$365="NON"),M382-BD382,IF(AND(AT382="",AR382&lt;&gt;S.CAL!$BJ$3,AR382&lt;&gt;S.CAL!$BJ$4,$AR$365="OUI"),X382-AI382,IF(AT382&lt;&gt;0,AT382,IF(OR(AR382=S.CAL!$BJ$3,AR382=S.CAL!$BJ$4),AR382,"")))),"")</f>
        <v>0</v>
      </c>
      <c r="AN382" s="1115"/>
      <c r="AO382" s="1116"/>
      <c r="AP382" s="684">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516">
        <f t="shared" si="740"/>
        <v>0</v>
      </c>
      <c r="AR382" s="1120"/>
      <c r="AT382" s="1123"/>
      <c r="AU382" s="831"/>
      <c r="AV382" s="1392">
        <f t="shared" si="721"/>
        <v>45911</v>
      </c>
      <c r="AX382" s="529">
        <f t="shared" si="741"/>
        <v>45911</v>
      </c>
      <c r="AY382" s="541">
        <f t="shared" si="742"/>
        <v>0</v>
      </c>
      <c r="AZ382" s="538" t="s">
        <v>146</v>
      </c>
      <c r="BA382" s="534">
        <f t="shared" si="743"/>
        <v>0</v>
      </c>
      <c r="BB382" s="567" t="str">
        <f t="shared" si="722"/>
        <v/>
      </c>
      <c r="BC382" s="541">
        <f t="shared" si="744"/>
        <v>0</v>
      </c>
      <c r="BD382" s="541">
        <f t="shared" si="745"/>
        <v>0</v>
      </c>
      <c r="BE382" s="1126"/>
      <c r="BF382" s="532" t="str">
        <f t="shared" si="723"/>
        <v/>
      </c>
      <c r="BG382" s="532" t="str">
        <f t="shared" si="746"/>
        <v>oui</v>
      </c>
      <c r="BH382" s="395" t="str">
        <f t="shared" si="724"/>
        <v/>
      </c>
      <c r="BI382" s="24" t="str">
        <f t="shared" si="725"/>
        <v/>
      </c>
      <c r="BJ382" s="1403"/>
      <c r="BK382" s="1403"/>
      <c r="BL382" s="1403"/>
      <c r="BM382" s="1403"/>
      <c r="BN382" s="1403"/>
      <c r="BO382" s="1403"/>
      <c r="BP382" s="1403"/>
      <c r="BQ382" s="1403"/>
      <c r="BS382" s="1392">
        <f t="shared" si="692"/>
        <v>45911</v>
      </c>
      <c r="BT382" s="27" t="str">
        <f t="shared" si="754"/>
        <v/>
      </c>
      <c r="BU382" s="1402"/>
      <c r="BV382" s="1402"/>
      <c r="BW382" s="1402"/>
      <c r="BX382" s="1402"/>
      <c r="BY382" s="1402"/>
      <c r="BZ382" s="1402"/>
      <c r="CA382" s="1402"/>
      <c r="CB382" s="1402"/>
      <c r="CD382" s="1408">
        <f t="shared" si="747"/>
        <v>0</v>
      </c>
      <c r="DC382" s="16" t="str">
        <f>Septembre!FC30</f>
        <v>non</v>
      </c>
      <c r="DG382" s="333">
        <f t="shared" si="748"/>
        <v>1</v>
      </c>
      <c r="DH382" s="129">
        <f t="shared" si="726"/>
        <v>10</v>
      </c>
      <c r="DI382" s="129">
        <f t="shared" si="749"/>
        <v>1</v>
      </c>
      <c r="DK382" s="16">
        <f>+IF(AND(Septembre!$DP$8&lt;&gt;52,AR382=S.CAL!$BJ$4),10,1)</f>
        <v>1</v>
      </c>
      <c r="DN382" s="16">
        <f t="shared" si="727"/>
        <v>1</v>
      </c>
      <c r="DU382" s="1296" t="str">
        <f t="shared" si="750"/>
        <v>Fiche infoA445911</v>
      </c>
      <c r="DV382" s="1384">
        <f t="shared" si="728"/>
        <v>0</v>
      </c>
      <c r="DW382" s="1385">
        <f t="shared" si="729"/>
        <v>0</v>
      </c>
      <c r="DX382" s="1385">
        <f t="shared" si="730"/>
        <v>0</v>
      </c>
      <c r="DY382" s="1385">
        <f t="shared" si="731"/>
        <v>0</v>
      </c>
      <c r="DZ382" s="1385">
        <f t="shared" si="732"/>
        <v>0</v>
      </c>
      <c r="EA382" s="1385">
        <f t="shared" si="733"/>
        <v>0</v>
      </c>
      <c r="EB382" s="1385">
        <f t="shared" si="734"/>
        <v>0</v>
      </c>
      <c r="EC382" s="1385">
        <f t="shared" si="735"/>
        <v>0</v>
      </c>
      <c r="ED382" s="1385">
        <f t="shared" si="751"/>
        <v>0</v>
      </c>
      <c r="EE382" s="1386">
        <f t="shared" si="752"/>
        <v>0</v>
      </c>
      <c r="EG382" s="16" t="str">
        <f t="shared" si="753"/>
        <v>372025</v>
      </c>
      <c r="EH382" s="16" t="str">
        <f t="shared" si="736"/>
        <v>Fiche infoA4</v>
      </c>
      <c r="EI382" s="16" t="str">
        <f t="shared" si="737"/>
        <v/>
      </c>
    </row>
    <row r="383" spans="1:139" x14ac:dyDescent="0.2">
      <c r="A383" s="1395" t="str">
        <f>Septembre!BJ31</f>
        <v>Fiche infoA5</v>
      </c>
      <c r="B383" s="829">
        <f>Septembre!AB31</f>
        <v>45912</v>
      </c>
      <c r="C383" s="1394"/>
      <c r="D383" s="1001">
        <f t="shared" si="693"/>
        <v>0</v>
      </c>
      <c r="E383" s="452">
        <f t="shared" si="694"/>
        <v>0</v>
      </c>
      <c r="F383" s="452">
        <f t="shared" si="695"/>
        <v>0</v>
      </c>
      <c r="G383" s="452">
        <f t="shared" si="696"/>
        <v>0</v>
      </c>
      <c r="H383" s="452">
        <f t="shared" si="697"/>
        <v>0</v>
      </c>
      <c r="I383" s="452">
        <f t="shared" si="698"/>
        <v>0</v>
      </c>
      <c r="J383" s="452">
        <f t="shared" si="699"/>
        <v>0</v>
      </c>
      <c r="K383" s="452">
        <f t="shared" si="700"/>
        <v>0</v>
      </c>
      <c r="L383" s="452">
        <f t="shared" si="738"/>
        <v>0</v>
      </c>
      <c r="M383" s="1002">
        <f t="shared" si="739"/>
        <v>0</v>
      </c>
      <c r="N383" s="1396"/>
      <c r="O383" s="1001">
        <f t="shared" si="755"/>
        <v>0</v>
      </c>
      <c r="P383" s="452">
        <f t="shared" si="756"/>
        <v>0</v>
      </c>
      <c r="Q383" s="452">
        <f t="shared" si="757"/>
        <v>0</v>
      </c>
      <c r="R383" s="452">
        <f t="shared" si="758"/>
        <v>0</v>
      </c>
      <c r="S383" s="452">
        <f t="shared" si="759"/>
        <v>0</v>
      </c>
      <c r="T383" s="452">
        <f t="shared" si="760"/>
        <v>0</v>
      </c>
      <c r="U383" s="452">
        <f t="shared" si="761"/>
        <v>0</v>
      </c>
      <c r="V383" s="452">
        <f t="shared" si="762"/>
        <v>0</v>
      </c>
      <c r="W383" s="452">
        <f t="shared" si="709"/>
        <v>0</v>
      </c>
      <c r="X383" s="1002">
        <f t="shared" si="710"/>
        <v>0</v>
      </c>
      <c r="Y383" s="1397"/>
      <c r="Z383" s="1398">
        <f t="shared" si="711"/>
        <v>0</v>
      </c>
      <c r="AA383" s="1398">
        <f t="shared" si="712"/>
        <v>0</v>
      </c>
      <c r="AB383" s="1398">
        <f t="shared" si="713"/>
        <v>0</v>
      </c>
      <c r="AC383" s="1398">
        <f t="shared" si="714"/>
        <v>0</v>
      </c>
      <c r="AD383" s="1398">
        <f t="shared" si="715"/>
        <v>0</v>
      </c>
      <c r="AE383" s="1398">
        <f t="shared" si="716"/>
        <v>0</v>
      </c>
      <c r="AF383" s="1398">
        <f t="shared" si="717"/>
        <v>0</v>
      </c>
      <c r="AG383" s="1398">
        <f t="shared" si="718"/>
        <v>0</v>
      </c>
      <c r="AH383" s="1396"/>
      <c r="AI383" s="462">
        <f t="shared" si="763"/>
        <v>0</v>
      </c>
      <c r="AJ383" s="1112"/>
      <c r="AK383" s="1399"/>
      <c r="AL383" s="829">
        <f t="shared" si="720"/>
        <v>45912</v>
      </c>
      <c r="AM383" s="684">
        <f>IFERROR(IF(AND(AT383="",AR383&lt;&gt;S.CAL!$BJ$3,AR383&lt;&gt;S.CAL!$BJ$4,$AR$365="NON"),M383-BD383,IF(AND(AT383="",AR383&lt;&gt;S.CAL!$BJ$3,AR383&lt;&gt;S.CAL!$BJ$4,$AR$365="OUI"),X383-AI383,IF(AT383&lt;&gt;0,AT383,IF(OR(AR383=S.CAL!$BJ$3,AR383=S.CAL!$BJ$4),AR383,"")))),"")</f>
        <v>0</v>
      </c>
      <c r="AN383" s="1115"/>
      <c r="AO383" s="1116"/>
      <c r="AP383" s="684">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400">
        <f t="shared" si="740"/>
        <v>0</v>
      </c>
      <c r="AR383" s="1120"/>
      <c r="AS383" s="1396"/>
      <c r="AT383" s="1123"/>
      <c r="AU383" s="831"/>
      <c r="AV383" s="1392">
        <f t="shared" si="721"/>
        <v>45912</v>
      </c>
      <c r="AW383" s="1396"/>
      <c r="AX383" s="529">
        <f t="shared" si="741"/>
        <v>45912</v>
      </c>
      <c r="AY383" s="541">
        <f t="shared" si="742"/>
        <v>0</v>
      </c>
      <c r="AZ383" s="538" t="s">
        <v>146</v>
      </c>
      <c r="BA383" s="534">
        <f t="shared" si="743"/>
        <v>0</v>
      </c>
      <c r="BB383" s="567" t="str">
        <f t="shared" si="722"/>
        <v/>
      </c>
      <c r="BC383" s="541">
        <f t="shared" si="744"/>
        <v>0</v>
      </c>
      <c r="BD383" s="541">
        <f t="shared" si="745"/>
        <v>0</v>
      </c>
      <c r="BE383" s="1126"/>
      <c r="BF383" s="532" t="str">
        <f t="shared" si="723"/>
        <v/>
      </c>
      <c r="BG383" s="532" t="str">
        <f t="shared" si="746"/>
        <v>oui</v>
      </c>
      <c r="BH383" s="395" t="str">
        <f t="shared" si="724"/>
        <v/>
      </c>
      <c r="BI383" s="24" t="str">
        <f t="shared" si="725"/>
        <v/>
      </c>
      <c r="BJ383" s="1404"/>
      <c r="BK383" s="1404"/>
      <c r="BL383" s="1404"/>
      <c r="BM383" s="1404"/>
      <c r="BN383" s="1404"/>
      <c r="BO383" s="1404"/>
      <c r="BP383" s="1404"/>
      <c r="BQ383" s="1404"/>
      <c r="BR383" s="1405"/>
      <c r="BS383" s="1392">
        <f t="shared" si="692"/>
        <v>45912</v>
      </c>
      <c r="BT383" s="1406" t="str">
        <f t="shared" si="754"/>
        <v/>
      </c>
      <c r="BU383" s="1404"/>
      <c r="BV383" s="1404"/>
      <c r="BW383" s="1404"/>
      <c r="BX383" s="1404"/>
      <c r="BY383" s="1404"/>
      <c r="BZ383" s="1404"/>
      <c r="CA383" s="1404"/>
      <c r="CB383" s="1404"/>
      <c r="CD383" s="1408">
        <f t="shared" si="747"/>
        <v>0</v>
      </c>
      <c r="DC383" s="16" t="str">
        <f>Septembre!FC31</f>
        <v>non</v>
      </c>
      <c r="DG383" s="333">
        <f t="shared" si="748"/>
        <v>1</v>
      </c>
      <c r="DH383" s="129">
        <f t="shared" si="726"/>
        <v>10</v>
      </c>
      <c r="DI383" s="129">
        <f t="shared" si="749"/>
        <v>1</v>
      </c>
      <c r="DK383" s="16">
        <f>+IF(AND(Septembre!$DP$8&lt;&gt;52,AR383=S.CAL!$BJ$4),10,1)</f>
        <v>1</v>
      </c>
      <c r="DN383" s="16">
        <f t="shared" si="727"/>
        <v>1</v>
      </c>
      <c r="DU383" s="1296" t="str">
        <f t="shared" si="750"/>
        <v>Fiche infoA545912</v>
      </c>
      <c r="DV383" s="1384">
        <f t="shared" si="728"/>
        <v>0</v>
      </c>
      <c r="DW383" s="1385">
        <f t="shared" si="729"/>
        <v>0</v>
      </c>
      <c r="DX383" s="1385">
        <f t="shared" si="730"/>
        <v>0</v>
      </c>
      <c r="DY383" s="1385">
        <f t="shared" si="731"/>
        <v>0</v>
      </c>
      <c r="DZ383" s="1385">
        <f t="shared" si="732"/>
        <v>0</v>
      </c>
      <c r="EA383" s="1385">
        <f t="shared" si="733"/>
        <v>0</v>
      </c>
      <c r="EB383" s="1385">
        <f t="shared" si="734"/>
        <v>0</v>
      </c>
      <c r="EC383" s="1385">
        <f t="shared" si="735"/>
        <v>0</v>
      </c>
      <c r="ED383" s="1385">
        <f t="shared" si="751"/>
        <v>0</v>
      </c>
      <c r="EE383" s="1386">
        <f t="shared" si="752"/>
        <v>0</v>
      </c>
      <c r="EG383" s="16" t="str">
        <f t="shared" si="753"/>
        <v>372025</v>
      </c>
      <c r="EH383" s="16" t="str">
        <f t="shared" si="736"/>
        <v>Fiche infoA5</v>
      </c>
      <c r="EI383" s="16" t="str">
        <f t="shared" si="737"/>
        <v/>
      </c>
    </row>
    <row r="384" spans="1:139" x14ac:dyDescent="0.2">
      <c r="A384" s="24" t="str">
        <f>Septembre!BJ32</f>
        <v>Fiche infoA6</v>
      </c>
      <c r="B384" s="829">
        <f>Septembre!AB32</f>
        <v>45913</v>
      </c>
      <c r="C384" s="1393"/>
      <c r="D384" s="1001">
        <f t="shared" si="693"/>
        <v>0</v>
      </c>
      <c r="E384" s="452">
        <f t="shared" si="694"/>
        <v>0</v>
      </c>
      <c r="F384" s="452">
        <f t="shared" si="695"/>
        <v>0</v>
      </c>
      <c r="G384" s="452">
        <f t="shared" si="696"/>
        <v>0</v>
      </c>
      <c r="H384" s="452">
        <f t="shared" si="697"/>
        <v>0</v>
      </c>
      <c r="I384" s="452">
        <f t="shared" si="698"/>
        <v>0</v>
      </c>
      <c r="J384" s="452">
        <f t="shared" si="699"/>
        <v>0</v>
      </c>
      <c r="K384" s="452">
        <f t="shared" si="700"/>
        <v>0</v>
      </c>
      <c r="L384" s="452">
        <f t="shared" si="738"/>
        <v>0</v>
      </c>
      <c r="M384" s="1002">
        <f t="shared" si="739"/>
        <v>0</v>
      </c>
      <c r="O384" s="1001">
        <f t="shared" si="755"/>
        <v>0</v>
      </c>
      <c r="P384" s="452">
        <f t="shared" si="756"/>
        <v>0</v>
      </c>
      <c r="Q384" s="452">
        <f t="shared" si="757"/>
        <v>0</v>
      </c>
      <c r="R384" s="452">
        <f t="shared" si="758"/>
        <v>0</v>
      </c>
      <c r="S384" s="452">
        <f t="shared" si="759"/>
        <v>0</v>
      </c>
      <c r="T384" s="452">
        <f t="shared" si="760"/>
        <v>0</v>
      </c>
      <c r="U384" s="452">
        <f t="shared" si="761"/>
        <v>0</v>
      </c>
      <c r="V384" s="452">
        <f t="shared" si="762"/>
        <v>0</v>
      </c>
      <c r="W384" s="452">
        <f t="shared" si="709"/>
        <v>0</v>
      </c>
      <c r="X384" s="1002">
        <f t="shared" si="710"/>
        <v>0</v>
      </c>
      <c r="Y384" s="459"/>
      <c r="Z384" s="291">
        <f t="shared" si="711"/>
        <v>0</v>
      </c>
      <c r="AA384" s="291">
        <f t="shared" si="712"/>
        <v>0</v>
      </c>
      <c r="AB384" s="291">
        <f t="shared" si="713"/>
        <v>0</v>
      </c>
      <c r="AC384" s="291">
        <f t="shared" si="714"/>
        <v>0</v>
      </c>
      <c r="AD384" s="291">
        <f t="shared" si="715"/>
        <v>0</v>
      </c>
      <c r="AE384" s="291">
        <f t="shared" si="716"/>
        <v>0</v>
      </c>
      <c r="AF384" s="291">
        <f t="shared" si="717"/>
        <v>0</v>
      </c>
      <c r="AG384" s="291">
        <f t="shared" si="718"/>
        <v>0</v>
      </c>
      <c r="AI384" s="462">
        <f t="shared" si="763"/>
        <v>0</v>
      </c>
      <c r="AJ384" s="1112"/>
      <c r="AK384" s="507"/>
      <c r="AL384" s="829">
        <f t="shared" si="720"/>
        <v>45913</v>
      </c>
      <c r="AM384" s="684">
        <f>IFERROR(IF(AND(AT384="",AR384&lt;&gt;S.CAL!$BJ$3,AR384&lt;&gt;S.CAL!$BJ$4,$AR$365="NON"),M384-BD384,IF(AND(AT384="",AR384&lt;&gt;S.CAL!$BJ$3,AR384&lt;&gt;S.CAL!$BJ$4,$AR$365="OUI"),X384-AI384,IF(AT384&lt;&gt;0,AT384,IF(OR(AR384=S.CAL!$BJ$3,AR384=S.CAL!$BJ$4),AR384,"")))),"")</f>
        <v>0</v>
      </c>
      <c r="AN384" s="1115"/>
      <c r="AO384" s="1116"/>
      <c r="AP384" s="684">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516">
        <f t="shared" si="740"/>
        <v>0</v>
      </c>
      <c r="AR384" s="1120"/>
      <c r="AT384" s="1123"/>
      <c r="AU384" s="831"/>
      <c r="AV384" s="1392">
        <f t="shared" si="721"/>
        <v>45913</v>
      </c>
      <c r="AX384" s="529">
        <f t="shared" si="741"/>
        <v>45913</v>
      </c>
      <c r="AY384" s="541">
        <f t="shared" si="742"/>
        <v>0</v>
      </c>
      <c r="AZ384" s="538" t="s">
        <v>146</v>
      </c>
      <c r="BA384" s="534">
        <f t="shared" si="743"/>
        <v>0</v>
      </c>
      <c r="BB384" s="567" t="str">
        <f t="shared" si="722"/>
        <v/>
      </c>
      <c r="BC384" s="541">
        <f t="shared" si="744"/>
        <v>0</v>
      </c>
      <c r="BD384" s="541">
        <f t="shared" si="745"/>
        <v>0</v>
      </c>
      <c r="BE384" s="1126"/>
      <c r="BF384" s="532" t="str">
        <f t="shared" si="723"/>
        <v/>
      </c>
      <c r="BG384" s="532" t="str">
        <f t="shared" si="746"/>
        <v>oui</v>
      </c>
      <c r="BH384" s="395" t="str">
        <f t="shared" si="724"/>
        <v/>
      </c>
      <c r="BI384" s="24" t="str">
        <f t="shared" si="725"/>
        <v/>
      </c>
      <c r="BJ384" s="1403"/>
      <c r="BK384" s="1403"/>
      <c r="BL384" s="1403"/>
      <c r="BM384" s="1403"/>
      <c r="BN384" s="1403"/>
      <c r="BO384" s="1403"/>
      <c r="BP384" s="1403"/>
      <c r="BQ384" s="1403"/>
      <c r="BS384" s="1392">
        <f t="shared" si="692"/>
        <v>45913</v>
      </c>
      <c r="BT384" s="27" t="str">
        <f t="shared" si="754"/>
        <v/>
      </c>
      <c r="BU384" s="1402"/>
      <c r="BV384" s="1402"/>
      <c r="BW384" s="1402"/>
      <c r="BX384" s="1402"/>
      <c r="BY384" s="1402"/>
      <c r="BZ384" s="1402"/>
      <c r="CA384" s="1402"/>
      <c r="CB384" s="1402"/>
      <c r="CD384" s="1408">
        <f t="shared" si="747"/>
        <v>0</v>
      </c>
      <c r="DC384" s="16" t="str">
        <f>Septembre!FC32</f>
        <v>non</v>
      </c>
      <c r="DG384" s="333">
        <f t="shared" si="748"/>
        <v>1</v>
      </c>
      <c r="DH384" s="129">
        <f t="shared" si="726"/>
        <v>10</v>
      </c>
      <c r="DI384" s="129">
        <f t="shared" si="749"/>
        <v>1</v>
      </c>
      <c r="DK384" s="16">
        <f>+IF(AND(Septembre!$DP$8&lt;&gt;52,AR384=S.CAL!$BJ$4),10,1)</f>
        <v>1</v>
      </c>
      <c r="DN384" s="16">
        <f t="shared" si="727"/>
        <v>1</v>
      </c>
      <c r="DU384" s="1296" t="str">
        <f t="shared" si="750"/>
        <v>Fiche infoA645913</v>
      </c>
      <c r="DV384" s="1384">
        <f t="shared" si="728"/>
        <v>0</v>
      </c>
      <c r="DW384" s="1385">
        <f t="shared" si="729"/>
        <v>0</v>
      </c>
      <c r="DX384" s="1385">
        <f t="shared" si="730"/>
        <v>0</v>
      </c>
      <c r="DY384" s="1385">
        <f t="shared" si="731"/>
        <v>0</v>
      </c>
      <c r="DZ384" s="1385">
        <f t="shared" si="732"/>
        <v>0</v>
      </c>
      <c r="EA384" s="1385">
        <f t="shared" si="733"/>
        <v>0</v>
      </c>
      <c r="EB384" s="1385">
        <f t="shared" si="734"/>
        <v>0</v>
      </c>
      <c r="EC384" s="1385">
        <f t="shared" si="735"/>
        <v>0</v>
      </c>
      <c r="ED384" s="1385">
        <f t="shared" si="751"/>
        <v>0</v>
      </c>
      <c r="EE384" s="1386">
        <f t="shared" si="752"/>
        <v>0</v>
      </c>
      <c r="EG384" s="16" t="str">
        <f t="shared" si="753"/>
        <v>372025</v>
      </c>
      <c r="EH384" s="16" t="str">
        <f t="shared" si="736"/>
        <v>Fiche infoA6</v>
      </c>
      <c r="EI384" s="16" t="str">
        <f t="shared" si="737"/>
        <v/>
      </c>
    </row>
    <row r="385" spans="1:139" x14ac:dyDescent="0.2">
      <c r="A385" s="1395" t="str">
        <f>Septembre!BJ33</f>
        <v>Fiche infoA7</v>
      </c>
      <c r="B385" s="829">
        <f>Septembre!AB33</f>
        <v>45914</v>
      </c>
      <c r="C385" s="1394"/>
      <c r="D385" s="1001">
        <f t="shared" si="693"/>
        <v>0</v>
      </c>
      <c r="E385" s="452">
        <f t="shared" si="694"/>
        <v>0</v>
      </c>
      <c r="F385" s="452">
        <f t="shared" si="695"/>
        <v>0</v>
      </c>
      <c r="G385" s="452">
        <f t="shared" si="696"/>
        <v>0</v>
      </c>
      <c r="H385" s="452">
        <f t="shared" si="697"/>
        <v>0</v>
      </c>
      <c r="I385" s="452">
        <f t="shared" si="698"/>
        <v>0</v>
      </c>
      <c r="J385" s="452">
        <f t="shared" si="699"/>
        <v>0</v>
      </c>
      <c r="K385" s="452">
        <f t="shared" si="700"/>
        <v>0</v>
      </c>
      <c r="L385" s="452">
        <f t="shared" si="738"/>
        <v>0</v>
      </c>
      <c r="M385" s="1002">
        <f t="shared" si="739"/>
        <v>0</v>
      </c>
      <c r="N385" s="1396"/>
      <c r="O385" s="1001">
        <f t="shared" si="755"/>
        <v>0</v>
      </c>
      <c r="P385" s="452">
        <f t="shared" si="756"/>
        <v>0</v>
      </c>
      <c r="Q385" s="452">
        <f t="shared" si="757"/>
        <v>0</v>
      </c>
      <c r="R385" s="452">
        <f t="shared" si="758"/>
        <v>0</v>
      </c>
      <c r="S385" s="452">
        <f t="shared" si="759"/>
        <v>0</v>
      </c>
      <c r="T385" s="452">
        <f t="shared" si="760"/>
        <v>0</v>
      </c>
      <c r="U385" s="452">
        <f t="shared" si="761"/>
        <v>0</v>
      </c>
      <c r="V385" s="452">
        <f t="shared" si="762"/>
        <v>0</v>
      </c>
      <c r="W385" s="452">
        <f t="shared" si="709"/>
        <v>0</v>
      </c>
      <c r="X385" s="1002">
        <f t="shared" si="710"/>
        <v>0</v>
      </c>
      <c r="Y385" s="1397"/>
      <c r="Z385" s="1398">
        <f t="shared" si="711"/>
        <v>0</v>
      </c>
      <c r="AA385" s="1398">
        <f t="shared" si="712"/>
        <v>0</v>
      </c>
      <c r="AB385" s="1398">
        <f t="shared" si="713"/>
        <v>0</v>
      </c>
      <c r="AC385" s="1398">
        <f t="shared" si="714"/>
        <v>0</v>
      </c>
      <c r="AD385" s="1398">
        <f t="shared" si="715"/>
        <v>0</v>
      </c>
      <c r="AE385" s="1398">
        <f t="shared" si="716"/>
        <v>0</v>
      </c>
      <c r="AF385" s="1398">
        <f t="shared" si="717"/>
        <v>0</v>
      </c>
      <c r="AG385" s="1398">
        <f t="shared" si="718"/>
        <v>0</v>
      </c>
      <c r="AH385" s="1396"/>
      <c r="AI385" s="462">
        <f t="shared" si="763"/>
        <v>0</v>
      </c>
      <c r="AJ385" s="1112"/>
      <c r="AK385" s="1399"/>
      <c r="AL385" s="829">
        <f t="shared" si="720"/>
        <v>45914</v>
      </c>
      <c r="AM385" s="684">
        <f>IFERROR(IF(AND(AT385="",AR385&lt;&gt;S.CAL!$BJ$3,AR385&lt;&gt;S.CAL!$BJ$4,$AR$365="NON"),M385-BD385,IF(AND(AT385="",AR385&lt;&gt;S.CAL!$BJ$3,AR385&lt;&gt;S.CAL!$BJ$4,$AR$365="OUI"),X385-AI385,IF(AT385&lt;&gt;0,AT385,IF(OR(AR385=S.CAL!$BJ$3,AR385=S.CAL!$BJ$4),AR385,"")))),"")</f>
        <v>0</v>
      </c>
      <c r="AN385" s="1115"/>
      <c r="AO385" s="1116"/>
      <c r="AP385" s="684">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400">
        <f t="shared" si="740"/>
        <v>0</v>
      </c>
      <c r="AR385" s="1120"/>
      <c r="AS385" s="1396"/>
      <c r="AT385" s="1123"/>
      <c r="AU385" s="831"/>
      <c r="AV385" s="1392">
        <f t="shared" si="721"/>
        <v>45914</v>
      </c>
      <c r="AW385" s="1396"/>
      <c r="AX385" s="529">
        <f t="shared" si="741"/>
        <v>45914</v>
      </c>
      <c r="AY385" s="541">
        <f t="shared" si="742"/>
        <v>0</v>
      </c>
      <c r="AZ385" s="538" t="s">
        <v>146</v>
      </c>
      <c r="BA385" s="534">
        <f t="shared" si="743"/>
        <v>0</v>
      </c>
      <c r="BB385" s="567" t="str">
        <f t="shared" si="722"/>
        <v/>
      </c>
      <c r="BC385" s="541">
        <f t="shared" si="744"/>
        <v>0</v>
      </c>
      <c r="BD385" s="541">
        <f t="shared" si="745"/>
        <v>0</v>
      </c>
      <c r="BE385" s="1126"/>
      <c r="BF385" s="532" t="str">
        <f t="shared" si="723"/>
        <v/>
      </c>
      <c r="BG385" s="532" t="str">
        <f t="shared" si="746"/>
        <v>oui</v>
      </c>
      <c r="BH385" s="395" t="str">
        <f t="shared" si="724"/>
        <v/>
      </c>
      <c r="BI385" s="24" t="str">
        <f t="shared" si="725"/>
        <v/>
      </c>
      <c r="BJ385" s="1404"/>
      <c r="BK385" s="1404"/>
      <c r="BL385" s="1404"/>
      <c r="BM385" s="1404"/>
      <c r="BN385" s="1404"/>
      <c r="BO385" s="1404"/>
      <c r="BP385" s="1404"/>
      <c r="BQ385" s="1404"/>
      <c r="BR385" s="1405"/>
      <c r="BS385" s="1392">
        <f t="shared" si="692"/>
        <v>45914</v>
      </c>
      <c r="BT385" s="1406" t="str">
        <f t="shared" si="754"/>
        <v/>
      </c>
      <c r="BU385" s="1404"/>
      <c r="BV385" s="1404"/>
      <c r="BW385" s="1404"/>
      <c r="BX385" s="1404"/>
      <c r="BY385" s="1404"/>
      <c r="BZ385" s="1404"/>
      <c r="CA385" s="1404"/>
      <c r="CB385" s="1404"/>
      <c r="CD385" s="1408">
        <f t="shared" si="747"/>
        <v>0</v>
      </c>
      <c r="DC385" s="16" t="str">
        <f>Septembre!FC33</f>
        <v>non</v>
      </c>
      <c r="DG385" s="333">
        <f t="shared" si="748"/>
        <v>1</v>
      </c>
      <c r="DH385" s="129">
        <f t="shared" si="726"/>
        <v>10</v>
      </c>
      <c r="DI385" s="129">
        <f t="shared" si="749"/>
        <v>1</v>
      </c>
      <c r="DK385" s="16">
        <f>+IF(AND(Septembre!$DP$8&lt;&gt;52,AR385=S.CAL!$BJ$4),10,1)</f>
        <v>1</v>
      </c>
      <c r="DN385" s="16">
        <f t="shared" si="727"/>
        <v>1</v>
      </c>
      <c r="DU385" s="1296" t="str">
        <f t="shared" si="750"/>
        <v>Fiche infoA745914</v>
      </c>
      <c r="DV385" s="1384">
        <f t="shared" si="728"/>
        <v>0</v>
      </c>
      <c r="DW385" s="1385">
        <f t="shared" si="729"/>
        <v>0</v>
      </c>
      <c r="DX385" s="1385">
        <f t="shared" si="730"/>
        <v>0</v>
      </c>
      <c r="DY385" s="1385">
        <f t="shared" si="731"/>
        <v>0</v>
      </c>
      <c r="DZ385" s="1385">
        <f t="shared" si="732"/>
        <v>0</v>
      </c>
      <c r="EA385" s="1385">
        <f t="shared" si="733"/>
        <v>0</v>
      </c>
      <c r="EB385" s="1385">
        <f t="shared" si="734"/>
        <v>0</v>
      </c>
      <c r="EC385" s="1385">
        <f t="shared" si="735"/>
        <v>0</v>
      </c>
      <c r="ED385" s="1385">
        <f t="shared" si="751"/>
        <v>0</v>
      </c>
      <c r="EE385" s="1386">
        <f t="shared" si="752"/>
        <v>0</v>
      </c>
      <c r="EG385" s="16" t="str">
        <f t="shared" si="753"/>
        <v>372025</v>
      </c>
      <c r="EH385" s="16" t="str">
        <f t="shared" si="736"/>
        <v>Fiche infoA7</v>
      </c>
      <c r="EI385" s="16" t="str">
        <f t="shared" si="737"/>
        <v/>
      </c>
    </row>
    <row r="386" spans="1:139" x14ac:dyDescent="0.2">
      <c r="A386" s="24" t="str">
        <f>Septembre!BJ34</f>
        <v>Fiche infoA1</v>
      </c>
      <c r="B386" s="829">
        <f>Septembre!AB34</f>
        <v>45915</v>
      </c>
      <c r="C386" s="1393"/>
      <c r="D386" s="1001">
        <f t="shared" si="693"/>
        <v>0</v>
      </c>
      <c r="E386" s="452">
        <f t="shared" si="694"/>
        <v>0</v>
      </c>
      <c r="F386" s="452">
        <f t="shared" si="695"/>
        <v>0</v>
      </c>
      <c r="G386" s="452">
        <f t="shared" si="696"/>
        <v>0</v>
      </c>
      <c r="H386" s="452">
        <f t="shared" si="697"/>
        <v>0</v>
      </c>
      <c r="I386" s="452">
        <f t="shared" si="698"/>
        <v>0</v>
      </c>
      <c r="J386" s="452">
        <f t="shared" si="699"/>
        <v>0</v>
      </c>
      <c r="K386" s="452">
        <f t="shared" si="700"/>
        <v>0</v>
      </c>
      <c r="L386" s="452">
        <f t="shared" si="738"/>
        <v>0</v>
      </c>
      <c r="M386" s="1002">
        <f t="shared" si="739"/>
        <v>0</v>
      </c>
      <c r="O386" s="1001">
        <f t="shared" si="755"/>
        <v>0</v>
      </c>
      <c r="P386" s="452">
        <f t="shared" si="756"/>
        <v>0</v>
      </c>
      <c r="Q386" s="452">
        <f t="shared" si="757"/>
        <v>0</v>
      </c>
      <c r="R386" s="452">
        <f t="shared" si="758"/>
        <v>0</v>
      </c>
      <c r="S386" s="452">
        <f t="shared" si="759"/>
        <v>0</v>
      </c>
      <c r="T386" s="452">
        <f t="shared" si="760"/>
        <v>0</v>
      </c>
      <c r="U386" s="452">
        <f t="shared" si="761"/>
        <v>0</v>
      </c>
      <c r="V386" s="452">
        <f t="shared" si="762"/>
        <v>0</v>
      </c>
      <c r="W386" s="452">
        <f t="shared" si="709"/>
        <v>0</v>
      </c>
      <c r="X386" s="1002">
        <f t="shared" si="710"/>
        <v>0</v>
      </c>
      <c r="Y386" s="459"/>
      <c r="Z386" s="291">
        <f t="shared" si="711"/>
        <v>0</v>
      </c>
      <c r="AA386" s="291">
        <f t="shared" si="712"/>
        <v>0</v>
      </c>
      <c r="AB386" s="291">
        <f t="shared" si="713"/>
        <v>0</v>
      </c>
      <c r="AC386" s="291">
        <f t="shared" si="714"/>
        <v>0</v>
      </c>
      <c r="AD386" s="291">
        <f t="shared" si="715"/>
        <v>0</v>
      </c>
      <c r="AE386" s="291">
        <f t="shared" si="716"/>
        <v>0</v>
      </c>
      <c r="AF386" s="291">
        <f t="shared" si="717"/>
        <v>0</v>
      </c>
      <c r="AG386" s="291">
        <f t="shared" si="718"/>
        <v>0</v>
      </c>
      <c r="AI386" s="462">
        <f t="shared" si="763"/>
        <v>0</v>
      </c>
      <c r="AJ386" s="1112"/>
      <c r="AK386" s="507"/>
      <c r="AL386" s="829">
        <f t="shared" si="720"/>
        <v>45915</v>
      </c>
      <c r="AM386" s="684">
        <f>IFERROR(IF(AND(AT386="",AR386&lt;&gt;S.CAL!$BJ$3,AR386&lt;&gt;S.CAL!$BJ$4,$AR$365="NON"),M386-BD386,IF(AND(AT386="",AR386&lt;&gt;S.CAL!$BJ$3,AR386&lt;&gt;S.CAL!$BJ$4,$AR$365="OUI"),X386-AI386,IF(AT386&lt;&gt;0,AT386,IF(OR(AR386=S.CAL!$BJ$3,AR386=S.CAL!$BJ$4),AR386,"")))),"")</f>
        <v>0</v>
      </c>
      <c r="AN386" s="1115"/>
      <c r="AO386" s="1116"/>
      <c r="AP386" s="684">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516">
        <f t="shared" si="740"/>
        <v>0</v>
      </c>
      <c r="AR386" s="1120"/>
      <c r="AT386" s="1123"/>
      <c r="AU386" s="831"/>
      <c r="AV386" s="1392">
        <f t="shared" si="721"/>
        <v>45915</v>
      </c>
      <c r="AX386" s="529">
        <f t="shared" si="741"/>
        <v>45915</v>
      </c>
      <c r="AY386" s="541">
        <f t="shared" si="742"/>
        <v>0</v>
      </c>
      <c r="AZ386" s="538" t="s">
        <v>146</v>
      </c>
      <c r="BA386" s="534">
        <f t="shared" si="743"/>
        <v>0</v>
      </c>
      <c r="BB386" s="567" t="str">
        <f t="shared" si="722"/>
        <v/>
      </c>
      <c r="BC386" s="541">
        <f t="shared" si="744"/>
        <v>0</v>
      </c>
      <c r="BD386" s="541">
        <f t="shared" si="745"/>
        <v>0</v>
      </c>
      <c r="BE386" s="1126"/>
      <c r="BF386" s="532" t="str">
        <f t="shared" si="723"/>
        <v/>
      </c>
      <c r="BG386" s="532" t="str">
        <f t="shared" si="746"/>
        <v>oui</v>
      </c>
      <c r="BH386" s="395" t="str">
        <f t="shared" si="724"/>
        <v/>
      </c>
      <c r="BI386" s="24" t="str">
        <f t="shared" si="725"/>
        <v/>
      </c>
      <c r="BJ386" s="1403"/>
      <c r="BK386" s="1403"/>
      <c r="BL386" s="1403"/>
      <c r="BM386" s="1403"/>
      <c r="BN386" s="1403"/>
      <c r="BO386" s="1403"/>
      <c r="BP386" s="1403"/>
      <c r="BQ386" s="1403"/>
      <c r="BS386" s="1392">
        <f t="shared" si="692"/>
        <v>45915</v>
      </c>
      <c r="BT386" s="27">
        <f t="shared" si="754"/>
        <v>38</v>
      </c>
      <c r="BU386" s="1402"/>
      <c r="BV386" s="1402"/>
      <c r="BW386" s="1402"/>
      <c r="BX386" s="1402"/>
      <c r="BY386" s="1402"/>
      <c r="BZ386" s="1402"/>
      <c r="CA386" s="1402"/>
      <c r="CB386" s="1402"/>
      <c r="CD386" s="1408">
        <f t="shared" si="747"/>
        <v>0</v>
      </c>
      <c r="DC386" s="16" t="str">
        <f>Septembre!FC34</f>
        <v>non</v>
      </c>
      <c r="DG386" s="333">
        <f t="shared" si="748"/>
        <v>1</v>
      </c>
      <c r="DH386" s="129">
        <f t="shared" si="726"/>
        <v>10</v>
      </c>
      <c r="DI386" s="129">
        <f t="shared" si="749"/>
        <v>1</v>
      </c>
      <c r="DK386" s="16">
        <f>+IF(AND(Septembre!$DP$8&lt;&gt;52,AR386=S.CAL!$BJ$4),10,1)</f>
        <v>1</v>
      </c>
      <c r="DN386" s="16">
        <f t="shared" si="727"/>
        <v>1</v>
      </c>
      <c r="DU386" s="1296" t="str">
        <f t="shared" si="750"/>
        <v>Fiche infoA145915</v>
      </c>
      <c r="DV386" s="1384">
        <f t="shared" si="728"/>
        <v>0</v>
      </c>
      <c r="DW386" s="1385">
        <f t="shared" si="729"/>
        <v>0</v>
      </c>
      <c r="DX386" s="1385">
        <f t="shared" si="730"/>
        <v>0</v>
      </c>
      <c r="DY386" s="1385">
        <f t="shared" si="731"/>
        <v>0</v>
      </c>
      <c r="DZ386" s="1385">
        <f t="shared" si="732"/>
        <v>0</v>
      </c>
      <c r="EA386" s="1385">
        <f t="shared" si="733"/>
        <v>0</v>
      </c>
      <c r="EB386" s="1385">
        <f t="shared" si="734"/>
        <v>0</v>
      </c>
      <c r="EC386" s="1385">
        <f t="shared" si="735"/>
        <v>0</v>
      </c>
      <c r="ED386" s="1385">
        <f t="shared" si="751"/>
        <v>0</v>
      </c>
      <c r="EE386" s="1386">
        <f t="shared" si="752"/>
        <v>0</v>
      </c>
      <c r="EG386" s="16" t="str">
        <f t="shared" si="753"/>
        <v>382025</v>
      </c>
      <c r="EH386" s="16" t="str">
        <f t="shared" si="736"/>
        <v>Fiche infoA1</v>
      </c>
      <c r="EI386" s="16" t="str">
        <f t="shared" si="737"/>
        <v/>
      </c>
    </row>
    <row r="387" spans="1:139" x14ac:dyDescent="0.2">
      <c r="A387" s="1395" t="str">
        <f>Septembre!BJ35</f>
        <v>Fiche infoA2</v>
      </c>
      <c r="B387" s="829">
        <f>Septembre!AB35</f>
        <v>45916</v>
      </c>
      <c r="C387" s="1394"/>
      <c r="D387" s="1001">
        <f t="shared" si="693"/>
        <v>0</v>
      </c>
      <c r="E387" s="452">
        <f t="shared" si="694"/>
        <v>0</v>
      </c>
      <c r="F387" s="452">
        <f t="shared" si="695"/>
        <v>0</v>
      </c>
      <c r="G387" s="452">
        <f t="shared" si="696"/>
        <v>0</v>
      </c>
      <c r="H387" s="452">
        <f t="shared" si="697"/>
        <v>0</v>
      </c>
      <c r="I387" s="452">
        <f t="shared" si="698"/>
        <v>0</v>
      </c>
      <c r="J387" s="452">
        <f t="shared" si="699"/>
        <v>0</v>
      </c>
      <c r="K387" s="452">
        <f t="shared" si="700"/>
        <v>0</v>
      </c>
      <c r="L387" s="452">
        <f t="shared" si="738"/>
        <v>0</v>
      </c>
      <c r="M387" s="1002">
        <f t="shared" si="739"/>
        <v>0</v>
      </c>
      <c r="N387" s="1396"/>
      <c r="O387" s="1001">
        <f t="shared" si="755"/>
        <v>0</v>
      </c>
      <c r="P387" s="452">
        <f t="shared" si="756"/>
        <v>0</v>
      </c>
      <c r="Q387" s="452">
        <f t="shared" si="757"/>
        <v>0</v>
      </c>
      <c r="R387" s="452">
        <f t="shared" si="758"/>
        <v>0</v>
      </c>
      <c r="S387" s="452">
        <f t="shared" si="759"/>
        <v>0</v>
      </c>
      <c r="T387" s="452">
        <f t="shared" si="760"/>
        <v>0</v>
      </c>
      <c r="U387" s="452">
        <f t="shared" si="761"/>
        <v>0</v>
      </c>
      <c r="V387" s="452">
        <f t="shared" si="762"/>
        <v>0</v>
      </c>
      <c r="W387" s="452">
        <f t="shared" si="709"/>
        <v>0</v>
      </c>
      <c r="X387" s="1002">
        <f t="shared" si="710"/>
        <v>0</v>
      </c>
      <c r="Y387" s="1397"/>
      <c r="Z387" s="1398">
        <f t="shared" si="711"/>
        <v>0</v>
      </c>
      <c r="AA387" s="1398">
        <f t="shared" si="712"/>
        <v>0</v>
      </c>
      <c r="AB387" s="1398">
        <f t="shared" si="713"/>
        <v>0</v>
      </c>
      <c r="AC387" s="1398">
        <f t="shared" si="714"/>
        <v>0</v>
      </c>
      <c r="AD387" s="1398">
        <f t="shared" si="715"/>
        <v>0</v>
      </c>
      <c r="AE387" s="1398">
        <f t="shared" si="716"/>
        <v>0</v>
      </c>
      <c r="AF387" s="1398">
        <f t="shared" si="717"/>
        <v>0</v>
      </c>
      <c r="AG387" s="1398">
        <f t="shared" si="718"/>
        <v>0</v>
      </c>
      <c r="AH387" s="1396"/>
      <c r="AI387" s="462">
        <f t="shared" si="763"/>
        <v>0</v>
      </c>
      <c r="AJ387" s="1112"/>
      <c r="AK387" s="1399"/>
      <c r="AL387" s="829">
        <f t="shared" si="720"/>
        <v>45916</v>
      </c>
      <c r="AM387" s="684">
        <f>IFERROR(IF(AND(AT387="",AR387&lt;&gt;S.CAL!$BJ$3,AR387&lt;&gt;S.CAL!$BJ$4,$AR$365="NON"),M387-BD387,IF(AND(AT387="",AR387&lt;&gt;S.CAL!$BJ$3,AR387&lt;&gt;S.CAL!$BJ$4,$AR$365="OUI"),X387-AI387,IF(AT387&lt;&gt;0,AT387,IF(OR(AR387=S.CAL!$BJ$3,AR387=S.CAL!$BJ$4),AR387,"")))),"")</f>
        <v>0</v>
      </c>
      <c r="AN387" s="1115"/>
      <c r="AO387" s="1116"/>
      <c r="AP387" s="684">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400">
        <f t="shared" si="740"/>
        <v>0</v>
      </c>
      <c r="AR387" s="1120"/>
      <c r="AS387" s="1396"/>
      <c r="AT387" s="1123"/>
      <c r="AU387" s="831"/>
      <c r="AV387" s="1392">
        <f t="shared" si="721"/>
        <v>45916</v>
      </c>
      <c r="AW387" s="1396"/>
      <c r="AX387" s="529">
        <f t="shared" si="741"/>
        <v>45916</v>
      </c>
      <c r="AY387" s="541">
        <f t="shared" si="742"/>
        <v>0</v>
      </c>
      <c r="AZ387" s="538" t="s">
        <v>146</v>
      </c>
      <c r="BA387" s="534">
        <f t="shared" si="743"/>
        <v>0</v>
      </c>
      <c r="BB387" s="567" t="str">
        <f t="shared" si="722"/>
        <v/>
      </c>
      <c r="BC387" s="541">
        <f t="shared" si="744"/>
        <v>0</v>
      </c>
      <c r="BD387" s="541">
        <f t="shared" si="745"/>
        <v>0</v>
      </c>
      <c r="BE387" s="1126"/>
      <c r="BF387" s="532" t="str">
        <f t="shared" si="723"/>
        <v/>
      </c>
      <c r="BG387" s="532" t="str">
        <f t="shared" si="746"/>
        <v>oui</v>
      </c>
      <c r="BH387" s="395" t="str">
        <f t="shared" si="724"/>
        <v/>
      </c>
      <c r="BI387" s="24" t="str">
        <f t="shared" si="725"/>
        <v/>
      </c>
      <c r="BJ387" s="1404"/>
      <c r="BK387" s="1404"/>
      <c r="BL387" s="1404"/>
      <c r="BM387" s="1404"/>
      <c r="BN387" s="1404"/>
      <c r="BO387" s="1404"/>
      <c r="BP387" s="1404"/>
      <c r="BQ387" s="1404"/>
      <c r="BR387" s="1405"/>
      <c r="BS387" s="1392">
        <f t="shared" si="692"/>
        <v>45916</v>
      </c>
      <c r="BT387" s="1406" t="str">
        <f t="shared" si="754"/>
        <v/>
      </c>
      <c r="BU387" s="1404"/>
      <c r="BV387" s="1404"/>
      <c r="BW387" s="1404"/>
      <c r="BX387" s="1404"/>
      <c r="BY387" s="1404"/>
      <c r="BZ387" s="1404"/>
      <c r="CA387" s="1404"/>
      <c r="CB387" s="1404"/>
      <c r="CD387" s="1408">
        <f t="shared" si="747"/>
        <v>0</v>
      </c>
      <c r="DC387" s="16" t="str">
        <f>Septembre!FC35</f>
        <v>non</v>
      </c>
      <c r="DG387" s="333">
        <f t="shared" si="748"/>
        <v>1</v>
      </c>
      <c r="DH387" s="129">
        <f t="shared" si="726"/>
        <v>10</v>
      </c>
      <c r="DI387" s="129">
        <f t="shared" si="749"/>
        <v>1</v>
      </c>
      <c r="DK387" s="16">
        <f>+IF(AND(Septembre!$DP$8&lt;&gt;52,AR387=S.CAL!$BJ$4),10,1)</f>
        <v>1</v>
      </c>
      <c r="DN387" s="16">
        <f t="shared" si="727"/>
        <v>1</v>
      </c>
      <c r="DU387" s="1296" t="str">
        <f t="shared" si="750"/>
        <v>Fiche infoA245916</v>
      </c>
      <c r="DV387" s="1384">
        <f t="shared" si="728"/>
        <v>0</v>
      </c>
      <c r="DW387" s="1385">
        <f t="shared" si="729"/>
        <v>0</v>
      </c>
      <c r="DX387" s="1385">
        <f t="shared" si="730"/>
        <v>0</v>
      </c>
      <c r="DY387" s="1385">
        <f t="shared" si="731"/>
        <v>0</v>
      </c>
      <c r="DZ387" s="1385">
        <f t="shared" si="732"/>
        <v>0</v>
      </c>
      <c r="EA387" s="1385">
        <f t="shared" si="733"/>
        <v>0</v>
      </c>
      <c r="EB387" s="1385">
        <f t="shared" si="734"/>
        <v>0</v>
      </c>
      <c r="EC387" s="1385">
        <f t="shared" si="735"/>
        <v>0</v>
      </c>
      <c r="ED387" s="1385">
        <f t="shared" si="751"/>
        <v>0</v>
      </c>
      <c r="EE387" s="1386">
        <f t="shared" si="752"/>
        <v>0</v>
      </c>
      <c r="EG387" s="16" t="str">
        <f t="shared" si="753"/>
        <v>382025</v>
      </c>
      <c r="EH387" s="16" t="str">
        <f t="shared" si="736"/>
        <v>Fiche infoA2</v>
      </c>
      <c r="EI387" s="16" t="str">
        <f t="shared" si="737"/>
        <v/>
      </c>
    </row>
    <row r="388" spans="1:139" x14ac:dyDescent="0.2">
      <c r="A388" s="24" t="str">
        <f>Septembre!BJ36</f>
        <v>Fiche infoA3</v>
      </c>
      <c r="B388" s="829">
        <f>Septembre!AB36</f>
        <v>45917</v>
      </c>
      <c r="C388" s="1393"/>
      <c r="D388" s="1001">
        <f t="shared" si="693"/>
        <v>0</v>
      </c>
      <c r="E388" s="452">
        <f t="shared" si="694"/>
        <v>0</v>
      </c>
      <c r="F388" s="452">
        <f t="shared" si="695"/>
        <v>0</v>
      </c>
      <c r="G388" s="452">
        <f t="shared" si="696"/>
        <v>0</v>
      </c>
      <c r="H388" s="452">
        <f t="shared" si="697"/>
        <v>0</v>
      </c>
      <c r="I388" s="452">
        <f t="shared" si="698"/>
        <v>0</v>
      </c>
      <c r="J388" s="452">
        <f t="shared" si="699"/>
        <v>0</v>
      </c>
      <c r="K388" s="452">
        <f t="shared" si="700"/>
        <v>0</v>
      </c>
      <c r="L388" s="452">
        <f t="shared" si="738"/>
        <v>0</v>
      </c>
      <c r="M388" s="1002">
        <f t="shared" si="739"/>
        <v>0</v>
      </c>
      <c r="O388" s="1001">
        <f t="shared" si="755"/>
        <v>0</v>
      </c>
      <c r="P388" s="452">
        <f t="shared" si="756"/>
        <v>0</v>
      </c>
      <c r="Q388" s="452">
        <f t="shared" si="757"/>
        <v>0</v>
      </c>
      <c r="R388" s="452">
        <f t="shared" si="758"/>
        <v>0</v>
      </c>
      <c r="S388" s="452">
        <f t="shared" si="759"/>
        <v>0</v>
      </c>
      <c r="T388" s="452">
        <f t="shared" si="760"/>
        <v>0</v>
      </c>
      <c r="U388" s="452">
        <f t="shared" si="761"/>
        <v>0</v>
      </c>
      <c r="V388" s="452">
        <f t="shared" si="762"/>
        <v>0</v>
      </c>
      <c r="W388" s="452">
        <f t="shared" si="709"/>
        <v>0</v>
      </c>
      <c r="X388" s="1002">
        <f t="shared" si="710"/>
        <v>0</v>
      </c>
      <c r="Y388" s="459"/>
      <c r="Z388" s="291">
        <f t="shared" si="711"/>
        <v>0</v>
      </c>
      <c r="AA388" s="291">
        <f t="shared" si="712"/>
        <v>0</v>
      </c>
      <c r="AB388" s="291">
        <f t="shared" si="713"/>
        <v>0</v>
      </c>
      <c r="AC388" s="291">
        <f t="shared" si="714"/>
        <v>0</v>
      </c>
      <c r="AD388" s="291">
        <f t="shared" si="715"/>
        <v>0</v>
      </c>
      <c r="AE388" s="291">
        <f t="shared" si="716"/>
        <v>0</v>
      </c>
      <c r="AF388" s="291">
        <f t="shared" si="717"/>
        <v>0</v>
      </c>
      <c r="AG388" s="291">
        <f t="shared" si="718"/>
        <v>0</v>
      </c>
      <c r="AI388" s="462">
        <f t="shared" si="763"/>
        <v>0</v>
      </c>
      <c r="AJ388" s="1112"/>
      <c r="AK388" s="507"/>
      <c r="AL388" s="829">
        <f t="shared" si="720"/>
        <v>45917</v>
      </c>
      <c r="AM388" s="684">
        <f>IFERROR(IF(AND(AT388="",AR388&lt;&gt;S.CAL!$BJ$3,AR388&lt;&gt;S.CAL!$BJ$4,$AR$365="NON"),M388-BD388,IF(AND(AT388="",AR388&lt;&gt;S.CAL!$BJ$3,AR388&lt;&gt;S.CAL!$BJ$4,$AR$365="OUI"),X388-AI388,IF(AT388&lt;&gt;0,AT388,IF(OR(AR388=S.CAL!$BJ$3,AR388=S.CAL!$BJ$4),AR388,"")))),"")</f>
        <v>0</v>
      </c>
      <c r="AN388" s="1115"/>
      <c r="AO388" s="1116"/>
      <c r="AP388" s="684">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516">
        <f t="shared" si="740"/>
        <v>0</v>
      </c>
      <c r="AR388" s="1120"/>
      <c r="AT388" s="1123"/>
      <c r="AU388" s="831"/>
      <c r="AV388" s="1392">
        <f t="shared" si="721"/>
        <v>45917</v>
      </c>
      <c r="AX388" s="529">
        <f t="shared" si="741"/>
        <v>45917</v>
      </c>
      <c r="AY388" s="541">
        <f t="shared" si="742"/>
        <v>0</v>
      </c>
      <c r="AZ388" s="538" t="s">
        <v>146</v>
      </c>
      <c r="BA388" s="534">
        <f t="shared" si="743"/>
        <v>0</v>
      </c>
      <c r="BB388" s="567" t="str">
        <f t="shared" si="722"/>
        <v/>
      </c>
      <c r="BC388" s="541">
        <f t="shared" si="744"/>
        <v>0</v>
      </c>
      <c r="BD388" s="541">
        <f t="shared" si="745"/>
        <v>0</v>
      </c>
      <c r="BE388" s="1126"/>
      <c r="BF388" s="532" t="str">
        <f t="shared" si="723"/>
        <v/>
      </c>
      <c r="BG388" s="532" t="str">
        <f t="shared" si="746"/>
        <v>oui</v>
      </c>
      <c r="BH388" s="395" t="str">
        <f t="shared" si="724"/>
        <v/>
      </c>
      <c r="BI388" s="24" t="str">
        <f t="shared" si="725"/>
        <v/>
      </c>
      <c r="BJ388" s="1403"/>
      <c r="BK388" s="1403"/>
      <c r="BL388" s="1403"/>
      <c r="BM388" s="1403"/>
      <c r="BN388" s="1403"/>
      <c r="BO388" s="1403"/>
      <c r="BP388" s="1403"/>
      <c r="BQ388" s="1403"/>
      <c r="BS388" s="1392">
        <f t="shared" si="692"/>
        <v>45917</v>
      </c>
      <c r="BT388" s="27" t="str">
        <f t="shared" si="754"/>
        <v/>
      </c>
      <c r="BU388" s="1402"/>
      <c r="BV388" s="1402"/>
      <c r="BW388" s="1402"/>
      <c r="BX388" s="1402"/>
      <c r="BY388" s="1402"/>
      <c r="BZ388" s="1402"/>
      <c r="CA388" s="1402"/>
      <c r="CB388" s="1402"/>
      <c r="CD388" s="1408">
        <f t="shared" si="747"/>
        <v>0</v>
      </c>
      <c r="DC388" s="16" t="str">
        <f>Septembre!FC36</f>
        <v>non</v>
      </c>
      <c r="DG388" s="333">
        <f t="shared" si="748"/>
        <v>1</v>
      </c>
      <c r="DH388" s="129">
        <f t="shared" si="726"/>
        <v>10</v>
      </c>
      <c r="DI388" s="129">
        <f t="shared" si="749"/>
        <v>1</v>
      </c>
      <c r="DK388" s="16">
        <f>+IF(AND(Septembre!$DP$8&lt;&gt;52,AR388=S.CAL!$BJ$4),10,1)</f>
        <v>1</v>
      </c>
      <c r="DN388" s="16">
        <f t="shared" si="727"/>
        <v>1</v>
      </c>
      <c r="DU388" s="1296" t="str">
        <f t="shared" si="750"/>
        <v>Fiche infoA345917</v>
      </c>
      <c r="DV388" s="1384">
        <f t="shared" si="728"/>
        <v>0</v>
      </c>
      <c r="DW388" s="1385">
        <f t="shared" si="729"/>
        <v>0</v>
      </c>
      <c r="DX388" s="1385">
        <f t="shared" si="730"/>
        <v>0</v>
      </c>
      <c r="DY388" s="1385">
        <f t="shared" si="731"/>
        <v>0</v>
      </c>
      <c r="DZ388" s="1385">
        <f t="shared" si="732"/>
        <v>0</v>
      </c>
      <c r="EA388" s="1385">
        <f t="shared" si="733"/>
        <v>0</v>
      </c>
      <c r="EB388" s="1385">
        <f t="shared" si="734"/>
        <v>0</v>
      </c>
      <c r="EC388" s="1385">
        <f t="shared" si="735"/>
        <v>0</v>
      </c>
      <c r="ED388" s="1385">
        <f t="shared" si="751"/>
        <v>0</v>
      </c>
      <c r="EE388" s="1386">
        <f t="shared" si="752"/>
        <v>0</v>
      </c>
      <c r="EG388" s="16" t="str">
        <f t="shared" si="753"/>
        <v>382025</v>
      </c>
      <c r="EH388" s="16" t="str">
        <f t="shared" si="736"/>
        <v>Fiche infoA3</v>
      </c>
      <c r="EI388" s="16" t="str">
        <f t="shared" si="737"/>
        <v/>
      </c>
    </row>
    <row r="389" spans="1:139" x14ac:dyDescent="0.2">
      <c r="A389" s="1395" t="str">
        <f>Septembre!BJ37</f>
        <v>Fiche infoA4</v>
      </c>
      <c r="B389" s="829">
        <f>Septembre!AB37</f>
        <v>45918</v>
      </c>
      <c r="C389" s="1394"/>
      <c r="D389" s="1001">
        <f t="shared" si="693"/>
        <v>0</v>
      </c>
      <c r="E389" s="452">
        <f t="shared" si="694"/>
        <v>0</v>
      </c>
      <c r="F389" s="452">
        <f t="shared" si="695"/>
        <v>0</v>
      </c>
      <c r="G389" s="452">
        <f t="shared" si="696"/>
        <v>0</v>
      </c>
      <c r="H389" s="452">
        <f t="shared" si="697"/>
        <v>0</v>
      </c>
      <c r="I389" s="452">
        <f t="shared" si="698"/>
        <v>0</v>
      </c>
      <c r="J389" s="452">
        <f t="shared" si="699"/>
        <v>0</v>
      </c>
      <c r="K389" s="452">
        <f t="shared" si="700"/>
        <v>0</v>
      </c>
      <c r="L389" s="452">
        <f t="shared" si="738"/>
        <v>0</v>
      </c>
      <c r="M389" s="1002">
        <f t="shared" si="739"/>
        <v>0</v>
      </c>
      <c r="N389" s="1396"/>
      <c r="O389" s="1001">
        <f t="shared" si="755"/>
        <v>0</v>
      </c>
      <c r="P389" s="452">
        <f t="shared" si="756"/>
        <v>0</v>
      </c>
      <c r="Q389" s="452">
        <f t="shared" si="757"/>
        <v>0</v>
      </c>
      <c r="R389" s="452">
        <f t="shared" si="758"/>
        <v>0</v>
      </c>
      <c r="S389" s="452">
        <f t="shared" si="759"/>
        <v>0</v>
      </c>
      <c r="T389" s="452">
        <f t="shared" si="760"/>
        <v>0</v>
      </c>
      <c r="U389" s="452">
        <f t="shared" si="761"/>
        <v>0</v>
      </c>
      <c r="V389" s="452">
        <f t="shared" si="762"/>
        <v>0</v>
      </c>
      <c r="W389" s="452">
        <f t="shared" si="709"/>
        <v>0</v>
      </c>
      <c r="X389" s="1002">
        <f t="shared" si="710"/>
        <v>0</v>
      </c>
      <c r="Y389" s="1397"/>
      <c r="Z389" s="1398">
        <f t="shared" si="711"/>
        <v>0</v>
      </c>
      <c r="AA389" s="1398">
        <f t="shared" si="712"/>
        <v>0</v>
      </c>
      <c r="AB389" s="1398">
        <f t="shared" si="713"/>
        <v>0</v>
      </c>
      <c r="AC389" s="1398">
        <f t="shared" si="714"/>
        <v>0</v>
      </c>
      <c r="AD389" s="1398">
        <f t="shared" si="715"/>
        <v>0</v>
      </c>
      <c r="AE389" s="1398">
        <f t="shared" si="716"/>
        <v>0</v>
      </c>
      <c r="AF389" s="1398">
        <f t="shared" si="717"/>
        <v>0</v>
      </c>
      <c r="AG389" s="1398">
        <f t="shared" si="718"/>
        <v>0</v>
      </c>
      <c r="AH389" s="1396"/>
      <c r="AI389" s="462">
        <f t="shared" si="763"/>
        <v>0</v>
      </c>
      <c r="AJ389" s="1112"/>
      <c r="AK389" s="1399"/>
      <c r="AL389" s="829">
        <f t="shared" si="720"/>
        <v>45918</v>
      </c>
      <c r="AM389" s="684">
        <f>IFERROR(IF(AND(AT389="",AR389&lt;&gt;S.CAL!$BJ$3,AR389&lt;&gt;S.CAL!$BJ$4,$AR$365="NON"),M389-BD389,IF(AND(AT389="",AR389&lt;&gt;S.CAL!$BJ$3,AR389&lt;&gt;S.CAL!$BJ$4,$AR$365="OUI"),X389-AI389,IF(AT389&lt;&gt;0,AT389,IF(OR(AR389=S.CAL!$BJ$3,AR389=S.CAL!$BJ$4),AR389,"")))),"")</f>
        <v>0</v>
      </c>
      <c r="AN389" s="1115"/>
      <c r="AO389" s="1116"/>
      <c r="AP389" s="684">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400">
        <f t="shared" si="740"/>
        <v>0</v>
      </c>
      <c r="AR389" s="1120"/>
      <c r="AS389" s="1396"/>
      <c r="AT389" s="1123"/>
      <c r="AU389" s="831"/>
      <c r="AV389" s="1392">
        <f t="shared" si="721"/>
        <v>45918</v>
      </c>
      <c r="AW389" s="1396"/>
      <c r="AX389" s="529">
        <f t="shared" si="741"/>
        <v>45918</v>
      </c>
      <c r="AY389" s="541">
        <f t="shared" si="742"/>
        <v>0</v>
      </c>
      <c r="AZ389" s="538" t="s">
        <v>146</v>
      </c>
      <c r="BA389" s="534">
        <f t="shared" si="743"/>
        <v>0</v>
      </c>
      <c r="BB389" s="567" t="str">
        <f t="shared" si="722"/>
        <v/>
      </c>
      <c r="BC389" s="541">
        <f t="shared" si="744"/>
        <v>0</v>
      </c>
      <c r="BD389" s="541">
        <f t="shared" si="745"/>
        <v>0</v>
      </c>
      <c r="BE389" s="1126"/>
      <c r="BF389" s="532" t="str">
        <f t="shared" si="723"/>
        <v/>
      </c>
      <c r="BG389" s="532" t="str">
        <f t="shared" si="746"/>
        <v>oui</v>
      </c>
      <c r="BH389" s="395" t="str">
        <f t="shared" si="724"/>
        <v/>
      </c>
      <c r="BI389" s="24" t="str">
        <f t="shared" si="725"/>
        <v/>
      </c>
      <c r="BJ389" s="1404"/>
      <c r="BK389" s="1404"/>
      <c r="BL389" s="1404"/>
      <c r="BM389" s="1404"/>
      <c r="BN389" s="1404"/>
      <c r="BO389" s="1404"/>
      <c r="BP389" s="1404"/>
      <c r="BQ389" s="1404"/>
      <c r="BR389" s="1405"/>
      <c r="BS389" s="1392">
        <f t="shared" si="692"/>
        <v>45918</v>
      </c>
      <c r="BT389" s="1406" t="str">
        <f t="shared" si="754"/>
        <v/>
      </c>
      <c r="BU389" s="1404"/>
      <c r="BV389" s="1404"/>
      <c r="BW389" s="1404"/>
      <c r="BX389" s="1404"/>
      <c r="BY389" s="1404"/>
      <c r="BZ389" s="1404"/>
      <c r="CA389" s="1404"/>
      <c r="CB389" s="1404"/>
      <c r="CD389" s="1408">
        <f t="shared" si="747"/>
        <v>0</v>
      </c>
      <c r="DC389" s="16" t="str">
        <f>Septembre!FC37</f>
        <v>non</v>
      </c>
      <c r="DG389" s="333">
        <f t="shared" si="748"/>
        <v>1</v>
      </c>
      <c r="DH389" s="129">
        <f t="shared" si="726"/>
        <v>10</v>
      </c>
      <c r="DI389" s="129">
        <f t="shared" si="749"/>
        <v>1</v>
      </c>
      <c r="DK389" s="16">
        <f>+IF(AND(Septembre!$DP$8&lt;&gt;52,AR389=S.CAL!$BJ$4),10,1)</f>
        <v>1</v>
      </c>
      <c r="DN389" s="16">
        <f t="shared" si="727"/>
        <v>1</v>
      </c>
      <c r="DU389" s="1296" t="str">
        <f t="shared" si="750"/>
        <v>Fiche infoA445918</v>
      </c>
      <c r="DV389" s="1384">
        <f t="shared" si="728"/>
        <v>0</v>
      </c>
      <c r="DW389" s="1385">
        <f t="shared" si="729"/>
        <v>0</v>
      </c>
      <c r="DX389" s="1385">
        <f t="shared" si="730"/>
        <v>0</v>
      </c>
      <c r="DY389" s="1385">
        <f t="shared" si="731"/>
        <v>0</v>
      </c>
      <c r="DZ389" s="1385">
        <f t="shared" si="732"/>
        <v>0</v>
      </c>
      <c r="EA389" s="1385">
        <f t="shared" si="733"/>
        <v>0</v>
      </c>
      <c r="EB389" s="1385">
        <f t="shared" si="734"/>
        <v>0</v>
      </c>
      <c r="EC389" s="1385">
        <f t="shared" si="735"/>
        <v>0</v>
      </c>
      <c r="ED389" s="1385">
        <f t="shared" si="751"/>
        <v>0</v>
      </c>
      <c r="EE389" s="1386">
        <f t="shared" si="752"/>
        <v>0</v>
      </c>
      <c r="EG389" s="16" t="str">
        <f t="shared" si="753"/>
        <v>382025</v>
      </c>
      <c r="EH389" s="16" t="str">
        <f t="shared" si="736"/>
        <v>Fiche infoA4</v>
      </c>
      <c r="EI389" s="16" t="str">
        <f t="shared" si="737"/>
        <v/>
      </c>
    </row>
    <row r="390" spans="1:139" x14ac:dyDescent="0.2">
      <c r="A390" s="24" t="str">
        <f>Septembre!BJ38</f>
        <v>Fiche infoA5</v>
      </c>
      <c r="B390" s="829">
        <f>Septembre!AB38</f>
        <v>45919</v>
      </c>
      <c r="C390" s="1393"/>
      <c r="D390" s="1001">
        <f t="shared" si="693"/>
        <v>0</v>
      </c>
      <c r="E390" s="452">
        <f t="shared" si="694"/>
        <v>0</v>
      </c>
      <c r="F390" s="452">
        <f t="shared" si="695"/>
        <v>0</v>
      </c>
      <c r="G390" s="452">
        <f t="shared" si="696"/>
        <v>0</v>
      </c>
      <c r="H390" s="452">
        <f t="shared" si="697"/>
        <v>0</v>
      </c>
      <c r="I390" s="452">
        <f t="shared" si="698"/>
        <v>0</v>
      </c>
      <c r="J390" s="452">
        <f t="shared" si="699"/>
        <v>0</v>
      </c>
      <c r="K390" s="452">
        <f t="shared" si="700"/>
        <v>0</v>
      </c>
      <c r="L390" s="452">
        <f t="shared" si="738"/>
        <v>0</v>
      </c>
      <c r="M390" s="1002">
        <f t="shared" si="739"/>
        <v>0</v>
      </c>
      <c r="O390" s="1001">
        <f t="shared" si="755"/>
        <v>0</v>
      </c>
      <c r="P390" s="452">
        <f t="shared" si="756"/>
        <v>0</v>
      </c>
      <c r="Q390" s="452">
        <f t="shared" si="757"/>
        <v>0</v>
      </c>
      <c r="R390" s="452">
        <f t="shared" si="758"/>
        <v>0</v>
      </c>
      <c r="S390" s="452">
        <f t="shared" si="759"/>
        <v>0</v>
      </c>
      <c r="T390" s="452">
        <f t="shared" si="760"/>
        <v>0</v>
      </c>
      <c r="U390" s="452">
        <f t="shared" si="761"/>
        <v>0</v>
      </c>
      <c r="V390" s="452">
        <f t="shared" si="762"/>
        <v>0</v>
      </c>
      <c r="W390" s="452">
        <f t="shared" si="709"/>
        <v>0</v>
      </c>
      <c r="X390" s="1002">
        <f t="shared" si="710"/>
        <v>0</v>
      </c>
      <c r="Y390" s="459"/>
      <c r="Z390" s="291">
        <f t="shared" si="711"/>
        <v>0</v>
      </c>
      <c r="AA390" s="291">
        <f t="shared" si="712"/>
        <v>0</v>
      </c>
      <c r="AB390" s="291">
        <f t="shared" si="713"/>
        <v>0</v>
      </c>
      <c r="AC390" s="291">
        <f t="shared" si="714"/>
        <v>0</v>
      </c>
      <c r="AD390" s="291">
        <f t="shared" si="715"/>
        <v>0</v>
      </c>
      <c r="AE390" s="291">
        <f t="shared" si="716"/>
        <v>0</v>
      </c>
      <c r="AF390" s="291">
        <f t="shared" si="717"/>
        <v>0</v>
      </c>
      <c r="AG390" s="291">
        <f t="shared" si="718"/>
        <v>0</v>
      </c>
      <c r="AI390" s="462">
        <f t="shared" si="763"/>
        <v>0</v>
      </c>
      <c r="AJ390" s="1112"/>
      <c r="AK390" s="507"/>
      <c r="AL390" s="829">
        <f t="shared" si="720"/>
        <v>45919</v>
      </c>
      <c r="AM390" s="684">
        <f>IFERROR(IF(AND(AT390="",AR390&lt;&gt;S.CAL!$BJ$3,AR390&lt;&gt;S.CAL!$BJ$4,$AR$365="NON"),M390-BD390,IF(AND(AT390="",AR390&lt;&gt;S.CAL!$BJ$3,AR390&lt;&gt;S.CAL!$BJ$4,$AR$365="OUI"),X390-AI390,IF(AT390&lt;&gt;0,AT390,IF(OR(AR390=S.CAL!$BJ$3,AR390=S.CAL!$BJ$4),AR390,"")))),"")</f>
        <v>0</v>
      </c>
      <c r="AN390" s="1115"/>
      <c r="AO390" s="1116"/>
      <c r="AP390" s="684">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516">
        <f t="shared" si="740"/>
        <v>0</v>
      </c>
      <c r="AR390" s="1120"/>
      <c r="AT390" s="1123"/>
      <c r="AU390" s="831"/>
      <c r="AV390" s="1392">
        <f t="shared" si="721"/>
        <v>45919</v>
      </c>
      <c r="AX390" s="529">
        <f t="shared" si="741"/>
        <v>45919</v>
      </c>
      <c r="AY390" s="541">
        <f t="shared" si="742"/>
        <v>0</v>
      </c>
      <c r="AZ390" s="538" t="s">
        <v>146</v>
      </c>
      <c r="BA390" s="534">
        <f t="shared" si="743"/>
        <v>0</v>
      </c>
      <c r="BB390" s="567" t="str">
        <f t="shared" si="722"/>
        <v/>
      </c>
      <c r="BC390" s="541">
        <f t="shared" si="744"/>
        <v>0</v>
      </c>
      <c r="BD390" s="541">
        <f t="shared" si="745"/>
        <v>0</v>
      </c>
      <c r="BE390" s="1126"/>
      <c r="BF390" s="532" t="str">
        <f t="shared" si="723"/>
        <v/>
      </c>
      <c r="BG390" s="532" t="str">
        <f t="shared" si="746"/>
        <v>oui</v>
      </c>
      <c r="BH390" s="395" t="str">
        <f t="shared" si="724"/>
        <v/>
      </c>
      <c r="BI390" s="24" t="str">
        <f t="shared" si="725"/>
        <v/>
      </c>
      <c r="BJ390" s="1403"/>
      <c r="BK390" s="1403"/>
      <c r="BL390" s="1403"/>
      <c r="BM390" s="1403"/>
      <c r="BN390" s="1403"/>
      <c r="BO390" s="1403"/>
      <c r="BP390" s="1403"/>
      <c r="BQ390" s="1403"/>
      <c r="BS390" s="1392">
        <f t="shared" si="692"/>
        <v>45919</v>
      </c>
      <c r="BT390" s="27" t="str">
        <f t="shared" si="754"/>
        <v/>
      </c>
      <c r="BU390" s="1402"/>
      <c r="BV390" s="1402"/>
      <c r="BW390" s="1402"/>
      <c r="BX390" s="1402"/>
      <c r="BY390" s="1402"/>
      <c r="BZ390" s="1402"/>
      <c r="CA390" s="1402"/>
      <c r="CB390" s="1402"/>
      <c r="CD390" s="1408">
        <f t="shared" si="747"/>
        <v>0</v>
      </c>
      <c r="DC390" s="16" t="str">
        <f>Septembre!FC38</f>
        <v>non</v>
      </c>
      <c r="DG390" s="333">
        <f t="shared" si="748"/>
        <v>1</v>
      </c>
      <c r="DH390" s="129">
        <f t="shared" si="726"/>
        <v>10</v>
      </c>
      <c r="DI390" s="129">
        <f t="shared" si="749"/>
        <v>1</v>
      </c>
      <c r="DK390" s="16">
        <f>+IF(AND(Septembre!$DP$8&lt;&gt;52,AR390=S.CAL!$BJ$4),10,1)</f>
        <v>1</v>
      </c>
      <c r="DN390" s="16">
        <f t="shared" si="727"/>
        <v>1</v>
      </c>
      <c r="DU390" s="1296" t="str">
        <f t="shared" si="750"/>
        <v>Fiche infoA545919</v>
      </c>
      <c r="DV390" s="1384">
        <f t="shared" si="728"/>
        <v>0</v>
      </c>
      <c r="DW390" s="1385">
        <f t="shared" si="729"/>
        <v>0</v>
      </c>
      <c r="DX390" s="1385">
        <f t="shared" si="730"/>
        <v>0</v>
      </c>
      <c r="DY390" s="1385">
        <f t="shared" si="731"/>
        <v>0</v>
      </c>
      <c r="DZ390" s="1385">
        <f t="shared" si="732"/>
        <v>0</v>
      </c>
      <c r="EA390" s="1385">
        <f t="shared" si="733"/>
        <v>0</v>
      </c>
      <c r="EB390" s="1385">
        <f t="shared" si="734"/>
        <v>0</v>
      </c>
      <c r="EC390" s="1385">
        <f t="shared" si="735"/>
        <v>0</v>
      </c>
      <c r="ED390" s="1385">
        <f t="shared" si="751"/>
        <v>0</v>
      </c>
      <c r="EE390" s="1386">
        <f t="shared" si="752"/>
        <v>0</v>
      </c>
      <c r="EG390" s="16" t="str">
        <f t="shared" si="753"/>
        <v>382025</v>
      </c>
      <c r="EH390" s="16" t="str">
        <f t="shared" si="736"/>
        <v>Fiche infoA5</v>
      </c>
      <c r="EI390" s="16" t="str">
        <f t="shared" si="737"/>
        <v/>
      </c>
    </row>
    <row r="391" spans="1:139" x14ac:dyDescent="0.2">
      <c r="A391" s="1395" t="str">
        <f>Septembre!BJ39</f>
        <v>Fiche infoA6</v>
      </c>
      <c r="B391" s="829">
        <f>Septembre!AB39</f>
        <v>45920</v>
      </c>
      <c r="C391" s="1394"/>
      <c r="D391" s="1001">
        <f t="shared" si="693"/>
        <v>0</v>
      </c>
      <c r="E391" s="452">
        <f t="shared" si="694"/>
        <v>0</v>
      </c>
      <c r="F391" s="452">
        <f t="shared" si="695"/>
        <v>0</v>
      </c>
      <c r="G391" s="452">
        <f t="shared" si="696"/>
        <v>0</v>
      </c>
      <c r="H391" s="452">
        <f t="shared" si="697"/>
        <v>0</v>
      </c>
      <c r="I391" s="452">
        <f t="shared" si="698"/>
        <v>0</v>
      </c>
      <c r="J391" s="452">
        <f t="shared" si="699"/>
        <v>0</v>
      </c>
      <c r="K391" s="452">
        <f t="shared" si="700"/>
        <v>0</v>
      </c>
      <c r="L391" s="452">
        <f t="shared" si="738"/>
        <v>0</v>
      </c>
      <c r="M391" s="1002">
        <f t="shared" si="739"/>
        <v>0</v>
      </c>
      <c r="N391" s="1396"/>
      <c r="O391" s="1001">
        <f t="shared" si="755"/>
        <v>0</v>
      </c>
      <c r="P391" s="452">
        <f t="shared" si="756"/>
        <v>0</v>
      </c>
      <c r="Q391" s="452">
        <f t="shared" si="757"/>
        <v>0</v>
      </c>
      <c r="R391" s="452">
        <f t="shared" si="758"/>
        <v>0</v>
      </c>
      <c r="S391" s="452">
        <f t="shared" si="759"/>
        <v>0</v>
      </c>
      <c r="T391" s="452">
        <f t="shared" si="760"/>
        <v>0</v>
      </c>
      <c r="U391" s="452">
        <f t="shared" si="761"/>
        <v>0</v>
      </c>
      <c r="V391" s="452">
        <f t="shared" si="762"/>
        <v>0</v>
      </c>
      <c r="W391" s="452">
        <f t="shared" si="709"/>
        <v>0</v>
      </c>
      <c r="X391" s="1002">
        <f t="shared" si="710"/>
        <v>0</v>
      </c>
      <c r="Y391" s="1397"/>
      <c r="Z391" s="1398">
        <f t="shared" si="711"/>
        <v>0</v>
      </c>
      <c r="AA391" s="1398">
        <f t="shared" si="712"/>
        <v>0</v>
      </c>
      <c r="AB391" s="1398">
        <f t="shared" si="713"/>
        <v>0</v>
      </c>
      <c r="AC391" s="1398">
        <f t="shared" si="714"/>
        <v>0</v>
      </c>
      <c r="AD391" s="1398">
        <f t="shared" si="715"/>
        <v>0</v>
      </c>
      <c r="AE391" s="1398">
        <f t="shared" si="716"/>
        <v>0</v>
      </c>
      <c r="AF391" s="1398">
        <f t="shared" si="717"/>
        <v>0</v>
      </c>
      <c r="AG391" s="1398">
        <f t="shared" si="718"/>
        <v>0</v>
      </c>
      <c r="AH391" s="1396"/>
      <c r="AI391" s="462">
        <f t="shared" si="763"/>
        <v>0</v>
      </c>
      <c r="AJ391" s="1112"/>
      <c r="AK391" s="1399"/>
      <c r="AL391" s="829">
        <f t="shared" si="720"/>
        <v>45920</v>
      </c>
      <c r="AM391" s="684">
        <f>IFERROR(IF(AND(AT391="",AR391&lt;&gt;S.CAL!$BJ$3,AR391&lt;&gt;S.CAL!$BJ$4,$AR$365="NON"),M391-BD391,IF(AND(AT391="",AR391&lt;&gt;S.CAL!$BJ$3,AR391&lt;&gt;S.CAL!$BJ$4,$AR$365="OUI"),X391-AI391,IF(AT391&lt;&gt;0,AT391,IF(OR(AR391=S.CAL!$BJ$3,AR391=S.CAL!$BJ$4),AR391,"")))),"")</f>
        <v>0</v>
      </c>
      <c r="AN391" s="1115"/>
      <c r="AO391" s="1116"/>
      <c r="AP391" s="684">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400">
        <f t="shared" si="740"/>
        <v>0</v>
      </c>
      <c r="AR391" s="1120"/>
      <c r="AS391" s="1396"/>
      <c r="AT391" s="1123"/>
      <c r="AU391" s="831"/>
      <c r="AV391" s="1392">
        <f t="shared" si="721"/>
        <v>45920</v>
      </c>
      <c r="AW391" s="1396"/>
      <c r="AX391" s="529">
        <f t="shared" si="741"/>
        <v>45920</v>
      </c>
      <c r="AY391" s="541">
        <f t="shared" si="742"/>
        <v>0</v>
      </c>
      <c r="AZ391" s="538" t="s">
        <v>146</v>
      </c>
      <c r="BA391" s="534">
        <f t="shared" si="743"/>
        <v>0</v>
      </c>
      <c r="BB391" s="567" t="str">
        <f t="shared" si="722"/>
        <v/>
      </c>
      <c r="BC391" s="541">
        <f t="shared" si="744"/>
        <v>0</v>
      </c>
      <c r="BD391" s="541">
        <f t="shared" si="745"/>
        <v>0</v>
      </c>
      <c r="BE391" s="1126"/>
      <c r="BF391" s="532" t="str">
        <f t="shared" si="723"/>
        <v/>
      </c>
      <c r="BG391" s="532" t="str">
        <f t="shared" si="746"/>
        <v>oui</v>
      </c>
      <c r="BH391" s="395" t="str">
        <f t="shared" si="724"/>
        <v/>
      </c>
      <c r="BI391" s="24" t="str">
        <f t="shared" si="725"/>
        <v/>
      </c>
      <c r="BJ391" s="1404"/>
      <c r="BK391" s="1404"/>
      <c r="BL391" s="1404"/>
      <c r="BM391" s="1404"/>
      <c r="BN391" s="1404"/>
      <c r="BO391" s="1404"/>
      <c r="BP391" s="1404"/>
      <c r="BQ391" s="1404"/>
      <c r="BR391" s="1405"/>
      <c r="BS391" s="1392">
        <f t="shared" si="692"/>
        <v>45920</v>
      </c>
      <c r="BT391" s="1406" t="str">
        <f t="shared" si="754"/>
        <v/>
      </c>
      <c r="BU391" s="1404"/>
      <c r="BV391" s="1404"/>
      <c r="BW391" s="1404"/>
      <c r="BX391" s="1404"/>
      <c r="BY391" s="1404"/>
      <c r="BZ391" s="1404"/>
      <c r="CA391" s="1404"/>
      <c r="CB391" s="1404"/>
      <c r="CD391" s="1408">
        <f t="shared" si="747"/>
        <v>0</v>
      </c>
      <c r="DC391" s="16" t="str">
        <f>Septembre!FC39</f>
        <v>non</v>
      </c>
      <c r="DG391" s="333">
        <f t="shared" si="748"/>
        <v>1</v>
      </c>
      <c r="DH391" s="129">
        <f t="shared" si="726"/>
        <v>10</v>
      </c>
      <c r="DI391" s="129">
        <f t="shared" si="749"/>
        <v>1</v>
      </c>
      <c r="DK391" s="16">
        <f>+IF(AND(Septembre!$DP$8&lt;&gt;52,AR391=S.CAL!$BJ$4),10,1)</f>
        <v>1</v>
      </c>
      <c r="DN391" s="16">
        <f t="shared" si="727"/>
        <v>1</v>
      </c>
      <c r="DU391" s="1296" t="str">
        <f t="shared" si="750"/>
        <v>Fiche infoA645920</v>
      </c>
      <c r="DV391" s="1384">
        <f t="shared" si="728"/>
        <v>0</v>
      </c>
      <c r="DW391" s="1385">
        <f t="shared" si="729"/>
        <v>0</v>
      </c>
      <c r="DX391" s="1385">
        <f t="shared" si="730"/>
        <v>0</v>
      </c>
      <c r="DY391" s="1385">
        <f t="shared" si="731"/>
        <v>0</v>
      </c>
      <c r="DZ391" s="1385">
        <f t="shared" si="732"/>
        <v>0</v>
      </c>
      <c r="EA391" s="1385">
        <f t="shared" si="733"/>
        <v>0</v>
      </c>
      <c r="EB391" s="1385">
        <f t="shared" si="734"/>
        <v>0</v>
      </c>
      <c r="EC391" s="1385">
        <f t="shared" si="735"/>
        <v>0</v>
      </c>
      <c r="ED391" s="1385">
        <f t="shared" si="751"/>
        <v>0</v>
      </c>
      <c r="EE391" s="1386">
        <f t="shared" si="752"/>
        <v>0</v>
      </c>
      <c r="EG391" s="16" t="str">
        <f t="shared" si="753"/>
        <v>382025</v>
      </c>
      <c r="EH391" s="16" t="str">
        <f t="shared" si="736"/>
        <v>Fiche infoA6</v>
      </c>
      <c r="EI391" s="16" t="str">
        <f t="shared" si="737"/>
        <v/>
      </c>
    </row>
    <row r="392" spans="1:139" x14ac:dyDescent="0.2">
      <c r="A392" s="24" t="str">
        <f>Septembre!BJ40</f>
        <v>Fiche infoA7</v>
      </c>
      <c r="B392" s="829">
        <f>Septembre!AB40</f>
        <v>45921</v>
      </c>
      <c r="C392" s="1393"/>
      <c r="D392" s="1001">
        <f t="shared" si="693"/>
        <v>0</v>
      </c>
      <c r="E392" s="452">
        <f t="shared" si="694"/>
        <v>0</v>
      </c>
      <c r="F392" s="452">
        <f t="shared" si="695"/>
        <v>0</v>
      </c>
      <c r="G392" s="452">
        <f t="shared" si="696"/>
        <v>0</v>
      </c>
      <c r="H392" s="452">
        <f t="shared" si="697"/>
        <v>0</v>
      </c>
      <c r="I392" s="452">
        <f t="shared" si="698"/>
        <v>0</v>
      </c>
      <c r="J392" s="452">
        <f t="shared" si="699"/>
        <v>0</v>
      </c>
      <c r="K392" s="452">
        <f t="shared" si="700"/>
        <v>0</v>
      </c>
      <c r="L392" s="452">
        <f t="shared" si="738"/>
        <v>0</v>
      </c>
      <c r="M392" s="1002">
        <f t="shared" si="739"/>
        <v>0</v>
      </c>
      <c r="O392" s="1001">
        <f t="shared" si="755"/>
        <v>0</v>
      </c>
      <c r="P392" s="452">
        <f t="shared" si="756"/>
        <v>0</v>
      </c>
      <c r="Q392" s="452">
        <f t="shared" si="757"/>
        <v>0</v>
      </c>
      <c r="R392" s="452">
        <f t="shared" si="758"/>
        <v>0</v>
      </c>
      <c r="S392" s="452">
        <f t="shared" si="759"/>
        <v>0</v>
      </c>
      <c r="T392" s="452">
        <f t="shared" si="760"/>
        <v>0</v>
      </c>
      <c r="U392" s="452">
        <f t="shared" si="761"/>
        <v>0</v>
      </c>
      <c r="V392" s="452">
        <f t="shared" si="762"/>
        <v>0</v>
      </c>
      <c r="W392" s="452">
        <f t="shared" si="709"/>
        <v>0</v>
      </c>
      <c r="X392" s="1002">
        <f t="shared" si="710"/>
        <v>0</v>
      </c>
      <c r="Y392" s="459"/>
      <c r="Z392" s="291">
        <f t="shared" si="711"/>
        <v>0</v>
      </c>
      <c r="AA392" s="291">
        <f t="shared" si="712"/>
        <v>0</v>
      </c>
      <c r="AB392" s="291">
        <f t="shared" si="713"/>
        <v>0</v>
      </c>
      <c r="AC392" s="291">
        <f t="shared" si="714"/>
        <v>0</v>
      </c>
      <c r="AD392" s="291">
        <f t="shared" si="715"/>
        <v>0</v>
      </c>
      <c r="AE392" s="291">
        <f t="shared" si="716"/>
        <v>0</v>
      </c>
      <c r="AF392" s="291">
        <f t="shared" si="717"/>
        <v>0</v>
      </c>
      <c r="AG392" s="291">
        <f t="shared" si="718"/>
        <v>0</v>
      </c>
      <c r="AI392" s="462">
        <f t="shared" si="763"/>
        <v>0</v>
      </c>
      <c r="AJ392" s="1112"/>
      <c r="AK392" s="507"/>
      <c r="AL392" s="829">
        <f t="shared" si="720"/>
        <v>45921</v>
      </c>
      <c r="AM392" s="684">
        <f>IFERROR(IF(AND(AT392="",AR392&lt;&gt;S.CAL!$BJ$3,AR392&lt;&gt;S.CAL!$BJ$4,$AR$365="NON"),M392-BD392,IF(AND(AT392="",AR392&lt;&gt;S.CAL!$BJ$3,AR392&lt;&gt;S.CAL!$BJ$4,$AR$365="OUI"),X392-AI392,IF(AT392&lt;&gt;0,AT392,IF(OR(AR392=S.CAL!$BJ$3,AR392=S.CAL!$BJ$4),AR392,"")))),"")</f>
        <v>0</v>
      </c>
      <c r="AN392" s="1115"/>
      <c r="AO392" s="1116"/>
      <c r="AP392" s="684">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516">
        <f t="shared" si="740"/>
        <v>0</v>
      </c>
      <c r="AR392" s="1120"/>
      <c r="AT392" s="1123"/>
      <c r="AU392" s="831"/>
      <c r="AV392" s="1392">
        <f t="shared" si="721"/>
        <v>45921</v>
      </c>
      <c r="AX392" s="529">
        <f t="shared" si="741"/>
        <v>45921</v>
      </c>
      <c r="AY392" s="541">
        <f t="shared" si="742"/>
        <v>0</v>
      </c>
      <c r="AZ392" s="538" t="s">
        <v>146</v>
      </c>
      <c r="BA392" s="534">
        <f t="shared" si="743"/>
        <v>0</v>
      </c>
      <c r="BB392" s="567" t="str">
        <f t="shared" si="722"/>
        <v/>
      </c>
      <c r="BC392" s="541">
        <f t="shared" si="744"/>
        <v>0</v>
      </c>
      <c r="BD392" s="541">
        <f t="shared" si="745"/>
        <v>0</v>
      </c>
      <c r="BE392" s="1126"/>
      <c r="BF392" s="532" t="str">
        <f t="shared" si="723"/>
        <v/>
      </c>
      <c r="BG392" s="532" t="str">
        <f t="shared" si="746"/>
        <v>oui</v>
      </c>
      <c r="BH392" s="395" t="str">
        <f t="shared" si="724"/>
        <v/>
      </c>
      <c r="BI392" s="24" t="str">
        <f t="shared" si="725"/>
        <v/>
      </c>
      <c r="BJ392" s="1403"/>
      <c r="BK392" s="1403"/>
      <c r="BL392" s="1403"/>
      <c r="BM392" s="1403"/>
      <c r="BN392" s="1403"/>
      <c r="BO392" s="1403"/>
      <c r="BP392" s="1403"/>
      <c r="BQ392" s="1403"/>
      <c r="BS392" s="1392">
        <f t="shared" si="692"/>
        <v>45921</v>
      </c>
      <c r="BT392" s="27" t="str">
        <f t="shared" si="754"/>
        <v/>
      </c>
      <c r="BU392" s="1402"/>
      <c r="BV392" s="1402"/>
      <c r="BW392" s="1402"/>
      <c r="BX392" s="1402"/>
      <c r="BY392" s="1402"/>
      <c r="BZ392" s="1402"/>
      <c r="CA392" s="1402"/>
      <c r="CB392" s="1402"/>
      <c r="CD392" s="1408">
        <f t="shared" si="747"/>
        <v>0</v>
      </c>
      <c r="DC392" s="16" t="str">
        <f>Septembre!FC40</f>
        <v>non</v>
      </c>
      <c r="DG392" s="333">
        <f t="shared" si="748"/>
        <v>1</v>
      </c>
      <c r="DH392" s="129">
        <f t="shared" si="726"/>
        <v>10</v>
      </c>
      <c r="DI392" s="129">
        <f t="shared" si="749"/>
        <v>1</v>
      </c>
      <c r="DK392" s="16">
        <f>+IF(AND(Septembre!$DP$8&lt;&gt;52,AR392=S.CAL!$BJ$4),10,1)</f>
        <v>1</v>
      </c>
      <c r="DN392" s="16">
        <f t="shared" si="727"/>
        <v>1</v>
      </c>
      <c r="DU392" s="1296" t="str">
        <f t="shared" si="750"/>
        <v>Fiche infoA745921</v>
      </c>
      <c r="DV392" s="1384">
        <f t="shared" si="728"/>
        <v>0</v>
      </c>
      <c r="DW392" s="1385">
        <f t="shared" si="729"/>
        <v>0</v>
      </c>
      <c r="DX392" s="1385">
        <f t="shared" si="730"/>
        <v>0</v>
      </c>
      <c r="DY392" s="1385">
        <f t="shared" si="731"/>
        <v>0</v>
      </c>
      <c r="DZ392" s="1385">
        <f t="shared" si="732"/>
        <v>0</v>
      </c>
      <c r="EA392" s="1385">
        <f t="shared" si="733"/>
        <v>0</v>
      </c>
      <c r="EB392" s="1385">
        <f t="shared" si="734"/>
        <v>0</v>
      </c>
      <c r="EC392" s="1385">
        <f t="shared" si="735"/>
        <v>0</v>
      </c>
      <c r="ED392" s="1385">
        <f t="shared" si="751"/>
        <v>0</v>
      </c>
      <c r="EE392" s="1386">
        <f t="shared" si="752"/>
        <v>0</v>
      </c>
      <c r="EG392" s="16" t="str">
        <f t="shared" si="753"/>
        <v>382025</v>
      </c>
      <c r="EH392" s="16" t="str">
        <f t="shared" si="736"/>
        <v>Fiche infoA7</v>
      </c>
      <c r="EI392" s="16" t="str">
        <f t="shared" si="737"/>
        <v/>
      </c>
    </row>
    <row r="393" spans="1:139" x14ac:dyDescent="0.2">
      <c r="A393" s="1395" t="str">
        <f>Septembre!BJ41</f>
        <v>Fiche infoA1</v>
      </c>
      <c r="B393" s="829">
        <f>Septembre!AB41</f>
        <v>45922</v>
      </c>
      <c r="C393" s="1394"/>
      <c r="D393" s="1001">
        <f t="shared" si="693"/>
        <v>0</v>
      </c>
      <c r="E393" s="452">
        <f t="shared" si="694"/>
        <v>0</v>
      </c>
      <c r="F393" s="452">
        <f t="shared" si="695"/>
        <v>0</v>
      </c>
      <c r="G393" s="452">
        <f t="shared" si="696"/>
        <v>0</v>
      </c>
      <c r="H393" s="452">
        <f t="shared" si="697"/>
        <v>0</v>
      </c>
      <c r="I393" s="452">
        <f t="shared" si="698"/>
        <v>0</v>
      </c>
      <c r="J393" s="452">
        <f t="shared" si="699"/>
        <v>0</v>
      </c>
      <c r="K393" s="452">
        <f t="shared" si="700"/>
        <v>0</v>
      </c>
      <c r="L393" s="452">
        <f t="shared" si="738"/>
        <v>0</v>
      </c>
      <c r="M393" s="1002">
        <f t="shared" si="739"/>
        <v>0</v>
      </c>
      <c r="N393" s="1396"/>
      <c r="O393" s="1001">
        <f t="shared" si="755"/>
        <v>0</v>
      </c>
      <c r="P393" s="452">
        <f t="shared" si="756"/>
        <v>0</v>
      </c>
      <c r="Q393" s="452">
        <f t="shared" si="757"/>
        <v>0</v>
      </c>
      <c r="R393" s="452">
        <f t="shared" si="758"/>
        <v>0</v>
      </c>
      <c r="S393" s="452">
        <f t="shared" si="759"/>
        <v>0</v>
      </c>
      <c r="T393" s="452">
        <f t="shared" si="760"/>
        <v>0</v>
      </c>
      <c r="U393" s="452">
        <f t="shared" si="761"/>
        <v>0</v>
      </c>
      <c r="V393" s="452">
        <f t="shared" si="762"/>
        <v>0</v>
      </c>
      <c r="W393" s="452">
        <f t="shared" si="709"/>
        <v>0</v>
      </c>
      <c r="X393" s="1002">
        <f t="shared" si="710"/>
        <v>0</v>
      </c>
      <c r="Y393" s="1397"/>
      <c r="Z393" s="1398">
        <f t="shared" si="711"/>
        <v>0</v>
      </c>
      <c r="AA393" s="1398">
        <f t="shared" si="712"/>
        <v>0</v>
      </c>
      <c r="AB393" s="1398">
        <f t="shared" si="713"/>
        <v>0</v>
      </c>
      <c r="AC393" s="1398">
        <f t="shared" si="714"/>
        <v>0</v>
      </c>
      <c r="AD393" s="1398">
        <f t="shared" si="715"/>
        <v>0</v>
      </c>
      <c r="AE393" s="1398">
        <f t="shared" si="716"/>
        <v>0</v>
      </c>
      <c r="AF393" s="1398">
        <f t="shared" si="717"/>
        <v>0</v>
      </c>
      <c r="AG393" s="1398">
        <f t="shared" si="718"/>
        <v>0</v>
      </c>
      <c r="AH393" s="1396"/>
      <c r="AI393" s="462">
        <f t="shared" si="763"/>
        <v>0</v>
      </c>
      <c r="AJ393" s="1112"/>
      <c r="AK393" s="1399"/>
      <c r="AL393" s="829">
        <f t="shared" si="720"/>
        <v>45922</v>
      </c>
      <c r="AM393" s="684">
        <f>IFERROR(IF(AND(AT393="",AR393&lt;&gt;S.CAL!$BJ$3,AR393&lt;&gt;S.CAL!$BJ$4,$AR$365="NON"),M393-BD393,IF(AND(AT393="",AR393&lt;&gt;S.CAL!$BJ$3,AR393&lt;&gt;S.CAL!$BJ$4,$AR$365="OUI"),X393-AI393,IF(AT393&lt;&gt;0,AT393,IF(OR(AR393=S.CAL!$BJ$3,AR393=S.CAL!$BJ$4),AR393,"")))),"")</f>
        <v>0</v>
      </c>
      <c r="AN393" s="1115"/>
      <c r="AO393" s="1116"/>
      <c r="AP393" s="684">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400">
        <f t="shared" si="740"/>
        <v>0</v>
      </c>
      <c r="AR393" s="1120"/>
      <c r="AS393" s="1396"/>
      <c r="AT393" s="1123"/>
      <c r="AU393" s="831"/>
      <c r="AV393" s="1392">
        <f t="shared" si="721"/>
        <v>45922</v>
      </c>
      <c r="AW393" s="1396"/>
      <c r="AX393" s="529">
        <f t="shared" si="741"/>
        <v>45922</v>
      </c>
      <c r="AY393" s="541">
        <f t="shared" si="742"/>
        <v>0</v>
      </c>
      <c r="AZ393" s="538" t="s">
        <v>146</v>
      </c>
      <c r="BA393" s="534">
        <f t="shared" si="743"/>
        <v>0</v>
      </c>
      <c r="BB393" s="567" t="str">
        <f t="shared" si="722"/>
        <v/>
      </c>
      <c r="BC393" s="541">
        <f t="shared" si="744"/>
        <v>0</v>
      </c>
      <c r="BD393" s="541">
        <f t="shared" si="745"/>
        <v>0</v>
      </c>
      <c r="BE393" s="1126"/>
      <c r="BF393" s="532" t="str">
        <f t="shared" si="723"/>
        <v/>
      </c>
      <c r="BG393" s="532" t="str">
        <f t="shared" si="746"/>
        <v>oui</v>
      </c>
      <c r="BH393" s="395" t="str">
        <f t="shared" si="724"/>
        <v/>
      </c>
      <c r="BI393" s="24" t="str">
        <f t="shared" si="725"/>
        <v/>
      </c>
      <c r="BJ393" s="1404"/>
      <c r="BK393" s="1404"/>
      <c r="BL393" s="1404"/>
      <c r="BM393" s="1404"/>
      <c r="BN393" s="1404"/>
      <c r="BO393" s="1404"/>
      <c r="BP393" s="1404"/>
      <c r="BQ393" s="1404"/>
      <c r="BR393" s="1405"/>
      <c r="BS393" s="1392">
        <f t="shared" si="692"/>
        <v>45922</v>
      </c>
      <c r="BT393" s="1406">
        <f t="shared" si="754"/>
        <v>39</v>
      </c>
      <c r="BU393" s="1404"/>
      <c r="BV393" s="1404"/>
      <c r="BW393" s="1404"/>
      <c r="BX393" s="1404"/>
      <c r="BY393" s="1404"/>
      <c r="BZ393" s="1404"/>
      <c r="CA393" s="1404"/>
      <c r="CB393" s="1404"/>
      <c r="CD393" s="1408">
        <f t="shared" si="747"/>
        <v>0</v>
      </c>
      <c r="DC393" s="16" t="str">
        <f>Septembre!FC41</f>
        <v>non</v>
      </c>
      <c r="DG393" s="333">
        <f t="shared" si="748"/>
        <v>1</v>
      </c>
      <c r="DH393" s="129">
        <f t="shared" si="726"/>
        <v>10</v>
      </c>
      <c r="DI393" s="129">
        <f t="shared" si="749"/>
        <v>1</v>
      </c>
      <c r="DK393" s="16">
        <f>+IF(AND(Septembre!$DP$8&lt;&gt;52,AR393=S.CAL!$BJ$4),10,1)</f>
        <v>1</v>
      </c>
      <c r="DN393" s="16">
        <f t="shared" si="727"/>
        <v>1</v>
      </c>
      <c r="DU393" s="1296" t="str">
        <f t="shared" si="750"/>
        <v>Fiche infoA145922</v>
      </c>
      <c r="DV393" s="1384">
        <f t="shared" si="728"/>
        <v>0</v>
      </c>
      <c r="DW393" s="1385">
        <f t="shared" si="729"/>
        <v>0</v>
      </c>
      <c r="DX393" s="1385">
        <f t="shared" si="730"/>
        <v>0</v>
      </c>
      <c r="DY393" s="1385">
        <f t="shared" si="731"/>
        <v>0</v>
      </c>
      <c r="DZ393" s="1385">
        <f t="shared" si="732"/>
        <v>0</v>
      </c>
      <c r="EA393" s="1385">
        <f t="shared" si="733"/>
        <v>0</v>
      </c>
      <c r="EB393" s="1385">
        <f t="shared" si="734"/>
        <v>0</v>
      </c>
      <c r="EC393" s="1385">
        <f t="shared" si="735"/>
        <v>0</v>
      </c>
      <c r="ED393" s="1385">
        <f t="shared" si="751"/>
        <v>0</v>
      </c>
      <c r="EE393" s="1386">
        <f t="shared" si="752"/>
        <v>0</v>
      </c>
      <c r="EG393" s="16" t="str">
        <f t="shared" si="753"/>
        <v>392025</v>
      </c>
      <c r="EH393" s="16" t="str">
        <f t="shared" si="736"/>
        <v>Fiche infoA1</v>
      </c>
      <c r="EI393" s="16" t="str">
        <f t="shared" si="737"/>
        <v/>
      </c>
    </row>
    <row r="394" spans="1:139" x14ac:dyDescent="0.2">
      <c r="A394" s="24" t="str">
        <f>Septembre!BJ42</f>
        <v>Fiche infoA2</v>
      </c>
      <c r="B394" s="829">
        <f>Septembre!AB42</f>
        <v>45923</v>
      </c>
      <c r="C394" s="1393"/>
      <c r="D394" s="1001">
        <f t="shared" si="693"/>
        <v>0</v>
      </c>
      <c r="E394" s="452">
        <f t="shared" si="694"/>
        <v>0</v>
      </c>
      <c r="F394" s="452">
        <f t="shared" si="695"/>
        <v>0</v>
      </c>
      <c r="G394" s="452">
        <f t="shared" si="696"/>
        <v>0</v>
      </c>
      <c r="H394" s="452">
        <f t="shared" si="697"/>
        <v>0</v>
      </c>
      <c r="I394" s="452">
        <f t="shared" si="698"/>
        <v>0</v>
      </c>
      <c r="J394" s="452">
        <f t="shared" si="699"/>
        <v>0</v>
      </c>
      <c r="K394" s="452">
        <f t="shared" si="700"/>
        <v>0</v>
      </c>
      <c r="L394" s="452">
        <f t="shared" si="738"/>
        <v>0</v>
      </c>
      <c r="M394" s="1002">
        <f t="shared" si="739"/>
        <v>0</v>
      </c>
      <c r="O394" s="1001">
        <f t="shared" si="755"/>
        <v>0</v>
      </c>
      <c r="P394" s="452">
        <f t="shared" si="756"/>
        <v>0</v>
      </c>
      <c r="Q394" s="452">
        <f t="shared" si="757"/>
        <v>0</v>
      </c>
      <c r="R394" s="452">
        <f t="shared" si="758"/>
        <v>0</v>
      </c>
      <c r="S394" s="452">
        <f t="shared" si="759"/>
        <v>0</v>
      </c>
      <c r="T394" s="452">
        <f t="shared" si="760"/>
        <v>0</v>
      </c>
      <c r="U394" s="452">
        <f t="shared" si="761"/>
        <v>0</v>
      </c>
      <c r="V394" s="452">
        <f t="shared" si="762"/>
        <v>0</v>
      </c>
      <c r="W394" s="452">
        <f t="shared" si="709"/>
        <v>0</v>
      </c>
      <c r="X394" s="1002">
        <f t="shared" si="710"/>
        <v>0</v>
      </c>
      <c r="Y394" s="459"/>
      <c r="Z394" s="291">
        <f t="shared" si="711"/>
        <v>0</v>
      </c>
      <c r="AA394" s="291">
        <f t="shared" si="712"/>
        <v>0</v>
      </c>
      <c r="AB394" s="291">
        <f t="shared" si="713"/>
        <v>0</v>
      </c>
      <c r="AC394" s="291">
        <f t="shared" si="714"/>
        <v>0</v>
      </c>
      <c r="AD394" s="291">
        <f t="shared" si="715"/>
        <v>0</v>
      </c>
      <c r="AE394" s="291">
        <f t="shared" si="716"/>
        <v>0</v>
      </c>
      <c r="AF394" s="291">
        <f t="shared" si="717"/>
        <v>0</v>
      </c>
      <c r="AG394" s="291">
        <f t="shared" si="718"/>
        <v>0</v>
      </c>
      <c r="AI394" s="462">
        <f t="shared" si="763"/>
        <v>0</v>
      </c>
      <c r="AJ394" s="1112"/>
      <c r="AK394" s="507"/>
      <c r="AL394" s="829">
        <f t="shared" si="720"/>
        <v>45923</v>
      </c>
      <c r="AM394" s="684">
        <f>IFERROR(IF(AND(AT394="",AR394&lt;&gt;S.CAL!$BJ$3,AR394&lt;&gt;S.CAL!$BJ$4,$AR$365="NON"),M394-BD394,IF(AND(AT394="",AR394&lt;&gt;S.CAL!$BJ$3,AR394&lt;&gt;S.CAL!$BJ$4,$AR$365="OUI"),X394-AI394,IF(AT394&lt;&gt;0,AT394,IF(OR(AR394=S.CAL!$BJ$3,AR394=S.CAL!$BJ$4),AR394,"")))),"")</f>
        <v>0</v>
      </c>
      <c r="AN394" s="1115"/>
      <c r="AO394" s="1116"/>
      <c r="AP394" s="684">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516">
        <f t="shared" si="740"/>
        <v>0</v>
      </c>
      <c r="AR394" s="1120"/>
      <c r="AT394" s="1123"/>
      <c r="AU394" s="831"/>
      <c r="AV394" s="1392">
        <f t="shared" si="721"/>
        <v>45923</v>
      </c>
      <c r="AX394" s="529">
        <f t="shared" si="741"/>
        <v>45923</v>
      </c>
      <c r="AY394" s="541">
        <f t="shared" si="742"/>
        <v>0</v>
      </c>
      <c r="AZ394" s="538" t="s">
        <v>146</v>
      </c>
      <c r="BA394" s="534">
        <f t="shared" si="743"/>
        <v>0</v>
      </c>
      <c r="BB394" s="567" t="str">
        <f t="shared" si="722"/>
        <v/>
      </c>
      <c r="BC394" s="541">
        <f t="shared" si="744"/>
        <v>0</v>
      </c>
      <c r="BD394" s="541">
        <f t="shared" si="745"/>
        <v>0</v>
      </c>
      <c r="BE394" s="1126"/>
      <c r="BF394" s="532" t="str">
        <f t="shared" si="723"/>
        <v/>
      </c>
      <c r="BG394" s="532" t="str">
        <f t="shared" si="746"/>
        <v>oui</v>
      </c>
      <c r="BH394" s="395" t="str">
        <f t="shared" si="724"/>
        <v/>
      </c>
      <c r="BI394" s="24" t="str">
        <f t="shared" si="725"/>
        <v/>
      </c>
      <c r="BJ394" s="1403"/>
      <c r="BK394" s="1403"/>
      <c r="BL394" s="1403"/>
      <c r="BM394" s="1403"/>
      <c r="BN394" s="1403"/>
      <c r="BO394" s="1403"/>
      <c r="BP394" s="1403"/>
      <c r="BQ394" s="1403"/>
      <c r="BS394" s="1392">
        <f t="shared" si="692"/>
        <v>45923</v>
      </c>
      <c r="BT394" s="27" t="str">
        <f t="shared" si="754"/>
        <v/>
      </c>
      <c r="BU394" s="1402"/>
      <c r="BV394" s="1402"/>
      <c r="BW394" s="1402"/>
      <c r="BX394" s="1402"/>
      <c r="BY394" s="1402"/>
      <c r="BZ394" s="1402"/>
      <c r="CA394" s="1402"/>
      <c r="CB394" s="1402"/>
      <c r="CD394" s="1408">
        <f t="shared" si="747"/>
        <v>0</v>
      </c>
      <c r="DC394" s="16" t="str">
        <f>Septembre!FC42</f>
        <v>non</v>
      </c>
      <c r="DG394" s="333">
        <f t="shared" si="748"/>
        <v>1</v>
      </c>
      <c r="DH394" s="129">
        <f t="shared" si="726"/>
        <v>10</v>
      </c>
      <c r="DI394" s="129">
        <f t="shared" si="749"/>
        <v>1</v>
      </c>
      <c r="DK394" s="16">
        <f>+IF(AND(Septembre!$DP$8&lt;&gt;52,AR394=S.CAL!$BJ$4),10,1)</f>
        <v>1</v>
      </c>
      <c r="DN394" s="16">
        <f t="shared" si="727"/>
        <v>1</v>
      </c>
      <c r="DU394" s="1296" t="str">
        <f t="shared" si="750"/>
        <v>Fiche infoA245923</v>
      </c>
      <c r="DV394" s="1384">
        <f t="shared" si="728"/>
        <v>0</v>
      </c>
      <c r="DW394" s="1385">
        <f t="shared" si="729"/>
        <v>0</v>
      </c>
      <c r="DX394" s="1385">
        <f t="shared" si="730"/>
        <v>0</v>
      </c>
      <c r="DY394" s="1385">
        <f t="shared" si="731"/>
        <v>0</v>
      </c>
      <c r="DZ394" s="1385">
        <f t="shared" si="732"/>
        <v>0</v>
      </c>
      <c r="EA394" s="1385">
        <f t="shared" si="733"/>
        <v>0</v>
      </c>
      <c r="EB394" s="1385">
        <f t="shared" si="734"/>
        <v>0</v>
      </c>
      <c r="EC394" s="1385">
        <f t="shared" si="735"/>
        <v>0</v>
      </c>
      <c r="ED394" s="1385">
        <f t="shared" si="751"/>
        <v>0</v>
      </c>
      <c r="EE394" s="1386">
        <f t="shared" si="752"/>
        <v>0</v>
      </c>
      <c r="EG394" s="16" t="str">
        <f t="shared" si="753"/>
        <v>392025</v>
      </c>
      <c r="EH394" s="16" t="str">
        <f t="shared" si="736"/>
        <v>Fiche infoA2</v>
      </c>
      <c r="EI394" s="16" t="str">
        <f t="shared" si="737"/>
        <v/>
      </c>
    </row>
    <row r="395" spans="1:139" x14ac:dyDescent="0.2">
      <c r="A395" s="1395" t="str">
        <f>Septembre!BJ43</f>
        <v>Fiche infoA3</v>
      </c>
      <c r="B395" s="829">
        <f>Septembre!AB43</f>
        <v>45924</v>
      </c>
      <c r="C395" s="1394"/>
      <c r="D395" s="1001">
        <f t="shared" si="693"/>
        <v>0</v>
      </c>
      <c r="E395" s="452">
        <f t="shared" si="694"/>
        <v>0</v>
      </c>
      <c r="F395" s="452">
        <f t="shared" si="695"/>
        <v>0</v>
      </c>
      <c r="G395" s="452">
        <f t="shared" si="696"/>
        <v>0</v>
      </c>
      <c r="H395" s="452">
        <f t="shared" si="697"/>
        <v>0</v>
      </c>
      <c r="I395" s="452">
        <f t="shared" si="698"/>
        <v>0</v>
      </c>
      <c r="J395" s="452">
        <f t="shared" si="699"/>
        <v>0</v>
      </c>
      <c r="K395" s="452">
        <f t="shared" si="700"/>
        <v>0</v>
      </c>
      <c r="L395" s="452">
        <f t="shared" si="738"/>
        <v>0</v>
      </c>
      <c r="M395" s="1002">
        <f t="shared" si="739"/>
        <v>0</v>
      </c>
      <c r="N395" s="1396"/>
      <c r="O395" s="1001">
        <f t="shared" si="755"/>
        <v>0</v>
      </c>
      <c r="P395" s="452">
        <f t="shared" si="756"/>
        <v>0</v>
      </c>
      <c r="Q395" s="452">
        <f t="shared" si="757"/>
        <v>0</v>
      </c>
      <c r="R395" s="452">
        <f t="shared" si="758"/>
        <v>0</v>
      </c>
      <c r="S395" s="452">
        <f t="shared" si="759"/>
        <v>0</v>
      </c>
      <c r="T395" s="452">
        <f t="shared" si="760"/>
        <v>0</v>
      </c>
      <c r="U395" s="452">
        <f t="shared" si="761"/>
        <v>0</v>
      </c>
      <c r="V395" s="452">
        <f t="shared" si="762"/>
        <v>0</v>
      </c>
      <c r="W395" s="452">
        <f t="shared" si="709"/>
        <v>0</v>
      </c>
      <c r="X395" s="1002">
        <f t="shared" si="710"/>
        <v>0</v>
      </c>
      <c r="Y395" s="1397"/>
      <c r="Z395" s="1398">
        <f t="shared" si="711"/>
        <v>0</v>
      </c>
      <c r="AA395" s="1398">
        <f t="shared" si="712"/>
        <v>0</v>
      </c>
      <c r="AB395" s="1398">
        <f t="shared" si="713"/>
        <v>0</v>
      </c>
      <c r="AC395" s="1398">
        <f t="shared" si="714"/>
        <v>0</v>
      </c>
      <c r="AD395" s="1398">
        <f t="shared" si="715"/>
        <v>0</v>
      </c>
      <c r="AE395" s="1398">
        <f t="shared" si="716"/>
        <v>0</v>
      </c>
      <c r="AF395" s="1398">
        <f t="shared" si="717"/>
        <v>0</v>
      </c>
      <c r="AG395" s="1398">
        <f t="shared" si="718"/>
        <v>0</v>
      </c>
      <c r="AH395" s="1396"/>
      <c r="AI395" s="462">
        <f t="shared" si="763"/>
        <v>0</v>
      </c>
      <c r="AJ395" s="1112"/>
      <c r="AK395" s="1399"/>
      <c r="AL395" s="829">
        <f t="shared" si="720"/>
        <v>45924</v>
      </c>
      <c r="AM395" s="684">
        <f>IFERROR(IF(AND(AT395="",AR395&lt;&gt;S.CAL!$BJ$3,AR395&lt;&gt;S.CAL!$BJ$4,$AR$365="NON"),M395-BD395,IF(AND(AT395="",AR395&lt;&gt;S.CAL!$BJ$3,AR395&lt;&gt;S.CAL!$BJ$4,$AR$365="OUI"),X395-AI395,IF(AT395&lt;&gt;0,AT395,IF(OR(AR395=S.CAL!$BJ$3,AR395=S.CAL!$BJ$4),AR395,"")))),"")</f>
        <v>0</v>
      </c>
      <c r="AN395" s="1115"/>
      <c r="AO395" s="1116"/>
      <c r="AP395" s="684">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400">
        <f t="shared" si="740"/>
        <v>0</v>
      </c>
      <c r="AR395" s="1120"/>
      <c r="AS395" s="1396"/>
      <c r="AT395" s="1123"/>
      <c r="AU395" s="831"/>
      <c r="AV395" s="1392">
        <f t="shared" si="721"/>
        <v>45924</v>
      </c>
      <c r="AW395" s="1396"/>
      <c r="AX395" s="529">
        <f t="shared" si="741"/>
        <v>45924</v>
      </c>
      <c r="AY395" s="541">
        <f t="shared" si="742"/>
        <v>0</v>
      </c>
      <c r="AZ395" s="538" t="s">
        <v>146</v>
      </c>
      <c r="BA395" s="534">
        <f t="shared" si="743"/>
        <v>0</v>
      </c>
      <c r="BB395" s="567" t="str">
        <f t="shared" si="722"/>
        <v/>
      </c>
      <c r="BC395" s="541">
        <f t="shared" si="744"/>
        <v>0</v>
      </c>
      <c r="BD395" s="541">
        <f t="shared" si="745"/>
        <v>0</v>
      </c>
      <c r="BE395" s="1126"/>
      <c r="BF395" s="532" t="str">
        <f t="shared" si="723"/>
        <v/>
      </c>
      <c r="BG395" s="532" t="str">
        <f t="shared" si="746"/>
        <v>oui</v>
      </c>
      <c r="BH395" s="395" t="str">
        <f t="shared" si="724"/>
        <v/>
      </c>
      <c r="BI395" s="24" t="str">
        <f t="shared" si="725"/>
        <v/>
      </c>
      <c r="BJ395" s="1404"/>
      <c r="BK395" s="1404"/>
      <c r="BL395" s="1404"/>
      <c r="BM395" s="1404"/>
      <c r="BN395" s="1404"/>
      <c r="BO395" s="1404"/>
      <c r="BP395" s="1404"/>
      <c r="BQ395" s="1404"/>
      <c r="BR395" s="1405"/>
      <c r="BS395" s="1392">
        <f t="shared" si="692"/>
        <v>45924</v>
      </c>
      <c r="BT395" s="1406" t="str">
        <f t="shared" si="754"/>
        <v/>
      </c>
      <c r="BU395" s="1404"/>
      <c r="BV395" s="1404"/>
      <c r="BW395" s="1404"/>
      <c r="BX395" s="1404"/>
      <c r="BY395" s="1404"/>
      <c r="BZ395" s="1404"/>
      <c r="CA395" s="1404"/>
      <c r="CB395" s="1404"/>
      <c r="CD395" s="1408">
        <f t="shared" si="747"/>
        <v>0</v>
      </c>
      <c r="DC395" s="16" t="str">
        <f>Septembre!FC43</f>
        <v>non</v>
      </c>
      <c r="DG395" s="333">
        <f t="shared" si="748"/>
        <v>1</v>
      </c>
      <c r="DH395" s="129">
        <f t="shared" si="726"/>
        <v>10</v>
      </c>
      <c r="DI395" s="129">
        <f t="shared" si="749"/>
        <v>1</v>
      </c>
      <c r="DK395" s="16">
        <f>+IF(AND(Septembre!$DP$8&lt;&gt;52,AR395=S.CAL!$BJ$4),10,1)</f>
        <v>1</v>
      </c>
      <c r="DN395" s="16">
        <f t="shared" si="727"/>
        <v>1</v>
      </c>
      <c r="DU395" s="1296" t="str">
        <f t="shared" si="750"/>
        <v>Fiche infoA345924</v>
      </c>
      <c r="DV395" s="1384">
        <f t="shared" si="728"/>
        <v>0</v>
      </c>
      <c r="DW395" s="1385">
        <f t="shared" si="729"/>
        <v>0</v>
      </c>
      <c r="DX395" s="1385">
        <f t="shared" si="730"/>
        <v>0</v>
      </c>
      <c r="DY395" s="1385">
        <f t="shared" si="731"/>
        <v>0</v>
      </c>
      <c r="DZ395" s="1385">
        <f t="shared" si="732"/>
        <v>0</v>
      </c>
      <c r="EA395" s="1385">
        <f t="shared" si="733"/>
        <v>0</v>
      </c>
      <c r="EB395" s="1385">
        <f t="shared" si="734"/>
        <v>0</v>
      </c>
      <c r="EC395" s="1385">
        <f t="shared" si="735"/>
        <v>0</v>
      </c>
      <c r="ED395" s="1385">
        <f t="shared" si="751"/>
        <v>0</v>
      </c>
      <c r="EE395" s="1386">
        <f t="shared" si="752"/>
        <v>0</v>
      </c>
      <c r="EG395" s="16" t="str">
        <f t="shared" si="753"/>
        <v>392025</v>
      </c>
      <c r="EH395" s="16" t="str">
        <f t="shared" si="736"/>
        <v>Fiche infoA3</v>
      </c>
      <c r="EI395" s="16" t="str">
        <f t="shared" si="737"/>
        <v/>
      </c>
    </row>
    <row r="396" spans="1:139" x14ac:dyDescent="0.2">
      <c r="A396" s="24" t="str">
        <f>Septembre!BJ44</f>
        <v>Fiche infoA4</v>
      </c>
      <c r="B396" s="829">
        <f>Septembre!AB44</f>
        <v>45925</v>
      </c>
      <c r="C396" s="1393"/>
      <c r="D396" s="1001">
        <f t="shared" si="693"/>
        <v>0</v>
      </c>
      <c r="E396" s="452">
        <f t="shared" si="694"/>
        <v>0</v>
      </c>
      <c r="F396" s="452">
        <f t="shared" si="695"/>
        <v>0</v>
      </c>
      <c r="G396" s="452">
        <f t="shared" si="696"/>
        <v>0</v>
      </c>
      <c r="H396" s="452">
        <f t="shared" si="697"/>
        <v>0</v>
      </c>
      <c r="I396" s="452">
        <f t="shared" si="698"/>
        <v>0</v>
      </c>
      <c r="J396" s="452">
        <f t="shared" si="699"/>
        <v>0</v>
      </c>
      <c r="K396" s="452">
        <f t="shared" si="700"/>
        <v>0</v>
      </c>
      <c r="L396" s="452">
        <f t="shared" si="738"/>
        <v>0</v>
      </c>
      <c r="M396" s="1002">
        <f t="shared" si="739"/>
        <v>0</v>
      </c>
      <c r="O396" s="1001">
        <f t="shared" si="755"/>
        <v>0</v>
      </c>
      <c r="P396" s="452">
        <f t="shared" si="756"/>
        <v>0</v>
      </c>
      <c r="Q396" s="452">
        <f t="shared" si="757"/>
        <v>0</v>
      </c>
      <c r="R396" s="452">
        <f t="shared" si="758"/>
        <v>0</v>
      </c>
      <c r="S396" s="452">
        <f t="shared" si="759"/>
        <v>0</v>
      </c>
      <c r="T396" s="452">
        <f t="shared" si="760"/>
        <v>0</v>
      </c>
      <c r="U396" s="452">
        <f t="shared" si="761"/>
        <v>0</v>
      </c>
      <c r="V396" s="452">
        <f t="shared" si="762"/>
        <v>0</v>
      </c>
      <c r="W396" s="452">
        <f t="shared" si="709"/>
        <v>0</v>
      </c>
      <c r="X396" s="1002">
        <f t="shared" si="710"/>
        <v>0</v>
      </c>
      <c r="Y396" s="459"/>
      <c r="Z396" s="291">
        <f t="shared" si="711"/>
        <v>0</v>
      </c>
      <c r="AA396" s="291">
        <f t="shared" si="712"/>
        <v>0</v>
      </c>
      <c r="AB396" s="291">
        <f t="shared" si="713"/>
        <v>0</v>
      </c>
      <c r="AC396" s="291">
        <f t="shared" si="714"/>
        <v>0</v>
      </c>
      <c r="AD396" s="291">
        <f t="shared" si="715"/>
        <v>0</v>
      </c>
      <c r="AE396" s="291">
        <f t="shared" si="716"/>
        <v>0</v>
      </c>
      <c r="AF396" s="291">
        <f t="shared" si="717"/>
        <v>0</v>
      </c>
      <c r="AG396" s="291">
        <f t="shared" si="718"/>
        <v>0</v>
      </c>
      <c r="AI396" s="462">
        <f t="shared" si="763"/>
        <v>0</v>
      </c>
      <c r="AJ396" s="1112"/>
      <c r="AK396" s="507"/>
      <c r="AL396" s="829">
        <f t="shared" si="720"/>
        <v>45925</v>
      </c>
      <c r="AM396" s="684">
        <f>IFERROR(IF(AND(AT396="",AR396&lt;&gt;S.CAL!$BJ$3,AR396&lt;&gt;S.CAL!$BJ$4,$AR$365="NON"),M396-BD396,IF(AND(AT396="",AR396&lt;&gt;S.CAL!$BJ$3,AR396&lt;&gt;S.CAL!$BJ$4,$AR$365="OUI"),X396-AI396,IF(AT396&lt;&gt;0,AT396,IF(OR(AR396=S.CAL!$BJ$3,AR396=S.CAL!$BJ$4),AR396,"")))),"")</f>
        <v>0</v>
      </c>
      <c r="AN396" s="1115"/>
      <c r="AO396" s="1116"/>
      <c r="AP396" s="684">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516">
        <f t="shared" si="740"/>
        <v>0</v>
      </c>
      <c r="AR396" s="1120"/>
      <c r="AT396" s="1123"/>
      <c r="AU396" s="831"/>
      <c r="AV396" s="1392">
        <f t="shared" si="721"/>
        <v>45925</v>
      </c>
      <c r="AX396" s="529">
        <f t="shared" si="741"/>
        <v>45925</v>
      </c>
      <c r="AY396" s="541">
        <f t="shared" si="742"/>
        <v>0</v>
      </c>
      <c r="AZ396" s="538" t="s">
        <v>146</v>
      </c>
      <c r="BA396" s="534">
        <f t="shared" si="743"/>
        <v>0</v>
      </c>
      <c r="BB396" s="567" t="str">
        <f t="shared" si="722"/>
        <v/>
      </c>
      <c r="BC396" s="541">
        <f t="shared" si="744"/>
        <v>0</v>
      </c>
      <c r="BD396" s="541">
        <f t="shared" si="745"/>
        <v>0</v>
      </c>
      <c r="BE396" s="1126"/>
      <c r="BF396" s="532" t="str">
        <f t="shared" si="723"/>
        <v/>
      </c>
      <c r="BG396" s="532" t="str">
        <f t="shared" si="746"/>
        <v>oui</v>
      </c>
      <c r="BH396" s="395" t="str">
        <f t="shared" si="724"/>
        <v/>
      </c>
      <c r="BI396" s="24" t="str">
        <f t="shared" si="725"/>
        <v/>
      </c>
      <c r="BJ396" s="1403"/>
      <c r="BK396" s="1403"/>
      <c r="BL396" s="1403"/>
      <c r="BM396" s="1403"/>
      <c r="BN396" s="1403"/>
      <c r="BO396" s="1403"/>
      <c r="BP396" s="1403"/>
      <c r="BQ396" s="1403"/>
      <c r="BS396" s="1392">
        <f t="shared" si="692"/>
        <v>45925</v>
      </c>
      <c r="BT396" s="27" t="str">
        <f t="shared" si="754"/>
        <v/>
      </c>
      <c r="BU396" s="1402"/>
      <c r="BV396" s="1402"/>
      <c r="BW396" s="1402"/>
      <c r="BX396" s="1402"/>
      <c r="BY396" s="1402"/>
      <c r="BZ396" s="1402"/>
      <c r="CA396" s="1402"/>
      <c r="CB396" s="1402"/>
      <c r="CD396" s="1408">
        <f t="shared" si="747"/>
        <v>0</v>
      </c>
      <c r="DC396" s="16" t="str">
        <f>Septembre!FC44</f>
        <v>non</v>
      </c>
      <c r="DG396" s="333">
        <f t="shared" si="748"/>
        <v>1</v>
      </c>
      <c r="DH396" s="129">
        <f t="shared" si="726"/>
        <v>10</v>
      </c>
      <c r="DI396" s="129">
        <f t="shared" si="749"/>
        <v>1</v>
      </c>
      <c r="DK396" s="16">
        <f>+IF(AND(Septembre!$DP$8&lt;&gt;52,AR396=S.CAL!$BJ$4),10,1)</f>
        <v>1</v>
      </c>
      <c r="DN396" s="16">
        <f t="shared" si="727"/>
        <v>1</v>
      </c>
      <c r="DU396" s="1296" t="str">
        <f t="shared" si="750"/>
        <v>Fiche infoA445925</v>
      </c>
      <c r="DV396" s="1384">
        <f t="shared" si="728"/>
        <v>0</v>
      </c>
      <c r="DW396" s="1385">
        <f t="shared" si="729"/>
        <v>0</v>
      </c>
      <c r="DX396" s="1385">
        <f t="shared" si="730"/>
        <v>0</v>
      </c>
      <c r="DY396" s="1385">
        <f t="shared" si="731"/>
        <v>0</v>
      </c>
      <c r="DZ396" s="1385">
        <f t="shared" si="732"/>
        <v>0</v>
      </c>
      <c r="EA396" s="1385">
        <f t="shared" si="733"/>
        <v>0</v>
      </c>
      <c r="EB396" s="1385">
        <f t="shared" si="734"/>
        <v>0</v>
      </c>
      <c r="EC396" s="1385">
        <f t="shared" si="735"/>
        <v>0</v>
      </c>
      <c r="ED396" s="1385">
        <f t="shared" si="751"/>
        <v>0</v>
      </c>
      <c r="EE396" s="1386">
        <f t="shared" si="752"/>
        <v>0</v>
      </c>
      <c r="EG396" s="16" t="str">
        <f t="shared" si="753"/>
        <v>392025</v>
      </c>
      <c r="EH396" s="16" t="str">
        <f t="shared" si="736"/>
        <v>Fiche infoA4</v>
      </c>
      <c r="EI396" s="16" t="str">
        <f t="shared" si="737"/>
        <v/>
      </c>
    </row>
    <row r="397" spans="1:139" x14ac:dyDescent="0.2">
      <c r="A397" s="1395" t="str">
        <f>Septembre!BJ45</f>
        <v>Fiche infoA5</v>
      </c>
      <c r="B397" s="829">
        <f>Septembre!AB45</f>
        <v>45926</v>
      </c>
      <c r="C397" s="1394"/>
      <c r="D397" s="1001">
        <f t="shared" si="693"/>
        <v>0</v>
      </c>
      <c r="E397" s="452">
        <f t="shared" si="694"/>
        <v>0</v>
      </c>
      <c r="F397" s="452">
        <f t="shared" si="695"/>
        <v>0</v>
      </c>
      <c r="G397" s="452">
        <f t="shared" si="696"/>
        <v>0</v>
      </c>
      <c r="H397" s="452">
        <f t="shared" si="697"/>
        <v>0</v>
      </c>
      <c r="I397" s="452">
        <f t="shared" si="698"/>
        <v>0</v>
      </c>
      <c r="J397" s="452">
        <f t="shared" si="699"/>
        <v>0</v>
      </c>
      <c r="K397" s="452">
        <f t="shared" si="700"/>
        <v>0</v>
      </c>
      <c r="L397" s="452">
        <f t="shared" si="738"/>
        <v>0</v>
      </c>
      <c r="M397" s="1002">
        <f t="shared" si="739"/>
        <v>0</v>
      </c>
      <c r="N397" s="1396"/>
      <c r="O397" s="1001">
        <f t="shared" si="755"/>
        <v>0</v>
      </c>
      <c r="P397" s="452">
        <f t="shared" si="756"/>
        <v>0</v>
      </c>
      <c r="Q397" s="452">
        <f t="shared" si="757"/>
        <v>0</v>
      </c>
      <c r="R397" s="452">
        <f t="shared" si="758"/>
        <v>0</v>
      </c>
      <c r="S397" s="452">
        <f t="shared" si="759"/>
        <v>0</v>
      </c>
      <c r="T397" s="452">
        <f t="shared" si="760"/>
        <v>0</v>
      </c>
      <c r="U397" s="452">
        <f t="shared" si="761"/>
        <v>0</v>
      </c>
      <c r="V397" s="452">
        <f t="shared" si="762"/>
        <v>0</v>
      </c>
      <c r="W397" s="452">
        <f t="shared" si="709"/>
        <v>0</v>
      </c>
      <c r="X397" s="1002">
        <f t="shared" si="710"/>
        <v>0</v>
      </c>
      <c r="Y397" s="1397"/>
      <c r="Z397" s="1398">
        <f t="shared" si="711"/>
        <v>0</v>
      </c>
      <c r="AA397" s="1398">
        <f t="shared" si="712"/>
        <v>0</v>
      </c>
      <c r="AB397" s="1398">
        <f t="shared" si="713"/>
        <v>0</v>
      </c>
      <c r="AC397" s="1398">
        <f t="shared" si="714"/>
        <v>0</v>
      </c>
      <c r="AD397" s="1398">
        <f t="shared" si="715"/>
        <v>0</v>
      </c>
      <c r="AE397" s="1398">
        <f t="shared" si="716"/>
        <v>0</v>
      </c>
      <c r="AF397" s="1398">
        <f t="shared" si="717"/>
        <v>0</v>
      </c>
      <c r="AG397" s="1398">
        <f t="shared" si="718"/>
        <v>0</v>
      </c>
      <c r="AH397" s="1396"/>
      <c r="AI397" s="462">
        <f t="shared" si="763"/>
        <v>0</v>
      </c>
      <c r="AJ397" s="1112"/>
      <c r="AK397" s="1399"/>
      <c r="AL397" s="829">
        <f t="shared" si="720"/>
        <v>45926</v>
      </c>
      <c r="AM397" s="684">
        <f>IFERROR(IF(AND(AT397="",AR397&lt;&gt;S.CAL!$BJ$3,AR397&lt;&gt;S.CAL!$BJ$4,$AR$365="NON"),M397-BD397,IF(AND(AT397="",AR397&lt;&gt;S.CAL!$BJ$3,AR397&lt;&gt;S.CAL!$BJ$4,$AR$365="OUI"),X397-AI397,IF(AT397&lt;&gt;0,AT397,IF(OR(AR397=S.CAL!$BJ$3,AR397=S.CAL!$BJ$4),AR397,"")))),"")</f>
        <v>0</v>
      </c>
      <c r="AN397" s="1115"/>
      <c r="AO397" s="1116"/>
      <c r="AP397" s="684">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400">
        <f t="shared" si="740"/>
        <v>0</v>
      </c>
      <c r="AR397" s="1120"/>
      <c r="AS397" s="1396"/>
      <c r="AT397" s="1123"/>
      <c r="AU397" s="831"/>
      <c r="AV397" s="1392">
        <f t="shared" si="721"/>
        <v>45926</v>
      </c>
      <c r="AW397" s="1396"/>
      <c r="AX397" s="529">
        <f t="shared" si="741"/>
        <v>45926</v>
      </c>
      <c r="AY397" s="541">
        <f t="shared" si="742"/>
        <v>0</v>
      </c>
      <c r="AZ397" s="538" t="s">
        <v>146</v>
      </c>
      <c r="BA397" s="534">
        <f t="shared" si="743"/>
        <v>0</v>
      </c>
      <c r="BB397" s="567" t="str">
        <f t="shared" si="722"/>
        <v/>
      </c>
      <c r="BC397" s="541">
        <f t="shared" si="744"/>
        <v>0</v>
      </c>
      <c r="BD397" s="541">
        <f t="shared" si="745"/>
        <v>0</v>
      </c>
      <c r="BE397" s="1126"/>
      <c r="BF397" s="532" t="str">
        <f t="shared" si="723"/>
        <v/>
      </c>
      <c r="BG397" s="532" t="str">
        <f t="shared" si="746"/>
        <v>oui</v>
      </c>
      <c r="BH397" s="395" t="str">
        <f t="shared" si="724"/>
        <v/>
      </c>
      <c r="BI397" s="24" t="str">
        <f t="shared" si="725"/>
        <v/>
      </c>
      <c r="BJ397" s="1404"/>
      <c r="BK397" s="1404"/>
      <c r="BL397" s="1404"/>
      <c r="BM397" s="1404"/>
      <c r="BN397" s="1404"/>
      <c r="BO397" s="1404"/>
      <c r="BP397" s="1404"/>
      <c r="BQ397" s="1404"/>
      <c r="BR397" s="1405"/>
      <c r="BS397" s="1392">
        <f t="shared" si="692"/>
        <v>45926</v>
      </c>
      <c r="BT397" s="1406" t="str">
        <f t="shared" si="754"/>
        <v/>
      </c>
      <c r="BU397" s="1404"/>
      <c r="BV397" s="1404"/>
      <c r="BW397" s="1404"/>
      <c r="BX397" s="1404"/>
      <c r="BY397" s="1404"/>
      <c r="BZ397" s="1404"/>
      <c r="CA397" s="1404"/>
      <c r="CB397" s="1404"/>
      <c r="CD397" s="1408">
        <f t="shared" si="747"/>
        <v>0</v>
      </c>
      <c r="DC397" s="16" t="str">
        <f>Septembre!FC45</f>
        <v>non</v>
      </c>
      <c r="DG397" s="333">
        <f t="shared" si="748"/>
        <v>1</v>
      </c>
      <c r="DH397" s="129">
        <f t="shared" si="726"/>
        <v>10</v>
      </c>
      <c r="DI397" s="129">
        <f t="shared" si="749"/>
        <v>1</v>
      </c>
      <c r="DK397" s="16">
        <f>+IF(AND(Septembre!$DP$8&lt;&gt;52,AR397=S.CAL!$BJ$4),10,1)</f>
        <v>1</v>
      </c>
      <c r="DN397" s="16">
        <f t="shared" si="727"/>
        <v>1</v>
      </c>
      <c r="DU397" s="1296" t="str">
        <f t="shared" si="750"/>
        <v>Fiche infoA545926</v>
      </c>
      <c r="DV397" s="1384">
        <f t="shared" si="728"/>
        <v>0</v>
      </c>
      <c r="DW397" s="1385">
        <f t="shared" si="729"/>
        <v>0</v>
      </c>
      <c r="DX397" s="1385">
        <f t="shared" si="730"/>
        <v>0</v>
      </c>
      <c r="DY397" s="1385">
        <f t="shared" si="731"/>
        <v>0</v>
      </c>
      <c r="DZ397" s="1385">
        <f t="shared" si="732"/>
        <v>0</v>
      </c>
      <c r="EA397" s="1385">
        <f t="shared" si="733"/>
        <v>0</v>
      </c>
      <c r="EB397" s="1385">
        <f t="shared" si="734"/>
        <v>0</v>
      </c>
      <c r="EC397" s="1385">
        <f t="shared" si="735"/>
        <v>0</v>
      </c>
      <c r="ED397" s="1385">
        <f t="shared" si="751"/>
        <v>0</v>
      </c>
      <c r="EE397" s="1386">
        <f t="shared" si="752"/>
        <v>0</v>
      </c>
      <c r="EG397" s="16" t="str">
        <f t="shared" si="753"/>
        <v>392025</v>
      </c>
      <c r="EH397" s="16" t="str">
        <f t="shared" si="736"/>
        <v>Fiche infoA5</v>
      </c>
      <c r="EI397" s="16" t="str">
        <f t="shared" si="737"/>
        <v/>
      </c>
    </row>
    <row r="398" spans="1:139" x14ac:dyDescent="0.2">
      <c r="A398" s="24" t="str">
        <f>Septembre!BJ46</f>
        <v>Fiche infoA6</v>
      </c>
      <c r="B398" s="829">
        <f>Septembre!AB46</f>
        <v>45927</v>
      </c>
      <c r="C398" s="1393"/>
      <c r="D398" s="1001">
        <f t="shared" si="693"/>
        <v>0</v>
      </c>
      <c r="E398" s="452">
        <f t="shared" si="694"/>
        <v>0</v>
      </c>
      <c r="F398" s="452">
        <f t="shared" si="695"/>
        <v>0</v>
      </c>
      <c r="G398" s="452">
        <f t="shared" si="696"/>
        <v>0</v>
      </c>
      <c r="H398" s="452">
        <f t="shared" si="697"/>
        <v>0</v>
      </c>
      <c r="I398" s="452">
        <f t="shared" si="698"/>
        <v>0</v>
      </c>
      <c r="J398" s="452">
        <f t="shared" si="699"/>
        <v>0</v>
      </c>
      <c r="K398" s="452">
        <f t="shared" si="700"/>
        <v>0</v>
      </c>
      <c r="L398" s="452">
        <f t="shared" si="738"/>
        <v>0</v>
      </c>
      <c r="M398" s="1002">
        <f t="shared" si="739"/>
        <v>0</v>
      </c>
      <c r="O398" s="1001">
        <f t="shared" si="755"/>
        <v>0</v>
      </c>
      <c r="P398" s="452">
        <f t="shared" si="756"/>
        <v>0</v>
      </c>
      <c r="Q398" s="452">
        <f t="shared" si="757"/>
        <v>0</v>
      </c>
      <c r="R398" s="452">
        <f t="shared" si="758"/>
        <v>0</v>
      </c>
      <c r="S398" s="452">
        <f t="shared" si="759"/>
        <v>0</v>
      </c>
      <c r="T398" s="452">
        <f t="shared" si="760"/>
        <v>0</v>
      </c>
      <c r="U398" s="452">
        <f t="shared" si="761"/>
        <v>0</v>
      </c>
      <c r="V398" s="452">
        <f t="shared" si="762"/>
        <v>0</v>
      </c>
      <c r="W398" s="452">
        <f t="shared" si="709"/>
        <v>0</v>
      </c>
      <c r="X398" s="1002">
        <f t="shared" si="710"/>
        <v>0</v>
      </c>
      <c r="Y398" s="459"/>
      <c r="Z398" s="291">
        <f t="shared" si="711"/>
        <v>0</v>
      </c>
      <c r="AA398" s="291">
        <f t="shared" si="712"/>
        <v>0</v>
      </c>
      <c r="AB398" s="291">
        <f t="shared" si="713"/>
        <v>0</v>
      </c>
      <c r="AC398" s="291">
        <f t="shared" si="714"/>
        <v>0</v>
      </c>
      <c r="AD398" s="291">
        <f t="shared" si="715"/>
        <v>0</v>
      </c>
      <c r="AE398" s="291">
        <f t="shared" si="716"/>
        <v>0</v>
      </c>
      <c r="AF398" s="291">
        <f t="shared" si="717"/>
        <v>0</v>
      </c>
      <c r="AG398" s="291">
        <f t="shared" si="718"/>
        <v>0</v>
      </c>
      <c r="AI398" s="462">
        <f t="shared" si="763"/>
        <v>0</v>
      </c>
      <c r="AJ398" s="1112"/>
      <c r="AK398" s="507"/>
      <c r="AL398" s="829">
        <f t="shared" si="720"/>
        <v>45927</v>
      </c>
      <c r="AM398" s="684">
        <f>IFERROR(IF(AND(AT398="",AR398&lt;&gt;S.CAL!$BJ$3,AR398&lt;&gt;S.CAL!$BJ$4,$AR$365="NON"),M398-BD398,IF(AND(AT398="",AR398&lt;&gt;S.CAL!$BJ$3,AR398&lt;&gt;S.CAL!$BJ$4,$AR$365="OUI"),X398-AI398,IF(AT398&lt;&gt;0,AT398,IF(OR(AR398=S.CAL!$BJ$3,AR398=S.CAL!$BJ$4),AR398,"")))),"")</f>
        <v>0</v>
      </c>
      <c r="AN398" s="1115"/>
      <c r="AO398" s="1116"/>
      <c r="AP398" s="684">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516">
        <f t="shared" si="740"/>
        <v>0</v>
      </c>
      <c r="AR398" s="1120"/>
      <c r="AT398" s="1123"/>
      <c r="AU398" s="831"/>
      <c r="AV398" s="1392">
        <f t="shared" si="721"/>
        <v>45927</v>
      </c>
      <c r="AX398" s="529">
        <f t="shared" si="741"/>
        <v>45927</v>
      </c>
      <c r="AY398" s="541">
        <f t="shared" si="742"/>
        <v>0</v>
      </c>
      <c r="AZ398" s="538" t="s">
        <v>146</v>
      </c>
      <c r="BA398" s="534">
        <f t="shared" si="743"/>
        <v>0</v>
      </c>
      <c r="BB398" s="567" t="str">
        <f t="shared" si="722"/>
        <v/>
      </c>
      <c r="BC398" s="541">
        <f t="shared" si="744"/>
        <v>0</v>
      </c>
      <c r="BD398" s="541">
        <f t="shared" si="745"/>
        <v>0</v>
      </c>
      <c r="BE398" s="1126"/>
      <c r="BF398" s="532" t="str">
        <f t="shared" si="723"/>
        <v/>
      </c>
      <c r="BG398" s="532" t="str">
        <f t="shared" si="746"/>
        <v>oui</v>
      </c>
      <c r="BH398" s="395" t="str">
        <f t="shared" si="724"/>
        <v/>
      </c>
      <c r="BI398" s="24" t="str">
        <f t="shared" si="725"/>
        <v/>
      </c>
      <c r="BJ398" s="1403"/>
      <c r="BK398" s="1403"/>
      <c r="BL398" s="1403"/>
      <c r="BM398" s="1403"/>
      <c r="BN398" s="1403"/>
      <c r="BO398" s="1403"/>
      <c r="BP398" s="1403"/>
      <c r="BQ398" s="1403"/>
      <c r="BS398" s="1392">
        <f t="shared" si="692"/>
        <v>45927</v>
      </c>
      <c r="BT398" s="27" t="str">
        <f t="shared" si="754"/>
        <v/>
      </c>
      <c r="BU398" s="1402"/>
      <c r="BV398" s="1402"/>
      <c r="BW398" s="1402"/>
      <c r="BX398" s="1402"/>
      <c r="BY398" s="1402"/>
      <c r="BZ398" s="1402"/>
      <c r="CA398" s="1402"/>
      <c r="CB398" s="1402"/>
      <c r="CD398" s="1408">
        <f t="shared" si="747"/>
        <v>0</v>
      </c>
      <c r="DC398" s="16" t="str">
        <f>Septembre!FC46</f>
        <v>non</v>
      </c>
      <c r="DG398" s="333">
        <f t="shared" si="748"/>
        <v>1</v>
      </c>
      <c r="DH398" s="129">
        <f t="shared" si="726"/>
        <v>10</v>
      </c>
      <c r="DI398" s="129">
        <f t="shared" si="749"/>
        <v>1</v>
      </c>
      <c r="DK398" s="16">
        <f>+IF(AND(Septembre!$DP$8&lt;&gt;52,AR398=S.CAL!$BJ$4),10,1)</f>
        <v>1</v>
      </c>
      <c r="DN398" s="16">
        <f t="shared" si="727"/>
        <v>1</v>
      </c>
      <c r="DU398" s="1296" t="str">
        <f t="shared" si="750"/>
        <v>Fiche infoA645927</v>
      </c>
      <c r="DV398" s="1384">
        <f t="shared" si="728"/>
        <v>0</v>
      </c>
      <c r="DW398" s="1385">
        <f t="shared" si="729"/>
        <v>0</v>
      </c>
      <c r="DX398" s="1385">
        <f t="shared" si="730"/>
        <v>0</v>
      </c>
      <c r="DY398" s="1385">
        <f t="shared" si="731"/>
        <v>0</v>
      </c>
      <c r="DZ398" s="1385">
        <f t="shared" si="732"/>
        <v>0</v>
      </c>
      <c r="EA398" s="1385">
        <f t="shared" si="733"/>
        <v>0</v>
      </c>
      <c r="EB398" s="1385">
        <f t="shared" si="734"/>
        <v>0</v>
      </c>
      <c r="EC398" s="1385">
        <f t="shared" si="735"/>
        <v>0</v>
      </c>
      <c r="ED398" s="1385">
        <f t="shared" si="751"/>
        <v>0</v>
      </c>
      <c r="EE398" s="1386">
        <f t="shared" si="752"/>
        <v>0</v>
      </c>
      <c r="EG398" s="16" t="str">
        <f t="shared" si="753"/>
        <v>392025</v>
      </c>
      <c r="EH398" s="16" t="str">
        <f t="shared" si="736"/>
        <v>Fiche infoA6</v>
      </c>
      <c r="EI398" s="16" t="str">
        <f t="shared" si="737"/>
        <v/>
      </c>
    </row>
    <row r="399" spans="1:139" x14ac:dyDescent="0.2">
      <c r="A399" s="1395" t="str">
        <f>Septembre!BJ47</f>
        <v>Fiche infoA7</v>
      </c>
      <c r="B399" s="829">
        <f>Septembre!AB47</f>
        <v>45928</v>
      </c>
      <c r="C399" s="1394"/>
      <c r="D399" s="1001">
        <f t="shared" si="693"/>
        <v>0</v>
      </c>
      <c r="E399" s="452">
        <f t="shared" si="694"/>
        <v>0</v>
      </c>
      <c r="F399" s="452">
        <f t="shared" si="695"/>
        <v>0</v>
      </c>
      <c r="G399" s="452">
        <f t="shared" si="696"/>
        <v>0</v>
      </c>
      <c r="H399" s="452">
        <f t="shared" si="697"/>
        <v>0</v>
      </c>
      <c r="I399" s="452">
        <f t="shared" si="698"/>
        <v>0</v>
      </c>
      <c r="J399" s="452">
        <f t="shared" si="699"/>
        <v>0</v>
      </c>
      <c r="K399" s="452">
        <f t="shared" si="700"/>
        <v>0</v>
      </c>
      <c r="L399" s="452">
        <f t="shared" si="738"/>
        <v>0</v>
      </c>
      <c r="M399" s="1002">
        <f t="shared" si="739"/>
        <v>0</v>
      </c>
      <c r="N399" s="1396"/>
      <c r="O399" s="1001">
        <f t="shared" si="755"/>
        <v>0</v>
      </c>
      <c r="P399" s="452">
        <f t="shared" si="756"/>
        <v>0</v>
      </c>
      <c r="Q399" s="452">
        <f t="shared" si="757"/>
        <v>0</v>
      </c>
      <c r="R399" s="452">
        <f t="shared" si="758"/>
        <v>0</v>
      </c>
      <c r="S399" s="452">
        <f t="shared" si="759"/>
        <v>0</v>
      </c>
      <c r="T399" s="452">
        <f t="shared" si="760"/>
        <v>0</v>
      </c>
      <c r="U399" s="452">
        <f t="shared" si="761"/>
        <v>0</v>
      </c>
      <c r="V399" s="452">
        <f t="shared" si="762"/>
        <v>0</v>
      </c>
      <c r="W399" s="452">
        <f t="shared" si="709"/>
        <v>0</v>
      </c>
      <c r="X399" s="1002">
        <f t="shared" si="710"/>
        <v>0</v>
      </c>
      <c r="Y399" s="1397"/>
      <c r="Z399" s="1398">
        <f t="shared" si="711"/>
        <v>0</v>
      </c>
      <c r="AA399" s="1398">
        <f t="shared" si="712"/>
        <v>0</v>
      </c>
      <c r="AB399" s="1398">
        <f t="shared" si="713"/>
        <v>0</v>
      </c>
      <c r="AC399" s="1398">
        <f t="shared" si="714"/>
        <v>0</v>
      </c>
      <c r="AD399" s="1398">
        <f t="shared" si="715"/>
        <v>0</v>
      </c>
      <c r="AE399" s="1398">
        <f t="shared" si="716"/>
        <v>0</v>
      </c>
      <c r="AF399" s="1398">
        <f t="shared" si="717"/>
        <v>0</v>
      </c>
      <c r="AG399" s="1398">
        <f t="shared" si="718"/>
        <v>0</v>
      </c>
      <c r="AH399" s="1396"/>
      <c r="AI399" s="462">
        <f t="shared" si="763"/>
        <v>0</v>
      </c>
      <c r="AJ399" s="1112"/>
      <c r="AK399" s="1399"/>
      <c r="AL399" s="829">
        <f t="shared" si="720"/>
        <v>45928</v>
      </c>
      <c r="AM399" s="684">
        <f>IFERROR(IF(AND(AT399="",AR399&lt;&gt;S.CAL!$BJ$3,AR399&lt;&gt;S.CAL!$BJ$4,$AR$365="NON"),M399-BD399,IF(AND(AT399="",AR399&lt;&gt;S.CAL!$BJ$3,AR399&lt;&gt;S.CAL!$BJ$4,$AR$365="OUI"),X399-AI399,IF(AT399&lt;&gt;0,AT399,IF(OR(AR399=S.CAL!$BJ$3,AR399=S.CAL!$BJ$4),AR399,"")))),"")</f>
        <v>0</v>
      </c>
      <c r="AN399" s="1115"/>
      <c r="AO399" s="1116"/>
      <c r="AP399" s="684">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400">
        <f t="shared" si="740"/>
        <v>0</v>
      </c>
      <c r="AR399" s="1120"/>
      <c r="AS399" s="1396"/>
      <c r="AT399" s="1123"/>
      <c r="AU399" s="831"/>
      <c r="AV399" s="1392">
        <f t="shared" si="721"/>
        <v>45928</v>
      </c>
      <c r="AW399" s="1396"/>
      <c r="AX399" s="529">
        <f t="shared" si="741"/>
        <v>45928</v>
      </c>
      <c r="AY399" s="541">
        <f t="shared" si="742"/>
        <v>0</v>
      </c>
      <c r="AZ399" s="538" t="s">
        <v>146</v>
      </c>
      <c r="BA399" s="534">
        <f t="shared" si="743"/>
        <v>0</v>
      </c>
      <c r="BB399" s="567" t="str">
        <f t="shared" si="722"/>
        <v/>
      </c>
      <c r="BC399" s="541">
        <f t="shared" si="744"/>
        <v>0</v>
      </c>
      <c r="BD399" s="541">
        <f t="shared" si="745"/>
        <v>0</v>
      </c>
      <c r="BE399" s="1126"/>
      <c r="BF399" s="532" t="str">
        <f t="shared" si="723"/>
        <v/>
      </c>
      <c r="BG399" s="532" t="str">
        <f t="shared" si="746"/>
        <v>oui</v>
      </c>
      <c r="BH399" s="395" t="str">
        <f t="shared" si="724"/>
        <v/>
      </c>
      <c r="BI399" s="24" t="str">
        <f t="shared" si="725"/>
        <v/>
      </c>
      <c r="BJ399" s="1404"/>
      <c r="BK399" s="1404"/>
      <c r="BL399" s="1404"/>
      <c r="BM399" s="1404"/>
      <c r="BN399" s="1404"/>
      <c r="BO399" s="1404"/>
      <c r="BP399" s="1404"/>
      <c r="BQ399" s="1404"/>
      <c r="BR399" s="1405"/>
      <c r="BS399" s="1392">
        <f t="shared" si="692"/>
        <v>45928</v>
      </c>
      <c r="BT399" s="1406" t="str">
        <f t="shared" si="754"/>
        <v/>
      </c>
      <c r="BU399" s="1404"/>
      <c r="BV399" s="1404"/>
      <c r="BW399" s="1404"/>
      <c r="BX399" s="1404"/>
      <c r="BY399" s="1404"/>
      <c r="BZ399" s="1404"/>
      <c r="CA399" s="1404"/>
      <c r="CB399" s="1404"/>
      <c r="CD399" s="1408">
        <f t="shared" si="747"/>
        <v>0</v>
      </c>
      <c r="DC399" s="16" t="str">
        <f>Septembre!FC47</f>
        <v>non</v>
      </c>
      <c r="DG399" s="333">
        <f t="shared" si="748"/>
        <v>1</v>
      </c>
      <c r="DH399" s="129">
        <f t="shared" si="726"/>
        <v>10</v>
      </c>
      <c r="DI399" s="129">
        <f t="shared" si="749"/>
        <v>1</v>
      </c>
      <c r="DK399" s="16">
        <f>+IF(AND(Septembre!$DP$8&lt;&gt;52,AR399=S.CAL!$BJ$4),10,1)</f>
        <v>1</v>
      </c>
      <c r="DN399" s="16">
        <f t="shared" si="727"/>
        <v>1</v>
      </c>
      <c r="DU399" s="1296" t="str">
        <f t="shared" si="750"/>
        <v>Fiche infoA745928</v>
      </c>
      <c r="DV399" s="1384">
        <f t="shared" si="728"/>
        <v>0</v>
      </c>
      <c r="DW399" s="1385">
        <f t="shared" si="729"/>
        <v>0</v>
      </c>
      <c r="DX399" s="1385">
        <f t="shared" si="730"/>
        <v>0</v>
      </c>
      <c r="DY399" s="1385">
        <f t="shared" si="731"/>
        <v>0</v>
      </c>
      <c r="DZ399" s="1385">
        <f t="shared" si="732"/>
        <v>0</v>
      </c>
      <c r="EA399" s="1385">
        <f t="shared" si="733"/>
        <v>0</v>
      </c>
      <c r="EB399" s="1385">
        <f t="shared" si="734"/>
        <v>0</v>
      </c>
      <c r="EC399" s="1385">
        <f t="shared" si="735"/>
        <v>0</v>
      </c>
      <c r="ED399" s="1385">
        <f t="shared" si="751"/>
        <v>0</v>
      </c>
      <c r="EE399" s="1386">
        <f t="shared" si="752"/>
        <v>0</v>
      </c>
      <c r="EG399" s="16" t="str">
        <f t="shared" si="753"/>
        <v>392025</v>
      </c>
      <c r="EH399" s="16" t="str">
        <f t="shared" si="736"/>
        <v>Fiche infoA7</v>
      </c>
      <c r="EI399" s="16" t="str">
        <f t="shared" si="737"/>
        <v/>
      </c>
    </row>
    <row r="400" spans="1:139" x14ac:dyDescent="0.2">
      <c r="A400" s="24" t="str">
        <f>Septembre!BJ48</f>
        <v>Fiche infoA1</v>
      </c>
      <c r="B400" s="829">
        <f>Septembre!AB48</f>
        <v>45929</v>
      </c>
      <c r="C400" s="1393"/>
      <c r="D400" s="1001">
        <f t="shared" si="693"/>
        <v>0</v>
      </c>
      <c r="E400" s="452">
        <f t="shared" si="694"/>
        <v>0</v>
      </c>
      <c r="F400" s="452">
        <f t="shared" si="695"/>
        <v>0</v>
      </c>
      <c r="G400" s="452">
        <f t="shared" si="696"/>
        <v>0</v>
      </c>
      <c r="H400" s="452">
        <f t="shared" si="697"/>
        <v>0</v>
      </c>
      <c r="I400" s="452">
        <f t="shared" si="698"/>
        <v>0</v>
      </c>
      <c r="J400" s="452">
        <f t="shared" si="699"/>
        <v>0</v>
      </c>
      <c r="K400" s="452">
        <f t="shared" si="700"/>
        <v>0</v>
      </c>
      <c r="L400" s="452">
        <f t="shared" si="738"/>
        <v>0</v>
      </c>
      <c r="M400" s="1002">
        <f t="shared" si="739"/>
        <v>0</v>
      </c>
      <c r="O400" s="1001">
        <f t="shared" si="755"/>
        <v>0</v>
      </c>
      <c r="P400" s="452">
        <f t="shared" si="756"/>
        <v>0</v>
      </c>
      <c r="Q400" s="452">
        <f t="shared" si="757"/>
        <v>0</v>
      </c>
      <c r="R400" s="452">
        <f t="shared" si="758"/>
        <v>0</v>
      </c>
      <c r="S400" s="452">
        <f t="shared" si="759"/>
        <v>0</v>
      </c>
      <c r="T400" s="452">
        <f t="shared" si="760"/>
        <v>0</v>
      </c>
      <c r="U400" s="452">
        <f t="shared" si="761"/>
        <v>0</v>
      </c>
      <c r="V400" s="452">
        <f t="shared" si="762"/>
        <v>0</v>
      </c>
      <c r="W400" s="452">
        <f t="shared" si="709"/>
        <v>0</v>
      </c>
      <c r="X400" s="1002">
        <f t="shared" si="710"/>
        <v>0</v>
      </c>
      <c r="Y400" s="459"/>
      <c r="Z400" s="291">
        <f t="shared" si="711"/>
        <v>0</v>
      </c>
      <c r="AA400" s="291">
        <f t="shared" si="712"/>
        <v>0</v>
      </c>
      <c r="AB400" s="291">
        <f t="shared" si="713"/>
        <v>0</v>
      </c>
      <c r="AC400" s="291">
        <f t="shared" si="714"/>
        <v>0</v>
      </c>
      <c r="AD400" s="291">
        <f t="shared" si="715"/>
        <v>0</v>
      </c>
      <c r="AE400" s="291">
        <f t="shared" si="716"/>
        <v>0</v>
      </c>
      <c r="AF400" s="291">
        <f t="shared" si="717"/>
        <v>0</v>
      </c>
      <c r="AG400" s="291">
        <f t="shared" si="718"/>
        <v>0</v>
      </c>
      <c r="AI400" s="462">
        <f t="shared" si="763"/>
        <v>0</v>
      </c>
      <c r="AJ400" s="1112"/>
      <c r="AK400" s="507"/>
      <c r="AL400" s="829">
        <f t="shared" si="720"/>
        <v>45929</v>
      </c>
      <c r="AM400" s="684">
        <f>IFERROR(IF(AND(AT400="",AR400&lt;&gt;S.CAL!$BJ$3,AR400&lt;&gt;S.CAL!$BJ$4,$AR$365="NON"),M400-BD400,IF(AND(AT400="",AR400&lt;&gt;S.CAL!$BJ$3,AR400&lt;&gt;S.CAL!$BJ$4,$AR$365="OUI"),X400-AI400,IF(AT400&lt;&gt;0,AT400,IF(OR(AR400=S.CAL!$BJ$3,AR400=S.CAL!$BJ$4),AR400,"")))),"")</f>
        <v>0</v>
      </c>
      <c r="AN400" s="1115"/>
      <c r="AO400" s="1116"/>
      <c r="AP400" s="684">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516">
        <f t="shared" si="740"/>
        <v>0</v>
      </c>
      <c r="AR400" s="1120"/>
      <c r="AT400" s="1123"/>
      <c r="AU400" s="831"/>
      <c r="AV400" s="1392">
        <f t="shared" si="721"/>
        <v>45929</v>
      </c>
      <c r="AX400" s="529">
        <f t="shared" si="741"/>
        <v>45929</v>
      </c>
      <c r="AY400" s="541">
        <f t="shared" si="742"/>
        <v>0</v>
      </c>
      <c r="AZ400" s="538" t="s">
        <v>146</v>
      </c>
      <c r="BA400" s="534">
        <f t="shared" si="743"/>
        <v>0</v>
      </c>
      <c r="BB400" s="567" t="str">
        <f t="shared" si="722"/>
        <v/>
      </c>
      <c r="BC400" s="541">
        <f t="shared" si="744"/>
        <v>0</v>
      </c>
      <c r="BD400" s="541">
        <f t="shared" si="745"/>
        <v>0</v>
      </c>
      <c r="BE400" s="1126"/>
      <c r="BF400" s="532" t="str">
        <f t="shared" si="723"/>
        <v/>
      </c>
      <c r="BG400" s="532" t="str">
        <f t="shared" si="746"/>
        <v>oui</v>
      </c>
      <c r="BH400" s="395" t="str">
        <f t="shared" si="724"/>
        <v/>
      </c>
      <c r="BI400" s="24" t="str">
        <f t="shared" si="725"/>
        <v/>
      </c>
      <c r="BJ400" s="1403"/>
      <c r="BK400" s="1403"/>
      <c r="BL400" s="1403"/>
      <c r="BM400" s="1403"/>
      <c r="BN400" s="1403"/>
      <c r="BO400" s="1403"/>
      <c r="BP400" s="1403"/>
      <c r="BQ400" s="1403"/>
      <c r="BS400" s="1392">
        <f t="shared" si="692"/>
        <v>45929</v>
      </c>
      <c r="BT400" s="27">
        <f t="shared" si="754"/>
        <v>40</v>
      </c>
      <c r="BU400" s="1402"/>
      <c r="BV400" s="1402"/>
      <c r="BW400" s="1402"/>
      <c r="BX400" s="1402"/>
      <c r="BY400" s="1402"/>
      <c r="BZ400" s="1402"/>
      <c r="CA400" s="1402"/>
      <c r="CB400" s="1402"/>
      <c r="CD400" s="1408">
        <f t="shared" si="747"/>
        <v>0</v>
      </c>
      <c r="DC400" s="16" t="str">
        <f>Septembre!FC48</f>
        <v>non</v>
      </c>
      <c r="DG400" s="333">
        <f t="shared" si="748"/>
        <v>1</v>
      </c>
      <c r="DH400" s="129">
        <f t="shared" si="726"/>
        <v>10</v>
      </c>
      <c r="DI400" s="129">
        <f t="shared" si="749"/>
        <v>1</v>
      </c>
      <c r="DK400" s="16">
        <f>+IF(AND(Septembre!$DP$8&lt;&gt;52,AR400=S.CAL!$BJ$4),10,1)</f>
        <v>1</v>
      </c>
      <c r="DN400" s="16">
        <f t="shared" si="727"/>
        <v>1</v>
      </c>
      <c r="DU400" s="1296" t="str">
        <f t="shared" si="750"/>
        <v>Fiche infoA145929</v>
      </c>
      <c r="DV400" s="1384">
        <f t="shared" si="728"/>
        <v>0</v>
      </c>
      <c r="DW400" s="1385">
        <f t="shared" si="729"/>
        <v>0</v>
      </c>
      <c r="DX400" s="1385">
        <f t="shared" si="730"/>
        <v>0</v>
      </c>
      <c r="DY400" s="1385">
        <f t="shared" si="731"/>
        <v>0</v>
      </c>
      <c r="DZ400" s="1385">
        <f t="shared" si="732"/>
        <v>0</v>
      </c>
      <c r="EA400" s="1385">
        <f t="shared" si="733"/>
        <v>0</v>
      </c>
      <c r="EB400" s="1385">
        <f t="shared" si="734"/>
        <v>0</v>
      </c>
      <c r="EC400" s="1385">
        <f t="shared" si="735"/>
        <v>0</v>
      </c>
      <c r="ED400" s="1385">
        <f t="shared" si="751"/>
        <v>0</v>
      </c>
      <c r="EE400" s="1386">
        <f t="shared" si="752"/>
        <v>0</v>
      </c>
      <c r="EG400" s="16" t="str">
        <f t="shared" si="753"/>
        <v>402025</v>
      </c>
      <c r="EH400" s="16" t="str">
        <f t="shared" si="736"/>
        <v>Fiche infoA1</v>
      </c>
      <c r="EI400" s="16" t="str">
        <f t="shared" si="737"/>
        <v/>
      </c>
    </row>
    <row r="401" spans="1:145" x14ac:dyDescent="0.2">
      <c r="A401" s="1395" t="str">
        <f>Septembre!BJ49</f>
        <v>Fiche infoA2</v>
      </c>
      <c r="B401" s="829">
        <f>Septembre!AB49</f>
        <v>45930</v>
      </c>
      <c r="C401" s="1394"/>
      <c r="D401" s="1001">
        <f t="shared" si="693"/>
        <v>0</v>
      </c>
      <c r="E401" s="452">
        <f t="shared" si="694"/>
        <v>0</v>
      </c>
      <c r="F401" s="452">
        <f t="shared" si="695"/>
        <v>0</v>
      </c>
      <c r="G401" s="452">
        <f t="shared" si="696"/>
        <v>0</v>
      </c>
      <c r="H401" s="452">
        <f t="shared" si="697"/>
        <v>0</v>
      </c>
      <c r="I401" s="452">
        <f t="shared" si="698"/>
        <v>0</v>
      </c>
      <c r="J401" s="452">
        <f t="shared" si="699"/>
        <v>0</v>
      </c>
      <c r="K401" s="452">
        <f t="shared" si="700"/>
        <v>0</v>
      </c>
      <c r="L401" s="452">
        <f t="shared" si="738"/>
        <v>0</v>
      </c>
      <c r="M401" s="1002">
        <f t="shared" si="739"/>
        <v>0</v>
      </c>
      <c r="N401" s="1396"/>
      <c r="O401" s="1001">
        <f t="shared" si="755"/>
        <v>0</v>
      </c>
      <c r="P401" s="452">
        <f t="shared" si="756"/>
        <v>0</v>
      </c>
      <c r="Q401" s="452">
        <f t="shared" si="757"/>
        <v>0</v>
      </c>
      <c r="R401" s="452">
        <f t="shared" si="758"/>
        <v>0</v>
      </c>
      <c r="S401" s="452">
        <f t="shared" si="759"/>
        <v>0</v>
      </c>
      <c r="T401" s="452">
        <f t="shared" si="760"/>
        <v>0</v>
      </c>
      <c r="U401" s="452">
        <f t="shared" si="761"/>
        <v>0</v>
      </c>
      <c r="V401" s="452">
        <f t="shared" si="762"/>
        <v>0</v>
      </c>
      <c r="W401" s="452">
        <f t="shared" si="709"/>
        <v>0</v>
      </c>
      <c r="X401" s="1002">
        <f t="shared" si="710"/>
        <v>0</v>
      </c>
      <c r="Y401" s="1397"/>
      <c r="Z401" s="1398">
        <f t="shared" si="711"/>
        <v>0</v>
      </c>
      <c r="AA401" s="1398">
        <f t="shared" si="712"/>
        <v>0</v>
      </c>
      <c r="AB401" s="1398">
        <f t="shared" si="713"/>
        <v>0</v>
      </c>
      <c r="AC401" s="1398">
        <f t="shared" si="714"/>
        <v>0</v>
      </c>
      <c r="AD401" s="1398">
        <f t="shared" si="715"/>
        <v>0</v>
      </c>
      <c r="AE401" s="1398">
        <f t="shared" si="716"/>
        <v>0</v>
      </c>
      <c r="AF401" s="1398">
        <f t="shared" si="717"/>
        <v>0</v>
      </c>
      <c r="AG401" s="1398">
        <f t="shared" si="718"/>
        <v>0</v>
      </c>
      <c r="AH401" s="1396"/>
      <c r="AI401" s="462">
        <f t="shared" si="763"/>
        <v>0</v>
      </c>
      <c r="AJ401" s="1112"/>
      <c r="AK401" s="1399"/>
      <c r="AL401" s="829">
        <f t="shared" si="720"/>
        <v>45930</v>
      </c>
      <c r="AM401" s="684">
        <f>IFERROR(IF(AND(AT401="",AR401&lt;&gt;S.CAL!$BJ$3,AR401&lt;&gt;S.CAL!$BJ$4,$AR$365="NON"),M401-BD401,IF(AND(AT401="",AR401&lt;&gt;S.CAL!$BJ$3,AR401&lt;&gt;S.CAL!$BJ$4,$AR$365="OUI"),X401-AI401,IF(AT401&lt;&gt;0,AT401,IF(OR(AR401=S.CAL!$BJ$3,AR401=S.CAL!$BJ$4),AR401,"")))),"")</f>
        <v>0</v>
      </c>
      <c r="AN401" s="1115"/>
      <c r="AO401" s="1116"/>
      <c r="AP401" s="684">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400">
        <f t="shared" si="740"/>
        <v>0</v>
      </c>
      <c r="AR401" s="1120"/>
      <c r="AS401" s="1396"/>
      <c r="AT401" s="1123"/>
      <c r="AU401" s="831"/>
      <c r="AV401" s="1392">
        <f t="shared" si="721"/>
        <v>45930</v>
      </c>
      <c r="AW401" s="1396"/>
      <c r="AX401" s="529">
        <f t="shared" si="741"/>
        <v>45930</v>
      </c>
      <c r="AY401" s="541">
        <f t="shared" si="742"/>
        <v>0</v>
      </c>
      <c r="AZ401" s="538" t="s">
        <v>146</v>
      </c>
      <c r="BA401" s="534">
        <f t="shared" si="743"/>
        <v>0</v>
      </c>
      <c r="BB401" s="567" t="str">
        <f t="shared" si="722"/>
        <v/>
      </c>
      <c r="BC401" s="541">
        <f t="shared" si="744"/>
        <v>0</v>
      </c>
      <c r="BD401" s="541">
        <f t="shared" si="745"/>
        <v>0</v>
      </c>
      <c r="BE401" s="1126"/>
      <c r="BF401" s="532" t="str">
        <f t="shared" si="723"/>
        <v/>
      </c>
      <c r="BG401" s="532" t="str">
        <f t="shared" si="746"/>
        <v>oui</v>
      </c>
      <c r="BH401" s="395" t="str">
        <f t="shared" si="724"/>
        <v/>
      </c>
      <c r="BI401" s="24" t="str">
        <f t="shared" si="725"/>
        <v/>
      </c>
      <c r="BJ401" s="1404"/>
      <c r="BK401" s="1404"/>
      <c r="BL401" s="1404"/>
      <c r="BM401" s="1404"/>
      <c r="BN401" s="1404"/>
      <c r="BO401" s="1404"/>
      <c r="BP401" s="1404"/>
      <c r="BQ401" s="1404"/>
      <c r="BR401" s="1405"/>
      <c r="BS401" s="1392">
        <f t="shared" si="692"/>
        <v>45930</v>
      </c>
      <c r="BT401" s="1406" t="str">
        <f t="shared" si="754"/>
        <v/>
      </c>
      <c r="BU401" s="1404"/>
      <c r="BV401" s="1404"/>
      <c r="BW401" s="1404"/>
      <c r="BX401" s="1404"/>
      <c r="BY401" s="1404"/>
      <c r="BZ401" s="1404"/>
      <c r="CA401" s="1404"/>
      <c r="CB401" s="1404"/>
      <c r="CD401" s="1408">
        <f t="shared" si="747"/>
        <v>0</v>
      </c>
      <c r="DC401" s="16" t="str">
        <f>Septembre!FC49</f>
        <v>non</v>
      </c>
      <c r="DG401" s="333">
        <f t="shared" si="748"/>
        <v>1</v>
      </c>
      <c r="DH401" s="129">
        <f t="shared" si="726"/>
        <v>10</v>
      </c>
      <c r="DI401" s="129">
        <f t="shared" si="749"/>
        <v>1</v>
      </c>
      <c r="DK401" s="16">
        <f>+IF(AND(Septembre!$DP$8&lt;&gt;52,AR401=S.CAL!$BJ$4),10,1)</f>
        <v>1</v>
      </c>
      <c r="DN401" s="16">
        <f t="shared" si="727"/>
        <v>1</v>
      </c>
      <c r="DU401" s="1296" t="str">
        <f t="shared" si="750"/>
        <v>Fiche infoA245930</v>
      </c>
      <c r="DV401" s="1384">
        <f t="shared" si="728"/>
        <v>0</v>
      </c>
      <c r="DW401" s="1385">
        <f t="shared" si="729"/>
        <v>0</v>
      </c>
      <c r="DX401" s="1385">
        <f t="shared" si="730"/>
        <v>0</v>
      </c>
      <c r="DY401" s="1385">
        <f t="shared" si="731"/>
        <v>0</v>
      </c>
      <c r="DZ401" s="1385">
        <f t="shared" si="732"/>
        <v>0</v>
      </c>
      <c r="EA401" s="1385">
        <f t="shared" si="733"/>
        <v>0</v>
      </c>
      <c r="EB401" s="1385">
        <f t="shared" si="734"/>
        <v>0</v>
      </c>
      <c r="EC401" s="1385">
        <f t="shared" si="735"/>
        <v>0</v>
      </c>
      <c r="ED401" s="1385">
        <f t="shared" si="751"/>
        <v>0</v>
      </c>
      <c r="EE401" s="1386">
        <f t="shared" si="752"/>
        <v>0</v>
      </c>
      <c r="EG401" s="16" t="str">
        <f t="shared" si="753"/>
        <v>402025</v>
      </c>
      <c r="EH401" s="16" t="str">
        <f t="shared" si="736"/>
        <v>Fiche infoA2</v>
      </c>
      <c r="EI401" s="16" t="str">
        <f t="shared" si="737"/>
        <v/>
      </c>
    </row>
    <row r="402" spans="1:145" x14ac:dyDescent="0.2">
      <c r="A402" s="24" t="str">
        <f>Septembre!BJ50</f>
        <v>Fiche infoA0</v>
      </c>
      <c r="B402" s="830" t="str">
        <f>Septembre!AB50</f>
        <v/>
      </c>
      <c r="C402" s="1393"/>
      <c r="D402" s="1003">
        <f t="shared" si="693"/>
        <v>0</v>
      </c>
      <c r="E402" s="1004">
        <f t="shared" si="694"/>
        <v>0</v>
      </c>
      <c r="F402" s="1004">
        <f t="shared" si="695"/>
        <v>0</v>
      </c>
      <c r="G402" s="1004">
        <f t="shared" si="696"/>
        <v>0</v>
      </c>
      <c r="H402" s="1004">
        <f t="shared" si="697"/>
        <v>0</v>
      </c>
      <c r="I402" s="1004">
        <f t="shared" si="698"/>
        <v>0</v>
      </c>
      <c r="J402" s="1004">
        <f t="shared" si="699"/>
        <v>0</v>
      </c>
      <c r="K402" s="1004">
        <f t="shared" si="700"/>
        <v>0</v>
      </c>
      <c r="L402" s="1004">
        <f t="shared" si="738"/>
        <v>0</v>
      </c>
      <c r="M402" s="1005">
        <f t="shared" si="739"/>
        <v>0</v>
      </c>
      <c r="O402" s="1003">
        <f t="shared" si="755"/>
        <v>0</v>
      </c>
      <c r="P402" s="1004">
        <f t="shared" si="756"/>
        <v>0</v>
      </c>
      <c r="Q402" s="1004">
        <f t="shared" si="757"/>
        <v>0</v>
      </c>
      <c r="R402" s="1004">
        <f t="shared" si="758"/>
        <v>0</v>
      </c>
      <c r="S402" s="1004">
        <f t="shared" si="759"/>
        <v>0</v>
      </c>
      <c r="T402" s="1004">
        <f t="shared" si="760"/>
        <v>0</v>
      </c>
      <c r="U402" s="1004">
        <f t="shared" si="761"/>
        <v>0</v>
      </c>
      <c r="V402" s="1004">
        <f t="shared" si="762"/>
        <v>0</v>
      </c>
      <c r="W402" s="1004">
        <f t="shared" si="709"/>
        <v>0</v>
      </c>
      <c r="X402" s="1005">
        <f t="shared" si="710"/>
        <v>0</v>
      </c>
      <c r="Y402" s="459"/>
      <c r="Z402" s="291">
        <f t="shared" si="711"/>
        <v>0</v>
      </c>
      <c r="AA402" s="291">
        <f t="shared" si="712"/>
        <v>0</v>
      </c>
      <c r="AB402" s="291">
        <f t="shared" si="713"/>
        <v>0</v>
      </c>
      <c r="AC402" s="291">
        <f t="shared" si="714"/>
        <v>0</v>
      </c>
      <c r="AD402" s="291">
        <f t="shared" si="715"/>
        <v>0</v>
      </c>
      <c r="AE402" s="291">
        <f t="shared" si="716"/>
        <v>0</v>
      </c>
      <c r="AF402" s="291">
        <f t="shared" si="717"/>
        <v>0</v>
      </c>
      <c r="AG402" s="291">
        <f t="shared" si="718"/>
        <v>0</v>
      </c>
      <c r="AI402" s="462">
        <f t="shared" si="763"/>
        <v>0</v>
      </c>
      <c r="AJ402" s="1112"/>
      <c r="AK402" s="507"/>
      <c r="AL402" s="830" t="str">
        <f t="shared" si="720"/>
        <v/>
      </c>
      <c r="AM402" s="517">
        <f>IFERROR(IF(AND(AT402="",AR402&lt;&gt;S.CAL!$BJ$3,AR402&lt;&gt;S.CAL!$BJ$4,$AR$365="NON"),M402-BD402,IF(AND(AT402="",AR402&lt;&gt;S.CAL!$BJ$3,AR402&lt;&gt;S.CAL!$BJ$4,$AR$365="OUI"),X402-AI402,IF(AT402&lt;&gt;0,AT402,IF(OR(AR402=S.CAL!$BJ$3,AR402=S.CAL!$BJ$4),AR402,"")))),"")</f>
        <v>0</v>
      </c>
      <c r="AN402" s="1117"/>
      <c r="AO402" s="1118"/>
      <c r="AP402" s="517">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516">
        <f t="shared" si="740"/>
        <v>0</v>
      </c>
      <c r="AR402" s="1129"/>
      <c r="AT402" s="997"/>
      <c r="AU402" s="832"/>
      <c r="AV402" s="830" t="str">
        <f t="shared" si="721"/>
        <v/>
      </c>
      <c r="AX402" s="529" t="str">
        <f t="shared" si="741"/>
        <v/>
      </c>
      <c r="AY402" s="542">
        <f t="shared" si="742"/>
        <v>0</v>
      </c>
      <c r="AZ402" s="539" t="s">
        <v>146</v>
      </c>
      <c r="BA402" s="552">
        <f t="shared" si="743"/>
        <v>0</v>
      </c>
      <c r="BB402" s="540" t="str">
        <f t="shared" si="722"/>
        <v/>
      </c>
      <c r="BC402" s="542">
        <f t="shared" si="744"/>
        <v>0</v>
      </c>
      <c r="BD402" s="542">
        <f t="shared" si="745"/>
        <v>0</v>
      </c>
      <c r="BE402" s="509"/>
      <c r="BF402" s="532" t="str">
        <f t="shared" si="723"/>
        <v/>
      </c>
      <c r="BG402" s="532" t="str">
        <f t="shared" si="746"/>
        <v>oui</v>
      </c>
      <c r="BH402" s="395" t="str">
        <f t="shared" si="724"/>
        <v/>
      </c>
      <c r="BI402" s="24" t="str">
        <f t="shared" si="725"/>
        <v/>
      </c>
      <c r="BJ402" s="1403"/>
      <c r="BK402" s="1403"/>
      <c r="BL402" s="1403"/>
      <c r="BM402" s="1403"/>
      <c r="BN402" s="1403"/>
      <c r="BO402" s="1403"/>
      <c r="BP402" s="1403"/>
      <c r="BQ402" s="1403"/>
      <c r="BS402" s="830" t="str">
        <f t="shared" si="692"/>
        <v/>
      </c>
      <c r="BT402" s="27" t="str">
        <f t="shared" si="754"/>
        <v/>
      </c>
      <c r="BU402" s="1402"/>
      <c r="BV402" s="1402"/>
      <c r="BW402" s="1402"/>
      <c r="BX402" s="1402"/>
      <c r="BY402" s="1402"/>
      <c r="BZ402" s="1402"/>
      <c r="CA402" s="1402"/>
      <c r="CB402" s="1402"/>
      <c r="CD402" s="1409">
        <f t="shared" si="747"/>
        <v>0</v>
      </c>
      <c r="DC402" s="16" t="str">
        <f>Septembre!FC50</f>
        <v/>
      </c>
      <c r="DG402" s="333">
        <f t="shared" si="748"/>
        <v>1</v>
      </c>
      <c r="DH402" s="129">
        <f t="shared" si="726"/>
        <v>10</v>
      </c>
      <c r="DI402" s="129">
        <f t="shared" si="749"/>
        <v>1</v>
      </c>
      <c r="DK402" s="16">
        <f>+IF(AND(Septembre!$DP$8&lt;&gt;52,AR402=S.CAL!$BJ$4),10,1)</f>
        <v>1</v>
      </c>
      <c r="DN402" s="16">
        <f t="shared" si="727"/>
        <v>1</v>
      </c>
      <c r="DU402" s="1296" t="str">
        <f t="shared" si="750"/>
        <v>Fiche infoA0</v>
      </c>
      <c r="DV402" s="1384">
        <f t="shared" si="728"/>
        <v>0</v>
      </c>
      <c r="DW402" s="1385">
        <f t="shared" si="729"/>
        <v>0</v>
      </c>
      <c r="DX402" s="1385">
        <f t="shared" si="730"/>
        <v>0</v>
      </c>
      <c r="DY402" s="1385">
        <f t="shared" si="731"/>
        <v>0</v>
      </c>
      <c r="DZ402" s="1385">
        <f t="shared" si="732"/>
        <v>0</v>
      </c>
      <c r="EA402" s="1385">
        <f t="shared" si="733"/>
        <v>0</v>
      </c>
      <c r="EB402" s="1385">
        <f t="shared" si="734"/>
        <v>0</v>
      </c>
      <c r="EC402" s="1385">
        <f t="shared" si="735"/>
        <v>0</v>
      </c>
      <c r="ED402" s="1385">
        <f t="shared" si="751"/>
        <v>0</v>
      </c>
      <c r="EE402" s="1386">
        <f t="shared" si="752"/>
        <v>0</v>
      </c>
      <c r="EG402" s="16" t="e">
        <f t="shared" si="753"/>
        <v>#VALUE!</v>
      </c>
      <c r="EH402" s="16" t="str">
        <f t="shared" si="736"/>
        <v>Fiche infoA0</v>
      </c>
      <c r="EI402" s="16" t="e">
        <f t="shared" si="737"/>
        <v>#N/A</v>
      </c>
    </row>
    <row r="403" spans="1:145" x14ac:dyDescent="0.2">
      <c r="AM403" s="554">
        <f>SUM(AM372:AM402)</f>
        <v>0</v>
      </c>
      <c r="AN403" s="518">
        <f>SUM(AN372:AN402)</f>
        <v>0</v>
      </c>
      <c r="AO403" s="518">
        <f>SUM(AO372:AO402)</f>
        <v>0</v>
      </c>
      <c r="AP403" s="519">
        <f>SUM(AP372:AP402)</f>
        <v>0</v>
      </c>
      <c r="BD403" s="555">
        <f>SUM(BD372:BD402)</f>
        <v>0</v>
      </c>
      <c r="EE403" s="1386"/>
    </row>
    <row r="404" spans="1:145" x14ac:dyDescent="0.2">
      <c r="X404" s="29" t="s">
        <v>450</v>
      </c>
      <c r="Y404" s="29"/>
      <c r="Z404" s="29"/>
      <c r="AA404" s="29"/>
      <c r="AB404" s="29"/>
      <c r="AC404" s="29"/>
      <c r="AD404" s="29"/>
      <c r="AE404" s="29"/>
      <c r="AF404" s="29"/>
      <c r="AG404" s="29"/>
      <c r="AI404" s="463">
        <f>SUM(AI372:AI402)</f>
        <v>0</v>
      </c>
      <c r="AJ404" s="19"/>
      <c r="AK404" s="19"/>
      <c r="AL404" s="19"/>
      <c r="AM404" s="19"/>
      <c r="AN404" s="19"/>
      <c r="AO404" s="19"/>
      <c r="AP404" s="19"/>
      <c r="AQ404" s="512"/>
    </row>
    <row r="406" spans="1:145" ht="23.25" x14ac:dyDescent="0.35">
      <c r="B406" s="453" t="s">
        <v>806</v>
      </c>
      <c r="C406" s="453"/>
      <c r="D406" s="453"/>
      <c r="BS406" s="19" t="s">
        <v>1552</v>
      </c>
      <c r="EK406" s="16" t="str">
        <f>+EG416</f>
        <v>numero sem</v>
      </c>
      <c r="EL406" s="27" t="s">
        <v>1546</v>
      </c>
      <c r="EM406" s="27" t="s">
        <v>1547</v>
      </c>
      <c r="EN406" s="16" t="s">
        <v>1548</v>
      </c>
    </row>
    <row r="407" spans="1:145" ht="13.5" thickBot="1" x14ac:dyDescent="0.25">
      <c r="AR407" s="1713" t="s">
        <v>1003</v>
      </c>
      <c r="AS407" s="1714"/>
      <c r="AT407" s="1715"/>
      <c r="BT407" s="29" t="s">
        <v>1555</v>
      </c>
      <c r="BU407" s="27" t="str">
        <f>+IFERROR(EJ407,"")</f>
        <v>40</v>
      </c>
      <c r="BV407" s="53" t="str">
        <f>IF(BU407="","",+EN407)</f>
        <v>non</v>
      </c>
      <c r="BW407" s="1711" t="str">
        <f>+IF(BV407="oui", "Ecart "&amp;EO407&amp;" hrs","")</f>
        <v/>
      </c>
      <c r="BX407" s="1711"/>
      <c r="EJ407" s="16" t="str">
        <f>LEFT(EK407,LEN(EK407)-4)</f>
        <v>40</v>
      </c>
      <c r="EK407" s="16" t="str" cm="1">
        <f t="array" ref="EK407">IFERROR(INDEX(EG417:EG447,MATCH(0,INDEX(COUNTIF(EK406:EK406,EG417:EG447),0,0),0)),"")</f>
        <v>402025</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805</v>
      </c>
      <c r="D408" s="1710">
        <f>+Identification!$B$7</f>
        <v>0</v>
      </c>
      <c r="E408" s="1710"/>
      <c r="F408" s="1710"/>
      <c r="G408" s="1710"/>
      <c r="O408" s="454" t="s">
        <v>84</v>
      </c>
      <c r="P408" s="32"/>
      <c r="Q408" s="33"/>
      <c r="R408" s="454" t="s">
        <v>149</v>
      </c>
      <c r="S408" s="32"/>
      <c r="T408" s="32"/>
      <c r="U408" s="32"/>
      <c r="V408" s="32"/>
      <c r="W408" s="32"/>
      <c r="X408" s="33"/>
      <c r="AR408" s="1716"/>
      <c r="AS408" s="1717"/>
      <c r="AT408" s="1718"/>
      <c r="BU408" s="27" t="str">
        <f t="shared" ref="BU408:BU412" si="765">+IFERROR(EJ408,"")</f>
        <v>41</v>
      </c>
      <c r="BV408" s="53" t="str">
        <f t="shared" ref="BV408:BV412" si="766">IF(BU408="","",+EN408)</f>
        <v>non</v>
      </c>
      <c r="BW408" s="1711" t="str">
        <f t="shared" ref="BW408:BW412" si="767">+IF(BV408="oui", "Ecart "&amp;EO408&amp;" hrs","")</f>
        <v/>
      </c>
      <c r="BX408" s="1711"/>
      <c r="EJ408" s="16" t="str">
        <f t="shared" ref="EJ408:EJ413" si="768">LEFT(EK408,LEN(EK408)-4)</f>
        <v>41</v>
      </c>
      <c r="EK408" s="16" t="str" cm="1">
        <f t="array" ref="EK408">IFERROR(INDEX(EG417:EG447,MATCH(0,INDEX(COUNTIF(EK406:EK407,EG417:EG447),0,0),0)),"")</f>
        <v>412025</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21"/>
      <c r="S409" s="1722"/>
      <c r="T409" s="1722"/>
      <c r="U409" s="1722"/>
      <c r="V409" s="1722"/>
      <c r="W409" s="1722"/>
      <c r="X409" s="1723"/>
      <c r="Y409" s="460"/>
      <c r="Z409" s="460"/>
      <c r="AA409" s="460"/>
      <c r="AB409" s="460"/>
      <c r="AC409" s="460"/>
      <c r="AD409" s="460"/>
      <c r="AE409" s="460"/>
      <c r="AF409" s="460"/>
      <c r="AG409" s="460"/>
      <c r="AR409" s="1716"/>
      <c r="AS409" s="1717"/>
      <c r="AT409" s="1718"/>
      <c r="BU409" s="27" t="str">
        <f t="shared" si="765"/>
        <v>42</v>
      </c>
      <c r="BV409" s="53" t="str">
        <f t="shared" si="766"/>
        <v>non</v>
      </c>
      <c r="BW409" s="1711" t="str">
        <f t="shared" si="767"/>
        <v/>
      </c>
      <c r="BX409" s="1711"/>
      <c r="EJ409" s="16" t="str">
        <f t="shared" si="768"/>
        <v>42</v>
      </c>
      <c r="EK409" s="16" t="str">
        <f t="array" ref="EK409">IFERROR(INDEX(EG417:EG447,MATCH(0,INDEX(COUNTIF(EK406:EK408,EG417:EG447),0,0),0)),"")</f>
        <v>422025</v>
      </c>
      <c r="EL409" s="27">
        <f t="shared" si="769"/>
        <v>0</v>
      </c>
      <c r="EM409" s="27">
        <f t="shared" si="770"/>
        <v>0</v>
      </c>
      <c r="EN409" s="16" t="str">
        <f t="shared" si="764"/>
        <v>non</v>
      </c>
      <c r="EO409" s="16">
        <f t="shared" si="771"/>
        <v>0</v>
      </c>
    </row>
    <row r="410" spans="1:145" x14ac:dyDescent="0.2">
      <c r="C410" s="39" t="s">
        <v>29</v>
      </c>
      <c r="D410" s="1710">
        <f>+Identification!$B$25</f>
        <v>0</v>
      </c>
      <c r="E410" s="1710"/>
      <c r="O410" s="35"/>
      <c r="Q410" s="36"/>
      <c r="R410" s="1721"/>
      <c r="S410" s="1722"/>
      <c r="T410" s="1722"/>
      <c r="U410" s="1722"/>
      <c r="V410" s="1722"/>
      <c r="W410" s="1722"/>
      <c r="X410" s="1723"/>
      <c r="Y410" s="460"/>
      <c r="Z410" s="460"/>
      <c r="AA410" s="460"/>
      <c r="AB410" s="460"/>
      <c r="AC410" s="460"/>
      <c r="AD410" s="460"/>
      <c r="AE410" s="460"/>
      <c r="AF410" s="460"/>
      <c r="AG410" s="460"/>
      <c r="AL410" s="16" t="str">
        <f t="shared" ref="AL410" si="772">C413</f>
        <v>Mois :</v>
      </c>
      <c r="AM410" s="1712">
        <f t="shared" ref="AM410" si="773">D413</f>
        <v>45931</v>
      </c>
      <c r="AN410" s="1712">
        <f t="shared" ref="AN410" si="774">E413</f>
        <v>0</v>
      </c>
      <c r="AR410" s="557" t="str">
        <f>IF(AT410="",AR365,AT410)</f>
        <v>NON</v>
      </c>
      <c r="AS410" s="556" t="s">
        <v>503</v>
      </c>
      <c r="AT410" s="1105"/>
      <c r="BJ410" s="16" t="str">
        <f t="shared" ref="BJ410" si="775">AL410</f>
        <v>Mois :</v>
      </c>
      <c r="BK410" s="1712">
        <f t="shared" ref="BK410" si="776">AM410</f>
        <v>45931</v>
      </c>
      <c r="BL410" s="1712"/>
      <c r="BU410" s="27" t="str">
        <f t="shared" si="765"/>
        <v>43</v>
      </c>
      <c r="BV410" s="53" t="str">
        <f t="shared" si="766"/>
        <v>non</v>
      </c>
      <c r="BW410" s="1711" t="str">
        <f t="shared" si="767"/>
        <v/>
      </c>
      <c r="BX410" s="1711"/>
      <c r="EJ410" s="16" t="str">
        <f t="shared" si="768"/>
        <v>43</v>
      </c>
      <c r="EK410" s="16" t="str">
        <f t="array" ref="EK410">IFERROR(INDEX(EG417:EG447,MATCH(0,INDEX(COUNTIF(EK406:EK409,EG417:EG447),0,0),0)),"")</f>
        <v>432025</v>
      </c>
      <c r="EL410" s="27">
        <f t="shared" si="769"/>
        <v>0</v>
      </c>
      <c r="EM410" s="27">
        <f t="shared" si="770"/>
        <v>0</v>
      </c>
      <c r="EN410" s="16" t="str">
        <f t="shared" si="764"/>
        <v>non</v>
      </c>
      <c r="EO410" s="16">
        <f t="shared" si="771"/>
        <v>0</v>
      </c>
    </row>
    <row r="411" spans="1:145" ht="13.5" thickBot="1" x14ac:dyDescent="0.25">
      <c r="O411" s="42"/>
      <c r="P411" s="43"/>
      <c r="Q411" s="44"/>
      <c r="R411" s="1724"/>
      <c r="S411" s="1725"/>
      <c r="T411" s="1725"/>
      <c r="U411" s="1725"/>
      <c r="V411" s="1725"/>
      <c r="W411" s="1725"/>
      <c r="X411" s="1726"/>
      <c r="Y411" s="460"/>
      <c r="Z411" s="460"/>
      <c r="AA411" s="460"/>
      <c r="AB411" s="460"/>
      <c r="AC411" s="460"/>
      <c r="AD411" s="460"/>
      <c r="AE411" s="460"/>
      <c r="AF411" s="460"/>
      <c r="AG411" s="460"/>
      <c r="BU411" s="27" t="str">
        <f t="shared" si="765"/>
        <v>44</v>
      </c>
      <c r="BV411" s="53" t="str">
        <f t="shared" si="766"/>
        <v>non</v>
      </c>
      <c r="BW411" s="1711" t="str">
        <f t="shared" si="767"/>
        <v/>
      </c>
      <c r="BX411" s="1711"/>
      <c r="EJ411" s="16" t="str">
        <f t="shared" si="768"/>
        <v>44</v>
      </c>
      <c r="EK411" s="16" t="str">
        <f t="array" ref="EK411">IFERROR(INDEX(EG417:EG447,MATCH(0,INDEX(COUNTIF(EK406:EK410,EG417:EG447),0,0),0)),"")</f>
        <v>442025</v>
      </c>
      <c r="EL411" s="27">
        <f t="shared" si="769"/>
        <v>0</v>
      </c>
      <c r="EM411" s="27">
        <f t="shared" si="770"/>
        <v>0</v>
      </c>
      <c r="EN411" s="16" t="str">
        <f t="shared" si="764"/>
        <v>non</v>
      </c>
      <c r="EO411" s="16">
        <f t="shared" si="771"/>
        <v>0</v>
      </c>
    </row>
    <row r="412" spans="1:145" ht="13.5" thickTop="1" x14ac:dyDescent="0.2">
      <c r="AI412" s="553" t="s">
        <v>1000</v>
      </c>
      <c r="BU412" s="27" t="str">
        <f t="shared" si="765"/>
        <v/>
      </c>
      <c r="BV412" s="53" t="str">
        <f t="shared" si="766"/>
        <v/>
      </c>
      <c r="BW412" s="1711" t="str">
        <f t="shared" si="767"/>
        <v/>
      </c>
      <c r="BX412" s="1711"/>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32</v>
      </c>
      <c r="D413" s="1712">
        <f>+Octobre!X3</f>
        <v>45931</v>
      </c>
      <c r="E413" s="1712"/>
      <c r="F413" s="39" t="s">
        <v>12</v>
      </c>
      <c r="G413" s="63">
        <f>+Octobre!X4</f>
        <v>2025</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20" t="s">
        <v>974</v>
      </c>
      <c r="AM414" s="1720"/>
      <c r="AN414" s="1720"/>
      <c r="AO414" s="1720"/>
      <c r="AP414" s="1720"/>
      <c r="AQ414" s="510"/>
      <c r="AT414" s="1719" t="s">
        <v>761</v>
      </c>
      <c r="AU414" s="1719"/>
      <c r="AV414" s="1719"/>
      <c r="AW414" s="63"/>
      <c r="AX414" s="63"/>
      <c r="AY414" s="535" t="s">
        <v>989</v>
      </c>
      <c r="AZ414" s="536"/>
      <c r="BA414" s="536"/>
      <c r="BB414" s="536"/>
      <c r="BC414" s="537"/>
      <c r="BD414" s="537"/>
      <c r="BE414" s="537"/>
      <c r="BF414" s="530"/>
      <c r="BG414" s="530"/>
      <c r="BJ414" s="455"/>
      <c r="BK414" s="455"/>
      <c r="BL414" s="455"/>
      <c r="BM414" s="455"/>
      <c r="BN414" s="455"/>
      <c r="BO414" s="455"/>
      <c r="BP414" s="455"/>
      <c r="BQ414" s="455"/>
      <c r="BU414" s="456"/>
      <c r="BV414" s="456"/>
      <c r="BW414" s="456"/>
      <c r="BX414" s="456"/>
      <c r="BY414" s="456"/>
      <c r="BZ414" s="456"/>
      <c r="CA414" s="456"/>
      <c r="CB414" s="456"/>
    </row>
    <row r="415" spans="1:145" ht="15" customHeight="1" x14ac:dyDescent="0.2">
      <c r="D415" s="457" t="s">
        <v>803</v>
      </c>
      <c r="E415" s="456"/>
      <c r="F415" s="456"/>
      <c r="G415" s="456"/>
      <c r="H415" s="456"/>
      <c r="I415" s="456"/>
      <c r="J415" s="456"/>
      <c r="K415" s="456"/>
      <c r="L415" s="456"/>
      <c r="M415" s="456"/>
      <c r="O415" s="458" t="s">
        <v>802</v>
      </c>
      <c r="P415" s="455"/>
      <c r="Q415" s="455"/>
      <c r="R415" s="455"/>
      <c r="S415" s="455"/>
      <c r="T415" s="455"/>
      <c r="U415" s="455"/>
      <c r="V415" s="455"/>
      <c r="W415" s="455"/>
      <c r="X415" s="455"/>
      <c r="BJ415" s="1109" t="s">
        <v>804</v>
      </c>
      <c r="BK415" s="1110"/>
      <c r="BL415" s="1110"/>
      <c r="BM415" s="1110"/>
      <c r="BN415" s="1110"/>
      <c r="BO415" s="1110"/>
      <c r="BP415" s="1110"/>
      <c r="BQ415" s="1110"/>
      <c r="BU415" s="1109" t="s">
        <v>1394</v>
      </c>
      <c r="BV415" s="1110"/>
      <c r="BW415" s="1110"/>
      <c r="BX415" s="1110"/>
      <c r="BY415" s="1110"/>
      <c r="BZ415" s="1110"/>
      <c r="CA415" s="1110"/>
      <c r="CB415" s="1110"/>
      <c r="DG415" s="333" t="s">
        <v>1349</v>
      </c>
      <c r="DH415" s="129"/>
      <c r="DI415" s="129"/>
      <c r="DK415" s="129" t="s">
        <v>1354</v>
      </c>
      <c r="DN415" s="16" t="s">
        <v>1357</v>
      </c>
      <c r="DV415" s="843" t="s">
        <v>1549</v>
      </c>
      <c r="DW415" s="843"/>
      <c r="DX415" s="843"/>
      <c r="DY415" s="843"/>
      <c r="DZ415" s="843"/>
      <c r="EA415" s="843"/>
      <c r="EB415" s="843"/>
      <c r="EC415" s="843"/>
      <c r="ED415" s="843"/>
      <c r="EE415" s="843"/>
    </row>
    <row r="416" spans="1:145" ht="56.25" customHeight="1" x14ac:dyDescent="0.2">
      <c r="A416" s="24" t="s">
        <v>801</v>
      </c>
      <c r="B416" s="450" t="s">
        <v>16</v>
      </c>
      <c r="C416" s="451"/>
      <c r="D416" s="450" t="s">
        <v>228</v>
      </c>
      <c r="E416" s="450" t="s">
        <v>229</v>
      </c>
      <c r="F416" s="450" t="s">
        <v>230</v>
      </c>
      <c r="G416" s="450" t="s">
        <v>231</v>
      </c>
      <c r="H416" s="450" t="s">
        <v>533</v>
      </c>
      <c r="I416" s="450" t="s">
        <v>534</v>
      </c>
      <c r="J416" s="450" t="s">
        <v>535</v>
      </c>
      <c r="K416" s="450" t="s">
        <v>536</v>
      </c>
      <c r="L416" s="450" t="s">
        <v>191</v>
      </c>
      <c r="M416" s="450" t="s">
        <v>192</v>
      </c>
      <c r="N416" s="451"/>
      <c r="O416" s="450" t="s">
        <v>228</v>
      </c>
      <c r="P416" s="450" t="s">
        <v>229</v>
      </c>
      <c r="Q416" s="450" t="s">
        <v>230</v>
      </c>
      <c r="R416" s="450" t="s">
        <v>231</v>
      </c>
      <c r="S416" s="450" t="s">
        <v>533</v>
      </c>
      <c r="T416" s="450" t="s">
        <v>534</v>
      </c>
      <c r="U416" s="450" t="s">
        <v>535</v>
      </c>
      <c r="V416" s="450" t="s">
        <v>536</v>
      </c>
      <c r="W416" s="450" t="s">
        <v>191</v>
      </c>
      <c r="X416" s="450" t="s">
        <v>192</v>
      </c>
      <c r="Y416" s="451"/>
      <c r="Z416" s="450" t="s">
        <v>808</v>
      </c>
      <c r="AA416" s="450" t="s">
        <v>809</v>
      </c>
      <c r="AB416" s="450" t="s">
        <v>810</v>
      </c>
      <c r="AC416" s="450" t="s">
        <v>811</v>
      </c>
      <c r="AD416" s="450" t="s">
        <v>812</v>
      </c>
      <c r="AE416" s="450" t="s">
        <v>813</v>
      </c>
      <c r="AF416" s="450" t="s">
        <v>814</v>
      </c>
      <c r="AG416" s="450" t="s">
        <v>815</v>
      </c>
      <c r="AI416" s="450" t="s">
        <v>816</v>
      </c>
      <c r="AJ416" s="450" t="s">
        <v>807</v>
      </c>
      <c r="AK416" s="451"/>
      <c r="AL416" s="513" t="s">
        <v>16</v>
      </c>
      <c r="AM416" s="548" t="s">
        <v>1017</v>
      </c>
      <c r="AN416" s="1106" t="s">
        <v>972</v>
      </c>
      <c r="AO416" s="1107" t="s">
        <v>973</v>
      </c>
      <c r="AP416" s="514" t="s">
        <v>1018</v>
      </c>
      <c r="AQ416" s="511"/>
      <c r="AR416" s="1108" t="s">
        <v>696</v>
      </c>
      <c r="AT416" s="1108" t="s">
        <v>1356</v>
      </c>
      <c r="AU416" s="1107" t="s">
        <v>1019</v>
      </c>
      <c r="AV416" s="450" t="s">
        <v>16</v>
      </c>
      <c r="AW416" s="451"/>
      <c r="AX416" s="451"/>
      <c r="AY416" s="547" t="s">
        <v>986</v>
      </c>
      <c r="AZ416" s="548" t="s">
        <v>992</v>
      </c>
      <c r="BA416" s="531" t="s">
        <v>990</v>
      </c>
      <c r="BB416" s="568" t="s">
        <v>991</v>
      </c>
      <c r="BC416" s="569" t="s">
        <v>1021</v>
      </c>
      <c r="BD416" s="568" t="s">
        <v>993</v>
      </c>
      <c r="BE416" s="570" t="s">
        <v>1020</v>
      </c>
      <c r="BF416" s="531" t="s">
        <v>994</v>
      </c>
      <c r="BG416" s="531" t="s">
        <v>999</v>
      </c>
      <c r="BI416" s="24" t="s">
        <v>1027</v>
      </c>
      <c r="BJ416" s="450" t="s">
        <v>228</v>
      </c>
      <c r="BK416" s="450" t="s">
        <v>229</v>
      </c>
      <c r="BL416" s="450" t="s">
        <v>230</v>
      </c>
      <c r="BM416" s="450" t="s">
        <v>231</v>
      </c>
      <c r="BN416" s="450" t="s">
        <v>533</v>
      </c>
      <c r="BO416" s="450" t="s">
        <v>534</v>
      </c>
      <c r="BP416" s="450" t="s">
        <v>535</v>
      </c>
      <c r="BQ416" s="450" t="s">
        <v>536</v>
      </c>
      <c r="BS416" s="1383" t="str">
        <f t="shared" ref="BS416:BS447" si="777">AV416</f>
        <v>Jours</v>
      </c>
      <c r="BU416" s="450" t="s">
        <v>228</v>
      </c>
      <c r="BV416" s="450" t="s">
        <v>229</v>
      </c>
      <c r="BW416" s="450" t="s">
        <v>230</v>
      </c>
      <c r="BX416" s="450" t="s">
        <v>231</v>
      </c>
      <c r="BY416" s="450" t="s">
        <v>533</v>
      </c>
      <c r="BZ416" s="450" t="s">
        <v>534</v>
      </c>
      <c r="CA416" s="450" t="s">
        <v>535</v>
      </c>
      <c r="CB416" s="450" t="s">
        <v>536</v>
      </c>
      <c r="CD416" s="1383" t="s">
        <v>1554</v>
      </c>
      <c r="CS416" s="506"/>
      <c r="CT416" s="506"/>
      <c r="CU416" s="506"/>
      <c r="CV416" s="506"/>
      <c r="DG416" s="333" t="s">
        <v>1350</v>
      </c>
      <c r="DH416" s="129" t="s">
        <v>1351</v>
      </c>
      <c r="DI416" s="129" t="s">
        <v>1353</v>
      </c>
      <c r="DK416" s="129" t="s">
        <v>1355</v>
      </c>
      <c r="DU416" s="1383" t="s">
        <v>247</v>
      </c>
      <c r="DV416" s="1383" t="s">
        <v>228</v>
      </c>
      <c r="DW416" s="1383" t="s">
        <v>229</v>
      </c>
      <c r="DX416" s="1383" t="s">
        <v>230</v>
      </c>
      <c r="DY416" s="1383" t="s">
        <v>231</v>
      </c>
      <c r="DZ416" s="1383" t="s">
        <v>533</v>
      </c>
      <c r="EA416" s="1383" t="s">
        <v>534</v>
      </c>
      <c r="EB416" s="1383" t="s">
        <v>535</v>
      </c>
      <c r="EC416" s="1383" t="s">
        <v>536</v>
      </c>
      <c r="ED416" s="1383" t="s">
        <v>191</v>
      </c>
      <c r="EE416" s="1383" t="s">
        <v>192</v>
      </c>
      <c r="EG416" s="1383" t="s">
        <v>1244</v>
      </c>
      <c r="EH416" s="1383" t="s">
        <v>1550</v>
      </c>
      <c r="EI416" s="1383" t="s">
        <v>1551</v>
      </c>
    </row>
    <row r="417" spans="1:139" x14ac:dyDescent="0.2">
      <c r="A417" s="24" t="str">
        <f>Octobre!BJ20</f>
        <v>Fiche infoA3</v>
      </c>
      <c r="B417" s="828">
        <f>Octobre!AB20</f>
        <v>45931</v>
      </c>
      <c r="C417" s="1393"/>
      <c r="D417" s="998">
        <f t="shared" ref="D417:D447" si="778">IF(AR417&lt;&gt;"",0,IF(DN417=10,0,IFERROR(+IF(BU417="",VLOOKUP(A417,base_horaire,2,FALSE),BU417),0)))</f>
        <v>0</v>
      </c>
      <c r="E417" s="999">
        <f t="shared" ref="E417:E447" si="779">IF(AR417&lt;&gt;"",0,IF(DN417=10,0,IFERROR(+IF(BV417="",VLOOKUP(A417,base_horaire,3,FALSE),BV417),0)))</f>
        <v>0</v>
      </c>
      <c r="F417" s="999">
        <f t="shared" ref="F417:F447" si="780">IF(AR417&lt;&gt;"",0,IF(DN417=10,0,IFERROR(+IF(BW417="",VLOOKUP(A417,base_horaire,4,FALSE),BW417),0)))</f>
        <v>0</v>
      </c>
      <c r="G417" s="999">
        <f t="shared" ref="G417:G447" si="781">IF(AR417&lt;&gt;"",0,IF(DN417=10,0,IFERROR(+IF(BX417="",VLOOKUP(A417,base_horaire,5,FALSE),BX417),0)))</f>
        <v>0</v>
      </c>
      <c r="H417" s="999">
        <f t="shared" ref="H417:H447" si="782">IF(AR417&lt;&gt;"",0,IF(DN417=10,0,IFERROR(+IF(BY417="",VLOOKUP(A417,base_horaire,6,FALSE),BY417),0)))</f>
        <v>0</v>
      </c>
      <c r="I417" s="999">
        <f t="shared" ref="I417:I447" si="783">IF(AR417&lt;&gt;"",0,IF(DN417=10,0,IFERROR(+IF(BZ417="",VLOOKUP(A417,base_horaire,7,FALSE),BZ417),0)))</f>
        <v>0</v>
      </c>
      <c r="J417" s="999">
        <f t="shared" ref="J417:J447" si="784">IF(AR417&lt;&gt;"",0,IF(DN417=10,0,IFERROR(+IF(CA417="",VLOOKUP(A417,base_horaire,8,FALSE),CA417),0)))</f>
        <v>0</v>
      </c>
      <c r="K417" s="999">
        <f t="shared" ref="K417:K447" si="785">IF(AR417&lt;&gt;"",0,IF(DN417=10,0,IFERROR(+IF(CB417="",VLOOKUP(A417,base_horaire,9,FALSE),CB417),0)))</f>
        <v>0</v>
      </c>
      <c r="L417" s="999">
        <f>+E417-D417+G417-F417+I417-H417+K417-J417</f>
        <v>0</v>
      </c>
      <c r="M417" s="1000">
        <f>ROUND(+L417*24,2)</f>
        <v>0</v>
      </c>
      <c r="O417" s="998">
        <f t="shared" ref="O417:O424" si="786">IF(AR417&lt;&gt;"",0,IF(DC417="oui",0,IF(AND(ISTEXT(AT417)=TRUE,BJ417=""),0,IF(BJ417="",D417,BJ417))))</f>
        <v>0</v>
      </c>
      <c r="P417" s="999">
        <f t="shared" ref="P417:P424" si="787">IF(AR417&lt;&gt;"",0,IF(DC417="oui",0,IF(AND(ISTEXT(AT417)=TRUE,BK417=""),0,IF(BK417="",E417,BK417))))</f>
        <v>0</v>
      </c>
      <c r="Q417" s="999">
        <f t="shared" ref="Q417:Q424" si="788">IF(AR417&lt;&gt;"",0,IF(DC417="oui",0,IF(AND(ISTEXT(AT417)=TRUE,BL417=""),0,IF(BL417="",F417,BL417))))</f>
        <v>0</v>
      </c>
      <c r="R417" s="999">
        <f t="shared" ref="R417:R424" si="789">IF(AR417&lt;&gt;"",0,IF(DC417="oui",0,IF(AND(ISTEXT(AT417)=TRUE,BM417=""),0,IF(BM417="",G417,BM417))))</f>
        <v>0</v>
      </c>
      <c r="S417" s="999">
        <f t="shared" ref="S417:S424" si="790">IF(AR417&lt;&gt;"",0,IF(DC417="oui",0,IF(AND(ISTEXT(AT417)=TRUE,BN417=""),0,IF(BN417="",H417,BN417))))</f>
        <v>0</v>
      </c>
      <c r="T417" s="999">
        <f t="shared" ref="T417:T424" si="791">IF(AR417&lt;&gt;"",0,IF(DC417="oui",0,IF(AND(ISTEXT(AT417)=TRUE,BO417=""),0,IF(BO417="",I417,BO417))))</f>
        <v>0</v>
      </c>
      <c r="U417" s="999">
        <f t="shared" ref="U417:U424" si="792">IF(AR417&lt;&gt;"",0,IF(DC417="oui",0,IF(AND(ISTEXT(AT417)=TRUE,BP417=""),0,IF(BP417="",J417,BP417))))</f>
        <v>0</v>
      </c>
      <c r="V417" s="999">
        <f t="shared" ref="V417:V424" si="793">IF(AR417&lt;&gt;"",0,IF(DC417="oui",0,IF(AND(ISTEXT(AT417)=TRUE,BQ417=""),0,IF(BQ417="",K417,BQ417))))</f>
        <v>0</v>
      </c>
      <c r="W417" s="999">
        <f t="shared" ref="W417:W447" si="794">+P417-O417+R417-Q417+T417-S417+V417-U417</f>
        <v>0</v>
      </c>
      <c r="X417" s="1000">
        <f t="shared" ref="X417:X447" si="795">ROUND(+W417*24,2)</f>
        <v>0</v>
      </c>
      <c r="Y417" s="459"/>
      <c r="Z417" s="291">
        <f t="shared" ref="Z417:Z447" si="796">+IF(AND(O417&gt;D417,D417&gt;0),D417,O417)</f>
        <v>0</v>
      </c>
      <c r="AA417" s="291">
        <f t="shared" ref="AA417:AA447" si="797">+IF(P417&gt;E417,P417,E417)</f>
        <v>0</v>
      </c>
      <c r="AB417" s="291">
        <f t="shared" ref="AB417:AB447" si="798">+IF(AND(Q417&gt;F417,F417&gt;0),F417,Q417)</f>
        <v>0</v>
      </c>
      <c r="AC417" s="291">
        <f t="shared" ref="AC417:AC447" si="799">+IF(R417&gt;G417,R417,G417)</f>
        <v>0</v>
      </c>
      <c r="AD417" s="291">
        <f t="shared" ref="AD417:AD447" si="800">+IF(AND(S417&gt;H417,H417&gt;0),H417,S417)</f>
        <v>0</v>
      </c>
      <c r="AE417" s="291">
        <f t="shared" ref="AE417:AE447" si="801">+IF(T417&gt;I417,T417,I417)</f>
        <v>0</v>
      </c>
      <c r="AF417" s="291">
        <f t="shared" ref="AF417:AF447" si="802">+IF(AND(U417&gt;J417,J417&gt;0),J417,U417)</f>
        <v>0</v>
      </c>
      <c r="AG417" s="291">
        <f t="shared" ref="AG417:AG447" si="803">+IF(V417&gt;K417,V417,K417)</f>
        <v>0</v>
      </c>
      <c r="AI417" s="461">
        <f t="shared" ref="AI417:AI424" si="804">IF(DC417="oui",0,IF(AND(ISTEXT(AT417)=TRUE,OR(X417=0,X417="")),0,ROUND(((((AA417-Z417)-(E417-D417))+((AC417-AB417)-(G417-F417))+((AE417-AD417)-(I417-H417))+(AG417-AF417)-(K417-J417))*24),2)))</f>
        <v>0</v>
      </c>
      <c r="AJ417" s="1111"/>
      <c r="AK417" s="507"/>
      <c r="AL417" s="828">
        <f t="shared" ref="AL417:AL447" si="805">B417</f>
        <v>45931</v>
      </c>
      <c r="AM417" s="515">
        <f>IFERROR(IF(AND(AT417="",AR417&lt;&gt;S.CAL!$BJ$3,AR417&lt;&gt;S.CAL!$BJ$4,$AR$410="NON"),M417-BD417,IF(AND(AT417="",AR417&lt;&gt;S.CAL!$BJ$3,AR417&lt;&gt;S.CAL!$BJ$4,$AR$410="OUI"),X417-AI417,IF(AT417&lt;&gt;0,AT417,IF(OR(AR417=S.CAL!$BJ$3,AR417=S.CAL!$BJ$4),AR417,"")))),"")</f>
        <v>0</v>
      </c>
      <c r="AN417" s="1113"/>
      <c r="AO417" s="1114"/>
      <c r="AP417" s="515">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516">
        <f>AI417-SUM(AN417:AO417)</f>
        <v>0</v>
      </c>
      <c r="AR417" s="1119"/>
      <c r="AT417" s="1122"/>
      <c r="AU417" s="831"/>
      <c r="AV417" s="1391">
        <f t="shared" ref="AV417:AV447" si="806">B417</f>
        <v>45931</v>
      </c>
      <c r="AX417" s="529">
        <f>+AV417</f>
        <v>45931</v>
      </c>
      <c r="AY417" s="546">
        <f>+IF(M417-X417&lt;0,0,M417-X417)</f>
        <v>0</v>
      </c>
      <c r="AZ417" s="549" t="s">
        <v>146</v>
      </c>
      <c r="BA417" s="550">
        <f>+IF(AZ417="OUI",AY417,0)</f>
        <v>0</v>
      </c>
      <c r="BB417" s="551" t="str">
        <f t="shared" ref="BB417:BB447" si="807">IF(AND(BE417="",+IFERROR(VLOOKUP(AT417,Liste_motif_formule,5,FALSE),0)="OUI"),"OUI",IF(AND(BE417="",IFERROR(VLOOKUP(AT417,Liste_motif_formule,5,FALSE),0)="NON"),"NON",IF(AND(BE417="",IFERROR(M417-AT417&gt;=0,0),AT417&lt;&gt;""),"OUI",IF(AND(BE417="",DC417="oui"),"OUI",IF(BE417&lt;&gt;"",BE417,"")))))</f>
        <v/>
      </c>
      <c r="BC417" s="546">
        <f>+IF(BB417="OUI",IFERROR(M417-AT417,M417),0)</f>
        <v>0</v>
      </c>
      <c r="BD417" s="546">
        <f>+BC417+BA417</f>
        <v>0</v>
      </c>
      <c r="BE417" s="508"/>
      <c r="BF417" s="532" t="str">
        <f t="shared" ref="BF417:BF447" si="808">+IF(AND(AZ417="OUI",BB417="OUI"),"ERREUR","")</f>
        <v/>
      </c>
      <c r="BG417" s="532" t="str">
        <f>+IF(AND(M417=0,AT417=""),"oui","non")</f>
        <v>oui</v>
      </c>
      <c r="BH417" s="395" t="str">
        <f t="shared" ref="BH417:BH447" si="809">IFERROR(+VLOOKUP(AT417,Liste_motif_formule,4,FALSE),"")</f>
        <v/>
      </c>
      <c r="BI417" s="24" t="str">
        <f t="shared" ref="BI417:BI447" si="810">IFERROR(+VLOOKUP(AT417,Liste_motif_formule,5,FALSE),"")</f>
        <v/>
      </c>
      <c r="BJ417" s="1403"/>
      <c r="BK417" s="1403"/>
      <c r="BL417" s="1403"/>
      <c r="BM417" s="1403"/>
      <c r="BN417" s="1403"/>
      <c r="BO417" s="1403"/>
      <c r="BP417" s="1403"/>
      <c r="BQ417" s="1403"/>
      <c r="BS417" s="1391">
        <f t="shared" si="777"/>
        <v>45931</v>
      </c>
      <c r="BT417" s="27">
        <f>IFERROR(WEEKNUM(BS417,21),"")</f>
        <v>40</v>
      </c>
      <c r="BU417" s="1401"/>
      <c r="BV417" s="1401"/>
      <c r="BW417" s="1401"/>
      <c r="BX417" s="1401"/>
      <c r="BY417" s="1401"/>
      <c r="BZ417" s="1401"/>
      <c r="CA417" s="1401"/>
      <c r="CB417" s="1401"/>
      <c r="CD417" s="1407">
        <f>+M417</f>
        <v>0</v>
      </c>
      <c r="DC417" s="16" t="str">
        <f>Octobre!FC20</f>
        <v>non</v>
      </c>
      <c r="DG417" s="333">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96" t="str">
        <f>+A417&amp;B417</f>
        <v>Fiche infoA345931</v>
      </c>
      <c r="DV417" s="1384">
        <f t="shared" ref="DV417:DV447" si="813">+IFERROR(+IF(BU417="",VLOOKUP(A417,base_horaire,2,FALSE),BU417),0)</f>
        <v>0</v>
      </c>
      <c r="DW417" s="1385">
        <f t="shared" ref="DW417:DW447" si="814">+IFERROR(+IF(BV417="",VLOOKUP(A417,base_horaire,3,FALSE),BV417),0)</f>
        <v>0</v>
      </c>
      <c r="DX417" s="1385">
        <f t="shared" ref="DX417:DX447" si="815">+IFERROR(+IF(BW417="",VLOOKUP(A417,base_horaire,4,FALSE),BW417),0)</f>
        <v>0</v>
      </c>
      <c r="DY417" s="1385">
        <f t="shared" ref="DY417:DY447" si="816">+IFERROR(+IF(BX417="",VLOOKUP(A417,base_horaire,5,FALSE),BX417),0)</f>
        <v>0</v>
      </c>
      <c r="DZ417" s="1385">
        <f t="shared" ref="DZ417:DZ447" si="817">+IFERROR(+IF(BY417="",VLOOKUP(A417,base_horaire,6,FALSE),BY417),0)</f>
        <v>0</v>
      </c>
      <c r="EA417" s="1385">
        <f t="shared" ref="EA417:EA447" si="818">IFERROR(+IF(BZ417="",VLOOKUP(A417,base_horaire,7,FALSE),BZ417),0)</f>
        <v>0</v>
      </c>
      <c r="EB417" s="1385">
        <f t="shared" ref="EB417:EB447" si="819">IFERROR(+IF(CA417="",VLOOKUP(A417,base_horaire,8,FALSE),CA417),0)</f>
        <v>0</v>
      </c>
      <c r="EC417" s="1385">
        <f t="shared" ref="EC417:EC447" si="820">IFERROR(+IF(CB417="",VLOOKUP(A417,base_horaire,9,FALSE),CB417),0)</f>
        <v>0</v>
      </c>
      <c r="ED417" s="1385">
        <f>+DW417-DV417+DY417-DX417+EA417-DZ417+EC417-EB417</f>
        <v>0</v>
      </c>
      <c r="EE417" s="1386">
        <f>ROUND(+ED417*24,2)</f>
        <v>0</v>
      </c>
      <c r="EG417" s="16" t="str">
        <f>+WEEKNUM(B417,21)&amp;YEAR(B417)</f>
        <v>402025</v>
      </c>
      <c r="EH417" s="16" t="str">
        <f t="shared" ref="EH417:EH447" si="821">+A417</f>
        <v>Fiche infoA3</v>
      </c>
      <c r="EI417" s="16" t="str">
        <f t="shared" ref="EI417:EI447" si="822">+VLOOKUP(EH417,Base_heures,6,FALSE)</f>
        <v/>
      </c>
    </row>
    <row r="418" spans="1:139" x14ac:dyDescent="0.2">
      <c r="A418" s="1395" t="str">
        <f>Octobre!BJ21</f>
        <v>Fiche infoA4</v>
      </c>
      <c r="B418" s="829">
        <f>Octobre!AB21</f>
        <v>45932</v>
      </c>
      <c r="C418" s="1394"/>
      <c r="D418" s="1001">
        <f t="shared" si="778"/>
        <v>0</v>
      </c>
      <c r="E418" s="452">
        <f t="shared" si="779"/>
        <v>0</v>
      </c>
      <c r="F418" s="452">
        <f t="shared" si="780"/>
        <v>0</v>
      </c>
      <c r="G418" s="452">
        <f t="shared" si="781"/>
        <v>0</v>
      </c>
      <c r="H418" s="452">
        <f t="shared" si="782"/>
        <v>0</v>
      </c>
      <c r="I418" s="452">
        <f t="shared" si="783"/>
        <v>0</v>
      </c>
      <c r="J418" s="452">
        <f t="shared" si="784"/>
        <v>0</v>
      </c>
      <c r="K418" s="452">
        <f t="shared" si="785"/>
        <v>0</v>
      </c>
      <c r="L418" s="452">
        <f t="shared" ref="L418:L447" si="823">+E418-D418+G418-F418+I418-H418+K418-J418</f>
        <v>0</v>
      </c>
      <c r="M418" s="1002">
        <f t="shared" ref="M418:M447" si="824">ROUND(+L418*24,2)</f>
        <v>0</v>
      </c>
      <c r="N418" s="1396"/>
      <c r="O418" s="1001">
        <f t="shared" si="786"/>
        <v>0</v>
      </c>
      <c r="P418" s="452">
        <f t="shared" si="787"/>
        <v>0</v>
      </c>
      <c r="Q418" s="452">
        <f t="shared" si="788"/>
        <v>0</v>
      </c>
      <c r="R418" s="452">
        <f t="shared" si="789"/>
        <v>0</v>
      </c>
      <c r="S418" s="452">
        <f t="shared" si="790"/>
        <v>0</v>
      </c>
      <c r="T418" s="452">
        <f t="shared" si="791"/>
        <v>0</v>
      </c>
      <c r="U418" s="452">
        <f t="shared" si="792"/>
        <v>0</v>
      </c>
      <c r="V418" s="452">
        <f t="shared" si="793"/>
        <v>0</v>
      </c>
      <c r="W418" s="452">
        <f t="shared" si="794"/>
        <v>0</v>
      </c>
      <c r="X418" s="1002">
        <f t="shared" si="795"/>
        <v>0</v>
      </c>
      <c r="Y418" s="1397"/>
      <c r="Z418" s="1398">
        <f t="shared" si="796"/>
        <v>0</v>
      </c>
      <c r="AA418" s="1398">
        <f t="shared" si="797"/>
        <v>0</v>
      </c>
      <c r="AB418" s="1398">
        <f t="shared" si="798"/>
        <v>0</v>
      </c>
      <c r="AC418" s="1398">
        <f t="shared" si="799"/>
        <v>0</v>
      </c>
      <c r="AD418" s="1398">
        <f t="shared" si="800"/>
        <v>0</v>
      </c>
      <c r="AE418" s="1398">
        <f t="shared" si="801"/>
        <v>0</v>
      </c>
      <c r="AF418" s="1398">
        <f t="shared" si="802"/>
        <v>0</v>
      </c>
      <c r="AG418" s="1398">
        <f t="shared" si="803"/>
        <v>0</v>
      </c>
      <c r="AH418" s="1396"/>
      <c r="AI418" s="462">
        <f t="shared" si="804"/>
        <v>0</v>
      </c>
      <c r="AJ418" s="1112"/>
      <c r="AK418" s="1399"/>
      <c r="AL418" s="829">
        <f t="shared" si="805"/>
        <v>45932</v>
      </c>
      <c r="AM418" s="684">
        <f>IFERROR(IF(AND(AT418="",AR418&lt;&gt;S.CAL!$BJ$3,AR418&lt;&gt;S.CAL!$BJ$4,$AR$410="NON"),M418-BD418,IF(AND(AT418="",AR418&lt;&gt;S.CAL!$BJ$3,AR418&lt;&gt;S.CAL!$BJ$4,$AR$410="OUI"),X418-AI418,IF(AT418&lt;&gt;0,AT418,IF(OR(AR418=S.CAL!$BJ$3,AR418=S.CAL!$BJ$4),AR418,"")))),"")</f>
        <v>0</v>
      </c>
      <c r="AN418" s="1115"/>
      <c r="AO418" s="1116"/>
      <c r="AP418" s="684">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400">
        <f t="shared" ref="AQ418:AQ447" si="825">AI418-SUM(AN418:AO418)</f>
        <v>0</v>
      </c>
      <c r="AR418" s="1120"/>
      <c r="AS418" s="1396"/>
      <c r="AT418" s="1123"/>
      <c r="AU418" s="831"/>
      <c r="AV418" s="1392">
        <f t="shared" si="806"/>
        <v>45932</v>
      </c>
      <c r="AW418" s="1396"/>
      <c r="AX418" s="529">
        <f t="shared" ref="AX418:AX447" si="826">+AV418</f>
        <v>45932</v>
      </c>
      <c r="AY418" s="541">
        <f t="shared" ref="AY418:AY447" si="827">+IF(M418-X418&lt;0,0,M418-X418)</f>
        <v>0</v>
      </c>
      <c r="AZ418" s="538" t="s">
        <v>146</v>
      </c>
      <c r="BA418" s="534">
        <f t="shared" ref="BA418:BA447" si="828">+IF(AZ418="OUI",AY418,0)</f>
        <v>0</v>
      </c>
      <c r="BB418" s="567" t="str">
        <f t="shared" si="807"/>
        <v/>
      </c>
      <c r="BC418" s="541">
        <f t="shared" ref="BC418:BC447" si="829">+IF(BB418="OUI",IFERROR(M418-AT418,M418),0)</f>
        <v>0</v>
      </c>
      <c r="BD418" s="541">
        <f t="shared" ref="BD418:BD447" si="830">+BC418+BA418</f>
        <v>0</v>
      </c>
      <c r="BE418" s="750"/>
      <c r="BF418" s="532" t="str">
        <f t="shared" si="808"/>
        <v/>
      </c>
      <c r="BG418" s="532" t="str">
        <f t="shared" ref="BG418:BG447" si="831">+IF(AND(M418=0,AT418=""),"oui","non")</f>
        <v>oui</v>
      </c>
      <c r="BH418" s="395" t="str">
        <f t="shared" si="809"/>
        <v/>
      </c>
      <c r="BI418" s="24" t="str">
        <f t="shared" si="810"/>
        <v/>
      </c>
      <c r="BJ418" s="1404"/>
      <c r="BK418" s="1404"/>
      <c r="BL418" s="1404"/>
      <c r="BM418" s="1404"/>
      <c r="BN418" s="1404"/>
      <c r="BO418" s="1404"/>
      <c r="BP418" s="1404"/>
      <c r="BQ418" s="1404"/>
      <c r="BR418" s="1405"/>
      <c r="BS418" s="1392">
        <f t="shared" si="777"/>
        <v>45932</v>
      </c>
      <c r="BT418" s="1406" t="str">
        <f>IFERROR(IF(WEEKDAY(BS418,11)=1,WEEKNUM(BS418,21),""),"")</f>
        <v/>
      </c>
      <c r="BU418" s="1404"/>
      <c r="BV418" s="1404"/>
      <c r="BW418" s="1404"/>
      <c r="BX418" s="1404"/>
      <c r="BY418" s="1404"/>
      <c r="BZ418" s="1404"/>
      <c r="CA418" s="1404"/>
      <c r="CB418" s="1404"/>
      <c r="CD418" s="1408">
        <f t="shared" ref="CD418:CD447" si="832">+M418</f>
        <v>0</v>
      </c>
      <c r="DC418" s="16" t="str">
        <f>Octobre!FC21</f>
        <v>non</v>
      </c>
      <c r="DG418" s="333">
        <f t="shared" ref="DG418:DG447" si="833">IF(OR(AT418=0,AT418=""),1,10)</f>
        <v>1</v>
      </c>
      <c r="DH418" s="129">
        <f t="shared" si="811"/>
        <v>10</v>
      </c>
      <c r="DI418" s="129">
        <f t="shared" ref="DI418:DI447" si="834">+IF(OR(DG418=1,DH418=1),1,10)</f>
        <v>1</v>
      </c>
      <c r="DK418" s="16">
        <f>+IF(AND(Octobre!$DP$8&lt;&gt;52,AR418=S.CAL!$BJ$4),10,1)</f>
        <v>1</v>
      </c>
      <c r="DN418" s="16">
        <f t="shared" si="812"/>
        <v>1</v>
      </c>
      <c r="DU418" s="1296" t="str">
        <f t="shared" ref="DU418:DU447" si="835">+A418&amp;B418</f>
        <v>Fiche infoA445932</v>
      </c>
      <c r="DV418" s="1384">
        <f t="shared" si="813"/>
        <v>0</v>
      </c>
      <c r="DW418" s="1385">
        <f t="shared" si="814"/>
        <v>0</v>
      </c>
      <c r="DX418" s="1385">
        <f t="shared" si="815"/>
        <v>0</v>
      </c>
      <c r="DY418" s="1385">
        <f t="shared" si="816"/>
        <v>0</v>
      </c>
      <c r="DZ418" s="1385">
        <f t="shared" si="817"/>
        <v>0</v>
      </c>
      <c r="EA418" s="1385">
        <f t="shared" si="818"/>
        <v>0</v>
      </c>
      <c r="EB418" s="1385">
        <f t="shared" si="819"/>
        <v>0</v>
      </c>
      <c r="EC418" s="1385">
        <f t="shared" si="820"/>
        <v>0</v>
      </c>
      <c r="ED418" s="1385">
        <f t="shared" ref="ED418:ED447" si="836">+DW418-DV418+DY418-DX418+EA418-DZ418+EC418-EB418</f>
        <v>0</v>
      </c>
      <c r="EE418" s="1386">
        <f t="shared" ref="EE418:EE447" si="837">ROUND(+ED418*24,2)</f>
        <v>0</v>
      </c>
      <c r="EG418" s="16" t="str">
        <f t="shared" ref="EG418:EG447" si="838">+WEEKNUM(B418,21)&amp;YEAR(B418)</f>
        <v>402025</v>
      </c>
      <c r="EH418" s="16" t="str">
        <f t="shared" si="821"/>
        <v>Fiche infoA4</v>
      </c>
      <c r="EI418" s="16" t="str">
        <f t="shared" si="822"/>
        <v/>
      </c>
    </row>
    <row r="419" spans="1:139" x14ac:dyDescent="0.2">
      <c r="A419" s="24" t="str">
        <f>Octobre!BJ22</f>
        <v>Fiche infoA5</v>
      </c>
      <c r="B419" s="829">
        <f>Octobre!AB22</f>
        <v>45933</v>
      </c>
      <c r="C419" s="1393"/>
      <c r="D419" s="1001">
        <f t="shared" si="778"/>
        <v>0</v>
      </c>
      <c r="E419" s="452">
        <f t="shared" si="779"/>
        <v>0</v>
      </c>
      <c r="F419" s="452">
        <f t="shared" si="780"/>
        <v>0</v>
      </c>
      <c r="G419" s="452">
        <f t="shared" si="781"/>
        <v>0</v>
      </c>
      <c r="H419" s="452">
        <f t="shared" si="782"/>
        <v>0</v>
      </c>
      <c r="I419" s="452">
        <f t="shared" si="783"/>
        <v>0</v>
      </c>
      <c r="J419" s="452">
        <f t="shared" si="784"/>
        <v>0</v>
      </c>
      <c r="K419" s="452">
        <f t="shared" si="785"/>
        <v>0</v>
      </c>
      <c r="L419" s="452">
        <f t="shared" si="823"/>
        <v>0</v>
      </c>
      <c r="M419" s="1002">
        <f t="shared" si="824"/>
        <v>0</v>
      </c>
      <c r="O419" s="1001">
        <f t="shared" si="786"/>
        <v>0</v>
      </c>
      <c r="P419" s="452">
        <f t="shared" si="787"/>
        <v>0</v>
      </c>
      <c r="Q419" s="452">
        <f t="shared" si="788"/>
        <v>0</v>
      </c>
      <c r="R419" s="452">
        <f t="shared" si="789"/>
        <v>0</v>
      </c>
      <c r="S419" s="452">
        <f t="shared" si="790"/>
        <v>0</v>
      </c>
      <c r="T419" s="452">
        <f t="shared" si="791"/>
        <v>0</v>
      </c>
      <c r="U419" s="452">
        <f t="shared" si="792"/>
        <v>0</v>
      </c>
      <c r="V419" s="452">
        <f t="shared" si="793"/>
        <v>0</v>
      </c>
      <c r="W419" s="452">
        <f t="shared" si="794"/>
        <v>0</v>
      </c>
      <c r="X419" s="1002">
        <f t="shared" si="795"/>
        <v>0</v>
      </c>
      <c r="Y419" s="459"/>
      <c r="Z419" s="291">
        <f t="shared" si="796"/>
        <v>0</v>
      </c>
      <c r="AA419" s="291">
        <f t="shared" si="797"/>
        <v>0</v>
      </c>
      <c r="AB419" s="291">
        <f t="shared" si="798"/>
        <v>0</v>
      </c>
      <c r="AC419" s="291">
        <f t="shared" si="799"/>
        <v>0</v>
      </c>
      <c r="AD419" s="291">
        <f t="shared" si="800"/>
        <v>0</v>
      </c>
      <c r="AE419" s="291">
        <f t="shared" si="801"/>
        <v>0</v>
      </c>
      <c r="AF419" s="291">
        <f t="shared" si="802"/>
        <v>0</v>
      </c>
      <c r="AG419" s="291">
        <f t="shared" si="803"/>
        <v>0</v>
      </c>
      <c r="AI419" s="462">
        <f t="shared" si="804"/>
        <v>0</v>
      </c>
      <c r="AJ419" s="1112"/>
      <c r="AK419" s="507"/>
      <c r="AL419" s="829">
        <f t="shared" si="805"/>
        <v>45933</v>
      </c>
      <c r="AM419" s="684">
        <f>IFERROR(IF(AND(AT419="",AR419&lt;&gt;S.CAL!$BJ$3,AR419&lt;&gt;S.CAL!$BJ$4,$AR$410="NON"),M419-BD419,IF(AND(AT419="",AR419&lt;&gt;S.CAL!$BJ$3,AR419&lt;&gt;S.CAL!$BJ$4,$AR$410="OUI"),X419-AI419,IF(AT419&lt;&gt;0,AT419,IF(OR(AR419=S.CAL!$BJ$3,AR419=S.CAL!$BJ$4),AR419,"")))),"")</f>
        <v>0</v>
      </c>
      <c r="AN419" s="1115"/>
      <c r="AO419" s="1116"/>
      <c r="AP419" s="684">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516">
        <f t="shared" si="825"/>
        <v>0</v>
      </c>
      <c r="AR419" s="1120"/>
      <c r="AT419" s="1123"/>
      <c r="AU419" s="831"/>
      <c r="AV419" s="1392">
        <f t="shared" si="806"/>
        <v>45933</v>
      </c>
      <c r="AX419" s="529">
        <f t="shared" si="826"/>
        <v>45933</v>
      </c>
      <c r="AY419" s="541">
        <f t="shared" si="827"/>
        <v>0</v>
      </c>
      <c r="AZ419" s="538" t="s">
        <v>146</v>
      </c>
      <c r="BA419" s="534">
        <f t="shared" si="828"/>
        <v>0</v>
      </c>
      <c r="BB419" s="567" t="str">
        <f t="shared" si="807"/>
        <v/>
      </c>
      <c r="BC419" s="541">
        <f t="shared" si="829"/>
        <v>0</v>
      </c>
      <c r="BD419" s="541">
        <f t="shared" si="830"/>
        <v>0</v>
      </c>
      <c r="BE419" s="750"/>
      <c r="BF419" s="532" t="str">
        <f t="shared" si="808"/>
        <v/>
      </c>
      <c r="BG419" s="532" t="str">
        <f t="shared" si="831"/>
        <v>oui</v>
      </c>
      <c r="BH419" s="395" t="str">
        <f t="shared" si="809"/>
        <v/>
      </c>
      <c r="BI419" s="24" t="str">
        <f t="shared" si="810"/>
        <v/>
      </c>
      <c r="BJ419" s="1403"/>
      <c r="BK419" s="1403"/>
      <c r="BL419" s="1403"/>
      <c r="BM419" s="1403"/>
      <c r="BN419" s="1403"/>
      <c r="BO419" s="1403"/>
      <c r="BP419" s="1403"/>
      <c r="BQ419" s="1403"/>
      <c r="BS419" s="1392">
        <f t="shared" si="777"/>
        <v>45933</v>
      </c>
      <c r="BT419" s="27" t="str">
        <f t="shared" ref="BT419:BT447" si="839">IFERROR(IF(WEEKDAY(BS419,11)=1,WEEKNUM(BS419,21),""),"")</f>
        <v/>
      </c>
      <c r="BU419" s="1402"/>
      <c r="BV419" s="1402"/>
      <c r="BW419" s="1402"/>
      <c r="BX419" s="1402"/>
      <c r="BY419" s="1402"/>
      <c r="BZ419" s="1402"/>
      <c r="CA419" s="1402"/>
      <c r="CB419" s="1402"/>
      <c r="CD419" s="1408">
        <f t="shared" si="832"/>
        <v>0</v>
      </c>
      <c r="DC419" s="16" t="str">
        <f>Octobre!FC22</f>
        <v>non</v>
      </c>
      <c r="DG419" s="333">
        <f t="shared" si="833"/>
        <v>1</v>
      </c>
      <c r="DH419" s="129">
        <f t="shared" si="811"/>
        <v>10</v>
      </c>
      <c r="DI419" s="129">
        <f t="shared" si="834"/>
        <v>1</v>
      </c>
      <c r="DK419" s="16">
        <f>+IF(AND(Octobre!$DP$8&lt;&gt;52,AR419=S.CAL!$BJ$4),10,1)</f>
        <v>1</v>
      </c>
      <c r="DN419" s="16">
        <f t="shared" si="812"/>
        <v>1</v>
      </c>
      <c r="DU419" s="1296" t="str">
        <f t="shared" si="835"/>
        <v>Fiche infoA545933</v>
      </c>
      <c r="DV419" s="1384">
        <f t="shared" si="813"/>
        <v>0</v>
      </c>
      <c r="DW419" s="1385">
        <f t="shared" si="814"/>
        <v>0</v>
      </c>
      <c r="DX419" s="1385">
        <f t="shared" si="815"/>
        <v>0</v>
      </c>
      <c r="DY419" s="1385">
        <f t="shared" si="816"/>
        <v>0</v>
      </c>
      <c r="DZ419" s="1385">
        <f t="shared" si="817"/>
        <v>0</v>
      </c>
      <c r="EA419" s="1385">
        <f t="shared" si="818"/>
        <v>0</v>
      </c>
      <c r="EB419" s="1385">
        <f t="shared" si="819"/>
        <v>0</v>
      </c>
      <c r="EC419" s="1385">
        <f t="shared" si="820"/>
        <v>0</v>
      </c>
      <c r="ED419" s="1385">
        <f t="shared" si="836"/>
        <v>0</v>
      </c>
      <c r="EE419" s="1386">
        <f t="shared" si="837"/>
        <v>0</v>
      </c>
      <c r="EG419" s="16" t="str">
        <f t="shared" si="838"/>
        <v>402025</v>
      </c>
      <c r="EH419" s="16" t="str">
        <f t="shared" si="821"/>
        <v>Fiche infoA5</v>
      </c>
      <c r="EI419" s="16" t="str">
        <f t="shared" si="822"/>
        <v/>
      </c>
    </row>
    <row r="420" spans="1:139" x14ac:dyDescent="0.2">
      <c r="A420" s="1395" t="str">
        <f>Octobre!BJ23</f>
        <v>Fiche infoA6</v>
      </c>
      <c r="B420" s="829">
        <f>Octobre!AB23</f>
        <v>45934</v>
      </c>
      <c r="C420" s="1394"/>
      <c r="D420" s="1001">
        <f t="shared" si="778"/>
        <v>0</v>
      </c>
      <c r="E420" s="452">
        <f t="shared" si="779"/>
        <v>0</v>
      </c>
      <c r="F420" s="452">
        <f t="shared" si="780"/>
        <v>0</v>
      </c>
      <c r="G420" s="452">
        <f t="shared" si="781"/>
        <v>0</v>
      </c>
      <c r="H420" s="452">
        <f t="shared" si="782"/>
        <v>0</v>
      </c>
      <c r="I420" s="452">
        <f t="shared" si="783"/>
        <v>0</v>
      </c>
      <c r="J420" s="452">
        <f t="shared" si="784"/>
        <v>0</v>
      </c>
      <c r="K420" s="452">
        <f t="shared" si="785"/>
        <v>0</v>
      </c>
      <c r="L420" s="452">
        <f t="shared" si="823"/>
        <v>0</v>
      </c>
      <c r="M420" s="1002">
        <f t="shared" si="824"/>
        <v>0</v>
      </c>
      <c r="N420" s="1396"/>
      <c r="O420" s="1001">
        <f t="shared" si="786"/>
        <v>0</v>
      </c>
      <c r="P420" s="452">
        <f t="shared" si="787"/>
        <v>0</v>
      </c>
      <c r="Q420" s="452">
        <f t="shared" si="788"/>
        <v>0</v>
      </c>
      <c r="R420" s="452">
        <f t="shared" si="789"/>
        <v>0</v>
      </c>
      <c r="S420" s="452">
        <f t="shared" si="790"/>
        <v>0</v>
      </c>
      <c r="T420" s="452">
        <f t="shared" si="791"/>
        <v>0</v>
      </c>
      <c r="U420" s="452">
        <f t="shared" si="792"/>
        <v>0</v>
      </c>
      <c r="V420" s="452">
        <f t="shared" si="793"/>
        <v>0</v>
      </c>
      <c r="W420" s="452">
        <f t="shared" si="794"/>
        <v>0</v>
      </c>
      <c r="X420" s="1002">
        <f t="shared" si="795"/>
        <v>0</v>
      </c>
      <c r="Y420" s="1397"/>
      <c r="Z420" s="1398">
        <f t="shared" si="796"/>
        <v>0</v>
      </c>
      <c r="AA420" s="1398">
        <f t="shared" si="797"/>
        <v>0</v>
      </c>
      <c r="AB420" s="1398">
        <f t="shared" si="798"/>
        <v>0</v>
      </c>
      <c r="AC420" s="1398">
        <f t="shared" si="799"/>
        <v>0</v>
      </c>
      <c r="AD420" s="1398">
        <f t="shared" si="800"/>
        <v>0</v>
      </c>
      <c r="AE420" s="1398">
        <f t="shared" si="801"/>
        <v>0</v>
      </c>
      <c r="AF420" s="1398">
        <f t="shared" si="802"/>
        <v>0</v>
      </c>
      <c r="AG420" s="1398">
        <f t="shared" si="803"/>
        <v>0</v>
      </c>
      <c r="AH420" s="1396"/>
      <c r="AI420" s="462">
        <f t="shared" si="804"/>
        <v>0</v>
      </c>
      <c r="AJ420" s="1112"/>
      <c r="AK420" s="1399"/>
      <c r="AL420" s="829">
        <f t="shared" si="805"/>
        <v>45934</v>
      </c>
      <c r="AM420" s="684">
        <f>IFERROR(IF(AND(AT420="",AR420&lt;&gt;S.CAL!$BJ$3,AR420&lt;&gt;S.CAL!$BJ$4,$AR$410="NON"),M420-BD420,IF(AND(AT420="",AR420&lt;&gt;S.CAL!$BJ$3,AR420&lt;&gt;S.CAL!$BJ$4,$AR$410="OUI"),X420-AI420,IF(AT420&lt;&gt;0,AT420,IF(OR(AR420=S.CAL!$BJ$3,AR420=S.CAL!$BJ$4),AR420,"")))),"")</f>
        <v>0</v>
      </c>
      <c r="AN420" s="1115"/>
      <c r="AO420" s="1116"/>
      <c r="AP420" s="684">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400">
        <f t="shared" si="825"/>
        <v>0</v>
      </c>
      <c r="AR420" s="1120"/>
      <c r="AS420" s="1396"/>
      <c r="AT420" s="1123"/>
      <c r="AU420" s="831"/>
      <c r="AV420" s="1392">
        <f t="shared" si="806"/>
        <v>45934</v>
      </c>
      <c r="AW420" s="1396"/>
      <c r="AX420" s="529">
        <f t="shared" si="826"/>
        <v>45934</v>
      </c>
      <c r="AY420" s="541">
        <f t="shared" si="827"/>
        <v>0</v>
      </c>
      <c r="AZ420" s="538" t="s">
        <v>146</v>
      </c>
      <c r="BA420" s="534">
        <f t="shared" si="828"/>
        <v>0</v>
      </c>
      <c r="BB420" s="567" t="str">
        <f t="shared" si="807"/>
        <v/>
      </c>
      <c r="BC420" s="541">
        <f t="shared" si="829"/>
        <v>0</v>
      </c>
      <c r="BD420" s="541">
        <f t="shared" si="830"/>
        <v>0</v>
      </c>
      <c r="BE420" s="750"/>
      <c r="BF420" s="532" t="str">
        <f t="shared" si="808"/>
        <v/>
      </c>
      <c r="BG420" s="532" t="str">
        <f t="shared" si="831"/>
        <v>oui</v>
      </c>
      <c r="BH420" s="395" t="str">
        <f t="shared" si="809"/>
        <v/>
      </c>
      <c r="BI420" s="24" t="str">
        <f t="shared" si="810"/>
        <v/>
      </c>
      <c r="BJ420" s="1404"/>
      <c r="BK420" s="1404"/>
      <c r="BL420" s="1404"/>
      <c r="BM420" s="1404"/>
      <c r="BN420" s="1404"/>
      <c r="BO420" s="1404"/>
      <c r="BP420" s="1404"/>
      <c r="BQ420" s="1404"/>
      <c r="BR420" s="1405"/>
      <c r="BS420" s="1392">
        <f t="shared" si="777"/>
        <v>45934</v>
      </c>
      <c r="BT420" s="1406" t="str">
        <f t="shared" si="839"/>
        <v/>
      </c>
      <c r="BU420" s="1404"/>
      <c r="BV420" s="1404"/>
      <c r="BW420" s="1404"/>
      <c r="BX420" s="1404"/>
      <c r="BY420" s="1404"/>
      <c r="BZ420" s="1404"/>
      <c r="CA420" s="1404"/>
      <c r="CB420" s="1404"/>
      <c r="CD420" s="1408">
        <f t="shared" si="832"/>
        <v>0</v>
      </c>
      <c r="DC420" s="16" t="str">
        <f>Octobre!FC23</f>
        <v>non</v>
      </c>
      <c r="DG420" s="333">
        <f t="shared" si="833"/>
        <v>1</v>
      </c>
      <c r="DH420" s="129">
        <f t="shared" si="811"/>
        <v>10</v>
      </c>
      <c r="DI420" s="129">
        <f t="shared" si="834"/>
        <v>1</v>
      </c>
      <c r="DK420" s="16">
        <f>+IF(AND(Octobre!$DP$8&lt;&gt;52,AR420=S.CAL!$BJ$4),10,1)</f>
        <v>1</v>
      </c>
      <c r="DN420" s="16">
        <f t="shared" si="812"/>
        <v>1</v>
      </c>
      <c r="DU420" s="1296" t="str">
        <f t="shared" si="835"/>
        <v>Fiche infoA645934</v>
      </c>
      <c r="DV420" s="1384">
        <f t="shared" si="813"/>
        <v>0</v>
      </c>
      <c r="DW420" s="1385">
        <f t="shared" si="814"/>
        <v>0</v>
      </c>
      <c r="DX420" s="1385">
        <f t="shared" si="815"/>
        <v>0</v>
      </c>
      <c r="DY420" s="1385">
        <f t="shared" si="816"/>
        <v>0</v>
      </c>
      <c r="DZ420" s="1385">
        <f t="shared" si="817"/>
        <v>0</v>
      </c>
      <c r="EA420" s="1385">
        <f t="shared" si="818"/>
        <v>0</v>
      </c>
      <c r="EB420" s="1385">
        <f t="shared" si="819"/>
        <v>0</v>
      </c>
      <c r="EC420" s="1385">
        <f t="shared" si="820"/>
        <v>0</v>
      </c>
      <c r="ED420" s="1385">
        <f t="shared" si="836"/>
        <v>0</v>
      </c>
      <c r="EE420" s="1386">
        <f t="shared" si="837"/>
        <v>0</v>
      </c>
      <c r="EG420" s="16" t="str">
        <f t="shared" si="838"/>
        <v>402025</v>
      </c>
      <c r="EH420" s="16" t="str">
        <f t="shared" si="821"/>
        <v>Fiche infoA6</v>
      </c>
      <c r="EI420" s="16" t="str">
        <f t="shared" si="822"/>
        <v/>
      </c>
    </row>
    <row r="421" spans="1:139" x14ac:dyDescent="0.2">
      <c r="A421" s="24" t="str">
        <f>Octobre!BJ24</f>
        <v>Fiche infoA7</v>
      </c>
      <c r="B421" s="829">
        <f>Octobre!AB24</f>
        <v>45935</v>
      </c>
      <c r="C421" s="1393"/>
      <c r="D421" s="1001">
        <f t="shared" si="778"/>
        <v>0</v>
      </c>
      <c r="E421" s="452">
        <f t="shared" si="779"/>
        <v>0</v>
      </c>
      <c r="F421" s="452">
        <f t="shared" si="780"/>
        <v>0</v>
      </c>
      <c r="G421" s="452">
        <f t="shared" si="781"/>
        <v>0</v>
      </c>
      <c r="H421" s="452">
        <f t="shared" si="782"/>
        <v>0</v>
      </c>
      <c r="I421" s="452">
        <f t="shared" si="783"/>
        <v>0</v>
      </c>
      <c r="J421" s="452">
        <f t="shared" si="784"/>
        <v>0</v>
      </c>
      <c r="K421" s="452">
        <f t="shared" si="785"/>
        <v>0</v>
      </c>
      <c r="L421" s="452">
        <f t="shared" si="823"/>
        <v>0</v>
      </c>
      <c r="M421" s="1002">
        <f t="shared" si="824"/>
        <v>0</v>
      </c>
      <c r="O421" s="1001">
        <f t="shared" si="786"/>
        <v>0</v>
      </c>
      <c r="P421" s="452">
        <f t="shared" si="787"/>
        <v>0</v>
      </c>
      <c r="Q421" s="452">
        <f t="shared" si="788"/>
        <v>0</v>
      </c>
      <c r="R421" s="452">
        <f t="shared" si="789"/>
        <v>0</v>
      </c>
      <c r="S421" s="452">
        <f t="shared" si="790"/>
        <v>0</v>
      </c>
      <c r="T421" s="452">
        <f t="shared" si="791"/>
        <v>0</v>
      </c>
      <c r="U421" s="452">
        <f t="shared" si="792"/>
        <v>0</v>
      </c>
      <c r="V421" s="452">
        <f t="shared" si="793"/>
        <v>0</v>
      </c>
      <c r="W421" s="452">
        <f t="shared" si="794"/>
        <v>0</v>
      </c>
      <c r="X421" s="1002">
        <f t="shared" si="795"/>
        <v>0</v>
      </c>
      <c r="Y421" s="459"/>
      <c r="Z421" s="291">
        <f t="shared" si="796"/>
        <v>0</v>
      </c>
      <c r="AA421" s="291">
        <f t="shared" si="797"/>
        <v>0</v>
      </c>
      <c r="AB421" s="291">
        <f t="shared" si="798"/>
        <v>0</v>
      </c>
      <c r="AC421" s="291">
        <f t="shared" si="799"/>
        <v>0</v>
      </c>
      <c r="AD421" s="291">
        <f t="shared" si="800"/>
        <v>0</v>
      </c>
      <c r="AE421" s="291">
        <f t="shared" si="801"/>
        <v>0</v>
      </c>
      <c r="AF421" s="291">
        <f t="shared" si="802"/>
        <v>0</v>
      </c>
      <c r="AG421" s="291">
        <f t="shared" si="803"/>
        <v>0</v>
      </c>
      <c r="AI421" s="462">
        <f t="shared" si="804"/>
        <v>0</v>
      </c>
      <c r="AJ421" s="1112"/>
      <c r="AK421" s="507"/>
      <c r="AL421" s="829">
        <f t="shared" si="805"/>
        <v>45935</v>
      </c>
      <c r="AM421" s="684">
        <f>IFERROR(IF(AND(AT421="",AR421&lt;&gt;S.CAL!$BJ$3,AR421&lt;&gt;S.CAL!$BJ$4,$AR$410="NON"),M421-BD421,IF(AND(AT421="",AR421&lt;&gt;S.CAL!$BJ$3,AR421&lt;&gt;S.CAL!$BJ$4,$AR$410="OUI"),X421-AI421,IF(AT421&lt;&gt;0,AT421,IF(OR(AR421=S.CAL!$BJ$3,AR421=S.CAL!$BJ$4),AR421,"")))),"")</f>
        <v>0</v>
      </c>
      <c r="AN421" s="1115"/>
      <c r="AO421" s="1116"/>
      <c r="AP421" s="684">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516">
        <f t="shared" si="825"/>
        <v>0</v>
      </c>
      <c r="AR421" s="1120"/>
      <c r="AT421" s="1123"/>
      <c r="AU421" s="831"/>
      <c r="AV421" s="1392">
        <f t="shared" si="806"/>
        <v>45935</v>
      </c>
      <c r="AX421" s="529">
        <f t="shared" si="826"/>
        <v>45935</v>
      </c>
      <c r="AY421" s="541">
        <f t="shared" si="827"/>
        <v>0</v>
      </c>
      <c r="AZ421" s="538" t="s">
        <v>146</v>
      </c>
      <c r="BA421" s="534">
        <f t="shared" si="828"/>
        <v>0</v>
      </c>
      <c r="BB421" s="567" t="str">
        <f t="shared" si="807"/>
        <v/>
      </c>
      <c r="BC421" s="541">
        <f t="shared" si="829"/>
        <v>0</v>
      </c>
      <c r="BD421" s="541">
        <f t="shared" si="830"/>
        <v>0</v>
      </c>
      <c r="BE421" s="750"/>
      <c r="BF421" s="532" t="str">
        <f t="shared" si="808"/>
        <v/>
      </c>
      <c r="BG421" s="532" t="str">
        <f t="shared" si="831"/>
        <v>oui</v>
      </c>
      <c r="BH421" s="395" t="str">
        <f t="shared" si="809"/>
        <v/>
      </c>
      <c r="BI421" s="24" t="str">
        <f t="shared" si="810"/>
        <v/>
      </c>
      <c r="BJ421" s="1403"/>
      <c r="BK421" s="1403"/>
      <c r="BL421" s="1403"/>
      <c r="BM421" s="1403"/>
      <c r="BN421" s="1403"/>
      <c r="BO421" s="1403"/>
      <c r="BP421" s="1403"/>
      <c r="BQ421" s="1403"/>
      <c r="BS421" s="1392">
        <f t="shared" si="777"/>
        <v>45935</v>
      </c>
      <c r="BT421" s="27" t="str">
        <f t="shared" si="839"/>
        <v/>
      </c>
      <c r="BU421" s="1402"/>
      <c r="BV421" s="1402"/>
      <c r="BW421" s="1402"/>
      <c r="BX421" s="1402"/>
      <c r="BY421" s="1402"/>
      <c r="BZ421" s="1402"/>
      <c r="CA421" s="1402"/>
      <c r="CB421" s="1402"/>
      <c r="CD421" s="1408">
        <f t="shared" si="832"/>
        <v>0</v>
      </c>
      <c r="DC421" s="16" t="str">
        <f>Octobre!FC24</f>
        <v>non</v>
      </c>
      <c r="DG421" s="333">
        <f t="shared" si="833"/>
        <v>1</v>
      </c>
      <c r="DH421" s="129">
        <f t="shared" si="811"/>
        <v>10</v>
      </c>
      <c r="DI421" s="129">
        <f t="shared" si="834"/>
        <v>1</v>
      </c>
      <c r="DK421" s="16">
        <f>+IF(AND(Octobre!$DP$8&lt;&gt;52,AR421=S.CAL!$BJ$4),10,1)</f>
        <v>1</v>
      </c>
      <c r="DN421" s="16">
        <f t="shared" si="812"/>
        <v>1</v>
      </c>
      <c r="DU421" s="1296" t="str">
        <f t="shared" si="835"/>
        <v>Fiche infoA745935</v>
      </c>
      <c r="DV421" s="1384">
        <f t="shared" si="813"/>
        <v>0</v>
      </c>
      <c r="DW421" s="1385">
        <f t="shared" si="814"/>
        <v>0</v>
      </c>
      <c r="DX421" s="1385">
        <f t="shared" si="815"/>
        <v>0</v>
      </c>
      <c r="DY421" s="1385">
        <f t="shared" si="816"/>
        <v>0</v>
      </c>
      <c r="DZ421" s="1385">
        <f t="shared" si="817"/>
        <v>0</v>
      </c>
      <c r="EA421" s="1385">
        <f t="shared" si="818"/>
        <v>0</v>
      </c>
      <c r="EB421" s="1385">
        <f t="shared" si="819"/>
        <v>0</v>
      </c>
      <c r="EC421" s="1385">
        <f t="shared" si="820"/>
        <v>0</v>
      </c>
      <c r="ED421" s="1385">
        <f t="shared" si="836"/>
        <v>0</v>
      </c>
      <c r="EE421" s="1386">
        <f t="shared" si="837"/>
        <v>0</v>
      </c>
      <c r="EG421" s="16" t="str">
        <f t="shared" si="838"/>
        <v>402025</v>
      </c>
      <c r="EH421" s="16" t="str">
        <f t="shared" si="821"/>
        <v>Fiche infoA7</v>
      </c>
      <c r="EI421" s="16" t="str">
        <f t="shared" si="822"/>
        <v/>
      </c>
    </row>
    <row r="422" spans="1:139" x14ac:dyDescent="0.2">
      <c r="A422" s="1395" t="str">
        <f>Octobre!BJ25</f>
        <v>Fiche infoA1</v>
      </c>
      <c r="B422" s="829">
        <f>Octobre!AB25</f>
        <v>45936</v>
      </c>
      <c r="C422" s="1394"/>
      <c r="D422" s="1001">
        <f t="shared" si="778"/>
        <v>0</v>
      </c>
      <c r="E422" s="452">
        <f t="shared" si="779"/>
        <v>0</v>
      </c>
      <c r="F422" s="452">
        <f t="shared" si="780"/>
        <v>0</v>
      </c>
      <c r="G422" s="452">
        <f t="shared" si="781"/>
        <v>0</v>
      </c>
      <c r="H422" s="452">
        <f t="shared" si="782"/>
        <v>0</v>
      </c>
      <c r="I422" s="452">
        <f t="shared" si="783"/>
        <v>0</v>
      </c>
      <c r="J422" s="452">
        <f t="shared" si="784"/>
        <v>0</v>
      </c>
      <c r="K422" s="452">
        <f t="shared" si="785"/>
        <v>0</v>
      </c>
      <c r="L422" s="452">
        <f t="shared" si="823"/>
        <v>0</v>
      </c>
      <c r="M422" s="1002">
        <f t="shared" si="824"/>
        <v>0</v>
      </c>
      <c r="N422" s="1396"/>
      <c r="O422" s="1001">
        <f t="shared" si="786"/>
        <v>0</v>
      </c>
      <c r="P422" s="452">
        <f t="shared" si="787"/>
        <v>0</v>
      </c>
      <c r="Q422" s="452">
        <f t="shared" si="788"/>
        <v>0</v>
      </c>
      <c r="R422" s="452">
        <f t="shared" si="789"/>
        <v>0</v>
      </c>
      <c r="S422" s="452">
        <f t="shared" si="790"/>
        <v>0</v>
      </c>
      <c r="T422" s="452">
        <f t="shared" si="791"/>
        <v>0</v>
      </c>
      <c r="U422" s="452">
        <f t="shared" si="792"/>
        <v>0</v>
      </c>
      <c r="V422" s="452">
        <f t="shared" si="793"/>
        <v>0</v>
      </c>
      <c r="W422" s="452">
        <f t="shared" si="794"/>
        <v>0</v>
      </c>
      <c r="X422" s="1002">
        <f t="shared" si="795"/>
        <v>0</v>
      </c>
      <c r="Y422" s="1397"/>
      <c r="Z422" s="1398">
        <f t="shared" si="796"/>
        <v>0</v>
      </c>
      <c r="AA422" s="1398">
        <f t="shared" si="797"/>
        <v>0</v>
      </c>
      <c r="AB422" s="1398">
        <f t="shared" si="798"/>
        <v>0</v>
      </c>
      <c r="AC422" s="1398">
        <f t="shared" si="799"/>
        <v>0</v>
      </c>
      <c r="AD422" s="1398">
        <f t="shared" si="800"/>
        <v>0</v>
      </c>
      <c r="AE422" s="1398">
        <f t="shared" si="801"/>
        <v>0</v>
      </c>
      <c r="AF422" s="1398">
        <f t="shared" si="802"/>
        <v>0</v>
      </c>
      <c r="AG422" s="1398">
        <f t="shared" si="803"/>
        <v>0</v>
      </c>
      <c r="AH422" s="1396"/>
      <c r="AI422" s="462">
        <f t="shared" si="804"/>
        <v>0</v>
      </c>
      <c r="AJ422" s="1112"/>
      <c r="AK422" s="1399"/>
      <c r="AL422" s="829">
        <f t="shared" si="805"/>
        <v>45936</v>
      </c>
      <c r="AM422" s="684">
        <f>IFERROR(IF(AND(AT422="",AR422&lt;&gt;S.CAL!$BJ$3,AR422&lt;&gt;S.CAL!$BJ$4,$AR$410="NON"),M422-BD422,IF(AND(AT422="",AR422&lt;&gt;S.CAL!$BJ$3,AR422&lt;&gt;S.CAL!$BJ$4,$AR$410="OUI"),X422-AI422,IF(AT422&lt;&gt;0,AT422,IF(OR(AR422=S.CAL!$BJ$3,AR422=S.CAL!$BJ$4),AR422,"")))),"")</f>
        <v>0</v>
      </c>
      <c r="AN422" s="1115"/>
      <c r="AO422" s="1116"/>
      <c r="AP422" s="684">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400">
        <f t="shared" si="825"/>
        <v>0</v>
      </c>
      <c r="AR422" s="1120"/>
      <c r="AS422" s="1396"/>
      <c r="AT422" s="1123"/>
      <c r="AU422" s="831"/>
      <c r="AV422" s="1392">
        <f t="shared" si="806"/>
        <v>45936</v>
      </c>
      <c r="AW422" s="1396"/>
      <c r="AX422" s="529">
        <f t="shared" si="826"/>
        <v>45936</v>
      </c>
      <c r="AY422" s="541">
        <f t="shared" si="827"/>
        <v>0</v>
      </c>
      <c r="AZ422" s="538" t="s">
        <v>146</v>
      </c>
      <c r="BA422" s="534">
        <f t="shared" si="828"/>
        <v>0</v>
      </c>
      <c r="BB422" s="567" t="str">
        <f t="shared" si="807"/>
        <v/>
      </c>
      <c r="BC422" s="541">
        <f t="shared" si="829"/>
        <v>0</v>
      </c>
      <c r="BD422" s="541">
        <f t="shared" si="830"/>
        <v>0</v>
      </c>
      <c r="BE422" s="750"/>
      <c r="BF422" s="532" t="str">
        <f t="shared" si="808"/>
        <v/>
      </c>
      <c r="BG422" s="532" t="str">
        <f t="shared" si="831"/>
        <v>oui</v>
      </c>
      <c r="BH422" s="395" t="str">
        <f t="shared" si="809"/>
        <v/>
      </c>
      <c r="BI422" s="24" t="str">
        <f t="shared" si="810"/>
        <v/>
      </c>
      <c r="BJ422" s="1404"/>
      <c r="BK422" s="1404"/>
      <c r="BL422" s="1404"/>
      <c r="BM422" s="1404"/>
      <c r="BN422" s="1404"/>
      <c r="BO422" s="1404"/>
      <c r="BP422" s="1404"/>
      <c r="BQ422" s="1404"/>
      <c r="BR422" s="1405"/>
      <c r="BS422" s="1392">
        <f t="shared" si="777"/>
        <v>45936</v>
      </c>
      <c r="BT422" s="1406">
        <f t="shared" si="839"/>
        <v>41</v>
      </c>
      <c r="BU422" s="1404"/>
      <c r="BV422" s="1404"/>
      <c r="BW422" s="1404"/>
      <c r="BX422" s="1404"/>
      <c r="BY422" s="1404"/>
      <c r="BZ422" s="1404"/>
      <c r="CA422" s="1404"/>
      <c r="CB422" s="1404"/>
      <c r="CD422" s="1408">
        <f t="shared" si="832"/>
        <v>0</v>
      </c>
      <c r="DC422" s="16" t="str">
        <f>Octobre!FC25</f>
        <v>non</v>
      </c>
      <c r="DG422" s="333">
        <f t="shared" si="833"/>
        <v>1</v>
      </c>
      <c r="DH422" s="129">
        <f t="shared" si="811"/>
        <v>10</v>
      </c>
      <c r="DI422" s="129">
        <f t="shared" si="834"/>
        <v>1</v>
      </c>
      <c r="DK422" s="16">
        <f>+IF(AND(Octobre!$DP$8&lt;&gt;52,AR422=S.CAL!$BJ$4),10,1)</f>
        <v>1</v>
      </c>
      <c r="DN422" s="16">
        <f t="shared" si="812"/>
        <v>1</v>
      </c>
      <c r="DU422" s="1296" t="str">
        <f t="shared" si="835"/>
        <v>Fiche infoA145936</v>
      </c>
      <c r="DV422" s="1384">
        <f t="shared" si="813"/>
        <v>0</v>
      </c>
      <c r="DW422" s="1385">
        <f t="shared" si="814"/>
        <v>0</v>
      </c>
      <c r="DX422" s="1385">
        <f t="shared" si="815"/>
        <v>0</v>
      </c>
      <c r="DY422" s="1385">
        <f t="shared" si="816"/>
        <v>0</v>
      </c>
      <c r="DZ422" s="1385">
        <f t="shared" si="817"/>
        <v>0</v>
      </c>
      <c r="EA422" s="1385">
        <f t="shared" si="818"/>
        <v>0</v>
      </c>
      <c r="EB422" s="1385">
        <f t="shared" si="819"/>
        <v>0</v>
      </c>
      <c r="EC422" s="1385">
        <f t="shared" si="820"/>
        <v>0</v>
      </c>
      <c r="ED422" s="1385">
        <f t="shared" si="836"/>
        <v>0</v>
      </c>
      <c r="EE422" s="1386">
        <f t="shared" si="837"/>
        <v>0</v>
      </c>
      <c r="EG422" s="16" t="str">
        <f t="shared" si="838"/>
        <v>412025</v>
      </c>
      <c r="EH422" s="16" t="str">
        <f t="shared" si="821"/>
        <v>Fiche infoA1</v>
      </c>
      <c r="EI422" s="16" t="str">
        <f t="shared" si="822"/>
        <v/>
      </c>
    </row>
    <row r="423" spans="1:139" x14ac:dyDescent="0.2">
      <c r="A423" s="24" t="str">
        <f>Octobre!BJ26</f>
        <v>Fiche infoA2</v>
      </c>
      <c r="B423" s="829">
        <f>Octobre!AB26</f>
        <v>45937</v>
      </c>
      <c r="C423" s="1393"/>
      <c r="D423" s="1001">
        <f t="shared" si="778"/>
        <v>0</v>
      </c>
      <c r="E423" s="452">
        <f t="shared" si="779"/>
        <v>0</v>
      </c>
      <c r="F423" s="452">
        <f t="shared" si="780"/>
        <v>0</v>
      </c>
      <c r="G423" s="452">
        <f t="shared" si="781"/>
        <v>0</v>
      </c>
      <c r="H423" s="452">
        <f t="shared" si="782"/>
        <v>0</v>
      </c>
      <c r="I423" s="452">
        <f t="shared" si="783"/>
        <v>0</v>
      </c>
      <c r="J423" s="452">
        <f t="shared" si="784"/>
        <v>0</v>
      </c>
      <c r="K423" s="452">
        <f t="shared" si="785"/>
        <v>0</v>
      </c>
      <c r="L423" s="452">
        <f t="shared" si="823"/>
        <v>0</v>
      </c>
      <c r="M423" s="1002">
        <f t="shared" si="824"/>
        <v>0</v>
      </c>
      <c r="O423" s="1001">
        <f t="shared" si="786"/>
        <v>0</v>
      </c>
      <c r="P423" s="452">
        <f t="shared" si="787"/>
        <v>0</v>
      </c>
      <c r="Q423" s="452">
        <f t="shared" si="788"/>
        <v>0</v>
      </c>
      <c r="R423" s="452">
        <f t="shared" si="789"/>
        <v>0</v>
      </c>
      <c r="S423" s="452">
        <f t="shared" si="790"/>
        <v>0</v>
      </c>
      <c r="T423" s="452">
        <f t="shared" si="791"/>
        <v>0</v>
      </c>
      <c r="U423" s="452">
        <f t="shared" si="792"/>
        <v>0</v>
      </c>
      <c r="V423" s="452">
        <f t="shared" si="793"/>
        <v>0</v>
      </c>
      <c r="W423" s="452">
        <f t="shared" si="794"/>
        <v>0</v>
      </c>
      <c r="X423" s="1002">
        <f t="shared" si="795"/>
        <v>0</v>
      </c>
      <c r="Y423" s="459"/>
      <c r="Z423" s="291">
        <f t="shared" si="796"/>
        <v>0</v>
      </c>
      <c r="AA423" s="291">
        <f t="shared" si="797"/>
        <v>0</v>
      </c>
      <c r="AB423" s="291">
        <f t="shared" si="798"/>
        <v>0</v>
      </c>
      <c r="AC423" s="291">
        <f t="shared" si="799"/>
        <v>0</v>
      </c>
      <c r="AD423" s="291">
        <f t="shared" si="800"/>
        <v>0</v>
      </c>
      <c r="AE423" s="291">
        <f t="shared" si="801"/>
        <v>0</v>
      </c>
      <c r="AF423" s="291">
        <f t="shared" si="802"/>
        <v>0</v>
      </c>
      <c r="AG423" s="291">
        <f t="shared" si="803"/>
        <v>0</v>
      </c>
      <c r="AI423" s="462">
        <f t="shared" si="804"/>
        <v>0</v>
      </c>
      <c r="AJ423" s="1112"/>
      <c r="AK423" s="507"/>
      <c r="AL423" s="829">
        <f t="shared" si="805"/>
        <v>45937</v>
      </c>
      <c r="AM423" s="684">
        <f>IFERROR(IF(AND(AT423="",AR423&lt;&gt;S.CAL!$BJ$3,AR423&lt;&gt;S.CAL!$BJ$4,$AR$410="NON"),M423-BD423,IF(AND(AT423="",AR423&lt;&gt;S.CAL!$BJ$3,AR423&lt;&gt;S.CAL!$BJ$4,$AR$410="OUI"),X423-AI423,IF(AT423&lt;&gt;0,AT423,IF(OR(AR423=S.CAL!$BJ$3,AR423=S.CAL!$BJ$4),AR423,"")))),"")</f>
        <v>0</v>
      </c>
      <c r="AN423" s="1115"/>
      <c r="AO423" s="1116"/>
      <c r="AP423" s="684">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516">
        <f t="shared" si="825"/>
        <v>0</v>
      </c>
      <c r="AR423" s="1120"/>
      <c r="AT423" s="1123"/>
      <c r="AU423" s="831"/>
      <c r="AV423" s="1392">
        <f t="shared" si="806"/>
        <v>45937</v>
      </c>
      <c r="AX423" s="529">
        <f t="shared" si="826"/>
        <v>45937</v>
      </c>
      <c r="AY423" s="541">
        <f t="shared" si="827"/>
        <v>0</v>
      </c>
      <c r="AZ423" s="538" t="s">
        <v>146</v>
      </c>
      <c r="BA423" s="534">
        <f t="shared" si="828"/>
        <v>0</v>
      </c>
      <c r="BB423" s="567" t="str">
        <f t="shared" si="807"/>
        <v/>
      </c>
      <c r="BC423" s="541">
        <f t="shared" si="829"/>
        <v>0</v>
      </c>
      <c r="BD423" s="541">
        <f t="shared" si="830"/>
        <v>0</v>
      </c>
      <c r="BE423" s="750"/>
      <c r="BF423" s="532" t="str">
        <f t="shared" si="808"/>
        <v/>
      </c>
      <c r="BG423" s="532" t="str">
        <f t="shared" si="831"/>
        <v>oui</v>
      </c>
      <c r="BH423" s="395" t="str">
        <f t="shared" si="809"/>
        <v/>
      </c>
      <c r="BI423" s="24" t="str">
        <f t="shared" si="810"/>
        <v/>
      </c>
      <c r="BJ423" s="1403"/>
      <c r="BK423" s="1403"/>
      <c r="BL423" s="1403"/>
      <c r="BM423" s="1403"/>
      <c r="BN423" s="1403"/>
      <c r="BO423" s="1403"/>
      <c r="BP423" s="1403"/>
      <c r="BQ423" s="1403"/>
      <c r="BS423" s="1392">
        <f t="shared" si="777"/>
        <v>45937</v>
      </c>
      <c r="BT423" s="27" t="str">
        <f t="shared" si="839"/>
        <v/>
      </c>
      <c r="BU423" s="1402"/>
      <c r="BV423" s="1402"/>
      <c r="BW423" s="1402"/>
      <c r="BX423" s="1402"/>
      <c r="BY423" s="1402"/>
      <c r="BZ423" s="1402"/>
      <c r="CA423" s="1402"/>
      <c r="CB423" s="1402"/>
      <c r="CD423" s="1408">
        <f t="shared" si="832"/>
        <v>0</v>
      </c>
      <c r="DC423" s="16" t="str">
        <f>Octobre!FC26</f>
        <v>non</v>
      </c>
      <c r="DG423" s="333">
        <f t="shared" si="833"/>
        <v>1</v>
      </c>
      <c r="DH423" s="129">
        <f t="shared" si="811"/>
        <v>10</v>
      </c>
      <c r="DI423" s="129">
        <f t="shared" si="834"/>
        <v>1</v>
      </c>
      <c r="DK423" s="16">
        <f>+IF(AND(Octobre!$DP$8&lt;&gt;52,AR423=S.CAL!$BJ$4),10,1)</f>
        <v>1</v>
      </c>
      <c r="DN423" s="16">
        <f t="shared" si="812"/>
        <v>1</v>
      </c>
      <c r="DU423" s="1296" t="str">
        <f t="shared" si="835"/>
        <v>Fiche infoA245937</v>
      </c>
      <c r="DV423" s="1384">
        <f t="shared" si="813"/>
        <v>0</v>
      </c>
      <c r="DW423" s="1385">
        <f t="shared" si="814"/>
        <v>0</v>
      </c>
      <c r="DX423" s="1385">
        <f t="shared" si="815"/>
        <v>0</v>
      </c>
      <c r="DY423" s="1385">
        <f t="shared" si="816"/>
        <v>0</v>
      </c>
      <c r="DZ423" s="1385">
        <f t="shared" si="817"/>
        <v>0</v>
      </c>
      <c r="EA423" s="1385">
        <f t="shared" si="818"/>
        <v>0</v>
      </c>
      <c r="EB423" s="1385">
        <f t="shared" si="819"/>
        <v>0</v>
      </c>
      <c r="EC423" s="1385">
        <f t="shared" si="820"/>
        <v>0</v>
      </c>
      <c r="ED423" s="1385">
        <f t="shared" si="836"/>
        <v>0</v>
      </c>
      <c r="EE423" s="1386">
        <f t="shared" si="837"/>
        <v>0</v>
      </c>
      <c r="EG423" s="16" t="str">
        <f t="shared" si="838"/>
        <v>412025</v>
      </c>
      <c r="EH423" s="16" t="str">
        <f t="shared" si="821"/>
        <v>Fiche infoA2</v>
      </c>
      <c r="EI423" s="16" t="str">
        <f t="shared" si="822"/>
        <v/>
      </c>
    </row>
    <row r="424" spans="1:139" x14ac:dyDescent="0.2">
      <c r="A424" s="1395" t="str">
        <f>Octobre!BJ27</f>
        <v>Fiche infoA3</v>
      </c>
      <c r="B424" s="829">
        <f>Octobre!AB27</f>
        <v>45938</v>
      </c>
      <c r="C424" s="1394"/>
      <c r="D424" s="1001">
        <f t="shared" si="778"/>
        <v>0</v>
      </c>
      <c r="E424" s="452">
        <f t="shared" si="779"/>
        <v>0</v>
      </c>
      <c r="F424" s="452">
        <f t="shared" si="780"/>
        <v>0</v>
      </c>
      <c r="G424" s="452">
        <f t="shared" si="781"/>
        <v>0</v>
      </c>
      <c r="H424" s="452">
        <f t="shared" si="782"/>
        <v>0</v>
      </c>
      <c r="I424" s="452">
        <f t="shared" si="783"/>
        <v>0</v>
      </c>
      <c r="J424" s="452">
        <f t="shared" si="784"/>
        <v>0</v>
      </c>
      <c r="K424" s="452">
        <f t="shared" si="785"/>
        <v>0</v>
      </c>
      <c r="L424" s="452">
        <f t="shared" si="823"/>
        <v>0</v>
      </c>
      <c r="M424" s="1002">
        <f t="shared" si="824"/>
        <v>0</v>
      </c>
      <c r="N424" s="1396"/>
      <c r="O424" s="1001">
        <f t="shared" si="786"/>
        <v>0</v>
      </c>
      <c r="P424" s="452">
        <f t="shared" si="787"/>
        <v>0</v>
      </c>
      <c r="Q424" s="452">
        <f t="shared" si="788"/>
        <v>0</v>
      </c>
      <c r="R424" s="452">
        <f t="shared" si="789"/>
        <v>0</v>
      </c>
      <c r="S424" s="452">
        <f t="shared" si="790"/>
        <v>0</v>
      </c>
      <c r="T424" s="452">
        <f t="shared" si="791"/>
        <v>0</v>
      </c>
      <c r="U424" s="452">
        <f t="shared" si="792"/>
        <v>0</v>
      </c>
      <c r="V424" s="452">
        <f t="shared" si="793"/>
        <v>0</v>
      </c>
      <c r="W424" s="452">
        <f t="shared" si="794"/>
        <v>0</v>
      </c>
      <c r="X424" s="1002">
        <f t="shared" si="795"/>
        <v>0</v>
      </c>
      <c r="Y424" s="1397"/>
      <c r="Z424" s="1398">
        <f t="shared" si="796"/>
        <v>0</v>
      </c>
      <c r="AA424" s="1398">
        <f t="shared" si="797"/>
        <v>0</v>
      </c>
      <c r="AB424" s="1398">
        <f t="shared" si="798"/>
        <v>0</v>
      </c>
      <c r="AC424" s="1398">
        <f t="shared" si="799"/>
        <v>0</v>
      </c>
      <c r="AD424" s="1398">
        <f t="shared" si="800"/>
        <v>0</v>
      </c>
      <c r="AE424" s="1398">
        <f t="shared" si="801"/>
        <v>0</v>
      </c>
      <c r="AF424" s="1398">
        <f t="shared" si="802"/>
        <v>0</v>
      </c>
      <c r="AG424" s="1398">
        <f t="shared" si="803"/>
        <v>0</v>
      </c>
      <c r="AH424" s="1396"/>
      <c r="AI424" s="462">
        <f t="shared" si="804"/>
        <v>0</v>
      </c>
      <c r="AJ424" s="1112"/>
      <c r="AK424" s="1399"/>
      <c r="AL424" s="829">
        <f t="shared" si="805"/>
        <v>45938</v>
      </c>
      <c r="AM424" s="684">
        <f>IFERROR(IF(AND(AT424="",AR424&lt;&gt;S.CAL!$BJ$3,AR424&lt;&gt;S.CAL!$BJ$4,$AR$410="NON"),M424-BD424,IF(AND(AT424="",AR424&lt;&gt;S.CAL!$BJ$3,AR424&lt;&gt;S.CAL!$BJ$4,$AR$410="OUI"),X424-AI424,IF(AT424&lt;&gt;0,AT424,IF(OR(AR424=S.CAL!$BJ$3,AR424=S.CAL!$BJ$4),AR424,"")))),"")</f>
        <v>0</v>
      </c>
      <c r="AN424" s="1115"/>
      <c r="AO424" s="1116"/>
      <c r="AP424" s="684">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400">
        <f t="shared" si="825"/>
        <v>0</v>
      </c>
      <c r="AR424" s="1120"/>
      <c r="AS424" s="1396"/>
      <c r="AT424" s="1123"/>
      <c r="AU424" s="831"/>
      <c r="AV424" s="1392">
        <f t="shared" si="806"/>
        <v>45938</v>
      </c>
      <c r="AW424" s="1396"/>
      <c r="AX424" s="529">
        <f t="shared" si="826"/>
        <v>45938</v>
      </c>
      <c r="AY424" s="541">
        <f t="shared" si="827"/>
        <v>0</v>
      </c>
      <c r="AZ424" s="538" t="s">
        <v>146</v>
      </c>
      <c r="BA424" s="534">
        <f t="shared" si="828"/>
        <v>0</v>
      </c>
      <c r="BB424" s="567" t="str">
        <f t="shared" si="807"/>
        <v/>
      </c>
      <c r="BC424" s="541">
        <f t="shared" si="829"/>
        <v>0</v>
      </c>
      <c r="BD424" s="541">
        <f t="shared" si="830"/>
        <v>0</v>
      </c>
      <c r="BE424" s="750"/>
      <c r="BF424" s="532" t="str">
        <f t="shared" si="808"/>
        <v/>
      </c>
      <c r="BG424" s="532" t="str">
        <f t="shared" si="831"/>
        <v>oui</v>
      </c>
      <c r="BH424" s="395" t="str">
        <f t="shared" si="809"/>
        <v/>
      </c>
      <c r="BI424" s="24" t="str">
        <f t="shared" si="810"/>
        <v/>
      </c>
      <c r="BJ424" s="1404"/>
      <c r="BK424" s="1404"/>
      <c r="BL424" s="1404"/>
      <c r="BM424" s="1404"/>
      <c r="BN424" s="1404"/>
      <c r="BO424" s="1404"/>
      <c r="BP424" s="1404"/>
      <c r="BQ424" s="1404"/>
      <c r="BR424" s="1405"/>
      <c r="BS424" s="1392">
        <f t="shared" si="777"/>
        <v>45938</v>
      </c>
      <c r="BT424" s="1406" t="str">
        <f t="shared" si="839"/>
        <v/>
      </c>
      <c r="BU424" s="1404"/>
      <c r="BV424" s="1404"/>
      <c r="BW424" s="1404"/>
      <c r="BX424" s="1404"/>
      <c r="BY424" s="1404"/>
      <c r="BZ424" s="1404"/>
      <c r="CA424" s="1404"/>
      <c r="CB424" s="1404"/>
      <c r="CD424" s="1408">
        <f t="shared" si="832"/>
        <v>0</v>
      </c>
      <c r="DC424" s="16" t="str">
        <f>Octobre!FC27</f>
        <v>non</v>
      </c>
      <c r="DG424" s="333">
        <f t="shared" si="833"/>
        <v>1</v>
      </c>
      <c r="DH424" s="129">
        <f t="shared" si="811"/>
        <v>10</v>
      </c>
      <c r="DI424" s="129">
        <f t="shared" si="834"/>
        <v>1</v>
      </c>
      <c r="DK424" s="16">
        <f>+IF(AND(Octobre!$DP$8&lt;&gt;52,AR424=S.CAL!$BJ$4),10,1)</f>
        <v>1</v>
      </c>
      <c r="DN424" s="16">
        <f t="shared" si="812"/>
        <v>1</v>
      </c>
      <c r="DU424" s="1296" t="str">
        <f t="shared" si="835"/>
        <v>Fiche infoA345938</v>
      </c>
      <c r="DV424" s="1384">
        <f t="shared" si="813"/>
        <v>0</v>
      </c>
      <c r="DW424" s="1385">
        <f t="shared" si="814"/>
        <v>0</v>
      </c>
      <c r="DX424" s="1385">
        <f t="shared" si="815"/>
        <v>0</v>
      </c>
      <c r="DY424" s="1385">
        <f t="shared" si="816"/>
        <v>0</v>
      </c>
      <c r="DZ424" s="1385">
        <f t="shared" si="817"/>
        <v>0</v>
      </c>
      <c r="EA424" s="1385">
        <f t="shared" si="818"/>
        <v>0</v>
      </c>
      <c r="EB424" s="1385">
        <f t="shared" si="819"/>
        <v>0</v>
      </c>
      <c r="EC424" s="1385">
        <f t="shared" si="820"/>
        <v>0</v>
      </c>
      <c r="ED424" s="1385">
        <f t="shared" si="836"/>
        <v>0</v>
      </c>
      <c r="EE424" s="1386">
        <f t="shared" si="837"/>
        <v>0</v>
      </c>
      <c r="EG424" s="16" t="str">
        <f t="shared" si="838"/>
        <v>412025</v>
      </c>
      <c r="EH424" s="16" t="str">
        <f t="shared" si="821"/>
        <v>Fiche infoA3</v>
      </c>
      <c r="EI424" s="16" t="str">
        <f t="shared" si="822"/>
        <v/>
      </c>
    </row>
    <row r="425" spans="1:139" x14ac:dyDescent="0.2">
      <c r="A425" s="24" t="str">
        <f>Octobre!BJ28</f>
        <v>Fiche infoA4</v>
      </c>
      <c r="B425" s="829">
        <f>Octobre!AB28</f>
        <v>45939</v>
      </c>
      <c r="C425" s="1393"/>
      <c r="D425" s="1001">
        <f t="shared" si="778"/>
        <v>0</v>
      </c>
      <c r="E425" s="452">
        <f t="shared" si="779"/>
        <v>0</v>
      </c>
      <c r="F425" s="452">
        <f t="shared" si="780"/>
        <v>0</v>
      </c>
      <c r="G425" s="452">
        <f t="shared" si="781"/>
        <v>0</v>
      </c>
      <c r="H425" s="452">
        <f t="shared" si="782"/>
        <v>0</v>
      </c>
      <c r="I425" s="452">
        <f t="shared" si="783"/>
        <v>0</v>
      </c>
      <c r="J425" s="452">
        <f t="shared" si="784"/>
        <v>0</v>
      </c>
      <c r="K425" s="452">
        <f t="shared" si="785"/>
        <v>0</v>
      </c>
      <c r="L425" s="452">
        <f t="shared" si="823"/>
        <v>0</v>
      </c>
      <c r="M425" s="1002">
        <f t="shared" si="824"/>
        <v>0</v>
      </c>
      <c r="O425" s="1001">
        <f>IF(AR425&lt;&gt;"",0,IF(DC425="oui",0,IF(AND(ISTEXT(AT425)=TRUE,BJ425=""),0,IF(BJ425="",D425,BJ425))))</f>
        <v>0</v>
      </c>
      <c r="P425" s="452">
        <f>IF(AR425&lt;&gt;"",0,IF(DC425="oui",0,IF(AND(ISTEXT(AT425)=TRUE,BK425=""),0,IF(BK425="",E425,BK425))))</f>
        <v>0</v>
      </c>
      <c r="Q425" s="452">
        <f>IF(AR425&lt;&gt;"",0,IF(DC425="oui",0,IF(AND(ISTEXT(AT425)=TRUE,BL425=""),0,IF(BL425="",F425,BL425))))</f>
        <v>0</v>
      </c>
      <c r="R425" s="452">
        <f>IF(AR425&lt;&gt;"",0,IF(DC425="oui",0,IF(AND(ISTEXT(AT425)=TRUE,BM425=""),0,IF(BM425="",G425,BM425))))</f>
        <v>0</v>
      </c>
      <c r="S425" s="452">
        <f>IF(AR425&lt;&gt;"",0,IF(DC425="oui",0,IF(AND(ISTEXT(AT425)=TRUE,BN425=""),0,IF(BN425="",H425,BN425))))</f>
        <v>0</v>
      </c>
      <c r="T425" s="452">
        <f>IF(AR425&lt;&gt;"",0,IF(DC425="oui",0,IF(AND(ISTEXT(AT425)=TRUE,BO425=""),0,IF(BO425="",I425,BO425))))</f>
        <v>0</v>
      </c>
      <c r="U425" s="452">
        <f>IF(AR425&lt;&gt;"",0,IF(DC425="oui",0,IF(AND(ISTEXT(AT425)=TRUE,BP425=""),0,IF(BP425="",J425,BP425))))</f>
        <v>0</v>
      </c>
      <c r="V425" s="452">
        <f>IF(AR425&lt;&gt;"",0,IF(DC425="oui",0,IF(AND(ISTEXT(AT425)=TRUE,BQ425=""),0,IF(BQ425="",K425,BQ425))))</f>
        <v>0</v>
      </c>
      <c r="W425" s="452">
        <f t="shared" si="794"/>
        <v>0</v>
      </c>
      <c r="X425" s="1002">
        <f t="shared" si="795"/>
        <v>0</v>
      </c>
      <c r="Y425" s="459"/>
      <c r="Z425" s="291">
        <f t="shared" si="796"/>
        <v>0</v>
      </c>
      <c r="AA425" s="291">
        <f t="shared" si="797"/>
        <v>0</v>
      </c>
      <c r="AB425" s="291">
        <f t="shared" si="798"/>
        <v>0</v>
      </c>
      <c r="AC425" s="291">
        <f t="shared" si="799"/>
        <v>0</v>
      </c>
      <c r="AD425" s="291">
        <f t="shared" si="800"/>
        <v>0</v>
      </c>
      <c r="AE425" s="291">
        <f t="shared" si="801"/>
        <v>0</v>
      </c>
      <c r="AF425" s="291">
        <f t="shared" si="802"/>
        <v>0</v>
      </c>
      <c r="AG425" s="291">
        <f t="shared" si="803"/>
        <v>0</v>
      </c>
      <c r="AI425" s="462">
        <f>IF(DC425="oui",0,IF(AND(ISTEXT(AT425)=TRUE,OR(X425=0,X425="")),0,ROUND(((((AA425-Z425)-(E425-D425))+((AC425-AB425)-(G425-F425))+((AE425-AD425)-(I425-H425))+(AG425-AF425)-(K425-J425))*24),2)))</f>
        <v>0</v>
      </c>
      <c r="AJ425" s="1112"/>
      <c r="AK425" s="507"/>
      <c r="AL425" s="829">
        <f t="shared" si="805"/>
        <v>45939</v>
      </c>
      <c r="AM425" s="684">
        <f>IFERROR(IF(AND(AT425="",AR425&lt;&gt;S.CAL!$BJ$3,AR425&lt;&gt;S.CAL!$BJ$4,$AR$410="NON"),M425-BD425,IF(AND(AT425="",AR425&lt;&gt;S.CAL!$BJ$3,AR425&lt;&gt;S.CAL!$BJ$4,$AR$410="OUI"),X425-AI425,IF(AT425&lt;&gt;0,AT425,IF(OR(AR425=S.CAL!$BJ$3,AR425=S.CAL!$BJ$4),AR425,"")))),"")</f>
        <v>0</v>
      </c>
      <c r="AN425" s="1115"/>
      <c r="AO425" s="1116"/>
      <c r="AP425" s="684">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516">
        <f t="shared" si="825"/>
        <v>0</v>
      </c>
      <c r="AR425" s="1120"/>
      <c r="AT425" s="1123"/>
      <c r="AU425" s="831"/>
      <c r="AV425" s="1392">
        <f t="shared" si="806"/>
        <v>45939</v>
      </c>
      <c r="AX425" s="529">
        <f t="shared" si="826"/>
        <v>45939</v>
      </c>
      <c r="AY425" s="541">
        <f t="shared" si="827"/>
        <v>0</v>
      </c>
      <c r="AZ425" s="538" t="s">
        <v>146</v>
      </c>
      <c r="BA425" s="534">
        <f t="shared" si="828"/>
        <v>0</v>
      </c>
      <c r="BB425" s="567" t="str">
        <f t="shared" si="807"/>
        <v/>
      </c>
      <c r="BC425" s="541">
        <f t="shared" si="829"/>
        <v>0</v>
      </c>
      <c r="BD425" s="541">
        <f t="shared" si="830"/>
        <v>0</v>
      </c>
      <c r="BE425" s="750"/>
      <c r="BF425" s="532" t="str">
        <f t="shared" si="808"/>
        <v/>
      </c>
      <c r="BG425" s="532" t="str">
        <f t="shared" si="831"/>
        <v>oui</v>
      </c>
      <c r="BH425" s="395" t="str">
        <f t="shared" si="809"/>
        <v/>
      </c>
      <c r="BI425" s="24" t="str">
        <f t="shared" si="810"/>
        <v/>
      </c>
      <c r="BJ425" s="1403"/>
      <c r="BK425" s="1403"/>
      <c r="BL425" s="1403"/>
      <c r="BM425" s="1403"/>
      <c r="BN425" s="1403"/>
      <c r="BO425" s="1403"/>
      <c r="BP425" s="1403"/>
      <c r="BQ425" s="1403"/>
      <c r="BS425" s="1392">
        <f t="shared" si="777"/>
        <v>45939</v>
      </c>
      <c r="BT425" s="27" t="str">
        <f t="shared" si="839"/>
        <v/>
      </c>
      <c r="BU425" s="1402"/>
      <c r="BV425" s="1402"/>
      <c r="BW425" s="1402"/>
      <c r="BX425" s="1402"/>
      <c r="BY425" s="1402"/>
      <c r="BZ425" s="1402"/>
      <c r="CA425" s="1402"/>
      <c r="CB425" s="1402"/>
      <c r="CD425" s="1408">
        <f t="shared" si="832"/>
        <v>0</v>
      </c>
      <c r="DC425" s="16" t="str">
        <f>Octobre!FC28</f>
        <v>non</v>
      </c>
      <c r="DG425" s="333">
        <f t="shared" si="833"/>
        <v>1</v>
      </c>
      <c r="DH425" s="129">
        <f t="shared" si="811"/>
        <v>10</v>
      </c>
      <c r="DI425" s="129">
        <f t="shared" si="834"/>
        <v>1</v>
      </c>
      <c r="DK425" s="16">
        <f>+IF(AND(Octobre!$DP$8&lt;&gt;52,AR425=S.CAL!$BJ$4),10,1)</f>
        <v>1</v>
      </c>
      <c r="DN425" s="16">
        <f t="shared" si="812"/>
        <v>1</v>
      </c>
      <c r="DU425" s="1296" t="str">
        <f t="shared" si="835"/>
        <v>Fiche infoA445939</v>
      </c>
      <c r="DV425" s="1384">
        <f t="shared" si="813"/>
        <v>0</v>
      </c>
      <c r="DW425" s="1385">
        <f t="shared" si="814"/>
        <v>0</v>
      </c>
      <c r="DX425" s="1385">
        <f t="shared" si="815"/>
        <v>0</v>
      </c>
      <c r="DY425" s="1385">
        <f t="shared" si="816"/>
        <v>0</v>
      </c>
      <c r="DZ425" s="1385">
        <f t="shared" si="817"/>
        <v>0</v>
      </c>
      <c r="EA425" s="1385">
        <f t="shared" si="818"/>
        <v>0</v>
      </c>
      <c r="EB425" s="1385">
        <f t="shared" si="819"/>
        <v>0</v>
      </c>
      <c r="EC425" s="1385">
        <f t="shared" si="820"/>
        <v>0</v>
      </c>
      <c r="ED425" s="1385">
        <f t="shared" si="836"/>
        <v>0</v>
      </c>
      <c r="EE425" s="1386">
        <f t="shared" si="837"/>
        <v>0</v>
      </c>
      <c r="EG425" s="16" t="str">
        <f t="shared" si="838"/>
        <v>412025</v>
      </c>
      <c r="EH425" s="16" t="str">
        <f t="shared" si="821"/>
        <v>Fiche infoA4</v>
      </c>
      <c r="EI425" s="16" t="str">
        <f t="shared" si="822"/>
        <v/>
      </c>
    </row>
    <row r="426" spans="1:139" x14ac:dyDescent="0.2">
      <c r="A426" s="1395" t="str">
        <f>Octobre!BJ29</f>
        <v>Fiche infoA5</v>
      </c>
      <c r="B426" s="829">
        <f>Octobre!AB29</f>
        <v>45940</v>
      </c>
      <c r="C426" s="1394"/>
      <c r="D426" s="1001">
        <f t="shared" si="778"/>
        <v>0</v>
      </c>
      <c r="E426" s="452">
        <f t="shared" si="779"/>
        <v>0</v>
      </c>
      <c r="F426" s="452">
        <f t="shared" si="780"/>
        <v>0</v>
      </c>
      <c r="G426" s="452">
        <f t="shared" si="781"/>
        <v>0</v>
      </c>
      <c r="H426" s="452">
        <f t="shared" si="782"/>
        <v>0</v>
      </c>
      <c r="I426" s="452">
        <f t="shared" si="783"/>
        <v>0</v>
      </c>
      <c r="J426" s="452">
        <f t="shared" si="784"/>
        <v>0</v>
      </c>
      <c r="K426" s="452">
        <f t="shared" si="785"/>
        <v>0</v>
      </c>
      <c r="L426" s="452">
        <f t="shared" si="823"/>
        <v>0</v>
      </c>
      <c r="M426" s="1002">
        <f t="shared" si="824"/>
        <v>0</v>
      </c>
      <c r="N426" s="1396"/>
      <c r="O426" s="1001">
        <f t="shared" ref="O426:O447" si="840">IF(AR426&lt;&gt;"",0,IF(DC426="oui",0,IF(AND(ISTEXT(AT426)=TRUE,BJ426=""),0,IF(BJ426="",D426,BJ426))))</f>
        <v>0</v>
      </c>
      <c r="P426" s="452">
        <f t="shared" ref="P426:P447" si="841">IF(AR426&lt;&gt;"",0,IF(DC426="oui",0,IF(AND(ISTEXT(AT426)=TRUE,BK426=""),0,IF(BK426="",E426,BK426))))</f>
        <v>0</v>
      </c>
      <c r="Q426" s="452">
        <f t="shared" ref="Q426:Q447" si="842">IF(AR426&lt;&gt;"",0,IF(DC426="oui",0,IF(AND(ISTEXT(AT426)=TRUE,BL426=""),0,IF(BL426="",F426,BL426))))</f>
        <v>0</v>
      </c>
      <c r="R426" s="452">
        <f t="shared" ref="R426:R447" si="843">IF(AR426&lt;&gt;"",0,IF(DC426="oui",0,IF(AND(ISTEXT(AT426)=TRUE,BM426=""),0,IF(BM426="",G426,BM426))))</f>
        <v>0</v>
      </c>
      <c r="S426" s="452">
        <f t="shared" ref="S426:S447" si="844">IF(AR426&lt;&gt;"",0,IF(DC426="oui",0,IF(AND(ISTEXT(AT426)=TRUE,BN426=""),0,IF(BN426="",H426,BN426))))</f>
        <v>0</v>
      </c>
      <c r="T426" s="452">
        <f t="shared" ref="T426:T447" si="845">IF(AR426&lt;&gt;"",0,IF(DC426="oui",0,IF(AND(ISTEXT(AT426)=TRUE,BO426=""),0,IF(BO426="",I426,BO426))))</f>
        <v>0</v>
      </c>
      <c r="U426" s="452">
        <f t="shared" ref="U426:U447" si="846">IF(AR426&lt;&gt;"",0,IF(DC426="oui",0,IF(AND(ISTEXT(AT426)=TRUE,BP426=""),0,IF(BP426="",J426,BP426))))</f>
        <v>0</v>
      </c>
      <c r="V426" s="452">
        <f t="shared" ref="V426:V447" si="847">IF(AR426&lt;&gt;"",0,IF(DC426="oui",0,IF(AND(ISTEXT(AT426)=TRUE,BQ426=""),0,IF(BQ426="",K426,BQ426))))</f>
        <v>0</v>
      </c>
      <c r="W426" s="452">
        <f t="shared" si="794"/>
        <v>0</v>
      </c>
      <c r="X426" s="1002">
        <f t="shared" si="795"/>
        <v>0</v>
      </c>
      <c r="Y426" s="1397"/>
      <c r="Z426" s="1398">
        <f t="shared" si="796"/>
        <v>0</v>
      </c>
      <c r="AA426" s="1398">
        <f t="shared" si="797"/>
        <v>0</v>
      </c>
      <c r="AB426" s="1398">
        <f t="shared" si="798"/>
        <v>0</v>
      </c>
      <c r="AC426" s="1398">
        <f t="shared" si="799"/>
        <v>0</v>
      </c>
      <c r="AD426" s="1398">
        <f t="shared" si="800"/>
        <v>0</v>
      </c>
      <c r="AE426" s="1398">
        <f t="shared" si="801"/>
        <v>0</v>
      </c>
      <c r="AF426" s="1398">
        <f t="shared" si="802"/>
        <v>0</v>
      </c>
      <c r="AG426" s="1398">
        <f t="shared" si="803"/>
        <v>0</v>
      </c>
      <c r="AH426" s="1396"/>
      <c r="AI426" s="462">
        <f t="shared" ref="AI426:AI447" si="848">IF(DC426="oui",0,IF(AND(ISTEXT(AT426)=TRUE,OR(X426=0,X426="")),0,ROUND(((((AA426-Z426)-(E426-D426))+((AC426-AB426)-(G426-F426))+((AE426-AD426)-(I426-H426))+(AG426-AF426)-(K426-J426))*24),2)))</f>
        <v>0</v>
      </c>
      <c r="AJ426" s="1112"/>
      <c r="AK426" s="1399"/>
      <c r="AL426" s="829">
        <f t="shared" si="805"/>
        <v>45940</v>
      </c>
      <c r="AM426" s="684">
        <f>IFERROR(IF(AND(AT426="",AR426&lt;&gt;S.CAL!$BJ$3,AR426&lt;&gt;S.CAL!$BJ$4,$AR$410="NON"),M426-BD426,IF(AND(AT426="",AR426&lt;&gt;S.CAL!$BJ$3,AR426&lt;&gt;S.CAL!$BJ$4,$AR$410="OUI"),X426-AI426,IF(AT426&lt;&gt;0,AT426,IF(OR(AR426=S.CAL!$BJ$3,AR426=S.CAL!$BJ$4),AR426,"")))),"")</f>
        <v>0</v>
      </c>
      <c r="AN426" s="1115"/>
      <c r="AO426" s="1116"/>
      <c r="AP426" s="684">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400">
        <f t="shared" si="825"/>
        <v>0</v>
      </c>
      <c r="AR426" s="1120"/>
      <c r="AS426" s="1396"/>
      <c r="AT426" s="1123"/>
      <c r="AU426" s="831"/>
      <c r="AV426" s="1392">
        <f t="shared" si="806"/>
        <v>45940</v>
      </c>
      <c r="AW426" s="1396"/>
      <c r="AX426" s="529">
        <f t="shared" si="826"/>
        <v>45940</v>
      </c>
      <c r="AY426" s="541">
        <f t="shared" si="827"/>
        <v>0</v>
      </c>
      <c r="AZ426" s="538" t="s">
        <v>146</v>
      </c>
      <c r="BA426" s="534">
        <f t="shared" si="828"/>
        <v>0</v>
      </c>
      <c r="BB426" s="567" t="str">
        <f t="shared" si="807"/>
        <v/>
      </c>
      <c r="BC426" s="541">
        <f t="shared" si="829"/>
        <v>0</v>
      </c>
      <c r="BD426" s="541">
        <f t="shared" si="830"/>
        <v>0</v>
      </c>
      <c r="BE426" s="750"/>
      <c r="BF426" s="532" t="str">
        <f t="shared" si="808"/>
        <v/>
      </c>
      <c r="BG426" s="532" t="str">
        <f t="shared" si="831"/>
        <v>oui</v>
      </c>
      <c r="BH426" s="395" t="str">
        <f t="shared" si="809"/>
        <v/>
      </c>
      <c r="BI426" s="24" t="str">
        <f t="shared" si="810"/>
        <v/>
      </c>
      <c r="BJ426" s="1404"/>
      <c r="BK426" s="1404"/>
      <c r="BL426" s="1404"/>
      <c r="BM426" s="1404"/>
      <c r="BN426" s="1404"/>
      <c r="BO426" s="1404"/>
      <c r="BP426" s="1404"/>
      <c r="BQ426" s="1404"/>
      <c r="BR426" s="1405"/>
      <c r="BS426" s="1392">
        <f t="shared" si="777"/>
        <v>45940</v>
      </c>
      <c r="BT426" s="1406" t="str">
        <f t="shared" si="839"/>
        <v/>
      </c>
      <c r="BU426" s="1404"/>
      <c r="BV426" s="1404"/>
      <c r="BW426" s="1404"/>
      <c r="BX426" s="1404"/>
      <c r="BY426" s="1404"/>
      <c r="BZ426" s="1404"/>
      <c r="CA426" s="1404"/>
      <c r="CB426" s="1404"/>
      <c r="CD426" s="1408">
        <f t="shared" si="832"/>
        <v>0</v>
      </c>
      <c r="DC426" s="16" t="str">
        <f>Octobre!FC29</f>
        <v>non</v>
      </c>
      <c r="DG426" s="333">
        <f t="shared" si="833"/>
        <v>1</v>
      </c>
      <c r="DH426" s="129">
        <f t="shared" si="811"/>
        <v>10</v>
      </c>
      <c r="DI426" s="129">
        <f t="shared" si="834"/>
        <v>1</v>
      </c>
      <c r="DK426" s="16">
        <f>+IF(AND(Octobre!$DP$8&lt;&gt;52,AR426=S.CAL!$BJ$4),10,1)</f>
        <v>1</v>
      </c>
      <c r="DN426" s="16">
        <f t="shared" si="812"/>
        <v>1</v>
      </c>
      <c r="DU426" s="1296" t="str">
        <f t="shared" si="835"/>
        <v>Fiche infoA545940</v>
      </c>
      <c r="DV426" s="1384">
        <f t="shared" si="813"/>
        <v>0</v>
      </c>
      <c r="DW426" s="1385">
        <f t="shared" si="814"/>
        <v>0</v>
      </c>
      <c r="DX426" s="1385">
        <f t="shared" si="815"/>
        <v>0</v>
      </c>
      <c r="DY426" s="1385">
        <f t="shared" si="816"/>
        <v>0</v>
      </c>
      <c r="DZ426" s="1385">
        <f t="shared" si="817"/>
        <v>0</v>
      </c>
      <c r="EA426" s="1385">
        <f t="shared" si="818"/>
        <v>0</v>
      </c>
      <c r="EB426" s="1385">
        <f t="shared" si="819"/>
        <v>0</v>
      </c>
      <c r="EC426" s="1385">
        <f t="shared" si="820"/>
        <v>0</v>
      </c>
      <c r="ED426" s="1385">
        <f t="shared" si="836"/>
        <v>0</v>
      </c>
      <c r="EE426" s="1386">
        <f t="shared" si="837"/>
        <v>0</v>
      </c>
      <c r="EG426" s="16" t="str">
        <f t="shared" si="838"/>
        <v>412025</v>
      </c>
      <c r="EH426" s="16" t="str">
        <f t="shared" si="821"/>
        <v>Fiche infoA5</v>
      </c>
      <c r="EI426" s="16" t="str">
        <f t="shared" si="822"/>
        <v/>
      </c>
    </row>
    <row r="427" spans="1:139" x14ac:dyDescent="0.2">
      <c r="A427" s="24" t="str">
        <f>Octobre!BJ30</f>
        <v>Fiche infoA6</v>
      </c>
      <c r="B427" s="829">
        <f>Octobre!AB30</f>
        <v>45941</v>
      </c>
      <c r="C427" s="1393"/>
      <c r="D427" s="1001">
        <f t="shared" si="778"/>
        <v>0</v>
      </c>
      <c r="E427" s="452">
        <f t="shared" si="779"/>
        <v>0</v>
      </c>
      <c r="F427" s="452">
        <f t="shared" si="780"/>
        <v>0</v>
      </c>
      <c r="G427" s="452">
        <f t="shared" si="781"/>
        <v>0</v>
      </c>
      <c r="H427" s="452">
        <f t="shared" si="782"/>
        <v>0</v>
      </c>
      <c r="I427" s="452">
        <f t="shared" si="783"/>
        <v>0</v>
      </c>
      <c r="J427" s="452">
        <f t="shared" si="784"/>
        <v>0</v>
      </c>
      <c r="K427" s="452">
        <f t="shared" si="785"/>
        <v>0</v>
      </c>
      <c r="L427" s="452">
        <f t="shared" si="823"/>
        <v>0</v>
      </c>
      <c r="M427" s="1002">
        <f t="shared" si="824"/>
        <v>0</v>
      </c>
      <c r="O427" s="1001">
        <f t="shared" si="840"/>
        <v>0</v>
      </c>
      <c r="P427" s="452">
        <f t="shared" si="841"/>
        <v>0</v>
      </c>
      <c r="Q427" s="452">
        <f t="shared" si="842"/>
        <v>0</v>
      </c>
      <c r="R427" s="452">
        <f t="shared" si="843"/>
        <v>0</v>
      </c>
      <c r="S427" s="452">
        <f t="shared" si="844"/>
        <v>0</v>
      </c>
      <c r="T427" s="452">
        <f t="shared" si="845"/>
        <v>0</v>
      </c>
      <c r="U427" s="452">
        <f t="shared" si="846"/>
        <v>0</v>
      </c>
      <c r="V427" s="452">
        <f t="shared" si="847"/>
        <v>0</v>
      </c>
      <c r="W427" s="452">
        <f t="shared" si="794"/>
        <v>0</v>
      </c>
      <c r="X427" s="1002">
        <f t="shared" si="795"/>
        <v>0</v>
      </c>
      <c r="Y427" s="459"/>
      <c r="Z427" s="291">
        <f t="shared" si="796"/>
        <v>0</v>
      </c>
      <c r="AA427" s="291">
        <f t="shared" si="797"/>
        <v>0</v>
      </c>
      <c r="AB427" s="291">
        <f t="shared" si="798"/>
        <v>0</v>
      </c>
      <c r="AC427" s="291">
        <f t="shared" si="799"/>
        <v>0</v>
      </c>
      <c r="AD427" s="291">
        <f t="shared" si="800"/>
        <v>0</v>
      </c>
      <c r="AE427" s="291">
        <f t="shared" si="801"/>
        <v>0</v>
      </c>
      <c r="AF427" s="291">
        <f t="shared" si="802"/>
        <v>0</v>
      </c>
      <c r="AG427" s="291">
        <f t="shared" si="803"/>
        <v>0</v>
      </c>
      <c r="AI427" s="462">
        <f t="shared" si="848"/>
        <v>0</v>
      </c>
      <c r="AJ427" s="1112"/>
      <c r="AK427" s="507"/>
      <c r="AL427" s="829">
        <f t="shared" si="805"/>
        <v>45941</v>
      </c>
      <c r="AM427" s="684">
        <f>IFERROR(IF(AND(AT427="",AR427&lt;&gt;S.CAL!$BJ$3,AR427&lt;&gt;S.CAL!$BJ$4,$AR$410="NON"),M427-BD427,IF(AND(AT427="",AR427&lt;&gt;S.CAL!$BJ$3,AR427&lt;&gt;S.CAL!$BJ$4,$AR$410="OUI"),X427-AI427,IF(AT427&lt;&gt;0,AT427,IF(OR(AR427=S.CAL!$BJ$3,AR427=S.CAL!$BJ$4),AR427,"")))),"")</f>
        <v>0</v>
      </c>
      <c r="AN427" s="1115"/>
      <c r="AO427" s="1116"/>
      <c r="AP427" s="684">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516">
        <f t="shared" si="825"/>
        <v>0</v>
      </c>
      <c r="AR427" s="1120"/>
      <c r="AT427" s="1123"/>
      <c r="AU427" s="831"/>
      <c r="AV427" s="1392">
        <f t="shared" si="806"/>
        <v>45941</v>
      </c>
      <c r="AX427" s="529">
        <f t="shared" si="826"/>
        <v>45941</v>
      </c>
      <c r="AY427" s="541">
        <f t="shared" si="827"/>
        <v>0</v>
      </c>
      <c r="AZ427" s="538" t="s">
        <v>146</v>
      </c>
      <c r="BA427" s="534">
        <f t="shared" si="828"/>
        <v>0</v>
      </c>
      <c r="BB427" s="567" t="str">
        <f t="shared" si="807"/>
        <v/>
      </c>
      <c r="BC427" s="541">
        <f t="shared" si="829"/>
        <v>0</v>
      </c>
      <c r="BD427" s="541">
        <f t="shared" si="830"/>
        <v>0</v>
      </c>
      <c r="BE427" s="750"/>
      <c r="BF427" s="532" t="str">
        <f t="shared" si="808"/>
        <v/>
      </c>
      <c r="BG427" s="532" t="str">
        <f t="shared" si="831"/>
        <v>oui</v>
      </c>
      <c r="BH427" s="395" t="str">
        <f t="shared" si="809"/>
        <v/>
      </c>
      <c r="BI427" s="24" t="str">
        <f t="shared" si="810"/>
        <v/>
      </c>
      <c r="BJ427" s="1403"/>
      <c r="BK427" s="1403"/>
      <c r="BL427" s="1403"/>
      <c r="BM427" s="1403"/>
      <c r="BN427" s="1403"/>
      <c r="BO427" s="1403"/>
      <c r="BP427" s="1403"/>
      <c r="BQ427" s="1403"/>
      <c r="BS427" s="1392">
        <f t="shared" si="777"/>
        <v>45941</v>
      </c>
      <c r="BT427" s="27" t="str">
        <f t="shared" si="839"/>
        <v/>
      </c>
      <c r="BU427" s="1402"/>
      <c r="BV427" s="1402"/>
      <c r="BW427" s="1402"/>
      <c r="BX427" s="1402"/>
      <c r="BY427" s="1402"/>
      <c r="BZ427" s="1402"/>
      <c r="CA427" s="1402"/>
      <c r="CB427" s="1402"/>
      <c r="CD427" s="1408">
        <f t="shared" si="832"/>
        <v>0</v>
      </c>
      <c r="DC427" s="16" t="str">
        <f>Octobre!FC30</f>
        <v>non</v>
      </c>
      <c r="DG427" s="333">
        <f t="shared" si="833"/>
        <v>1</v>
      </c>
      <c r="DH427" s="129">
        <f t="shared" si="811"/>
        <v>10</v>
      </c>
      <c r="DI427" s="129">
        <f t="shared" si="834"/>
        <v>1</v>
      </c>
      <c r="DK427" s="16">
        <f>+IF(AND(Octobre!$DP$8&lt;&gt;52,AR427=S.CAL!$BJ$4),10,1)</f>
        <v>1</v>
      </c>
      <c r="DN427" s="16">
        <f t="shared" si="812"/>
        <v>1</v>
      </c>
      <c r="DU427" s="1296" t="str">
        <f t="shared" si="835"/>
        <v>Fiche infoA645941</v>
      </c>
      <c r="DV427" s="1384">
        <f t="shared" si="813"/>
        <v>0</v>
      </c>
      <c r="DW427" s="1385">
        <f t="shared" si="814"/>
        <v>0</v>
      </c>
      <c r="DX427" s="1385">
        <f t="shared" si="815"/>
        <v>0</v>
      </c>
      <c r="DY427" s="1385">
        <f t="shared" si="816"/>
        <v>0</v>
      </c>
      <c r="DZ427" s="1385">
        <f t="shared" si="817"/>
        <v>0</v>
      </c>
      <c r="EA427" s="1385">
        <f t="shared" si="818"/>
        <v>0</v>
      </c>
      <c r="EB427" s="1385">
        <f t="shared" si="819"/>
        <v>0</v>
      </c>
      <c r="EC427" s="1385">
        <f t="shared" si="820"/>
        <v>0</v>
      </c>
      <c r="ED427" s="1385">
        <f t="shared" si="836"/>
        <v>0</v>
      </c>
      <c r="EE427" s="1386">
        <f t="shared" si="837"/>
        <v>0</v>
      </c>
      <c r="EG427" s="16" t="str">
        <f t="shared" si="838"/>
        <v>412025</v>
      </c>
      <c r="EH427" s="16" t="str">
        <f t="shared" si="821"/>
        <v>Fiche infoA6</v>
      </c>
      <c r="EI427" s="16" t="str">
        <f t="shared" si="822"/>
        <v/>
      </c>
    </row>
    <row r="428" spans="1:139" x14ac:dyDescent="0.2">
      <c r="A428" s="1395" t="str">
        <f>Octobre!BJ31</f>
        <v>Fiche infoA7</v>
      </c>
      <c r="B428" s="829">
        <f>Octobre!AB31</f>
        <v>45942</v>
      </c>
      <c r="C428" s="1394"/>
      <c r="D428" s="1001">
        <f t="shared" si="778"/>
        <v>0</v>
      </c>
      <c r="E428" s="452">
        <f t="shared" si="779"/>
        <v>0</v>
      </c>
      <c r="F428" s="452">
        <f t="shared" si="780"/>
        <v>0</v>
      </c>
      <c r="G428" s="452">
        <f t="shared" si="781"/>
        <v>0</v>
      </c>
      <c r="H428" s="452">
        <f t="shared" si="782"/>
        <v>0</v>
      </c>
      <c r="I428" s="452">
        <f t="shared" si="783"/>
        <v>0</v>
      </c>
      <c r="J428" s="452">
        <f t="shared" si="784"/>
        <v>0</v>
      </c>
      <c r="K428" s="452">
        <f t="shared" si="785"/>
        <v>0</v>
      </c>
      <c r="L428" s="452">
        <f t="shared" si="823"/>
        <v>0</v>
      </c>
      <c r="M428" s="1002">
        <f t="shared" si="824"/>
        <v>0</v>
      </c>
      <c r="N428" s="1396"/>
      <c r="O428" s="1001">
        <f t="shared" si="840"/>
        <v>0</v>
      </c>
      <c r="P428" s="452">
        <f t="shared" si="841"/>
        <v>0</v>
      </c>
      <c r="Q428" s="452">
        <f t="shared" si="842"/>
        <v>0</v>
      </c>
      <c r="R428" s="452">
        <f t="shared" si="843"/>
        <v>0</v>
      </c>
      <c r="S428" s="452">
        <f t="shared" si="844"/>
        <v>0</v>
      </c>
      <c r="T428" s="452">
        <f t="shared" si="845"/>
        <v>0</v>
      </c>
      <c r="U428" s="452">
        <f t="shared" si="846"/>
        <v>0</v>
      </c>
      <c r="V428" s="452">
        <f t="shared" si="847"/>
        <v>0</v>
      </c>
      <c r="W428" s="452">
        <f t="shared" si="794"/>
        <v>0</v>
      </c>
      <c r="X428" s="1002">
        <f t="shared" si="795"/>
        <v>0</v>
      </c>
      <c r="Y428" s="1397"/>
      <c r="Z428" s="1398">
        <f t="shared" si="796"/>
        <v>0</v>
      </c>
      <c r="AA428" s="1398">
        <f t="shared" si="797"/>
        <v>0</v>
      </c>
      <c r="AB428" s="1398">
        <f t="shared" si="798"/>
        <v>0</v>
      </c>
      <c r="AC428" s="1398">
        <f t="shared" si="799"/>
        <v>0</v>
      </c>
      <c r="AD428" s="1398">
        <f t="shared" si="800"/>
        <v>0</v>
      </c>
      <c r="AE428" s="1398">
        <f t="shared" si="801"/>
        <v>0</v>
      </c>
      <c r="AF428" s="1398">
        <f t="shared" si="802"/>
        <v>0</v>
      </c>
      <c r="AG428" s="1398">
        <f t="shared" si="803"/>
        <v>0</v>
      </c>
      <c r="AH428" s="1396"/>
      <c r="AI428" s="462">
        <f t="shared" si="848"/>
        <v>0</v>
      </c>
      <c r="AJ428" s="1112"/>
      <c r="AK428" s="1399"/>
      <c r="AL428" s="829">
        <f t="shared" si="805"/>
        <v>45942</v>
      </c>
      <c r="AM428" s="684">
        <f>IFERROR(IF(AND(AT428="",AR428&lt;&gt;S.CAL!$BJ$3,AR428&lt;&gt;S.CAL!$BJ$4,$AR$410="NON"),M428-BD428,IF(AND(AT428="",AR428&lt;&gt;S.CAL!$BJ$3,AR428&lt;&gt;S.CAL!$BJ$4,$AR$410="OUI"),X428-AI428,IF(AT428&lt;&gt;0,AT428,IF(OR(AR428=S.CAL!$BJ$3,AR428=S.CAL!$BJ$4),AR428,"")))),"")</f>
        <v>0</v>
      </c>
      <c r="AN428" s="1115"/>
      <c r="AO428" s="1116"/>
      <c r="AP428" s="684">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400">
        <f t="shared" si="825"/>
        <v>0</v>
      </c>
      <c r="AR428" s="1120"/>
      <c r="AS428" s="1396"/>
      <c r="AT428" s="1123"/>
      <c r="AU428" s="831"/>
      <c r="AV428" s="1392">
        <f t="shared" si="806"/>
        <v>45942</v>
      </c>
      <c r="AW428" s="1396"/>
      <c r="AX428" s="529">
        <f t="shared" si="826"/>
        <v>45942</v>
      </c>
      <c r="AY428" s="541">
        <f t="shared" si="827"/>
        <v>0</v>
      </c>
      <c r="AZ428" s="538" t="s">
        <v>146</v>
      </c>
      <c r="BA428" s="534">
        <f t="shared" si="828"/>
        <v>0</v>
      </c>
      <c r="BB428" s="567" t="str">
        <f t="shared" si="807"/>
        <v/>
      </c>
      <c r="BC428" s="541">
        <f t="shared" si="829"/>
        <v>0</v>
      </c>
      <c r="BD428" s="541">
        <f t="shared" si="830"/>
        <v>0</v>
      </c>
      <c r="BE428" s="750"/>
      <c r="BF428" s="532" t="str">
        <f t="shared" si="808"/>
        <v/>
      </c>
      <c r="BG428" s="532" t="str">
        <f t="shared" si="831"/>
        <v>oui</v>
      </c>
      <c r="BH428" s="395" t="str">
        <f t="shared" si="809"/>
        <v/>
      </c>
      <c r="BI428" s="24" t="str">
        <f t="shared" si="810"/>
        <v/>
      </c>
      <c r="BJ428" s="1404"/>
      <c r="BK428" s="1404"/>
      <c r="BL428" s="1404"/>
      <c r="BM428" s="1404"/>
      <c r="BN428" s="1404"/>
      <c r="BO428" s="1404"/>
      <c r="BP428" s="1404"/>
      <c r="BQ428" s="1404"/>
      <c r="BR428" s="1405"/>
      <c r="BS428" s="1392">
        <f t="shared" si="777"/>
        <v>45942</v>
      </c>
      <c r="BT428" s="1406" t="str">
        <f t="shared" si="839"/>
        <v/>
      </c>
      <c r="BU428" s="1404"/>
      <c r="BV428" s="1404"/>
      <c r="BW428" s="1404"/>
      <c r="BX428" s="1404"/>
      <c r="BY428" s="1404"/>
      <c r="BZ428" s="1404"/>
      <c r="CA428" s="1404"/>
      <c r="CB428" s="1404"/>
      <c r="CD428" s="1408">
        <f t="shared" si="832"/>
        <v>0</v>
      </c>
      <c r="DC428" s="16" t="str">
        <f>Octobre!FC31</f>
        <v>non</v>
      </c>
      <c r="DG428" s="333">
        <f t="shared" si="833"/>
        <v>1</v>
      </c>
      <c r="DH428" s="129">
        <f t="shared" si="811"/>
        <v>10</v>
      </c>
      <c r="DI428" s="129">
        <f t="shared" si="834"/>
        <v>1</v>
      </c>
      <c r="DK428" s="16">
        <f>+IF(AND(Octobre!$DP$8&lt;&gt;52,AR428=S.CAL!$BJ$4),10,1)</f>
        <v>1</v>
      </c>
      <c r="DN428" s="16">
        <f t="shared" si="812"/>
        <v>1</v>
      </c>
      <c r="DU428" s="1296" t="str">
        <f t="shared" si="835"/>
        <v>Fiche infoA745942</v>
      </c>
      <c r="DV428" s="1384">
        <f t="shared" si="813"/>
        <v>0</v>
      </c>
      <c r="DW428" s="1385">
        <f t="shared" si="814"/>
        <v>0</v>
      </c>
      <c r="DX428" s="1385">
        <f t="shared" si="815"/>
        <v>0</v>
      </c>
      <c r="DY428" s="1385">
        <f t="shared" si="816"/>
        <v>0</v>
      </c>
      <c r="DZ428" s="1385">
        <f t="shared" si="817"/>
        <v>0</v>
      </c>
      <c r="EA428" s="1385">
        <f t="shared" si="818"/>
        <v>0</v>
      </c>
      <c r="EB428" s="1385">
        <f t="shared" si="819"/>
        <v>0</v>
      </c>
      <c r="EC428" s="1385">
        <f t="shared" si="820"/>
        <v>0</v>
      </c>
      <c r="ED428" s="1385">
        <f t="shared" si="836"/>
        <v>0</v>
      </c>
      <c r="EE428" s="1386">
        <f t="shared" si="837"/>
        <v>0</v>
      </c>
      <c r="EG428" s="16" t="str">
        <f t="shared" si="838"/>
        <v>412025</v>
      </c>
      <c r="EH428" s="16" t="str">
        <f t="shared" si="821"/>
        <v>Fiche infoA7</v>
      </c>
      <c r="EI428" s="16" t="str">
        <f t="shared" si="822"/>
        <v/>
      </c>
    </row>
    <row r="429" spans="1:139" x14ac:dyDescent="0.2">
      <c r="A429" s="24" t="str">
        <f>Octobre!BJ32</f>
        <v>Fiche infoA1</v>
      </c>
      <c r="B429" s="829">
        <f>Octobre!AB32</f>
        <v>45943</v>
      </c>
      <c r="C429" s="1393"/>
      <c r="D429" s="1001">
        <f t="shared" si="778"/>
        <v>0</v>
      </c>
      <c r="E429" s="452">
        <f t="shared" si="779"/>
        <v>0</v>
      </c>
      <c r="F429" s="452">
        <f t="shared" si="780"/>
        <v>0</v>
      </c>
      <c r="G429" s="452">
        <f t="shared" si="781"/>
        <v>0</v>
      </c>
      <c r="H429" s="452">
        <f t="shared" si="782"/>
        <v>0</v>
      </c>
      <c r="I429" s="452">
        <f t="shared" si="783"/>
        <v>0</v>
      </c>
      <c r="J429" s="452">
        <f t="shared" si="784"/>
        <v>0</v>
      </c>
      <c r="K429" s="452">
        <f t="shared" si="785"/>
        <v>0</v>
      </c>
      <c r="L429" s="452">
        <f t="shared" si="823"/>
        <v>0</v>
      </c>
      <c r="M429" s="1002">
        <f t="shared" si="824"/>
        <v>0</v>
      </c>
      <c r="O429" s="1001">
        <f t="shared" si="840"/>
        <v>0</v>
      </c>
      <c r="P429" s="452">
        <f t="shared" si="841"/>
        <v>0</v>
      </c>
      <c r="Q429" s="452">
        <f t="shared" si="842"/>
        <v>0</v>
      </c>
      <c r="R429" s="452">
        <f t="shared" si="843"/>
        <v>0</v>
      </c>
      <c r="S429" s="452">
        <f t="shared" si="844"/>
        <v>0</v>
      </c>
      <c r="T429" s="452">
        <f t="shared" si="845"/>
        <v>0</v>
      </c>
      <c r="U429" s="452">
        <f t="shared" si="846"/>
        <v>0</v>
      </c>
      <c r="V429" s="452">
        <f t="shared" si="847"/>
        <v>0</v>
      </c>
      <c r="W429" s="452">
        <f t="shared" si="794"/>
        <v>0</v>
      </c>
      <c r="X429" s="1002">
        <f t="shared" si="795"/>
        <v>0</v>
      </c>
      <c r="Y429" s="459"/>
      <c r="Z429" s="291">
        <f t="shared" si="796"/>
        <v>0</v>
      </c>
      <c r="AA429" s="291">
        <f t="shared" si="797"/>
        <v>0</v>
      </c>
      <c r="AB429" s="291">
        <f t="shared" si="798"/>
        <v>0</v>
      </c>
      <c r="AC429" s="291">
        <f t="shared" si="799"/>
        <v>0</v>
      </c>
      <c r="AD429" s="291">
        <f t="shared" si="800"/>
        <v>0</v>
      </c>
      <c r="AE429" s="291">
        <f t="shared" si="801"/>
        <v>0</v>
      </c>
      <c r="AF429" s="291">
        <f t="shared" si="802"/>
        <v>0</v>
      </c>
      <c r="AG429" s="291">
        <f t="shared" si="803"/>
        <v>0</v>
      </c>
      <c r="AI429" s="462">
        <f t="shared" si="848"/>
        <v>0</v>
      </c>
      <c r="AJ429" s="1112"/>
      <c r="AK429" s="507"/>
      <c r="AL429" s="829">
        <f t="shared" si="805"/>
        <v>45943</v>
      </c>
      <c r="AM429" s="684">
        <f>IFERROR(IF(AND(AT429="",AR429&lt;&gt;S.CAL!$BJ$3,AR429&lt;&gt;S.CAL!$BJ$4,$AR$410="NON"),M429-BD429,IF(AND(AT429="",AR429&lt;&gt;S.CAL!$BJ$3,AR429&lt;&gt;S.CAL!$BJ$4,$AR$410="OUI"),X429-AI429,IF(AT429&lt;&gt;0,AT429,IF(OR(AR429=S.CAL!$BJ$3,AR429=S.CAL!$BJ$4),AR429,"")))),"")</f>
        <v>0</v>
      </c>
      <c r="AN429" s="1115"/>
      <c r="AO429" s="1116"/>
      <c r="AP429" s="684">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516">
        <f t="shared" si="825"/>
        <v>0</v>
      </c>
      <c r="AR429" s="1120"/>
      <c r="AT429" s="1123"/>
      <c r="AU429" s="831"/>
      <c r="AV429" s="1392">
        <f t="shared" si="806"/>
        <v>45943</v>
      </c>
      <c r="AX429" s="529">
        <f t="shared" si="826"/>
        <v>45943</v>
      </c>
      <c r="AY429" s="541">
        <f t="shared" si="827"/>
        <v>0</v>
      </c>
      <c r="AZ429" s="538" t="s">
        <v>146</v>
      </c>
      <c r="BA429" s="534">
        <f t="shared" si="828"/>
        <v>0</v>
      </c>
      <c r="BB429" s="567" t="str">
        <f t="shared" si="807"/>
        <v/>
      </c>
      <c r="BC429" s="541">
        <f t="shared" si="829"/>
        <v>0</v>
      </c>
      <c r="BD429" s="541">
        <f t="shared" si="830"/>
        <v>0</v>
      </c>
      <c r="BE429" s="750"/>
      <c r="BF429" s="532" t="str">
        <f t="shared" si="808"/>
        <v/>
      </c>
      <c r="BG429" s="532" t="str">
        <f t="shared" si="831"/>
        <v>oui</v>
      </c>
      <c r="BH429" s="395" t="str">
        <f t="shared" si="809"/>
        <v/>
      </c>
      <c r="BI429" s="24" t="str">
        <f t="shared" si="810"/>
        <v/>
      </c>
      <c r="BJ429" s="1403"/>
      <c r="BK429" s="1403"/>
      <c r="BL429" s="1403"/>
      <c r="BM429" s="1403"/>
      <c r="BN429" s="1403"/>
      <c r="BO429" s="1403"/>
      <c r="BP429" s="1403"/>
      <c r="BQ429" s="1403"/>
      <c r="BS429" s="1392">
        <f t="shared" si="777"/>
        <v>45943</v>
      </c>
      <c r="BT429" s="27">
        <f t="shared" si="839"/>
        <v>42</v>
      </c>
      <c r="BU429" s="1402"/>
      <c r="BV429" s="1402"/>
      <c r="BW429" s="1402"/>
      <c r="BX429" s="1402"/>
      <c r="BY429" s="1402"/>
      <c r="BZ429" s="1402"/>
      <c r="CA429" s="1402"/>
      <c r="CB429" s="1402"/>
      <c r="CD429" s="1408">
        <f t="shared" si="832"/>
        <v>0</v>
      </c>
      <c r="DC429" s="16" t="str">
        <f>Octobre!FC32</f>
        <v>non</v>
      </c>
      <c r="DG429" s="333">
        <f t="shared" si="833"/>
        <v>1</v>
      </c>
      <c r="DH429" s="129">
        <f t="shared" si="811"/>
        <v>10</v>
      </c>
      <c r="DI429" s="129">
        <f t="shared" si="834"/>
        <v>1</v>
      </c>
      <c r="DK429" s="16">
        <f>+IF(AND(Octobre!$DP$8&lt;&gt;52,AR429=S.CAL!$BJ$4),10,1)</f>
        <v>1</v>
      </c>
      <c r="DN429" s="16">
        <f t="shared" si="812"/>
        <v>1</v>
      </c>
      <c r="DU429" s="1296" t="str">
        <f t="shared" si="835"/>
        <v>Fiche infoA145943</v>
      </c>
      <c r="DV429" s="1384">
        <f t="shared" si="813"/>
        <v>0</v>
      </c>
      <c r="DW429" s="1385">
        <f t="shared" si="814"/>
        <v>0</v>
      </c>
      <c r="DX429" s="1385">
        <f t="shared" si="815"/>
        <v>0</v>
      </c>
      <c r="DY429" s="1385">
        <f t="shared" si="816"/>
        <v>0</v>
      </c>
      <c r="DZ429" s="1385">
        <f t="shared" si="817"/>
        <v>0</v>
      </c>
      <c r="EA429" s="1385">
        <f t="shared" si="818"/>
        <v>0</v>
      </c>
      <c r="EB429" s="1385">
        <f t="shared" si="819"/>
        <v>0</v>
      </c>
      <c r="EC429" s="1385">
        <f t="shared" si="820"/>
        <v>0</v>
      </c>
      <c r="ED429" s="1385">
        <f t="shared" si="836"/>
        <v>0</v>
      </c>
      <c r="EE429" s="1386">
        <f t="shared" si="837"/>
        <v>0</v>
      </c>
      <c r="EG429" s="16" t="str">
        <f t="shared" si="838"/>
        <v>422025</v>
      </c>
      <c r="EH429" s="16" t="str">
        <f t="shared" si="821"/>
        <v>Fiche infoA1</v>
      </c>
      <c r="EI429" s="16" t="str">
        <f t="shared" si="822"/>
        <v/>
      </c>
    </row>
    <row r="430" spans="1:139" x14ac:dyDescent="0.2">
      <c r="A430" s="1395" t="str">
        <f>Octobre!BJ33</f>
        <v>Fiche infoA2</v>
      </c>
      <c r="B430" s="829">
        <f>Octobre!AB33</f>
        <v>45944</v>
      </c>
      <c r="C430" s="1394"/>
      <c r="D430" s="1001">
        <f t="shared" si="778"/>
        <v>0</v>
      </c>
      <c r="E430" s="452">
        <f t="shared" si="779"/>
        <v>0</v>
      </c>
      <c r="F430" s="452">
        <f t="shared" si="780"/>
        <v>0</v>
      </c>
      <c r="G430" s="452">
        <f t="shared" si="781"/>
        <v>0</v>
      </c>
      <c r="H430" s="452">
        <f t="shared" si="782"/>
        <v>0</v>
      </c>
      <c r="I430" s="452">
        <f t="shared" si="783"/>
        <v>0</v>
      </c>
      <c r="J430" s="452">
        <f t="shared" si="784"/>
        <v>0</v>
      </c>
      <c r="K430" s="452">
        <f t="shared" si="785"/>
        <v>0</v>
      </c>
      <c r="L430" s="452">
        <f t="shared" si="823"/>
        <v>0</v>
      </c>
      <c r="M430" s="1002">
        <f t="shared" si="824"/>
        <v>0</v>
      </c>
      <c r="N430" s="1396"/>
      <c r="O430" s="1001">
        <f t="shared" si="840"/>
        <v>0</v>
      </c>
      <c r="P430" s="452">
        <f t="shared" si="841"/>
        <v>0</v>
      </c>
      <c r="Q430" s="452">
        <f t="shared" si="842"/>
        <v>0</v>
      </c>
      <c r="R430" s="452">
        <f t="shared" si="843"/>
        <v>0</v>
      </c>
      <c r="S430" s="452">
        <f t="shared" si="844"/>
        <v>0</v>
      </c>
      <c r="T430" s="452">
        <f t="shared" si="845"/>
        <v>0</v>
      </c>
      <c r="U430" s="452">
        <f t="shared" si="846"/>
        <v>0</v>
      </c>
      <c r="V430" s="452">
        <f t="shared" si="847"/>
        <v>0</v>
      </c>
      <c r="W430" s="452">
        <f t="shared" si="794"/>
        <v>0</v>
      </c>
      <c r="X430" s="1002">
        <f t="shared" si="795"/>
        <v>0</v>
      </c>
      <c r="Y430" s="1397"/>
      <c r="Z430" s="1398">
        <f t="shared" si="796"/>
        <v>0</v>
      </c>
      <c r="AA430" s="1398">
        <f t="shared" si="797"/>
        <v>0</v>
      </c>
      <c r="AB430" s="1398">
        <f t="shared" si="798"/>
        <v>0</v>
      </c>
      <c r="AC430" s="1398">
        <f t="shared" si="799"/>
        <v>0</v>
      </c>
      <c r="AD430" s="1398">
        <f t="shared" si="800"/>
        <v>0</v>
      </c>
      <c r="AE430" s="1398">
        <f t="shared" si="801"/>
        <v>0</v>
      </c>
      <c r="AF430" s="1398">
        <f t="shared" si="802"/>
        <v>0</v>
      </c>
      <c r="AG430" s="1398">
        <f t="shared" si="803"/>
        <v>0</v>
      </c>
      <c r="AH430" s="1396"/>
      <c r="AI430" s="462">
        <f t="shared" si="848"/>
        <v>0</v>
      </c>
      <c r="AJ430" s="1112"/>
      <c r="AK430" s="1399"/>
      <c r="AL430" s="829">
        <f t="shared" si="805"/>
        <v>45944</v>
      </c>
      <c r="AM430" s="684">
        <f>IFERROR(IF(AND(AT430="",AR430&lt;&gt;S.CAL!$BJ$3,AR430&lt;&gt;S.CAL!$BJ$4,$AR$410="NON"),M430-BD430,IF(AND(AT430="",AR430&lt;&gt;S.CAL!$BJ$3,AR430&lt;&gt;S.CAL!$BJ$4,$AR$410="OUI"),X430-AI430,IF(AT430&lt;&gt;0,AT430,IF(OR(AR430=S.CAL!$BJ$3,AR430=S.CAL!$BJ$4),AR430,"")))),"")</f>
        <v>0</v>
      </c>
      <c r="AN430" s="1115"/>
      <c r="AO430" s="1116"/>
      <c r="AP430" s="684">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400">
        <f t="shared" si="825"/>
        <v>0</v>
      </c>
      <c r="AR430" s="1120"/>
      <c r="AS430" s="1396"/>
      <c r="AT430" s="1123"/>
      <c r="AU430" s="831"/>
      <c r="AV430" s="1392">
        <f t="shared" si="806"/>
        <v>45944</v>
      </c>
      <c r="AW430" s="1396"/>
      <c r="AX430" s="529">
        <f t="shared" si="826"/>
        <v>45944</v>
      </c>
      <c r="AY430" s="541">
        <f t="shared" si="827"/>
        <v>0</v>
      </c>
      <c r="AZ430" s="538" t="s">
        <v>146</v>
      </c>
      <c r="BA430" s="534">
        <f t="shared" si="828"/>
        <v>0</v>
      </c>
      <c r="BB430" s="567" t="str">
        <f t="shared" si="807"/>
        <v/>
      </c>
      <c r="BC430" s="541">
        <f t="shared" si="829"/>
        <v>0</v>
      </c>
      <c r="BD430" s="541">
        <f t="shared" si="830"/>
        <v>0</v>
      </c>
      <c r="BE430" s="750"/>
      <c r="BF430" s="532" t="str">
        <f t="shared" si="808"/>
        <v/>
      </c>
      <c r="BG430" s="532" t="str">
        <f t="shared" si="831"/>
        <v>oui</v>
      </c>
      <c r="BH430" s="395" t="str">
        <f t="shared" si="809"/>
        <v/>
      </c>
      <c r="BI430" s="24" t="str">
        <f t="shared" si="810"/>
        <v/>
      </c>
      <c r="BJ430" s="1404"/>
      <c r="BK430" s="1404"/>
      <c r="BL430" s="1404"/>
      <c r="BM430" s="1404"/>
      <c r="BN430" s="1404"/>
      <c r="BO430" s="1404"/>
      <c r="BP430" s="1404"/>
      <c r="BQ430" s="1404"/>
      <c r="BR430" s="1405"/>
      <c r="BS430" s="1392">
        <f t="shared" si="777"/>
        <v>45944</v>
      </c>
      <c r="BT430" s="1406" t="str">
        <f t="shared" si="839"/>
        <v/>
      </c>
      <c r="BU430" s="1404"/>
      <c r="BV430" s="1404"/>
      <c r="BW430" s="1404"/>
      <c r="BX430" s="1404"/>
      <c r="BY430" s="1404"/>
      <c r="BZ430" s="1404"/>
      <c r="CA430" s="1404"/>
      <c r="CB430" s="1404"/>
      <c r="CD430" s="1408">
        <f t="shared" si="832"/>
        <v>0</v>
      </c>
      <c r="DC430" s="16" t="str">
        <f>Octobre!FC33</f>
        <v>non</v>
      </c>
      <c r="DG430" s="333">
        <f t="shared" si="833"/>
        <v>1</v>
      </c>
      <c r="DH430" s="129">
        <f t="shared" si="811"/>
        <v>10</v>
      </c>
      <c r="DI430" s="129">
        <f t="shared" si="834"/>
        <v>1</v>
      </c>
      <c r="DK430" s="16">
        <f>+IF(AND(Octobre!$DP$8&lt;&gt;52,AR430=S.CAL!$BJ$4),10,1)</f>
        <v>1</v>
      </c>
      <c r="DN430" s="16">
        <f t="shared" si="812"/>
        <v>1</v>
      </c>
      <c r="DU430" s="1296" t="str">
        <f t="shared" si="835"/>
        <v>Fiche infoA245944</v>
      </c>
      <c r="DV430" s="1384">
        <f t="shared" si="813"/>
        <v>0</v>
      </c>
      <c r="DW430" s="1385">
        <f t="shared" si="814"/>
        <v>0</v>
      </c>
      <c r="DX430" s="1385">
        <f t="shared" si="815"/>
        <v>0</v>
      </c>
      <c r="DY430" s="1385">
        <f t="shared" si="816"/>
        <v>0</v>
      </c>
      <c r="DZ430" s="1385">
        <f t="shared" si="817"/>
        <v>0</v>
      </c>
      <c r="EA430" s="1385">
        <f t="shared" si="818"/>
        <v>0</v>
      </c>
      <c r="EB430" s="1385">
        <f t="shared" si="819"/>
        <v>0</v>
      </c>
      <c r="EC430" s="1385">
        <f t="shared" si="820"/>
        <v>0</v>
      </c>
      <c r="ED430" s="1385">
        <f t="shared" si="836"/>
        <v>0</v>
      </c>
      <c r="EE430" s="1386">
        <f t="shared" si="837"/>
        <v>0</v>
      </c>
      <c r="EG430" s="16" t="str">
        <f t="shared" si="838"/>
        <v>422025</v>
      </c>
      <c r="EH430" s="16" t="str">
        <f t="shared" si="821"/>
        <v>Fiche infoA2</v>
      </c>
      <c r="EI430" s="16" t="str">
        <f t="shared" si="822"/>
        <v/>
      </c>
    </row>
    <row r="431" spans="1:139" x14ac:dyDescent="0.2">
      <c r="A431" s="24" t="str">
        <f>Octobre!BJ34</f>
        <v>Fiche infoA3</v>
      </c>
      <c r="B431" s="829">
        <f>Octobre!AB34</f>
        <v>45945</v>
      </c>
      <c r="C431" s="1393"/>
      <c r="D431" s="1001">
        <f t="shared" si="778"/>
        <v>0</v>
      </c>
      <c r="E431" s="452">
        <f t="shared" si="779"/>
        <v>0</v>
      </c>
      <c r="F431" s="452">
        <f t="shared" si="780"/>
        <v>0</v>
      </c>
      <c r="G431" s="452">
        <f t="shared" si="781"/>
        <v>0</v>
      </c>
      <c r="H431" s="452">
        <f t="shared" si="782"/>
        <v>0</v>
      </c>
      <c r="I431" s="452">
        <f t="shared" si="783"/>
        <v>0</v>
      </c>
      <c r="J431" s="452">
        <f t="shared" si="784"/>
        <v>0</v>
      </c>
      <c r="K431" s="452">
        <f t="shared" si="785"/>
        <v>0</v>
      </c>
      <c r="L431" s="452">
        <f t="shared" si="823"/>
        <v>0</v>
      </c>
      <c r="M431" s="1002">
        <f t="shared" si="824"/>
        <v>0</v>
      </c>
      <c r="O431" s="1001">
        <f t="shared" si="840"/>
        <v>0</v>
      </c>
      <c r="P431" s="452">
        <f t="shared" si="841"/>
        <v>0</v>
      </c>
      <c r="Q431" s="452">
        <f t="shared" si="842"/>
        <v>0</v>
      </c>
      <c r="R431" s="452">
        <f t="shared" si="843"/>
        <v>0</v>
      </c>
      <c r="S431" s="452">
        <f t="shared" si="844"/>
        <v>0</v>
      </c>
      <c r="T431" s="452">
        <f t="shared" si="845"/>
        <v>0</v>
      </c>
      <c r="U431" s="452">
        <f t="shared" si="846"/>
        <v>0</v>
      </c>
      <c r="V431" s="452">
        <f t="shared" si="847"/>
        <v>0</v>
      </c>
      <c r="W431" s="452">
        <f t="shared" si="794"/>
        <v>0</v>
      </c>
      <c r="X431" s="1002">
        <f t="shared" si="795"/>
        <v>0</v>
      </c>
      <c r="Y431" s="459"/>
      <c r="Z431" s="291">
        <f t="shared" si="796"/>
        <v>0</v>
      </c>
      <c r="AA431" s="291">
        <f t="shared" si="797"/>
        <v>0</v>
      </c>
      <c r="AB431" s="291">
        <f t="shared" si="798"/>
        <v>0</v>
      </c>
      <c r="AC431" s="291">
        <f t="shared" si="799"/>
        <v>0</v>
      </c>
      <c r="AD431" s="291">
        <f t="shared" si="800"/>
        <v>0</v>
      </c>
      <c r="AE431" s="291">
        <f t="shared" si="801"/>
        <v>0</v>
      </c>
      <c r="AF431" s="291">
        <f t="shared" si="802"/>
        <v>0</v>
      </c>
      <c r="AG431" s="291">
        <f t="shared" si="803"/>
        <v>0</v>
      </c>
      <c r="AI431" s="462">
        <f t="shared" si="848"/>
        <v>0</v>
      </c>
      <c r="AJ431" s="1112"/>
      <c r="AK431" s="507"/>
      <c r="AL431" s="829">
        <f t="shared" si="805"/>
        <v>45945</v>
      </c>
      <c r="AM431" s="684">
        <f>IFERROR(IF(AND(AT431="",AR431&lt;&gt;S.CAL!$BJ$3,AR431&lt;&gt;S.CAL!$BJ$4,$AR$410="NON"),M431-BD431,IF(AND(AT431="",AR431&lt;&gt;S.CAL!$BJ$3,AR431&lt;&gt;S.CAL!$BJ$4,$AR$410="OUI"),X431-AI431,IF(AT431&lt;&gt;0,AT431,IF(OR(AR431=S.CAL!$BJ$3,AR431=S.CAL!$BJ$4),AR431,"")))),"")</f>
        <v>0</v>
      </c>
      <c r="AN431" s="1115"/>
      <c r="AO431" s="1116"/>
      <c r="AP431" s="684">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516">
        <f t="shared" si="825"/>
        <v>0</v>
      </c>
      <c r="AR431" s="1120"/>
      <c r="AT431" s="1123"/>
      <c r="AU431" s="831"/>
      <c r="AV431" s="1392">
        <f t="shared" si="806"/>
        <v>45945</v>
      </c>
      <c r="AX431" s="529">
        <f t="shared" si="826"/>
        <v>45945</v>
      </c>
      <c r="AY431" s="541">
        <f t="shared" si="827"/>
        <v>0</v>
      </c>
      <c r="AZ431" s="538" t="s">
        <v>146</v>
      </c>
      <c r="BA431" s="534">
        <f t="shared" si="828"/>
        <v>0</v>
      </c>
      <c r="BB431" s="567" t="str">
        <f t="shared" si="807"/>
        <v/>
      </c>
      <c r="BC431" s="541">
        <f t="shared" si="829"/>
        <v>0</v>
      </c>
      <c r="BD431" s="541">
        <f t="shared" si="830"/>
        <v>0</v>
      </c>
      <c r="BE431" s="750"/>
      <c r="BF431" s="532" t="str">
        <f t="shared" si="808"/>
        <v/>
      </c>
      <c r="BG431" s="532" t="str">
        <f t="shared" si="831"/>
        <v>oui</v>
      </c>
      <c r="BH431" s="395" t="str">
        <f t="shared" si="809"/>
        <v/>
      </c>
      <c r="BI431" s="24" t="str">
        <f t="shared" si="810"/>
        <v/>
      </c>
      <c r="BJ431" s="1403"/>
      <c r="BK431" s="1403"/>
      <c r="BL431" s="1403"/>
      <c r="BM431" s="1403"/>
      <c r="BN431" s="1403"/>
      <c r="BO431" s="1403"/>
      <c r="BP431" s="1403"/>
      <c r="BQ431" s="1403"/>
      <c r="BS431" s="1392">
        <f t="shared" si="777"/>
        <v>45945</v>
      </c>
      <c r="BT431" s="27" t="str">
        <f t="shared" si="839"/>
        <v/>
      </c>
      <c r="BU431" s="1402"/>
      <c r="BV431" s="1402"/>
      <c r="BW431" s="1402"/>
      <c r="BX431" s="1402"/>
      <c r="BY431" s="1402"/>
      <c r="BZ431" s="1402"/>
      <c r="CA431" s="1402"/>
      <c r="CB431" s="1402"/>
      <c r="CD431" s="1408">
        <f t="shared" si="832"/>
        <v>0</v>
      </c>
      <c r="DC431" s="16" t="str">
        <f>Octobre!FC34</f>
        <v>non</v>
      </c>
      <c r="DG431" s="333">
        <f t="shared" si="833"/>
        <v>1</v>
      </c>
      <c r="DH431" s="129">
        <f t="shared" si="811"/>
        <v>10</v>
      </c>
      <c r="DI431" s="129">
        <f t="shared" si="834"/>
        <v>1</v>
      </c>
      <c r="DK431" s="16">
        <f>+IF(AND(Octobre!$DP$8&lt;&gt;52,AR431=S.CAL!$BJ$4),10,1)</f>
        <v>1</v>
      </c>
      <c r="DN431" s="16">
        <f t="shared" si="812"/>
        <v>1</v>
      </c>
      <c r="DU431" s="1296" t="str">
        <f t="shared" si="835"/>
        <v>Fiche infoA345945</v>
      </c>
      <c r="DV431" s="1384">
        <f t="shared" si="813"/>
        <v>0</v>
      </c>
      <c r="DW431" s="1385">
        <f t="shared" si="814"/>
        <v>0</v>
      </c>
      <c r="DX431" s="1385">
        <f t="shared" si="815"/>
        <v>0</v>
      </c>
      <c r="DY431" s="1385">
        <f t="shared" si="816"/>
        <v>0</v>
      </c>
      <c r="DZ431" s="1385">
        <f t="shared" si="817"/>
        <v>0</v>
      </c>
      <c r="EA431" s="1385">
        <f t="shared" si="818"/>
        <v>0</v>
      </c>
      <c r="EB431" s="1385">
        <f t="shared" si="819"/>
        <v>0</v>
      </c>
      <c r="EC431" s="1385">
        <f t="shared" si="820"/>
        <v>0</v>
      </c>
      <c r="ED431" s="1385">
        <f t="shared" si="836"/>
        <v>0</v>
      </c>
      <c r="EE431" s="1386">
        <f t="shared" si="837"/>
        <v>0</v>
      </c>
      <c r="EG431" s="16" t="str">
        <f t="shared" si="838"/>
        <v>422025</v>
      </c>
      <c r="EH431" s="16" t="str">
        <f t="shared" si="821"/>
        <v>Fiche infoA3</v>
      </c>
      <c r="EI431" s="16" t="str">
        <f t="shared" si="822"/>
        <v/>
      </c>
    </row>
    <row r="432" spans="1:139" x14ac:dyDescent="0.2">
      <c r="A432" s="1395" t="str">
        <f>Octobre!BJ35</f>
        <v>Fiche infoA4</v>
      </c>
      <c r="B432" s="829">
        <f>Octobre!AB35</f>
        <v>45946</v>
      </c>
      <c r="C432" s="1394"/>
      <c r="D432" s="1001">
        <f t="shared" si="778"/>
        <v>0</v>
      </c>
      <c r="E432" s="452">
        <f t="shared" si="779"/>
        <v>0</v>
      </c>
      <c r="F432" s="452">
        <f t="shared" si="780"/>
        <v>0</v>
      </c>
      <c r="G432" s="452">
        <f t="shared" si="781"/>
        <v>0</v>
      </c>
      <c r="H432" s="452">
        <f t="shared" si="782"/>
        <v>0</v>
      </c>
      <c r="I432" s="452">
        <f t="shared" si="783"/>
        <v>0</v>
      </c>
      <c r="J432" s="452">
        <f t="shared" si="784"/>
        <v>0</v>
      </c>
      <c r="K432" s="452">
        <f t="shared" si="785"/>
        <v>0</v>
      </c>
      <c r="L432" s="452">
        <f t="shared" si="823"/>
        <v>0</v>
      </c>
      <c r="M432" s="1002">
        <f t="shared" si="824"/>
        <v>0</v>
      </c>
      <c r="N432" s="1396"/>
      <c r="O432" s="1001">
        <f t="shared" si="840"/>
        <v>0</v>
      </c>
      <c r="P432" s="452">
        <f t="shared" si="841"/>
        <v>0</v>
      </c>
      <c r="Q432" s="452">
        <f t="shared" si="842"/>
        <v>0</v>
      </c>
      <c r="R432" s="452">
        <f t="shared" si="843"/>
        <v>0</v>
      </c>
      <c r="S432" s="452">
        <f t="shared" si="844"/>
        <v>0</v>
      </c>
      <c r="T432" s="452">
        <f t="shared" si="845"/>
        <v>0</v>
      </c>
      <c r="U432" s="452">
        <f t="shared" si="846"/>
        <v>0</v>
      </c>
      <c r="V432" s="452">
        <f t="shared" si="847"/>
        <v>0</v>
      </c>
      <c r="W432" s="452">
        <f t="shared" si="794"/>
        <v>0</v>
      </c>
      <c r="X432" s="1002">
        <f t="shared" si="795"/>
        <v>0</v>
      </c>
      <c r="Y432" s="1397"/>
      <c r="Z432" s="1398">
        <f t="shared" si="796"/>
        <v>0</v>
      </c>
      <c r="AA432" s="1398">
        <f t="shared" si="797"/>
        <v>0</v>
      </c>
      <c r="AB432" s="1398">
        <f t="shared" si="798"/>
        <v>0</v>
      </c>
      <c r="AC432" s="1398">
        <f t="shared" si="799"/>
        <v>0</v>
      </c>
      <c r="AD432" s="1398">
        <f t="shared" si="800"/>
        <v>0</v>
      </c>
      <c r="AE432" s="1398">
        <f t="shared" si="801"/>
        <v>0</v>
      </c>
      <c r="AF432" s="1398">
        <f t="shared" si="802"/>
        <v>0</v>
      </c>
      <c r="AG432" s="1398">
        <f t="shared" si="803"/>
        <v>0</v>
      </c>
      <c r="AH432" s="1396"/>
      <c r="AI432" s="462">
        <f t="shared" si="848"/>
        <v>0</v>
      </c>
      <c r="AJ432" s="1112"/>
      <c r="AK432" s="1399"/>
      <c r="AL432" s="829">
        <f t="shared" si="805"/>
        <v>45946</v>
      </c>
      <c r="AM432" s="684">
        <f>IFERROR(IF(AND(AT432="",AR432&lt;&gt;S.CAL!$BJ$3,AR432&lt;&gt;S.CAL!$BJ$4,$AR$410="NON"),M432-BD432,IF(AND(AT432="",AR432&lt;&gt;S.CAL!$BJ$3,AR432&lt;&gt;S.CAL!$BJ$4,$AR$410="OUI"),X432-AI432,IF(AT432&lt;&gt;0,AT432,IF(OR(AR432=S.CAL!$BJ$3,AR432=S.CAL!$BJ$4),AR432,"")))),"")</f>
        <v>0</v>
      </c>
      <c r="AN432" s="1115"/>
      <c r="AO432" s="1116"/>
      <c r="AP432" s="684">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400">
        <f t="shared" si="825"/>
        <v>0</v>
      </c>
      <c r="AR432" s="1120"/>
      <c r="AS432" s="1396"/>
      <c r="AT432" s="1123"/>
      <c r="AU432" s="831"/>
      <c r="AV432" s="1392">
        <f t="shared" si="806"/>
        <v>45946</v>
      </c>
      <c r="AW432" s="1396"/>
      <c r="AX432" s="529">
        <f t="shared" si="826"/>
        <v>45946</v>
      </c>
      <c r="AY432" s="541">
        <f t="shared" si="827"/>
        <v>0</v>
      </c>
      <c r="AZ432" s="538" t="s">
        <v>146</v>
      </c>
      <c r="BA432" s="534">
        <f t="shared" si="828"/>
        <v>0</v>
      </c>
      <c r="BB432" s="567" t="str">
        <f t="shared" si="807"/>
        <v/>
      </c>
      <c r="BC432" s="541">
        <f t="shared" si="829"/>
        <v>0</v>
      </c>
      <c r="BD432" s="541">
        <f t="shared" si="830"/>
        <v>0</v>
      </c>
      <c r="BE432" s="750"/>
      <c r="BF432" s="532" t="str">
        <f t="shared" si="808"/>
        <v/>
      </c>
      <c r="BG432" s="532" t="str">
        <f t="shared" si="831"/>
        <v>oui</v>
      </c>
      <c r="BH432" s="395" t="str">
        <f t="shared" si="809"/>
        <v/>
      </c>
      <c r="BI432" s="24" t="str">
        <f t="shared" si="810"/>
        <v/>
      </c>
      <c r="BJ432" s="1404"/>
      <c r="BK432" s="1404"/>
      <c r="BL432" s="1404"/>
      <c r="BM432" s="1404"/>
      <c r="BN432" s="1404"/>
      <c r="BO432" s="1404"/>
      <c r="BP432" s="1404"/>
      <c r="BQ432" s="1404"/>
      <c r="BR432" s="1405"/>
      <c r="BS432" s="1392">
        <f t="shared" si="777"/>
        <v>45946</v>
      </c>
      <c r="BT432" s="1406" t="str">
        <f t="shared" si="839"/>
        <v/>
      </c>
      <c r="BU432" s="1404"/>
      <c r="BV432" s="1404"/>
      <c r="BW432" s="1404"/>
      <c r="BX432" s="1404"/>
      <c r="BY432" s="1404"/>
      <c r="BZ432" s="1404"/>
      <c r="CA432" s="1404"/>
      <c r="CB432" s="1404"/>
      <c r="CD432" s="1408">
        <f t="shared" si="832"/>
        <v>0</v>
      </c>
      <c r="DC432" s="16" t="str">
        <f>Octobre!FC35</f>
        <v>non</v>
      </c>
      <c r="DG432" s="333">
        <f t="shared" si="833"/>
        <v>1</v>
      </c>
      <c r="DH432" s="129">
        <f t="shared" si="811"/>
        <v>10</v>
      </c>
      <c r="DI432" s="129">
        <f t="shared" si="834"/>
        <v>1</v>
      </c>
      <c r="DK432" s="16">
        <f>+IF(AND(Octobre!$DP$8&lt;&gt;52,AR432=S.CAL!$BJ$4),10,1)</f>
        <v>1</v>
      </c>
      <c r="DN432" s="16">
        <f t="shared" si="812"/>
        <v>1</v>
      </c>
      <c r="DU432" s="1296" t="str">
        <f t="shared" si="835"/>
        <v>Fiche infoA445946</v>
      </c>
      <c r="DV432" s="1384">
        <f t="shared" si="813"/>
        <v>0</v>
      </c>
      <c r="DW432" s="1385">
        <f t="shared" si="814"/>
        <v>0</v>
      </c>
      <c r="DX432" s="1385">
        <f t="shared" si="815"/>
        <v>0</v>
      </c>
      <c r="DY432" s="1385">
        <f t="shared" si="816"/>
        <v>0</v>
      </c>
      <c r="DZ432" s="1385">
        <f t="shared" si="817"/>
        <v>0</v>
      </c>
      <c r="EA432" s="1385">
        <f t="shared" si="818"/>
        <v>0</v>
      </c>
      <c r="EB432" s="1385">
        <f t="shared" si="819"/>
        <v>0</v>
      </c>
      <c r="EC432" s="1385">
        <f t="shared" si="820"/>
        <v>0</v>
      </c>
      <c r="ED432" s="1385">
        <f t="shared" si="836"/>
        <v>0</v>
      </c>
      <c r="EE432" s="1386">
        <f t="shared" si="837"/>
        <v>0</v>
      </c>
      <c r="EG432" s="16" t="str">
        <f t="shared" si="838"/>
        <v>422025</v>
      </c>
      <c r="EH432" s="16" t="str">
        <f t="shared" si="821"/>
        <v>Fiche infoA4</v>
      </c>
      <c r="EI432" s="16" t="str">
        <f t="shared" si="822"/>
        <v/>
      </c>
    </row>
    <row r="433" spans="1:139" x14ac:dyDescent="0.2">
      <c r="A433" s="24" t="str">
        <f>Octobre!BJ36</f>
        <v>Fiche infoA5</v>
      </c>
      <c r="B433" s="829">
        <f>Octobre!AB36</f>
        <v>45947</v>
      </c>
      <c r="C433" s="1393"/>
      <c r="D433" s="1001">
        <f t="shared" si="778"/>
        <v>0</v>
      </c>
      <c r="E433" s="452">
        <f t="shared" si="779"/>
        <v>0</v>
      </c>
      <c r="F433" s="452">
        <f t="shared" si="780"/>
        <v>0</v>
      </c>
      <c r="G433" s="452">
        <f t="shared" si="781"/>
        <v>0</v>
      </c>
      <c r="H433" s="452">
        <f t="shared" si="782"/>
        <v>0</v>
      </c>
      <c r="I433" s="452">
        <f t="shared" si="783"/>
        <v>0</v>
      </c>
      <c r="J433" s="452">
        <f t="shared" si="784"/>
        <v>0</v>
      </c>
      <c r="K433" s="452">
        <f t="shared" si="785"/>
        <v>0</v>
      </c>
      <c r="L433" s="452">
        <f t="shared" si="823"/>
        <v>0</v>
      </c>
      <c r="M433" s="1002">
        <f t="shared" si="824"/>
        <v>0</v>
      </c>
      <c r="O433" s="1001">
        <f t="shared" si="840"/>
        <v>0</v>
      </c>
      <c r="P433" s="452">
        <f t="shared" si="841"/>
        <v>0</v>
      </c>
      <c r="Q433" s="452">
        <f t="shared" si="842"/>
        <v>0</v>
      </c>
      <c r="R433" s="452">
        <f t="shared" si="843"/>
        <v>0</v>
      </c>
      <c r="S433" s="452">
        <f t="shared" si="844"/>
        <v>0</v>
      </c>
      <c r="T433" s="452">
        <f t="shared" si="845"/>
        <v>0</v>
      </c>
      <c r="U433" s="452">
        <f t="shared" si="846"/>
        <v>0</v>
      </c>
      <c r="V433" s="452">
        <f t="shared" si="847"/>
        <v>0</v>
      </c>
      <c r="W433" s="452">
        <f t="shared" si="794"/>
        <v>0</v>
      </c>
      <c r="X433" s="1002">
        <f t="shared" si="795"/>
        <v>0</v>
      </c>
      <c r="Y433" s="459"/>
      <c r="Z433" s="291">
        <f t="shared" si="796"/>
        <v>0</v>
      </c>
      <c r="AA433" s="291">
        <f t="shared" si="797"/>
        <v>0</v>
      </c>
      <c r="AB433" s="291">
        <f t="shared" si="798"/>
        <v>0</v>
      </c>
      <c r="AC433" s="291">
        <f t="shared" si="799"/>
        <v>0</v>
      </c>
      <c r="AD433" s="291">
        <f t="shared" si="800"/>
        <v>0</v>
      </c>
      <c r="AE433" s="291">
        <f t="shared" si="801"/>
        <v>0</v>
      </c>
      <c r="AF433" s="291">
        <f t="shared" si="802"/>
        <v>0</v>
      </c>
      <c r="AG433" s="291">
        <f t="shared" si="803"/>
        <v>0</v>
      </c>
      <c r="AI433" s="462">
        <f t="shared" si="848"/>
        <v>0</v>
      </c>
      <c r="AJ433" s="1112"/>
      <c r="AK433" s="507"/>
      <c r="AL433" s="829">
        <f t="shared" si="805"/>
        <v>45947</v>
      </c>
      <c r="AM433" s="684">
        <f>IFERROR(IF(AND(AT433="",AR433&lt;&gt;S.CAL!$BJ$3,AR433&lt;&gt;S.CAL!$BJ$4,$AR$410="NON"),M433-BD433,IF(AND(AT433="",AR433&lt;&gt;S.CAL!$BJ$3,AR433&lt;&gt;S.CAL!$BJ$4,$AR$410="OUI"),X433-AI433,IF(AT433&lt;&gt;0,AT433,IF(OR(AR433=S.CAL!$BJ$3,AR433=S.CAL!$BJ$4),AR433,"")))),"")</f>
        <v>0</v>
      </c>
      <c r="AN433" s="1115"/>
      <c r="AO433" s="1116"/>
      <c r="AP433" s="684">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516">
        <f t="shared" si="825"/>
        <v>0</v>
      </c>
      <c r="AR433" s="1120"/>
      <c r="AT433" s="1123"/>
      <c r="AU433" s="831"/>
      <c r="AV433" s="1392">
        <f t="shared" si="806"/>
        <v>45947</v>
      </c>
      <c r="AX433" s="529">
        <f t="shared" si="826"/>
        <v>45947</v>
      </c>
      <c r="AY433" s="541">
        <f t="shared" si="827"/>
        <v>0</v>
      </c>
      <c r="AZ433" s="538" t="s">
        <v>146</v>
      </c>
      <c r="BA433" s="534">
        <f t="shared" si="828"/>
        <v>0</v>
      </c>
      <c r="BB433" s="567" t="str">
        <f t="shared" si="807"/>
        <v/>
      </c>
      <c r="BC433" s="541">
        <f t="shared" si="829"/>
        <v>0</v>
      </c>
      <c r="BD433" s="541">
        <f t="shared" si="830"/>
        <v>0</v>
      </c>
      <c r="BE433" s="750"/>
      <c r="BF433" s="532" t="str">
        <f t="shared" si="808"/>
        <v/>
      </c>
      <c r="BG433" s="532" t="str">
        <f t="shared" si="831"/>
        <v>oui</v>
      </c>
      <c r="BH433" s="395" t="str">
        <f t="shared" si="809"/>
        <v/>
      </c>
      <c r="BI433" s="24" t="str">
        <f t="shared" si="810"/>
        <v/>
      </c>
      <c r="BJ433" s="1403"/>
      <c r="BK433" s="1403"/>
      <c r="BL433" s="1403"/>
      <c r="BM433" s="1403"/>
      <c r="BN433" s="1403"/>
      <c r="BO433" s="1403"/>
      <c r="BP433" s="1403"/>
      <c r="BQ433" s="1403"/>
      <c r="BS433" s="1392">
        <f t="shared" si="777"/>
        <v>45947</v>
      </c>
      <c r="BT433" s="27" t="str">
        <f t="shared" si="839"/>
        <v/>
      </c>
      <c r="BU433" s="1402"/>
      <c r="BV433" s="1402"/>
      <c r="BW433" s="1402"/>
      <c r="BX433" s="1402"/>
      <c r="BY433" s="1402"/>
      <c r="BZ433" s="1402"/>
      <c r="CA433" s="1402"/>
      <c r="CB433" s="1402"/>
      <c r="CD433" s="1408">
        <f t="shared" si="832"/>
        <v>0</v>
      </c>
      <c r="DC433" s="16" t="str">
        <f>Octobre!FC36</f>
        <v>non</v>
      </c>
      <c r="DG433" s="333">
        <f t="shared" si="833"/>
        <v>1</v>
      </c>
      <c r="DH433" s="129">
        <f t="shared" si="811"/>
        <v>10</v>
      </c>
      <c r="DI433" s="129">
        <f t="shared" si="834"/>
        <v>1</v>
      </c>
      <c r="DK433" s="16">
        <f>+IF(AND(Octobre!$DP$8&lt;&gt;52,AR433=S.CAL!$BJ$4),10,1)</f>
        <v>1</v>
      </c>
      <c r="DN433" s="16">
        <f t="shared" si="812"/>
        <v>1</v>
      </c>
      <c r="DU433" s="1296" t="str">
        <f t="shared" si="835"/>
        <v>Fiche infoA545947</v>
      </c>
      <c r="DV433" s="1384">
        <f t="shared" si="813"/>
        <v>0</v>
      </c>
      <c r="DW433" s="1385">
        <f t="shared" si="814"/>
        <v>0</v>
      </c>
      <c r="DX433" s="1385">
        <f t="shared" si="815"/>
        <v>0</v>
      </c>
      <c r="DY433" s="1385">
        <f t="shared" si="816"/>
        <v>0</v>
      </c>
      <c r="DZ433" s="1385">
        <f t="shared" si="817"/>
        <v>0</v>
      </c>
      <c r="EA433" s="1385">
        <f t="shared" si="818"/>
        <v>0</v>
      </c>
      <c r="EB433" s="1385">
        <f t="shared" si="819"/>
        <v>0</v>
      </c>
      <c r="EC433" s="1385">
        <f t="shared" si="820"/>
        <v>0</v>
      </c>
      <c r="ED433" s="1385">
        <f t="shared" si="836"/>
        <v>0</v>
      </c>
      <c r="EE433" s="1386">
        <f t="shared" si="837"/>
        <v>0</v>
      </c>
      <c r="EG433" s="16" t="str">
        <f t="shared" si="838"/>
        <v>422025</v>
      </c>
      <c r="EH433" s="16" t="str">
        <f t="shared" si="821"/>
        <v>Fiche infoA5</v>
      </c>
      <c r="EI433" s="16" t="str">
        <f t="shared" si="822"/>
        <v/>
      </c>
    </row>
    <row r="434" spans="1:139" x14ac:dyDescent="0.2">
      <c r="A434" s="1395" t="str">
        <f>Octobre!BJ37</f>
        <v>Fiche infoA6</v>
      </c>
      <c r="B434" s="829">
        <f>Octobre!AB37</f>
        <v>45948</v>
      </c>
      <c r="C434" s="1394"/>
      <c r="D434" s="1001">
        <f t="shared" si="778"/>
        <v>0</v>
      </c>
      <c r="E434" s="452">
        <f t="shared" si="779"/>
        <v>0</v>
      </c>
      <c r="F434" s="452">
        <f t="shared" si="780"/>
        <v>0</v>
      </c>
      <c r="G434" s="452">
        <f t="shared" si="781"/>
        <v>0</v>
      </c>
      <c r="H434" s="452">
        <f t="shared" si="782"/>
        <v>0</v>
      </c>
      <c r="I434" s="452">
        <f t="shared" si="783"/>
        <v>0</v>
      </c>
      <c r="J434" s="452">
        <f t="shared" si="784"/>
        <v>0</v>
      </c>
      <c r="K434" s="452">
        <f t="shared" si="785"/>
        <v>0</v>
      </c>
      <c r="L434" s="452">
        <f t="shared" si="823"/>
        <v>0</v>
      </c>
      <c r="M434" s="1002">
        <f t="shared" si="824"/>
        <v>0</v>
      </c>
      <c r="N434" s="1396"/>
      <c r="O434" s="1001">
        <f t="shared" si="840"/>
        <v>0</v>
      </c>
      <c r="P434" s="452">
        <f t="shared" si="841"/>
        <v>0</v>
      </c>
      <c r="Q434" s="452">
        <f t="shared" si="842"/>
        <v>0</v>
      </c>
      <c r="R434" s="452">
        <f t="shared" si="843"/>
        <v>0</v>
      </c>
      <c r="S434" s="452">
        <f t="shared" si="844"/>
        <v>0</v>
      </c>
      <c r="T434" s="452">
        <f t="shared" si="845"/>
        <v>0</v>
      </c>
      <c r="U434" s="452">
        <f t="shared" si="846"/>
        <v>0</v>
      </c>
      <c r="V434" s="452">
        <f t="shared" si="847"/>
        <v>0</v>
      </c>
      <c r="W434" s="452">
        <f t="shared" si="794"/>
        <v>0</v>
      </c>
      <c r="X434" s="1002">
        <f t="shared" si="795"/>
        <v>0</v>
      </c>
      <c r="Y434" s="1397"/>
      <c r="Z434" s="1398">
        <f t="shared" si="796"/>
        <v>0</v>
      </c>
      <c r="AA434" s="1398">
        <f t="shared" si="797"/>
        <v>0</v>
      </c>
      <c r="AB434" s="1398">
        <f t="shared" si="798"/>
        <v>0</v>
      </c>
      <c r="AC434" s="1398">
        <f t="shared" si="799"/>
        <v>0</v>
      </c>
      <c r="AD434" s="1398">
        <f t="shared" si="800"/>
        <v>0</v>
      </c>
      <c r="AE434" s="1398">
        <f t="shared" si="801"/>
        <v>0</v>
      </c>
      <c r="AF434" s="1398">
        <f t="shared" si="802"/>
        <v>0</v>
      </c>
      <c r="AG434" s="1398">
        <f t="shared" si="803"/>
        <v>0</v>
      </c>
      <c r="AH434" s="1396"/>
      <c r="AI434" s="462">
        <f t="shared" si="848"/>
        <v>0</v>
      </c>
      <c r="AJ434" s="1112"/>
      <c r="AK434" s="1399"/>
      <c r="AL434" s="829">
        <f t="shared" si="805"/>
        <v>45948</v>
      </c>
      <c r="AM434" s="684">
        <f>IFERROR(IF(AND(AT434="",AR434&lt;&gt;S.CAL!$BJ$3,AR434&lt;&gt;S.CAL!$BJ$4,$AR$410="NON"),M434-BD434,IF(AND(AT434="",AR434&lt;&gt;S.CAL!$BJ$3,AR434&lt;&gt;S.CAL!$BJ$4,$AR$410="OUI"),X434-AI434,IF(AT434&lt;&gt;0,AT434,IF(OR(AR434=S.CAL!$BJ$3,AR434=S.CAL!$BJ$4),AR434,"")))),"")</f>
        <v>0</v>
      </c>
      <c r="AN434" s="1115"/>
      <c r="AO434" s="1116"/>
      <c r="AP434" s="684">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400">
        <f t="shared" si="825"/>
        <v>0</v>
      </c>
      <c r="AR434" s="1120"/>
      <c r="AS434" s="1396"/>
      <c r="AT434" s="1123"/>
      <c r="AU434" s="831"/>
      <c r="AV434" s="1392">
        <f t="shared" si="806"/>
        <v>45948</v>
      </c>
      <c r="AW434" s="1396"/>
      <c r="AX434" s="529">
        <f t="shared" si="826"/>
        <v>45948</v>
      </c>
      <c r="AY434" s="541">
        <f t="shared" si="827"/>
        <v>0</v>
      </c>
      <c r="AZ434" s="538" t="s">
        <v>146</v>
      </c>
      <c r="BA434" s="534">
        <f t="shared" si="828"/>
        <v>0</v>
      </c>
      <c r="BB434" s="567" t="str">
        <f t="shared" si="807"/>
        <v/>
      </c>
      <c r="BC434" s="541">
        <f t="shared" si="829"/>
        <v>0</v>
      </c>
      <c r="BD434" s="541">
        <f t="shared" si="830"/>
        <v>0</v>
      </c>
      <c r="BE434" s="750"/>
      <c r="BF434" s="532" t="str">
        <f t="shared" si="808"/>
        <v/>
      </c>
      <c r="BG434" s="532" t="str">
        <f t="shared" si="831"/>
        <v>oui</v>
      </c>
      <c r="BH434" s="395" t="str">
        <f t="shared" si="809"/>
        <v/>
      </c>
      <c r="BI434" s="24" t="str">
        <f t="shared" si="810"/>
        <v/>
      </c>
      <c r="BJ434" s="1404"/>
      <c r="BK434" s="1404"/>
      <c r="BL434" s="1404"/>
      <c r="BM434" s="1404"/>
      <c r="BN434" s="1404"/>
      <c r="BO434" s="1404"/>
      <c r="BP434" s="1404"/>
      <c r="BQ434" s="1404"/>
      <c r="BR434" s="1405"/>
      <c r="BS434" s="1392">
        <f t="shared" si="777"/>
        <v>45948</v>
      </c>
      <c r="BT434" s="1406" t="str">
        <f t="shared" si="839"/>
        <v/>
      </c>
      <c r="BU434" s="1404"/>
      <c r="BV434" s="1404"/>
      <c r="BW434" s="1404"/>
      <c r="BX434" s="1404"/>
      <c r="BY434" s="1404"/>
      <c r="BZ434" s="1404"/>
      <c r="CA434" s="1404"/>
      <c r="CB434" s="1404"/>
      <c r="CD434" s="1408">
        <f t="shared" si="832"/>
        <v>0</v>
      </c>
      <c r="DC434" s="16" t="str">
        <f>Octobre!FC37</f>
        <v>non</v>
      </c>
      <c r="DG434" s="333">
        <f t="shared" si="833"/>
        <v>1</v>
      </c>
      <c r="DH434" s="129">
        <f t="shared" si="811"/>
        <v>10</v>
      </c>
      <c r="DI434" s="129">
        <f t="shared" si="834"/>
        <v>1</v>
      </c>
      <c r="DK434" s="16">
        <f>+IF(AND(Octobre!$DP$8&lt;&gt;52,AR434=S.CAL!$BJ$4),10,1)</f>
        <v>1</v>
      </c>
      <c r="DN434" s="16">
        <f t="shared" si="812"/>
        <v>1</v>
      </c>
      <c r="DU434" s="1296" t="str">
        <f t="shared" si="835"/>
        <v>Fiche infoA645948</v>
      </c>
      <c r="DV434" s="1384">
        <f t="shared" si="813"/>
        <v>0</v>
      </c>
      <c r="DW434" s="1385">
        <f t="shared" si="814"/>
        <v>0</v>
      </c>
      <c r="DX434" s="1385">
        <f t="shared" si="815"/>
        <v>0</v>
      </c>
      <c r="DY434" s="1385">
        <f t="shared" si="816"/>
        <v>0</v>
      </c>
      <c r="DZ434" s="1385">
        <f t="shared" si="817"/>
        <v>0</v>
      </c>
      <c r="EA434" s="1385">
        <f t="shared" si="818"/>
        <v>0</v>
      </c>
      <c r="EB434" s="1385">
        <f t="shared" si="819"/>
        <v>0</v>
      </c>
      <c r="EC434" s="1385">
        <f t="shared" si="820"/>
        <v>0</v>
      </c>
      <c r="ED434" s="1385">
        <f t="shared" si="836"/>
        <v>0</v>
      </c>
      <c r="EE434" s="1386">
        <f t="shared" si="837"/>
        <v>0</v>
      </c>
      <c r="EG434" s="16" t="str">
        <f t="shared" si="838"/>
        <v>422025</v>
      </c>
      <c r="EH434" s="16" t="str">
        <f t="shared" si="821"/>
        <v>Fiche infoA6</v>
      </c>
      <c r="EI434" s="16" t="str">
        <f t="shared" si="822"/>
        <v/>
      </c>
    </row>
    <row r="435" spans="1:139" x14ac:dyDescent="0.2">
      <c r="A435" s="24" t="str">
        <f>Octobre!BJ38</f>
        <v>Fiche infoA7</v>
      </c>
      <c r="B435" s="829">
        <f>Octobre!AB38</f>
        <v>45949</v>
      </c>
      <c r="C435" s="1393"/>
      <c r="D435" s="1001">
        <f t="shared" si="778"/>
        <v>0</v>
      </c>
      <c r="E435" s="452">
        <f t="shared" si="779"/>
        <v>0</v>
      </c>
      <c r="F435" s="452">
        <f t="shared" si="780"/>
        <v>0</v>
      </c>
      <c r="G435" s="452">
        <f t="shared" si="781"/>
        <v>0</v>
      </c>
      <c r="H435" s="452">
        <f t="shared" si="782"/>
        <v>0</v>
      </c>
      <c r="I435" s="452">
        <f t="shared" si="783"/>
        <v>0</v>
      </c>
      <c r="J435" s="452">
        <f t="shared" si="784"/>
        <v>0</v>
      </c>
      <c r="K435" s="452">
        <f t="shared" si="785"/>
        <v>0</v>
      </c>
      <c r="L435" s="452">
        <f t="shared" si="823"/>
        <v>0</v>
      </c>
      <c r="M435" s="1002">
        <f t="shared" si="824"/>
        <v>0</v>
      </c>
      <c r="O435" s="1001">
        <f t="shared" si="840"/>
        <v>0</v>
      </c>
      <c r="P435" s="452">
        <f t="shared" si="841"/>
        <v>0</v>
      </c>
      <c r="Q435" s="452">
        <f t="shared" si="842"/>
        <v>0</v>
      </c>
      <c r="R435" s="452">
        <f t="shared" si="843"/>
        <v>0</v>
      </c>
      <c r="S435" s="452">
        <f t="shared" si="844"/>
        <v>0</v>
      </c>
      <c r="T435" s="452">
        <f t="shared" si="845"/>
        <v>0</v>
      </c>
      <c r="U435" s="452">
        <f t="shared" si="846"/>
        <v>0</v>
      </c>
      <c r="V435" s="452">
        <f t="shared" si="847"/>
        <v>0</v>
      </c>
      <c r="W435" s="452">
        <f t="shared" si="794"/>
        <v>0</v>
      </c>
      <c r="X435" s="1002">
        <f t="shared" si="795"/>
        <v>0</v>
      </c>
      <c r="Y435" s="459"/>
      <c r="Z435" s="291">
        <f t="shared" si="796"/>
        <v>0</v>
      </c>
      <c r="AA435" s="291">
        <f t="shared" si="797"/>
        <v>0</v>
      </c>
      <c r="AB435" s="291">
        <f t="shared" si="798"/>
        <v>0</v>
      </c>
      <c r="AC435" s="291">
        <f t="shared" si="799"/>
        <v>0</v>
      </c>
      <c r="AD435" s="291">
        <f t="shared" si="800"/>
        <v>0</v>
      </c>
      <c r="AE435" s="291">
        <f t="shared" si="801"/>
        <v>0</v>
      </c>
      <c r="AF435" s="291">
        <f t="shared" si="802"/>
        <v>0</v>
      </c>
      <c r="AG435" s="291">
        <f t="shared" si="803"/>
        <v>0</v>
      </c>
      <c r="AI435" s="462">
        <f t="shared" si="848"/>
        <v>0</v>
      </c>
      <c r="AJ435" s="1112"/>
      <c r="AK435" s="507"/>
      <c r="AL435" s="829">
        <f t="shared" si="805"/>
        <v>45949</v>
      </c>
      <c r="AM435" s="684">
        <f>IFERROR(IF(AND(AT435="",AR435&lt;&gt;S.CAL!$BJ$3,AR435&lt;&gt;S.CAL!$BJ$4,$AR$410="NON"),M435-BD435,IF(AND(AT435="",AR435&lt;&gt;S.CAL!$BJ$3,AR435&lt;&gt;S.CAL!$BJ$4,$AR$410="OUI"),X435-AI435,IF(AT435&lt;&gt;0,AT435,IF(OR(AR435=S.CAL!$BJ$3,AR435=S.CAL!$BJ$4),AR435,"")))),"")</f>
        <v>0</v>
      </c>
      <c r="AN435" s="1115"/>
      <c r="AO435" s="1116"/>
      <c r="AP435" s="684">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516">
        <f t="shared" si="825"/>
        <v>0</v>
      </c>
      <c r="AR435" s="1120"/>
      <c r="AT435" s="1123"/>
      <c r="AU435" s="831"/>
      <c r="AV435" s="1392">
        <f t="shared" si="806"/>
        <v>45949</v>
      </c>
      <c r="AX435" s="529">
        <f t="shared" si="826"/>
        <v>45949</v>
      </c>
      <c r="AY435" s="541">
        <f t="shared" si="827"/>
        <v>0</v>
      </c>
      <c r="AZ435" s="538" t="s">
        <v>146</v>
      </c>
      <c r="BA435" s="534">
        <f t="shared" si="828"/>
        <v>0</v>
      </c>
      <c r="BB435" s="567" t="str">
        <f t="shared" si="807"/>
        <v/>
      </c>
      <c r="BC435" s="541">
        <f t="shared" si="829"/>
        <v>0</v>
      </c>
      <c r="BD435" s="541">
        <f t="shared" si="830"/>
        <v>0</v>
      </c>
      <c r="BE435" s="750"/>
      <c r="BF435" s="532" t="str">
        <f t="shared" si="808"/>
        <v/>
      </c>
      <c r="BG435" s="532" t="str">
        <f t="shared" si="831"/>
        <v>oui</v>
      </c>
      <c r="BH435" s="395" t="str">
        <f t="shared" si="809"/>
        <v/>
      </c>
      <c r="BI435" s="24" t="str">
        <f t="shared" si="810"/>
        <v/>
      </c>
      <c r="BJ435" s="1403"/>
      <c r="BK435" s="1403"/>
      <c r="BL435" s="1403"/>
      <c r="BM435" s="1403"/>
      <c r="BN435" s="1403"/>
      <c r="BO435" s="1403"/>
      <c r="BP435" s="1403"/>
      <c r="BQ435" s="1403"/>
      <c r="BS435" s="1392">
        <f t="shared" si="777"/>
        <v>45949</v>
      </c>
      <c r="BT435" s="27" t="str">
        <f t="shared" si="839"/>
        <v/>
      </c>
      <c r="BU435" s="1402"/>
      <c r="BV435" s="1402"/>
      <c r="BW435" s="1402"/>
      <c r="BX435" s="1402"/>
      <c r="BY435" s="1402"/>
      <c r="BZ435" s="1402"/>
      <c r="CA435" s="1402"/>
      <c r="CB435" s="1402"/>
      <c r="CD435" s="1408">
        <f t="shared" si="832"/>
        <v>0</v>
      </c>
      <c r="DC435" s="16" t="str">
        <f>Octobre!FC38</f>
        <v>non</v>
      </c>
      <c r="DG435" s="333">
        <f t="shared" si="833"/>
        <v>1</v>
      </c>
      <c r="DH435" s="129">
        <f t="shared" si="811"/>
        <v>10</v>
      </c>
      <c r="DI435" s="129">
        <f t="shared" si="834"/>
        <v>1</v>
      </c>
      <c r="DK435" s="16">
        <f>+IF(AND(Octobre!$DP$8&lt;&gt;52,AR435=S.CAL!$BJ$4),10,1)</f>
        <v>1</v>
      </c>
      <c r="DN435" s="16">
        <f t="shared" si="812"/>
        <v>1</v>
      </c>
      <c r="DU435" s="1296" t="str">
        <f t="shared" si="835"/>
        <v>Fiche infoA745949</v>
      </c>
      <c r="DV435" s="1384">
        <f t="shared" si="813"/>
        <v>0</v>
      </c>
      <c r="DW435" s="1385">
        <f t="shared" si="814"/>
        <v>0</v>
      </c>
      <c r="DX435" s="1385">
        <f t="shared" si="815"/>
        <v>0</v>
      </c>
      <c r="DY435" s="1385">
        <f t="shared" si="816"/>
        <v>0</v>
      </c>
      <c r="DZ435" s="1385">
        <f t="shared" si="817"/>
        <v>0</v>
      </c>
      <c r="EA435" s="1385">
        <f t="shared" si="818"/>
        <v>0</v>
      </c>
      <c r="EB435" s="1385">
        <f t="shared" si="819"/>
        <v>0</v>
      </c>
      <c r="EC435" s="1385">
        <f t="shared" si="820"/>
        <v>0</v>
      </c>
      <c r="ED435" s="1385">
        <f t="shared" si="836"/>
        <v>0</v>
      </c>
      <c r="EE435" s="1386">
        <f t="shared" si="837"/>
        <v>0</v>
      </c>
      <c r="EG435" s="16" t="str">
        <f t="shared" si="838"/>
        <v>422025</v>
      </c>
      <c r="EH435" s="16" t="str">
        <f t="shared" si="821"/>
        <v>Fiche infoA7</v>
      </c>
      <c r="EI435" s="16" t="str">
        <f t="shared" si="822"/>
        <v/>
      </c>
    </row>
    <row r="436" spans="1:139" x14ac:dyDescent="0.2">
      <c r="A436" s="1395" t="str">
        <f>Octobre!BJ39</f>
        <v>Fiche infoA1</v>
      </c>
      <c r="B436" s="829">
        <f>Octobre!AB39</f>
        <v>45950</v>
      </c>
      <c r="C436" s="1394"/>
      <c r="D436" s="1001">
        <f t="shared" si="778"/>
        <v>0</v>
      </c>
      <c r="E436" s="452">
        <f t="shared" si="779"/>
        <v>0</v>
      </c>
      <c r="F436" s="452">
        <f t="shared" si="780"/>
        <v>0</v>
      </c>
      <c r="G436" s="452">
        <f t="shared" si="781"/>
        <v>0</v>
      </c>
      <c r="H436" s="452">
        <f t="shared" si="782"/>
        <v>0</v>
      </c>
      <c r="I436" s="452">
        <f t="shared" si="783"/>
        <v>0</v>
      </c>
      <c r="J436" s="452">
        <f t="shared" si="784"/>
        <v>0</v>
      </c>
      <c r="K436" s="452">
        <f t="shared" si="785"/>
        <v>0</v>
      </c>
      <c r="L436" s="452">
        <f t="shared" si="823"/>
        <v>0</v>
      </c>
      <c r="M436" s="1002">
        <f t="shared" si="824"/>
        <v>0</v>
      </c>
      <c r="N436" s="1396"/>
      <c r="O436" s="1001">
        <f t="shared" si="840"/>
        <v>0</v>
      </c>
      <c r="P436" s="452">
        <f t="shared" si="841"/>
        <v>0</v>
      </c>
      <c r="Q436" s="452">
        <f t="shared" si="842"/>
        <v>0</v>
      </c>
      <c r="R436" s="452">
        <f t="shared" si="843"/>
        <v>0</v>
      </c>
      <c r="S436" s="452">
        <f t="shared" si="844"/>
        <v>0</v>
      </c>
      <c r="T436" s="452">
        <f t="shared" si="845"/>
        <v>0</v>
      </c>
      <c r="U436" s="452">
        <f t="shared" si="846"/>
        <v>0</v>
      </c>
      <c r="V436" s="452">
        <f t="shared" si="847"/>
        <v>0</v>
      </c>
      <c r="W436" s="452">
        <f t="shared" si="794"/>
        <v>0</v>
      </c>
      <c r="X436" s="1002">
        <f t="shared" si="795"/>
        <v>0</v>
      </c>
      <c r="Y436" s="1397"/>
      <c r="Z436" s="1398">
        <f t="shared" si="796"/>
        <v>0</v>
      </c>
      <c r="AA436" s="1398">
        <f t="shared" si="797"/>
        <v>0</v>
      </c>
      <c r="AB436" s="1398">
        <f t="shared" si="798"/>
        <v>0</v>
      </c>
      <c r="AC436" s="1398">
        <f t="shared" si="799"/>
        <v>0</v>
      </c>
      <c r="AD436" s="1398">
        <f t="shared" si="800"/>
        <v>0</v>
      </c>
      <c r="AE436" s="1398">
        <f t="shared" si="801"/>
        <v>0</v>
      </c>
      <c r="AF436" s="1398">
        <f t="shared" si="802"/>
        <v>0</v>
      </c>
      <c r="AG436" s="1398">
        <f t="shared" si="803"/>
        <v>0</v>
      </c>
      <c r="AH436" s="1396"/>
      <c r="AI436" s="462">
        <f t="shared" si="848"/>
        <v>0</v>
      </c>
      <c r="AJ436" s="1112"/>
      <c r="AK436" s="1399"/>
      <c r="AL436" s="829">
        <f t="shared" si="805"/>
        <v>45950</v>
      </c>
      <c r="AM436" s="684">
        <f>IFERROR(IF(AND(AT436="",AR436&lt;&gt;S.CAL!$BJ$3,AR436&lt;&gt;S.CAL!$BJ$4,$AR$410="NON"),M436-BD436,IF(AND(AT436="",AR436&lt;&gt;S.CAL!$BJ$3,AR436&lt;&gt;S.CAL!$BJ$4,$AR$410="OUI"),X436-AI436,IF(AT436&lt;&gt;0,AT436,IF(OR(AR436=S.CAL!$BJ$3,AR436=S.CAL!$BJ$4),AR436,"")))),"")</f>
        <v>0</v>
      </c>
      <c r="AN436" s="1115"/>
      <c r="AO436" s="1116"/>
      <c r="AP436" s="684">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400">
        <f t="shared" si="825"/>
        <v>0</v>
      </c>
      <c r="AR436" s="1120"/>
      <c r="AS436" s="1396"/>
      <c r="AT436" s="1123"/>
      <c r="AU436" s="831"/>
      <c r="AV436" s="1392">
        <f t="shared" si="806"/>
        <v>45950</v>
      </c>
      <c r="AW436" s="1396"/>
      <c r="AX436" s="529">
        <f t="shared" si="826"/>
        <v>45950</v>
      </c>
      <c r="AY436" s="541">
        <f t="shared" si="827"/>
        <v>0</v>
      </c>
      <c r="AZ436" s="538" t="s">
        <v>146</v>
      </c>
      <c r="BA436" s="534">
        <f t="shared" si="828"/>
        <v>0</v>
      </c>
      <c r="BB436" s="567" t="str">
        <f t="shared" si="807"/>
        <v/>
      </c>
      <c r="BC436" s="541">
        <f t="shared" si="829"/>
        <v>0</v>
      </c>
      <c r="BD436" s="541">
        <f t="shared" si="830"/>
        <v>0</v>
      </c>
      <c r="BE436" s="750"/>
      <c r="BF436" s="532" t="str">
        <f t="shared" si="808"/>
        <v/>
      </c>
      <c r="BG436" s="532" t="str">
        <f t="shared" si="831"/>
        <v>oui</v>
      </c>
      <c r="BH436" s="395" t="str">
        <f t="shared" si="809"/>
        <v/>
      </c>
      <c r="BI436" s="24" t="str">
        <f t="shared" si="810"/>
        <v/>
      </c>
      <c r="BJ436" s="1404"/>
      <c r="BK436" s="1404"/>
      <c r="BL436" s="1404"/>
      <c r="BM436" s="1404"/>
      <c r="BN436" s="1404"/>
      <c r="BO436" s="1404"/>
      <c r="BP436" s="1404"/>
      <c r="BQ436" s="1404"/>
      <c r="BR436" s="1405"/>
      <c r="BS436" s="1392">
        <f t="shared" si="777"/>
        <v>45950</v>
      </c>
      <c r="BT436" s="1406">
        <f t="shared" si="839"/>
        <v>43</v>
      </c>
      <c r="BU436" s="1404"/>
      <c r="BV436" s="1404"/>
      <c r="BW436" s="1404"/>
      <c r="BX436" s="1404"/>
      <c r="BY436" s="1404"/>
      <c r="BZ436" s="1404"/>
      <c r="CA436" s="1404"/>
      <c r="CB436" s="1404"/>
      <c r="CD436" s="1408">
        <f t="shared" si="832"/>
        <v>0</v>
      </c>
      <c r="DC436" s="16" t="str">
        <f>Octobre!FC39</f>
        <v>non</v>
      </c>
      <c r="DG436" s="333">
        <f t="shared" si="833"/>
        <v>1</v>
      </c>
      <c r="DH436" s="129">
        <f t="shared" si="811"/>
        <v>10</v>
      </c>
      <c r="DI436" s="129">
        <f t="shared" si="834"/>
        <v>1</v>
      </c>
      <c r="DK436" s="16">
        <f>+IF(AND(Octobre!$DP$8&lt;&gt;52,AR436=S.CAL!$BJ$4),10,1)</f>
        <v>1</v>
      </c>
      <c r="DN436" s="16">
        <f t="shared" si="812"/>
        <v>1</v>
      </c>
      <c r="DU436" s="1296" t="str">
        <f t="shared" si="835"/>
        <v>Fiche infoA145950</v>
      </c>
      <c r="DV436" s="1384">
        <f t="shared" si="813"/>
        <v>0</v>
      </c>
      <c r="DW436" s="1385">
        <f t="shared" si="814"/>
        <v>0</v>
      </c>
      <c r="DX436" s="1385">
        <f t="shared" si="815"/>
        <v>0</v>
      </c>
      <c r="DY436" s="1385">
        <f t="shared" si="816"/>
        <v>0</v>
      </c>
      <c r="DZ436" s="1385">
        <f t="shared" si="817"/>
        <v>0</v>
      </c>
      <c r="EA436" s="1385">
        <f t="shared" si="818"/>
        <v>0</v>
      </c>
      <c r="EB436" s="1385">
        <f t="shared" si="819"/>
        <v>0</v>
      </c>
      <c r="EC436" s="1385">
        <f t="shared" si="820"/>
        <v>0</v>
      </c>
      <c r="ED436" s="1385">
        <f t="shared" si="836"/>
        <v>0</v>
      </c>
      <c r="EE436" s="1386">
        <f t="shared" si="837"/>
        <v>0</v>
      </c>
      <c r="EG436" s="16" t="str">
        <f t="shared" si="838"/>
        <v>432025</v>
      </c>
      <c r="EH436" s="16" t="str">
        <f t="shared" si="821"/>
        <v>Fiche infoA1</v>
      </c>
      <c r="EI436" s="16" t="str">
        <f t="shared" si="822"/>
        <v/>
      </c>
    </row>
    <row r="437" spans="1:139" x14ac:dyDescent="0.2">
      <c r="A437" s="24" t="str">
        <f>Octobre!BJ40</f>
        <v>Fiche infoA2</v>
      </c>
      <c r="B437" s="829">
        <f>Octobre!AB40</f>
        <v>45951</v>
      </c>
      <c r="C437" s="1393"/>
      <c r="D437" s="1001">
        <f t="shared" si="778"/>
        <v>0</v>
      </c>
      <c r="E437" s="452">
        <f t="shared" si="779"/>
        <v>0</v>
      </c>
      <c r="F437" s="452">
        <f t="shared" si="780"/>
        <v>0</v>
      </c>
      <c r="G437" s="452">
        <f t="shared" si="781"/>
        <v>0</v>
      </c>
      <c r="H437" s="452">
        <f t="shared" si="782"/>
        <v>0</v>
      </c>
      <c r="I437" s="452">
        <f t="shared" si="783"/>
        <v>0</v>
      </c>
      <c r="J437" s="452">
        <f t="shared" si="784"/>
        <v>0</v>
      </c>
      <c r="K437" s="452">
        <f t="shared" si="785"/>
        <v>0</v>
      </c>
      <c r="L437" s="452">
        <f t="shared" si="823"/>
        <v>0</v>
      </c>
      <c r="M437" s="1002">
        <f t="shared" si="824"/>
        <v>0</v>
      </c>
      <c r="O437" s="1001">
        <f t="shared" si="840"/>
        <v>0</v>
      </c>
      <c r="P437" s="452">
        <f t="shared" si="841"/>
        <v>0</v>
      </c>
      <c r="Q437" s="452">
        <f t="shared" si="842"/>
        <v>0</v>
      </c>
      <c r="R437" s="452">
        <f t="shared" si="843"/>
        <v>0</v>
      </c>
      <c r="S437" s="452">
        <f t="shared" si="844"/>
        <v>0</v>
      </c>
      <c r="T437" s="452">
        <f t="shared" si="845"/>
        <v>0</v>
      </c>
      <c r="U437" s="452">
        <f t="shared" si="846"/>
        <v>0</v>
      </c>
      <c r="V437" s="452">
        <f t="shared" si="847"/>
        <v>0</v>
      </c>
      <c r="W437" s="452">
        <f t="shared" si="794"/>
        <v>0</v>
      </c>
      <c r="X437" s="1002">
        <f t="shared" si="795"/>
        <v>0</v>
      </c>
      <c r="Y437" s="459"/>
      <c r="Z437" s="291">
        <f t="shared" si="796"/>
        <v>0</v>
      </c>
      <c r="AA437" s="291">
        <f t="shared" si="797"/>
        <v>0</v>
      </c>
      <c r="AB437" s="291">
        <f t="shared" si="798"/>
        <v>0</v>
      </c>
      <c r="AC437" s="291">
        <f t="shared" si="799"/>
        <v>0</v>
      </c>
      <c r="AD437" s="291">
        <f t="shared" si="800"/>
        <v>0</v>
      </c>
      <c r="AE437" s="291">
        <f t="shared" si="801"/>
        <v>0</v>
      </c>
      <c r="AF437" s="291">
        <f t="shared" si="802"/>
        <v>0</v>
      </c>
      <c r="AG437" s="291">
        <f t="shared" si="803"/>
        <v>0</v>
      </c>
      <c r="AI437" s="462">
        <f t="shared" si="848"/>
        <v>0</v>
      </c>
      <c r="AJ437" s="1112"/>
      <c r="AK437" s="507"/>
      <c r="AL437" s="829">
        <f t="shared" si="805"/>
        <v>45951</v>
      </c>
      <c r="AM437" s="684">
        <f>IFERROR(IF(AND(AT437="",AR437&lt;&gt;S.CAL!$BJ$3,AR437&lt;&gt;S.CAL!$BJ$4,$AR$410="NON"),M437-BD437,IF(AND(AT437="",AR437&lt;&gt;S.CAL!$BJ$3,AR437&lt;&gt;S.CAL!$BJ$4,$AR$410="OUI"),X437-AI437,IF(AT437&lt;&gt;0,AT437,IF(OR(AR437=S.CAL!$BJ$3,AR437=S.CAL!$BJ$4),AR437,"")))),"")</f>
        <v>0</v>
      </c>
      <c r="AN437" s="1115"/>
      <c r="AO437" s="1116"/>
      <c r="AP437" s="684">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516">
        <f t="shared" si="825"/>
        <v>0</v>
      </c>
      <c r="AR437" s="1120"/>
      <c r="AT437" s="1123"/>
      <c r="AU437" s="831"/>
      <c r="AV437" s="1392">
        <f t="shared" si="806"/>
        <v>45951</v>
      </c>
      <c r="AX437" s="529">
        <f t="shared" si="826"/>
        <v>45951</v>
      </c>
      <c r="AY437" s="541">
        <f t="shared" si="827"/>
        <v>0</v>
      </c>
      <c r="AZ437" s="538" t="s">
        <v>146</v>
      </c>
      <c r="BA437" s="534">
        <f t="shared" si="828"/>
        <v>0</v>
      </c>
      <c r="BB437" s="567" t="str">
        <f t="shared" si="807"/>
        <v/>
      </c>
      <c r="BC437" s="541">
        <f t="shared" si="829"/>
        <v>0</v>
      </c>
      <c r="BD437" s="541">
        <f t="shared" si="830"/>
        <v>0</v>
      </c>
      <c r="BE437" s="750"/>
      <c r="BF437" s="532" t="str">
        <f t="shared" si="808"/>
        <v/>
      </c>
      <c r="BG437" s="532" t="str">
        <f t="shared" si="831"/>
        <v>oui</v>
      </c>
      <c r="BH437" s="395" t="str">
        <f t="shared" si="809"/>
        <v/>
      </c>
      <c r="BI437" s="24" t="str">
        <f t="shared" si="810"/>
        <v/>
      </c>
      <c r="BJ437" s="1403"/>
      <c r="BK437" s="1403"/>
      <c r="BL437" s="1403"/>
      <c r="BM437" s="1403"/>
      <c r="BN437" s="1403"/>
      <c r="BO437" s="1403"/>
      <c r="BP437" s="1403"/>
      <c r="BQ437" s="1403"/>
      <c r="BS437" s="1392">
        <f t="shared" si="777"/>
        <v>45951</v>
      </c>
      <c r="BT437" s="27" t="str">
        <f t="shared" si="839"/>
        <v/>
      </c>
      <c r="BU437" s="1402"/>
      <c r="BV437" s="1402"/>
      <c r="BW437" s="1402"/>
      <c r="BX437" s="1402"/>
      <c r="BY437" s="1402"/>
      <c r="BZ437" s="1402"/>
      <c r="CA437" s="1402"/>
      <c r="CB437" s="1402"/>
      <c r="CD437" s="1408">
        <f t="shared" si="832"/>
        <v>0</v>
      </c>
      <c r="DC437" s="16" t="str">
        <f>Octobre!FC40</f>
        <v>non</v>
      </c>
      <c r="DG437" s="333">
        <f t="shared" si="833"/>
        <v>1</v>
      </c>
      <c r="DH437" s="129">
        <f t="shared" si="811"/>
        <v>10</v>
      </c>
      <c r="DI437" s="129">
        <f t="shared" si="834"/>
        <v>1</v>
      </c>
      <c r="DK437" s="16">
        <f>+IF(AND(Octobre!$DP$8&lt;&gt;52,AR437=S.CAL!$BJ$4),10,1)</f>
        <v>1</v>
      </c>
      <c r="DN437" s="16">
        <f t="shared" si="812"/>
        <v>1</v>
      </c>
      <c r="DU437" s="1296" t="str">
        <f t="shared" si="835"/>
        <v>Fiche infoA245951</v>
      </c>
      <c r="DV437" s="1384">
        <f t="shared" si="813"/>
        <v>0</v>
      </c>
      <c r="DW437" s="1385">
        <f t="shared" si="814"/>
        <v>0</v>
      </c>
      <c r="DX437" s="1385">
        <f t="shared" si="815"/>
        <v>0</v>
      </c>
      <c r="DY437" s="1385">
        <f t="shared" si="816"/>
        <v>0</v>
      </c>
      <c r="DZ437" s="1385">
        <f t="shared" si="817"/>
        <v>0</v>
      </c>
      <c r="EA437" s="1385">
        <f t="shared" si="818"/>
        <v>0</v>
      </c>
      <c r="EB437" s="1385">
        <f t="shared" si="819"/>
        <v>0</v>
      </c>
      <c r="EC437" s="1385">
        <f t="shared" si="820"/>
        <v>0</v>
      </c>
      <c r="ED437" s="1385">
        <f t="shared" si="836"/>
        <v>0</v>
      </c>
      <c r="EE437" s="1386">
        <f t="shared" si="837"/>
        <v>0</v>
      </c>
      <c r="EG437" s="16" t="str">
        <f t="shared" si="838"/>
        <v>432025</v>
      </c>
      <c r="EH437" s="16" t="str">
        <f t="shared" si="821"/>
        <v>Fiche infoA2</v>
      </c>
      <c r="EI437" s="16" t="str">
        <f t="shared" si="822"/>
        <v/>
      </c>
    </row>
    <row r="438" spans="1:139" x14ac:dyDescent="0.2">
      <c r="A438" s="1395" t="str">
        <f>Octobre!BJ41</f>
        <v>Fiche infoA3</v>
      </c>
      <c r="B438" s="829">
        <f>Octobre!AB41</f>
        <v>45952</v>
      </c>
      <c r="C438" s="1394"/>
      <c r="D438" s="1001">
        <f t="shared" si="778"/>
        <v>0</v>
      </c>
      <c r="E438" s="452">
        <f t="shared" si="779"/>
        <v>0</v>
      </c>
      <c r="F438" s="452">
        <f t="shared" si="780"/>
        <v>0</v>
      </c>
      <c r="G438" s="452">
        <f t="shared" si="781"/>
        <v>0</v>
      </c>
      <c r="H438" s="452">
        <f t="shared" si="782"/>
        <v>0</v>
      </c>
      <c r="I438" s="452">
        <f t="shared" si="783"/>
        <v>0</v>
      </c>
      <c r="J438" s="452">
        <f t="shared" si="784"/>
        <v>0</v>
      </c>
      <c r="K438" s="452">
        <f t="shared" si="785"/>
        <v>0</v>
      </c>
      <c r="L438" s="452">
        <f t="shared" si="823"/>
        <v>0</v>
      </c>
      <c r="M438" s="1002">
        <f t="shared" si="824"/>
        <v>0</v>
      </c>
      <c r="N438" s="1396"/>
      <c r="O438" s="1001">
        <f t="shared" si="840"/>
        <v>0</v>
      </c>
      <c r="P438" s="452">
        <f t="shared" si="841"/>
        <v>0</v>
      </c>
      <c r="Q438" s="452">
        <f t="shared" si="842"/>
        <v>0</v>
      </c>
      <c r="R438" s="452">
        <f t="shared" si="843"/>
        <v>0</v>
      </c>
      <c r="S438" s="452">
        <f t="shared" si="844"/>
        <v>0</v>
      </c>
      <c r="T438" s="452">
        <f t="shared" si="845"/>
        <v>0</v>
      </c>
      <c r="U438" s="452">
        <f t="shared" si="846"/>
        <v>0</v>
      </c>
      <c r="V438" s="452">
        <f t="shared" si="847"/>
        <v>0</v>
      </c>
      <c r="W438" s="452">
        <f t="shared" si="794"/>
        <v>0</v>
      </c>
      <c r="X438" s="1002">
        <f t="shared" si="795"/>
        <v>0</v>
      </c>
      <c r="Y438" s="1397"/>
      <c r="Z438" s="1398">
        <f t="shared" si="796"/>
        <v>0</v>
      </c>
      <c r="AA438" s="1398">
        <f t="shared" si="797"/>
        <v>0</v>
      </c>
      <c r="AB438" s="1398">
        <f t="shared" si="798"/>
        <v>0</v>
      </c>
      <c r="AC438" s="1398">
        <f t="shared" si="799"/>
        <v>0</v>
      </c>
      <c r="AD438" s="1398">
        <f t="shared" si="800"/>
        <v>0</v>
      </c>
      <c r="AE438" s="1398">
        <f t="shared" si="801"/>
        <v>0</v>
      </c>
      <c r="AF438" s="1398">
        <f t="shared" si="802"/>
        <v>0</v>
      </c>
      <c r="AG438" s="1398">
        <f t="shared" si="803"/>
        <v>0</v>
      </c>
      <c r="AH438" s="1396"/>
      <c r="AI438" s="462">
        <f t="shared" si="848"/>
        <v>0</v>
      </c>
      <c r="AJ438" s="1112"/>
      <c r="AK438" s="1399"/>
      <c r="AL438" s="829">
        <f t="shared" si="805"/>
        <v>45952</v>
      </c>
      <c r="AM438" s="684">
        <f>IFERROR(IF(AND(AT438="",AR438&lt;&gt;S.CAL!$BJ$3,AR438&lt;&gt;S.CAL!$BJ$4,$AR$410="NON"),M438-BD438,IF(AND(AT438="",AR438&lt;&gt;S.CAL!$BJ$3,AR438&lt;&gt;S.CAL!$BJ$4,$AR$410="OUI"),X438-AI438,IF(AT438&lt;&gt;0,AT438,IF(OR(AR438=S.CAL!$BJ$3,AR438=S.CAL!$BJ$4),AR438,"")))),"")</f>
        <v>0</v>
      </c>
      <c r="AN438" s="1115"/>
      <c r="AO438" s="1116"/>
      <c r="AP438" s="684">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400">
        <f t="shared" si="825"/>
        <v>0</v>
      </c>
      <c r="AR438" s="1120"/>
      <c r="AS438" s="1396"/>
      <c r="AT438" s="1123"/>
      <c r="AU438" s="831"/>
      <c r="AV438" s="1392">
        <f t="shared" si="806"/>
        <v>45952</v>
      </c>
      <c r="AW438" s="1396"/>
      <c r="AX438" s="529">
        <f t="shared" si="826"/>
        <v>45952</v>
      </c>
      <c r="AY438" s="541">
        <f t="shared" si="827"/>
        <v>0</v>
      </c>
      <c r="AZ438" s="538" t="s">
        <v>146</v>
      </c>
      <c r="BA438" s="534">
        <f t="shared" si="828"/>
        <v>0</v>
      </c>
      <c r="BB438" s="567" t="str">
        <f t="shared" si="807"/>
        <v/>
      </c>
      <c r="BC438" s="541">
        <f t="shared" si="829"/>
        <v>0</v>
      </c>
      <c r="BD438" s="541">
        <f t="shared" si="830"/>
        <v>0</v>
      </c>
      <c r="BE438" s="750"/>
      <c r="BF438" s="532" t="str">
        <f t="shared" si="808"/>
        <v/>
      </c>
      <c r="BG438" s="532" t="str">
        <f t="shared" si="831"/>
        <v>oui</v>
      </c>
      <c r="BH438" s="395" t="str">
        <f t="shared" si="809"/>
        <v/>
      </c>
      <c r="BI438" s="24" t="str">
        <f t="shared" si="810"/>
        <v/>
      </c>
      <c r="BJ438" s="1404"/>
      <c r="BK438" s="1404"/>
      <c r="BL438" s="1404"/>
      <c r="BM438" s="1404"/>
      <c r="BN438" s="1404"/>
      <c r="BO438" s="1404"/>
      <c r="BP438" s="1404"/>
      <c r="BQ438" s="1404"/>
      <c r="BR438" s="1405"/>
      <c r="BS438" s="1392">
        <f t="shared" si="777"/>
        <v>45952</v>
      </c>
      <c r="BT438" s="1406" t="str">
        <f t="shared" si="839"/>
        <v/>
      </c>
      <c r="BU438" s="1404"/>
      <c r="BV438" s="1404"/>
      <c r="BW438" s="1404"/>
      <c r="BX438" s="1404"/>
      <c r="BY438" s="1404"/>
      <c r="BZ438" s="1404"/>
      <c r="CA438" s="1404"/>
      <c r="CB438" s="1404"/>
      <c r="CD438" s="1408">
        <f t="shared" si="832"/>
        <v>0</v>
      </c>
      <c r="DC438" s="16" t="str">
        <f>Octobre!FC41</f>
        <v>non</v>
      </c>
      <c r="DG438" s="333">
        <f t="shared" si="833"/>
        <v>1</v>
      </c>
      <c r="DH438" s="129">
        <f t="shared" si="811"/>
        <v>10</v>
      </c>
      <c r="DI438" s="129">
        <f t="shared" si="834"/>
        <v>1</v>
      </c>
      <c r="DK438" s="16">
        <f>+IF(AND(Octobre!$DP$8&lt;&gt;52,AR438=S.CAL!$BJ$4),10,1)</f>
        <v>1</v>
      </c>
      <c r="DN438" s="16">
        <f t="shared" si="812"/>
        <v>1</v>
      </c>
      <c r="DU438" s="1296" t="str">
        <f t="shared" si="835"/>
        <v>Fiche infoA345952</v>
      </c>
      <c r="DV438" s="1384">
        <f t="shared" si="813"/>
        <v>0</v>
      </c>
      <c r="DW438" s="1385">
        <f t="shared" si="814"/>
        <v>0</v>
      </c>
      <c r="DX438" s="1385">
        <f t="shared" si="815"/>
        <v>0</v>
      </c>
      <c r="DY438" s="1385">
        <f t="shared" si="816"/>
        <v>0</v>
      </c>
      <c r="DZ438" s="1385">
        <f t="shared" si="817"/>
        <v>0</v>
      </c>
      <c r="EA438" s="1385">
        <f t="shared" si="818"/>
        <v>0</v>
      </c>
      <c r="EB438" s="1385">
        <f t="shared" si="819"/>
        <v>0</v>
      </c>
      <c r="EC438" s="1385">
        <f t="shared" si="820"/>
        <v>0</v>
      </c>
      <c r="ED438" s="1385">
        <f t="shared" si="836"/>
        <v>0</v>
      </c>
      <c r="EE438" s="1386">
        <f t="shared" si="837"/>
        <v>0</v>
      </c>
      <c r="EG438" s="16" t="str">
        <f t="shared" si="838"/>
        <v>432025</v>
      </c>
      <c r="EH438" s="16" t="str">
        <f t="shared" si="821"/>
        <v>Fiche infoA3</v>
      </c>
      <c r="EI438" s="16" t="str">
        <f t="shared" si="822"/>
        <v/>
      </c>
    </row>
    <row r="439" spans="1:139" x14ac:dyDescent="0.2">
      <c r="A439" s="24" t="str">
        <f>Octobre!BJ42</f>
        <v>Fiche infoA4</v>
      </c>
      <c r="B439" s="829">
        <f>Octobre!AB42</f>
        <v>45953</v>
      </c>
      <c r="C439" s="1393"/>
      <c r="D439" s="1001">
        <f t="shared" si="778"/>
        <v>0</v>
      </c>
      <c r="E439" s="452">
        <f t="shared" si="779"/>
        <v>0</v>
      </c>
      <c r="F439" s="452">
        <f t="shared" si="780"/>
        <v>0</v>
      </c>
      <c r="G439" s="452">
        <f t="shared" si="781"/>
        <v>0</v>
      </c>
      <c r="H439" s="452">
        <f t="shared" si="782"/>
        <v>0</v>
      </c>
      <c r="I439" s="452">
        <f t="shared" si="783"/>
        <v>0</v>
      </c>
      <c r="J439" s="452">
        <f t="shared" si="784"/>
        <v>0</v>
      </c>
      <c r="K439" s="452">
        <f t="shared" si="785"/>
        <v>0</v>
      </c>
      <c r="L439" s="452">
        <f t="shared" si="823"/>
        <v>0</v>
      </c>
      <c r="M439" s="1002">
        <f t="shared" si="824"/>
        <v>0</v>
      </c>
      <c r="O439" s="1001">
        <f t="shared" si="840"/>
        <v>0</v>
      </c>
      <c r="P439" s="452">
        <f t="shared" si="841"/>
        <v>0</v>
      </c>
      <c r="Q439" s="452">
        <f t="shared" si="842"/>
        <v>0</v>
      </c>
      <c r="R439" s="452">
        <f t="shared" si="843"/>
        <v>0</v>
      </c>
      <c r="S439" s="452">
        <f t="shared" si="844"/>
        <v>0</v>
      </c>
      <c r="T439" s="452">
        <f t="shared" si="845"/>
        <v>0</v>
      </c>
      <c r="U439" s="452">
        <f t="shared" si="846"/>
        <v>0</v>
      </c>
      <c r="V439" s="452">
        <f t="shared" si="847"/>
        <v>0</v>
      </c>
      <c r="W439" s="452">
        <f t="shared" si="794"/>
        <v>0</v>
      </c>
      <c r="X439" s="1002">
        <f t="shared" si="795"/>
        <v>0</v>
      </c>
      <c r="Y439" s="459"/>
      <c r="Z439" s="291">
        <f t="shared" si="796"/>
        <v>0</v>
      </c>
      <c r="AA439" s="291">
        <f t="shared" si="797"/>
        <v>0</v>
      </c>
      <c r="AB439" s="291">
        <f t="shared" si="798"/>
        <v>0</v>
      </c>
      <c r="AC439" s="291">
        <f t="shared" si="799"/>
        <v>0</v>
      </c>
      <c r="AD439" s="291">
        <f t="shared" si="800"/>
        <v>0</v>
      </c>
      <c r="AE439" s="291">
        <f t="shared" si="801"/>
        <v>0</v>
      </c>
      <c r="AF439" s="291">
        <f t="shared" si="802"/>
        <v>0</v>
      </c>
      <c r="AG439" s="291">
        <f t="shared" si="803"/>
        <v>0</v>
      </c>
      <c r="AI439" s="462">
        <f t="shared" si="848"/>
        <v>0</v>
      </c>
      <c r="AJ439" s="1112"/>
      <c r="AK439" s="507"/>
      <c r="AL439" s="829">
        <f t="shared" si="805"/>
        <v>45953</v>
      </c>
      <c r="AM439" s="684">
        <f>IFERROR(IF(AND(AT439="",AR439&lt;&gt;S.CAL!$BJ$3,AR439&lt;&gt;S.CAL!$BJ$4,$AR$410="NON"),M439-BD439,IF(AND(AT439="",AR439&lt;&gt;S.CAL!$BJ$3,AR439&lt;&gt;S.CAL!$BJ$4,$AR$410="OUI"),X439-AI439,IF(AT439&lt;&gt;0,AT439,IF(OR(AR439=S.CAL!$BJ$3,AR439=S.CAL!$BJ$4),AR439,"")))),"")</f>
        <v>0</v>
      </c>
      <c r="AN439" s="1115"/>
      <c r="AO439" s="1116"/>
      <c r="AP439" s="684">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516">
        <f t="shared" si="825"/>
        <v>0</v>
      </c>
      <c r="AR439" s="1120"/>
      <c r="AT439" s="1123"/>
      <c r="AU439" s="831"/>
      <c r="AV439" s="1392">
        <f t="shared" si="806"/>
        <v>45953</v>
      </c>
      <c r="AX439" s="529">
        <f t="shared" si="826"/>
        <v>45953</v>
      </c>
      <c r="AY439" s="541">
        <f t="shared" si="827"/>
        <v>0</v>
      </c>
      <c r="AZ439" s="538" t="s">
        <v>146</v>
      </c>
      <c r="BA439" s="534">
        <f t="shared" si="828"/>
        <v>0</v>
      </c>
      <c r="BB439" s="567" t="str">
        <f t="shared" si="807"/>
        <v/>
      </c>
      <c r="BC439" s="541">
        <f t="shared" si="829"/>
        <v>0</v>
      </c>
      <c r="BD439" s="541">
        <f t="shared" si="830"/>
        <v>0</v>
      </c>
      <c r="BE439" s="750"/>
      <c r="BF439" s="532" t="str">
        <f t="shared" si="808"/>
        <v/>
      </c>
      <c r="BG439" s="532" t="str">
        <f t="shared" si="831"/>
        <v>oui</v>
      </c>
      <c r="BH439" s="395" t="str">
        <f t="shared" si="809"/>
        <v/>
      </c>
      <c r="BI439" s="24" t="str">
        <f t="shared" si="810"/>
        <v/>
      </c>
      <c r="BJ439" s="1403"/>
      <c r="BK439" s="1403"/>
      <c r="BL439" s="1403"/>
      <c r="BM439" s="1403"/>
      <c r="BN439" s="1403"/>
      <c r="BO439" s="1403"/>
      <c r="BP439" s="1403"/>
      <c r="BQ439" s="1403"/>
      <c r="BS439" s="1392">
        <f t="shared" si="777"/>
        <v>45953</v>
      </c>
      <c r="BT439" s="27" t="str">
        <f t="shared" si="839"/>
        <v/>
      </c>
      <c r="BU439" s="1402"/>
      <c r="BV439" s="1402"/>
      <c r="BW439" s="1402"/>
      <c r="BX439" s="1402"/>
      <c r="BY439" s="1402"/>
      <c r="BZ439" s="1402"/>
      <c r="CA439" s="1402"/>
      <c r="CB439" s="1402"/>
      <c r="CD439" s="1408">
        <f t="shared" si="832"/>
        <v>0</v>
      </c>
      <c r="DC439" s="16" t="str">
        <f>Octobre!FC42</f>
        <v>non</v>
      </c>
      <c r="DG439" s="333">
        <f t="shared" si="833"/>
        <v>1</v>
      </c>
      <c r="DH439" s="129">
        <f t="shared" si="811"/>
        <v>10</v>
      </c>
      <c r="DI439" s="129">
        <f t="shared" si="834"/>
        <v>1</v>
      </c>
      <c r="DK439" s="16">
        <f>+IF(AND(Octobre!$DP$8&lt;&gt;52,AR439=S.CAL!$BJ$4),10,1)</f>
        <v>1</v>
      </c>
      <c r="DN439" s="16">
        <f t="shared" si="812"/>
        <v>1</v>
      </c>
      <c r="DU439" s="1296" t="str">
        <f t="shared" si="835"/>
        <v>Fiche infoA445953</v>
      </c>
      <c r="DV439" s="1384">
        <f t="shared" si="813"/>
        <v>0</v>
      </c>
      <c r="DW439" s="1385">
        <f t="shared" si="814"/>
        <v>0</v>
      </c>
      <c r="DX439" s="1385">
        <f t="shared" si="815"/>
        <v>0</v>
      </c>
      <c r="DY439" s="1385">
        <f t="shared" si="816"/>
        <v>0</v>
      </c>
      <c r="DZ439" s="1385">
        <f t="shared" si="817"/>
        <v>0</v>
      </c>
      <c r="EA439" s="1385">
        <f t="shared" si="818"/>
        <v>0</v>
      </c>
      <c r="EB439" s="1385">
        <f t="shared" si="819"/>
        <v>0</v>
      </c>
      <c r="EC439" s="1385">
        <f t="shared" si="820"/>
        <v>0</v>
      </c>
      <c r="ED439" s="1385">
        <f t="shared" si="836"/>
        <v>0</v>
      </c>
      <c r="EE439" s="1386">
        <f t="shared" si="837"/>
        <v>0</v>
      </c>
      <c r="EG439" s="16" t="str">
        <f t="shared" si="838"/>
        <v>432025</v>
      </c>
      <c r="EH439" s="16" t="str">
        <f t="shared" si="821"/>
        <v>Fiche infoA4</v>
      </c>
      <c r="EI439" s="16" t="str">
        <f t="shared" si="822"/>
        <v/>
      </c>
    </row>
    <row r="440" spans="1:139" x14ac:dyDescent="0.2">
      <c r="A440" s="1395" t="str">
        <f>Octobre!BJ43</f>
        <v>Fiche infoA5</v>
      </c>
      <c r="B440" s="829">
        <f>Octobre!AB43</f>
        <v>45954</v>
      </c>
      <c r="C440" s="1394"/>
      <c r="D440" s="1001">
        <f t="shared" si="778"/>
        <v>0</v>
      </c>
      <c r="E440" s="452">
        <f t="shared" si="779"/>
        <v>0</v>
      </c>
      <c r="F440" s="452">
        <f t="shared" si="780"/>
        <v>0</v>
      </c>
      <c r="G440" s="452">
        <f t="shared" si="781"/>
        <v>0</v>
      </c>
      <c r="H440" s="452">
        <f t="shared" si="782"/>
        <v>0</v>
      </c>
      <c r="I440" s="452">
        <f t="shared" si="783"/>
        <v>0</v>
      </c>
      <c r="J440" s="452">
        <f t="shared" si="784"/>
        <v>0</v>
      </c>
      <c r="K440" s="452">
        <f t="shared" si="785"/>
        <v>0</v>
      </c>
      <c r="L440" s="452">
        <f t="shared" si="823"/>
        <v>0</v>
      </c>
      <c r="M440" s="1002">
        <f t="shared" si="824"/>
        <v>0</v>
      </c>
      <c r="N440" s="1396"/>
      <c r="O440" s="1001">
        <f t="shared" si="840"/>
        <v>0</v>
      </c>
      <c r="P440" s="452">
        <f t="shared" si="841"/>
        <v>0</v>
      </c>
      <c r="Q440" s="452">
        <f t="shared" si="842"/>
        <v>0</v>
      </c>
      <c r="R440" s="452">
        <f t="shared" si="843"/>
        <v>0</v>
      </c>
      <c r="S440" s="452">
        <f t="shared" si="844"/>
        <v>0</v>
      </c>
      <c r="T440" s="452">
        <f t="shared" si="845"/>
        <v>0</v>
      </c>
      <c r="U440" s="452">
        <f t="shared" si="846"/>
        <v>0</v>
      </c>
      <c r="V440" s="452">
        <f t="shared" si="847"/>
        <v>0</v>
      </c>
      <c r="W440" s="452">
        <f t="shared" si="794"/>
        <v>0</v>
      </c>
      <c r="X440" s="1002">
        <f t="shared" si="795"/>
        <v>0</v>
      </c>
      <c r="Y440" s="1397"/>
      <c r="Z440" s="1398">
        <f t="shared" si="796"/>
        <v>0</v>
      </c>
      <c r="AA440" s="1398">
        <f t="shared" si="797"/>
        <v>0</v>
      </c>
      <c r="AB440" s="1398">
        <f t="shared" si="798"/>
        <v>0</v>
      </c>
      <c r="AC440" s="1398">
        <f t="shared" si="799"/>
        <v>0</v>
      </c>
      <c r="AD440" s="1398">
        <f t="shared" si="800"/>
        <v>0</v>
      </c>
      <c r="AE440" s="1398">
        <f t="shared" si="801"/>
        <v>0</v>
      </c>
      <c r="AF440" s="1398">
        <f t="shared" si="802"/>
        <v>0</v>
      </c>
      <c r="AG440" s="1398">
        <f t="shared" si="803"/>
        <v>0</v>
      </c>
      <c r="AH440" s="1396"/>
      <c r="AI440" s="462">
        <f t="shared" si="848"/>
        <v>0</v>
      </c>
      <c r="AJ440" s="1112"/>
      <c r="AK440" s="1399"/>
      <c r="AL440" s="829">
        <f t="shared" si="805"/>
        <v>45954</v>
      </c>
      <c r="AM440" s="684">
        <f>IFERROR(IF(AND(AT440="",AR440&lt;&gt;S.CAL!$BJ$3,AR440&lt;&gt;S.CAL!$BJ$4,$AR$410="NON"),M440-BD440,IF(AND(AT440="",AR440&lt;&gt;S.CAL!$BJ$3,AR440&lt;&gt;S.CAL!$BJ$4,$AR$410="OUI"),X440-AI440,IF(AT440&lt;&gt;0,AT440,IF(OR(AR440=S.CAL!$BJ$3,AR440=S.CAL!$BJ$4),AR440,"")))),"")</f>
        <v>0</v>
      </c>
      <c r="AN440" s="1115"/>
      <c r="AO440" s="1116"/>
      <c r="AP440" s="684">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400">
        <f t="shared" si="825"/>
        <v>0</v>
      </c>
      <c r="AR440" s="1120"/>
      <c r="AS440" s="1396"/>
      <c r="AT440" s="1123"/>
      <c r="AU440" s="831"/>
      <c r="AV440" s="1392">
        <f t="shared" si="806"/>
        <v>45954</v>
      </c>
      <c r="AW440" s="1396"/>
      <c r="AX440" s="529">
        <f t="shared" si="826"/>
        <v>45954</v>
      </c>
      <c r="AY440" s="541">
        <f t="shared" si="827"/>
        <v>0</v>
      </c>
      <c r="AZ440" s="538" t="s">
        <v>146</v>
      </c>
      <c r="BA440" s="534">
        <f t="shared" si="828"/>
        <v>0</v>
      </c>
      <c r="BB440" s="567" t="str">
        <f t="shared" si="807"/>
        <v/>
      </c>
      <c r="BC440" s="541">
        <f t="shared" si="829"/>
        <v>0</v>
      </c>
      <c r="BD440" s="541">
        <f t="shared" si="830"/>
        <v>0</v>
      </c>
      <c r="BE440" s="750"/>
      <c r="BF440" s="532" t="str">
        <f t="shared" si="808"/>
        <v/>
      </c>
      <c r="BG440" s="532" t="str">
        <f t="shared" si="831"/>
        <v>oui</v>
      </c>
      <c r="BH440" s="395" t="str">
        <f t="shared" si="809"/>
        <v/>
      </c>
      <c r="BI440" s="24" t="str">
        <f t="shared" si="810"/>
        <v/>
      </c>
      <c r="BJ440" s="1404"/>
      <c r="BK440" s="1404"/>
      <c r="BL440" s="1404"/>
      <c r="BM440" s="1404"/>
      <c r="BN440" s="1404"/>
      <c r="BO440" s="1404"/>
      <c r="BP440" s="1404"/>
      <c r="BQ440" s="1404"/>
      <c r="BR440" s="1405"/>
      <c r="BS440" s="1392">
        <f t="shared" si="777"/>
        <v>45954</v>
      </c>
      <c r="BT440" s="1406" t="str">
        <f t="shared" si="839"/>
        <v/>
      </c>
      <c r="BU440" s="1404"/>
      <c r="BV440" s="1404"/>
      <c r="BW440" s="1404"/>
      <c r="BX440" s="1404"/>
      <c r="BY440" s="1404"/>
      <c r="BZ440" s="1404"/>
      <c r="CA440" s="1404"/>
      <c r="CB440" s="1404"/>
      <c r="CD440" s="1408">
        <f t="shared" si="832"/>
        <v>0</v>
      </c>
      <c r="DC440" s="16" t="str">
        <f>Octobre!FC43</f>
        <v>non</v>
      </c>
      <c r="DG440" s="333">
        <f t="shared" si="833"/>
        <v>1</v>
      </c>
      <c r="DH440" s="129">
        <f t="shared" si="811"/>
        <v>10</v>
      </c>
      <c r="DI440" s="129">
        <f t="shared" si="834"/>
        <v>1</v>
      </c>
      <c r="DK440" s="16">
        <f>+IF(AND(Octobre!$DP$8&lt;&gt;52,AR440=S.CAL!$BJ$4),10,1)</f>
        <v>1</v>
      </c>
      <c r="DN440" s="16">
        <f t="shared" si="812"/>
        <v>1</v>
      </c>
      <c r="DU440" s="1296" t="str">
        <f t="shared" si="835"/>
        <v>Fiche infoA545954</v>
      </c>
      <c r="DV440" s="1384">
        <f t="shared" si="813"/>
        <v>0</v>
      </c>
      <c r="DW440" s="1385">
        <f t="shared" si="814"/>
        <v>0</v>
      </c>
      <c r="DX440" s="1385">
        <f t="shared" si="815"/>
        <v>0</v>
      </c>
      <c r="DY440" s="1385">
        <f t="shared" si="816"/>
        <v>0</v>
      </c>
      <c r="DZ440" s="1385">
        <f t="shared" si="817"/>
        <v>0</v>
      </c>
      <c r="EA440" s="1385">
        <f t="shared" si="818"/>
        <v>0</v>
      </c>
      <c r="EB440" s="1385">
        <f t="shared" si="819"/>
        <v>0</v>
      </c>
      <c r="EC440" s="1385">
        <f t="shared" si="820"/>
        <v>0</v>
      </c>
      <c r="ED440" s="1385">
        <f t="shared" si="836"/>
        <v>0</v>
      </c>
      <c r="EE440" s="1386">
        <f t="shared" si="837"/>
        <v>0</v>
      </c>
      <c r="EG440" s="16" t="str">
        <f t="shared" si="838"/>
        <v>432025</v>
      </c>
      <c r="EH440" s="16" t="str">
        <f t="shared" si="821"/>
        <v>Fiche infoA5</v>
      </c>
      <c r="EI440" s="16" t="str">
        <f t="shared" si="822"/>
        <v/>
      </c>
    </row>
    <row r="441" spans="1:139" x14ac:dyDescent="0.2">
      <c r="A441" s="24" t="str">
        <f>Octobre!BJ44</f>
        <v>Fiche infoA6</v>
      </c>
      <c r="B441" s="829">
        <f>Octobre!AB44</f>
        <v>45955</v>
      </c>
      <c r="C441" s="1393"/>
      <c r="D441" s="1001">
        <f t="shared" si="778"/>
        <v>0</v>
      </c>
      <c r="E441" s="452">
        <f t="shared" si="779"/>
        <v>0</v>
      </c>
      <c r="F441" s="452">
        <f t="shared" si="780"/>
        <v>0</v>
      </c>
      <c r="G441" s="452">
        <f t="shared" si="781"/>
        <v>0</v>
      </c>
      <c r="H441" s="452">
        <f t="shared" si="782"/>
        <v>0</v>
      </c>
      <c r="I441" s="452">
        <f t="shared" si="783"/>
        <v>0</v>
      </c>
      <c r="J441" s="452">
        <f t="shared" si="784"/>
        <v>0</v>
      </c>
      <c r="K441" s="452">
        <f t="shared" si="785"/>
        <v>0</v>
      </c>
      <c r="L441" s="452">
        <f t="shared" si="823"/>
        <v>0</v>
      </c>
      <c r="M441" s="1002">
        <f t="shared" si="824"/>
        <v>0</v>
      </c>
      <c r="O441" s="1001">
        <f t="shared" si="840"/>
        <v>0</v>
      </c>
      <c r="P441" s="452">
        <f t="shared" si="841"/>
        <v>0</v>
      </c>
      <c r="Q441" s="452">
        <f t="shared" si="842"/>
        <v>0</v>
      </c>
      <c r="R441" s="452">
        <f t="shared" si="843"/>
        <v>0</v>
      </c>
      <c r="S441" s="452">
        <f t="shared" si="844"/>
        <v>0</v>
      </c>
      <c r="T441" s="452">
        <f t="shared" si="845"/>
        <v>0</v>
      </c>
      <c r="U441" s="452">
        <f t="shared" si="846"/>
        <v>0</v>
      </c>
      <c r="V441" s="452">
        <f t="shared" si="847"/>
        <v>0</v>
      </c>
      <c r="W441" s="452">
        <f t="shared" si="794"/>
        <v>0</v>
      </c>
      <c r="X441" s="1002">
        <f t="shared" si="795"/>
        <v>0</v>
      </c>
      <c r="Y441" s="459"/>
      <c r="Z441" s="291">
        <f t="shared" si="796"/>
        <v>0</v>
      </c>
      <c r="AA441" s="291">
        <f t="shared" si="797"/>
        <v>0</v>
      </c>
      <c r="AB441" s="291">
        <f t="shared" si="798"/>
        <v>0</v>
      </c>
      <c r="AC441" s="291">
        <f t="shared" si="799"/>
        <v>0</v>
      </c>
      <c r="AD441" s="291">
        <f t="shared" si="800"/>
        <v>0</v>
      </c>
      <c r="AE441" s="291">
        <f t="shared" si="801"/>
        <v>0</v>
      </c>
      <c r="AF441" s="291">
        <f t="shared" si="802"/>
        <v>0</v>
      </c>
      <c r="AG441" s="291">
        <f t="shared" si="803"/>
        <v>0</v>
      </c>
      <c r="AI441" s="462">
        <f t="shared" si="848"/>
        <v>0</v>
      </c>
      <c r="AJ441" s="1112"/>
      <c r="AK441" s="507"/>
      <c r="AL441" s="829">
        <f t="shared" si="805"/>
        <v>45955</v>
      </c>
      <c r="AM441" s="684">
        <f>IFERROR(IF(AND(AT441="",AR441&lt;&gt;S.CAL!$BJ$3,AR441&lt;&gt;S.CAL!$BJ$4,$AR$410="NON"),M441-BD441,IF(AND(AT441="",AR441&lt;&gt;S.CAL!$BJ$3,AR441&lt;&gt;S.CAL!$BJ$4,$AR$410="OUI"),X441-AI441,IF(AT441&lt;&gt;0,AT441,IF(OR(AR441=S.CAL!$BJ$3,AR441=S.CAL!$BJ$4),AR441,"")))),"")</f>
        <v>0</v>
      </c>
      <c r="AN441" s="1115"/>
      <c r="AO441" s="1116"/>
      <c r="AP441" s="684">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516">
        <f t="shared" si="825"/>
        <v>0</v>
      </c>
      <c r="AR441" s="1120"/>
      <c r="AT441" s="1123"/>
      <c r="AU441" s="831"/>
      <c r="AV441" s="1392">
        <f t="shared" si="806"/>
        <v>45955</v>
      </c>
      <c r="AX441" s="529">
        <f t="shared" si="826"/>
        <v>45955</v>
      </c>
      <c r="AY441" s="541">
        <f t="shared" si="827"/>
        <v>0</v>
      </c>
      <c r="AZ441" s="538" t="s">
        <v>146</v>
      </c>
      <c r="BA441" s="534">
        <f t="shared" si="828"/>
        <v>0</v>
      </c>
      <c r="BB441" s="567" t="str">
        <f t="shared" si="807"/>
        <v/>
      </c>
      <c r="BC441" s="541">
        <f t="shared" si="829"/>
        <v>0</v>
      </c>
      <c r="BD441" s="541">
        <f t="shared" si="830"/>
        <v>0</v>
      </c>
      <c r="BE441" s="750"/>
      <c r="BF441" s="532" t="str">
        <f t="shared" si="808"/>
        <v/>
      </c>
      <c r="BG441" s="532" t="str">
        <f t="shared" si="831"/>
        <v>oui</v>
      </c>
      <c r="BH441" s="395" t="str">
        <f t="shared" si="809"/>
        <v/>
      </c>
      <c r="BI441" s="24" t="str">
        <f t="shared" si="810"/>
        <v/>
      </c>
      <c r="BJ441" s="1403"/>
      <c r="BK441" s="1403"/>
      <c r="BL441" s="1403"/>
      <c r="BM441" s="1403"/>
      <c r="BN441" s="1403"/>
      <c r="BO441" s="1403"/>
      <c r="BP441" s="1403"/>
      <c r="BQ441" s="1403"/>
      <c r="BS441" s="1392">
        <f t="shared" si="777"/>
        <v>45955</v>
      </c>
      <c r="BT441" s="27" t="str">
        <f t="shared" si="839"/>
        <v/>
      </c>
      <c r="BU441" s="1402"/>
      <c r="BV441" s="1402"/>
      <c r="BW441" s="1402"/>
      <c r="BX441" s="1402"/>
      <c r="BY441" s="1402"/>
      <c r="BZ441" s="1402"/>
      <c r="CA441" s="1402"/>
      <c r="CB441" s="1402"/>
      <c r="CD441" s="1408">
        <f t="shared" si="832"/>
        <v>0</v>
      </c>
      <c r="DC441" s="16" t="str">
        <f>Octobre!FC44</f>
        <v>non</v>
      </c>
      <c r="DG441" s="333">
        <f t="shared" si="833"/>
        <v>1</v>
      </c>
      <c r="DH441" s="129">
        <f t="shared" si="811"/>
        <v>10</v>
      </c>
      <c r="DI441" s="129">
        <f t="shared" si="834"/>
        <v>1</v>
      </c>
      <c r="DK441" s="16">
        <f>+IF(AND(Octobre!$DP$8&lt;&gt;52,AR441=S.CAL!$BJ$4),10,1)</f>
        <v>1</v>
      </c>
      <c r="DN441" s="16">
        <f t="shared" si="812"/>
        <v>1</v>
      </c>
      <c r="DU441" s="1296" t="str">
        <f t="shared" si="835"/>
        <v>Fiche infoA645955</v>
      </c>
      <c r="DV441" s="1384">
        <f t="shared" si="813"/>
        <v>0</v>
      </c>
      <c r="DW441" s="1385">
        <f t="shared" si="814"/>
        <v>0</v>
      </c>
      <c r="DX441" s="1385">
        <f t="shared" si="815"/>
        <v>0</v>
      </c>
      <c r="DY441" s="1385">
        <f t="shared" si="816"/>
        <v>0</v>
      </c>
      <c r="DZ441" s="1385">
        <f t="shared" si="817"/>
        <v>0</v>
      </c>
      <c r="EA441" s="1385">
        <f t="shared" si="818"/>
        <v>0</v>
      </c>
      <c r="EB441" s="1385">
        <f t="shared" si="819"/>
        <v>0</v>
      </c>
      <c r="EC441" s="1385">
        <f t="shared" si="820"/>
        <v>0</v>
      </c>
      <c r="ED441" s="1385">
        <f t="shared" si="836"/>
        <v>0</v>
      </c>
      <c r="EE441" s="1386">
        <f t="shared" si="837"/>
        <v>0</v>
      </c>
      <c r="EG441" s="16" t="str">
        <f t="shared" si="838"/>
        <v>432025</v>
      </c>
      <c r="EH441" s="16" t="str">
        <f t="shared" si="821"/>
        <v>Fiche infoA6</v>
      </c>
      <c r="EI441" s="16" t="str">
        <f t="shared" si="822"/>
        <v/>
      </c>
    </row>
    <row r="442" spans="1:139" x14ac:dyDescent="0.2">
      <c r="A442" s="1395" t="str">
        <f>Octobre!BJ45</f>
        <v>Fiche infoA7</v>
      </c>
      <c r="B442" s="829">
        <f>Octobre!AB45</f>
        <v>45956</v>
      </c>
      <c r="C442" s="1394"/>
      <c r="D442" s="1001">
        <f t="shared" si="778"/>
        <v>0</v>
      </c>
      <c r="E442" s="452">
        <f t="shared" si="779"/>
        <v>0</v>
      </c>
      <c r="F442" s="452">
        <f t="shared" si="780"/>
        <v>0</v>
      </c>
      <c r="G442" s="452">
        <f t="shared" si="781"/>
        <v>0</v>
      </c>
      <c r="H442" s="452">
        <f t="shared" si="782"/>
        <v>0</v>
      </c>
      <c r="I442" s="452">
        <f t="shared" si="783"/>
        <v>0</v>
      </c>
      <c r="J442" s="452">
        <f t="shared" si="784"/>
        <v>0</v>
      </c>
      <c r="K442" s="452">
        <f t="shared" si="785"/>
        <v>0</v>
      </c>
      <c r="L442" s="452">
        <f t="shared" si="823"/>
        <v>0</v>
      </c>
      <c r="M442" s="1002">
        <f t="shared" si="824"/>
        <v>0</v>
      </c>
      <c r="N442" s="1396"/>
      <c r="O442" s="1001">
        <f t="shared" si="840"/>
        <v>0</v>
      </c>
      <c r="P442" s="452">
        <f t="shared" si="841"/>
        <v>0</v>
      </c>
      <c r="Q442" s="452">
        <f t="shared" si="842"/>
        <v>0</v>
      </c>
      <c r="R442" s="452">
        <f t="shared" si="843"/>
        <v>0</v>
      </c>
      <c r="S442" s="452">
        <f t="shared" si="844"/>
        <v>0</v>
      </c>
      <c r="T442" s="452">
        <f t="shared" si="845"/>
        <v>0</v>
      </c>
      <c r="U442" s="452">
        <f t="shared" si="846"/>
        <v>0</v>
      </c>
      <c r="V442" s="452">
        <f t="shared" si="847"/>
        <v>0</v>
      </c>
      <c r="W442" s="452">
        <f t="shared" si="794"/>
        <v>0</v>
      </c>
      <c r="X442" s="1002">
        <f t="shared" si="795"/>
        <v>0</v>
      </c>
      <c r="Y442" s="1397"/>
      <c r="Z442" s="1398">
        <f t="shared" si="796"/>
        <v>0</v>
      </c>
      <c r="AA442" s="1398">
        <f t="shared" si="797"/>
        <v>0</v>
      </c>
      <c r="AB442" s="1398">
        <f t="shared" si="798"/>
        <v>0</v>
      </c>
      <c r="AC442" s="1398">
        <f t="shared" si="799"/>
        <v>0</v>
      </c>
      <c r="AD442" s="1398">
        <f t="shared" si="800"/>
        <v>0</v>
      </c>
      <c r="AE442" s="1398">
        <f t="shared" si="801"/>
        <v>0</v>
      </c>
      <c r="AF442" s="1398">
        <f t="shared" si="802"/>
        <v>0</v>
      </c>
      <c r="AG442" s="1398">
        <f t="shared" si="803"/>
        <v>0</v>
      </c>
      <c r="AH442" s="1396"/>
      <c r="AI442" s="462">
        <f t="shared" si="848"/>
        <v>0</v>
      </c>
      <c r="AJ442" s="1112"/>
      <c r="AK442" s="1399"/>
      <c r="AL442" s="829">
        <f t="shared" si="805"/>
        <v>45956</v>
      </c>
      <c r="AM442" s="684">
        <f>IFERROR(IF(AND(AT442="",AR442&lt;&gt;S.CAL!$BJ$3,AR442&lt;&gt;S.CAL!$BJ$4,$AR$410="NON"),M442-BD442,IF(AND(AT442="",AR442&lt;&gt;S.CAL!$BJ$3,AR442&lt;&gt;S.CAL!$BJ$4,$AR$410="OUI"),X442-AI442,IF(AT442&lt;&gt;0,AT442,IF(OR(AR442=S.CAL!$BJ$3,AR442=S.CAL!$BJ$4),AR442,"")))),"")</f>
        <v>0</v>
      </c>
      <c r="AN442" s="1115"/>
      <c r="AO442" s="1116"/>
      <c r="AP442" s="684">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400">
        <f t="shared" si="825"/>
        <v>0</v>
      </c>
      <c r="AR442" s="1120"/>
      <c r="AS442" s="1396"/>
      <c r="AT442" s="1123"/>
      <c r="AU442" s="831"/>
      <c r="AV442" s="1392">
        <f t="shared" si="806"/>
        <v>45956</v>
      </c>
      <c r="AW442" s="1396"/>
      <c r="AX442" s="529">
        <f t="shared" si="826"/>
        <v>45956</v>
      </c>
      <c r="AY442" s="541">
        <f t="shared" si="827"/>
        <v>0</v>
      </c>
      <c r="AZ442" s="538" t="s">
        <v>146</v>
      </c>
      <c r="BA442" s="534">
        <f t="shared" si="828"/>
        <v>0</v>
      </c>
      <c r="BB442" s="567" t="str">
        <f t="shared" si="807"/>
        <v/>
      </c>
      <c r="BC442" s="541">
        <f t="shared" si="829"/>
        <v>0</v>
      </c>
      <c r="BD442" s="541">
        <f t="shared" si="830"/>
        <v>0</v>
      </c>
      <c r="BE442" s="750"/>
      <c r="BF442" s="532" t="str">
        <f t="shared" si="808"/>
        <v/>
      </c>
      <c r="BG442" s="532" t="str">
        <f t="shared" si="831"/>
        <v>oui</v>
      </c>
      <c r="BH442" s="395" t="str">
        <f t="shared" si="809"/>
        <v/>
      </c>
      <c r="BI442" s="24" t="str">
        <f t="shared" si="810"/>
        <v/>
      </c>
      <c r="BJ442" s="1404"/>
      <c r="BK442" s="1404"/>
      <c r="BL442" s="1404"/>
      <c r="BM442" s="1404"/>
      <c r="BN442" s="1404"/>
      <c r="BO442" s="1404"/>
      <c r="BP442" s="1404"/>
      <c r="BQ442" s="1404"/>
      <c r="BR442" s="1405"/>
      <c r="BS442" s="1392">
        <f t="shared" si="777"/>
        <v>45956</v>
      </c>
      <c r="BT442" s="1406" t="str">
        <f t="shared" si="839"/>
        <v/>
      </c>
      <c r="BU442" s="1404"/>
      <c r="BV442" s="1404"/>
      <c r="BW442" s="1404"/>
      <c r="BX442" s="1404"/>
      <c r="BY442" s="1404"/>
      <c r="BZ442" s="1404"/>
      <c r="CA442" s="1404"/>
      <c r="CB442" s="1404"/>
      <c r="CD442" s="1408">
        <f t="shared" si="832"/>
        <v>0</v>
      </c>
      <c r="DC442" s="16" t="str">
        <f>Octobre!FC45</f>
        <v>non</v>
      </c>
      <c r="DG442" s="333">
        <f t="shared" si="833"/>
        <v>1</v>
      </c>
      <c r="DH442" s="129">
        <f t="shared" si="811"/>
        <v>10</v>
      </c>
      <c r="DI442" s="129">
        <f t="shared" si="834"/>
        <v>1</v>
      </c>
      <c r="DK442" s="16">
        <f>+IF(AND(Octobre!$DP$8&lt;&gt;52,AR442=S.CAL!$BJ$4),10,1)</f>
        <v>1</v>
      </c>
      <c r="DN442" s="16">
        <f t="shared" si="812"/>
        <v>1</v>
      </c>
      <c r="DU442" s="1296" t="str">
        <f t="shared" si="835"/>
        <v>Fiche infoA745956</v>
      </c>
      <c r="DV442" s="1384">
        <f t="shared" si="813"/>
        <v>0</v>
      </c>
      <c r="DW442" s="1385">
        <f t="shared" si="814"/>
        <v>0</v>
      </c>
      <c r="DX442" s="1385">
        <f t="shared" si="815"/>
        <v>0</v>
      </c>
      <c r="DY442" s="1385">
        <f t="shared" si="816"/>
        <v>0</v>
      </c>
      <c r="DZ442" s="1385">
        <f t="shared" si="817"/>
        <v>0</v>
      </c>
      <c r="EA442" s="1385">
        <f t="shared" si="818"/>
        <v>0</v>
      </c>
      <c r="EB442" s="1385">
        <f t="shared" si="819"/>
        <v>0</v>
      </c>
      <c r="EC442" s="1385">
        <f t="shared" si="820"/>
        <v>0</v>
      </c>
      <c r="ED442" s="1385">
        <f t="shared" si="836"/>
        <v>0</v>
      </c>
      <c r="EE442" s="1386">
        <f t="shared" si="837"/>
        <v>0</v>
      </c>
      <c r="EG442" s="16" t="str">
        <f t="shared" si="838"/>
        <v>432025</v>
      </c>
      <c r="EH442" s="16" t="str">
        <f t="shared" si="821"/>
        <v>Fiche infoA7</v>
      </c>
      <c r="EI442" s="16" t="str">
        <f t="shared" si="822"/>
        <v/>
      </c>
    </row>
    <row r="443" spans="1:139" x14ac:dyDescent="0.2">
      <c r="A443" s="24" t="str">
        <f>Octobre!BJ46</f>
        <v>Fiche infoA1</v>
      </c>
      <c r="B443" s="829">
        <f>Octobre!AB46</f>
        <v>45957</v>
      </c>
      <c r="C443" s="1393"/>
      <c r="D443" s="1001">
        <f t="shared" si="778"/>
        <v>0</v>
      </c>
      <c r="E443" s="452">
        <f t="shared" si="779"/>
        <v>0</v>
      </c>
      <c r="F443" s="452">
        <f t="shared" si="780"/>
        <v>0</v>
      </c>
      <c r="G443" s="452">
        <f t="shared" si="781"/>
        <v>0</v>
      </c>
      <c r="H443" s="452">
        <f t="shared" si="782"/>
        <v>0</v>
      </c>
      <c r="I443" s="452">
        <f t="shared" si="783"/>
        <v>0</v>
      </c>
      <c r="J443" s="452">
        <f t="shared" si="784"/>
        <v>0</v>
      </c>
      <c r="K443" s="452">
        <f t="shared" si="785"/>
        <v>0</v>
      </c>
      <c r="L443" s="452">
        <f t="shared" si="823"/>
        <v>0</v>
      </c>
      <c r="M443" s="1002">
        <f t="shared" si="824"/>
        <v>0</v>
      </c>
      <c r="O443" s="1001">
        <f t="shared" si="840"/>
        <v>0</v>
      </c>
      <c r="P443" s="452">
        <f t="shared" si="841"/>
        <v>0</v>
      </c>
      <c r="Q443" s="452">
        <f t="shared" si="842"/>
        <v>0</v>
      </c>
      <c r="R443" s="452">
        <f t="shared" si="843"/>
        <v>0</v>
      </c>
      <c r="S443" s="452">
        <f t="shared" si="844"/>
        <v>0</v>
      </c>
      <c r="T443" s="452">
        <f t="shared" si="845"/>
        <v>0</v>
      </c>
      <c r="U443" s="452">
        <f t="shared" si="846"/>
        <v>0</v>
      </c>
      <c r="V443" s="452">
        <f t="shared" si="847"/>
        <v>0</v>
      </c>
      <c r="W443" s="452">
        <f t="shared" si="794"/>
        <v>0</v>
      </c>
      <c r="X443" s="1002">
        <f t="shared" si="795"/>
        <v>0</v>
      </c>
      <c r="Y443" s="459"/>
      <c r="Z443" s="291">
        <f t="shared" si="796"/>
        <v>0</v>
      </c>
      <c r="AA443" s="291">
        <f t="shared" si="797"/>
        <v>0</v>
      </c>
      <c r="AB443" s="291">
        <f t="shared" si="798"/>
        <v>0</v>
      </c>
      <c r="AC443" s="291">
        <f t="shared" si="799"/>
        <v>0</v>
      </c>
      <c r="AD443" s="291">
        <f t="shared" si="800"/>
        <v>0</v>
      </c>
      <c r="AE443" s="291">
        <f t="shared" si="801"/>
        <v>0</v>
      </c>
      <c r="AF443" s="291">
        <f t="shared" si="802"/>
        <v>0</v>
      </c>
      <c r="AG443" s="291">
        <f t="shared" si="803"/>
        <v>0</v>
      </c>
      <c r="AI443" s="462">
        <f t="shared" si="848"/>
        <v>0</v>
      </c>
      <c r="AJ443" s="1112"/>
      <c r="AK443" s="507"/>
      <c r="AL443" s="829">
        <f t="shared" si="805"/>
        <v>45957</v>
      </c>
      <c r="AM443" s="684">
        <f>IFERROR(IF(AND(AT443="",AR443&lt;&gt;S.CAL!$BJ$3,AR443&lt;&gt;S.CAL!$BJ$4,$AR$410="NON"),M443-BD443,IF(AND(AT443="",AR443&lt;&gt;S.CAL!$BJ$3,AR443&lt;&gt;S.CAL!$BJ$4,$AR$410="OUI"),X443-AI443,IF(AT443&lt;&gt;0,AT443,IF(OR(AR443=S.CAL!$BJ$3,AR443=S.CAL!$BJ$4),AR443,"")))),"")</f>
        <v>0</v>
      </c>
      <c r="AN443" s="1115"/>
      <c r="AO443" s="1116"/>
      <c r="AP443" s="684">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516">
        <f t="shared" si="825"/>
        <v>0</v>
      </c>
      <c r="AR443" s="1120"/>
      <c r="AT443" s="1123"/>
      <c r="AU443" s="831"/>
      <c r="AV443" s="1392">
        <f t="shared" si="806"/>
        <v>45957</v>
      </c>
      <c r="AX443" s="529">
        <f t="shared" si="826"/>
        <v>45957</v>
      </c>
      <c r="AY443" s="541">
        <f t="shared" si="827"/>
        <v>0</v>
      </c>
      <c r="AZ443" s="538" t="s">
        <v>146</v>
      </c>
      <c r="BA443" s="534">
        <f t="shared" si="828"/>
        <v>0</v>
      </c>
      <c r="BB443" s="567" t="str">
        <f t="shared" si="807"/>
        <v/>
      </c>
      <c r="BC443" s="541">
        <f t="shared" si="829"/>
        <v>0</v>
      </c>
      <c r="BD443" s="541">
        <f t="shared" si="830"/>
        <v>0</v>
      </c>
      <c r="BE443" s="750"/>
      <c r="BF443" s="532" t="str">
        <f t="shared" si="808"/>
        <v/>
      </c>
      <c r="BG443" s="532" t="str">
        <f t="shared" si="831"/>
        <v>oui</v>
      </c>
      <c r="BH443" s="395" t="str">
        <f t="shared" si="809"/>
        <v/>
      </c>
      <c r="BI443" s="24" t="str">
        <f t="shared" si="810"/>
        <v/>
      </c>
      <c r="BJ443" s="1403"/>
      <c r="BK443" s="1403"/>
      <c r="BL443" s="1403"/>
      <c r="BM443" s="1403"/>
      <c r="BN443" s="1403"/>
      <c r="BO443" s="1403"/>
      <c r="BP443" s="1403"/>
      <c r="BQ443" s="1403"/>
      <c r="BS443" s="1392">
        <f t="shared" si="777"/>
        <v>45957</v>
      </c>
      <c r="BT443" s="27">
        <f t="shared" si="839"/>
        <v>44</v>
      </c>
      <c r="BU443" s="1402"/>
      <c r="BV443" s="1402"/>
      <c r="BW443" s="1402"/>
      <c r="BX443" s="1402"/>
      <c r="BY443" s="1402"/>
      <c r="BZ443" s="1402"/>
      <c r="CA443" s="1402"/>
      <c r="CB443" s="1402"/>
      <c r="CD443" s="1408">
        <f t="shared" si="832"/>
        <v>0</v>
      </c>
      <c r="DC443" s="16" t="str">
        <f>Octobre!FC46</f>
        <v>non</v>
      </c>
      <c r="DG443" s="333">
        <f t="shared" si="833"/>
        <v>1</v>
      </c>
      <c r="DH443" s="129">
        <f t="shared" si="811"/>
        <v>10</v>
      </c>
      <c r="DI443" s="129">
        <f t="shared" si="834"/>
        <v>1</v>
      </c>
      <c r="DK443" s="16">
        <f>+IF(AND(Octobre!$DP$8&lt;&gt;52,AR443=S.CAL!$BJ$4),10,1)</f>
        <v>1</v>
      </c>
      <c r="DN443" s="16">
        <f t="shared" si="812"/>
        <v>1</v>
      </c>
      <c r="DU443" s="1296" t="str">
        <f t="shared" si="835"/>
        <v>Fiche infoA145957</v>
      </c>
      <c r="DV443" s="1384">
        <f t="shared" si="813"/>
        <v>0</v>
      </c>
      <c r="DW443" s="1385">
        <f t="shared" si="814"/>
        <v>0</v>
      </c>
      <c r="DX443" s="1385">
        <f t="shared" si="815"/>
        <v>0</v>
      </c>
      <c r="DY443" s="1385">
        <f t="shared" si="816"/>
        <v>0</v>
      </c>
      <c r="DZ443" s="1385">
        <f t="shared" si="817"/>
        <v>0</v>
      </c>
      <c r="EA443" s="1385">
        <f t="shared" si="818"/>
        <v>0</v>
      </c>
      <c r="EB443" s="1385">
        <f t="shared" si="819"/>
        <v>0</v>
      </c>
      <c r="EC443" s="1385">
        <f t="shared" si="820"/>
        <v>0</v>
      </c>
      <c r="ED443" s="1385">
        <f t="shared" si="836"/>
        <v>0</v>
      </c>
      <c r="EE443" s="1386">
        <f t="shared" si="837"/>
        <v>0</v>
      </c>
      <c r="EG443" s="16" t="str">
        <f t="shared" si="838"/>
        <v>442025</v>
      </c>
      <c r="EH443" s="16" t="str">
        <f t="shared" si="821"/>
        <v>Fiche infoA1</v>
      </c>
      <c r="EI443" s="16" t="str">
        <f t="shared" si="822"/>
        <v/>
      </c>
    </row>
    <row r="444" spans="1:139" x14ac:dyDescent="0.2">
      <c r="A444" s="1395" t="str">
        <f>Octobre!BJ47</f>
        <v>Fiche infoA2</v>
      </c>
      <c r="B444" s="829">
        <f>Octobre!AB47</f>
        <v>45958</v>
      </c>
      <c r="C444" s="1394"/>
      <c r="D444" s="1001">
        <f t="shared" si="778"/>
        <v>0</v>
      </c>
      <c r="E444" s="452">
        <f t="shared" si="779"/>
        <v>0</v>
      </c>
      <c r="F444" s="452">
        <f t="shared" si="780"/>
        <v>0</v>
      </c>
      <c r="G444" s="452">
        <f t="shared" si="781"/>
        <v>0</v>
      </c>
      <c r="H444" s="452">
        <f t="shared" si="782"/>
        <v>0</v>
      </c>
      <c r="I444" s="452">
        <f t="shared" si="783"/>
        <v>0</v>
      </c>
      <c r="J444" s="452">
        <f t="shared" si="784"/>
        <v>0</v>
      </c>
      <c r="K444" s="452">
        <f t="shared" si="785"/>
        <v>0</v>
      </c>
      <c r="L444" s="452">
        <f t="shared" si="823"/>
        <v>0</v>
      </c>
      <c r="M444" s="1002">
        <f t="shared" si="824"/>
        <v>0</v>
      </c>
      <c r="N444" s="1396"/>
      <c r="O444" s="1001">
        <f t="shared" si="840"/>
        <v>0</v>
      </c>
      <c r="P444" s="452">
        <f t="shared" si="841"/>
        <v>0</v>
      </c>
      <c r="Q444" s="452">
        <f t="shared" si="842"/>
        <v>0</v>
      </c>
      <c r="R444" s="452">
        <f t="shared" si="843"/>
        <v>0</v>
      </c>
      <c r="S444" s="452">
        <f t="shared" si="844"/>
        <v>0</v>
      </c>
      <c r="T444" s="452">
        <f t="shared" si="845"/>
        <v>0</v>
      </c>
      <c r="U444" s="452">
        <f t="shared" si="846"/>
        <v>0</v>
      </c>
      <c r="V444" s="452">
        <f t="shared" si="847"/>
        <v>0</v>
      </c>
      <c r="W444" s="452">
        <f t="shared" si="794"/>
        <v>0</v>
      </c>
      <c r="X444" s="1002">
        <f t="shared" si="795"/>
        <v>0</v>
      </c>
      <c r="Y444" s="1397"/>
      <c r="Z444" s="1398">
        <f t="shared" si="796"/>
        <v>0</v>
      </c>
      <c r="AA444" s="1398">
        <f t="shared" si="797"/>
        <v>0</v>
      </c>
      <c r="AB444" s="1398">
        <f t="shared" si="798"/>
        <v>0</v>
      </c>
      <c r="AC444" s="1398">
        <f t="shared" si="799"/>
        <v>0</v>
      </c>
      <c r="AD444" s="1398">
        <f t="shared" si="800"/>
        <v>0</v>
      </c>
      <c r="AE444" s="1398">
        <f t="shared" si="801"/>
        <v>0</v>
      </c>
      <c r="AF444" s="1398">
        <f t="shared" si="802"/>
        <v>0</v>
      </c>
      <c r="AG444" s="1398">
        <f t="shared" si="803"/>
        <v>0</v>
      </c>
      <c r="AH444" s="1396"/>
      <c r="AI444" s="462">
        <f t="shared" si="848"/>
        <v>0</v>
      </c>
      <c r="AJ444" s="1112"/>
      <c r="AK444" s="1399"/>
      <c r="AL444" s="829">
        <f t="shared" si="805"/>
        <v>45958</v>
      </c>
      <c r="AM444" s="684">
        <f>IFERROR(IF(AND(AT444="",AR444&lt;&gt;S.CAL!$BJ$3,AR444&lt;&gt;S.CAL!$BJ$4,$AR$410="NON"),M444-BD444,IF(AND(AT444="",AR444&lt;&gt;S.CAL!$BJ$3,AR444&lt;&gt;S.CAL!$BJ$4,$AR$410="OUI"),X444-AI444,IF(AT444&lt;&gt;0,AT444,IF(OR(AR444=S.CAL!$BJ$3,AR444=S.CAL!$BJ$4),AR444,"")))),"")</f>
        <v>0</v>
      </c>
      <c r="AN444" s="1115"/>
      <c r="AO444" s="1116"/>
      <c r="AP444" s="684">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400">
        <f t="shared" si="825"/>
        <v>0</v>
      </c>
      <c r="AR444" s="1120"/>
      <c r="AS444" s="1396"/>
      <c r="AT444" s="1123"/>
      <c r="AU444" s="831"/>
      <c r="AV444" s="1392">
        <f t="shared" si="806"/>
        <v>45958</v>
      </c>
      <c r="AW444" s="1396"/>
      <c r="AX444" s="529">
        <f t="shared" si="826"/>
        <v>45958</v>
      </c>
      <c r="AY444" s="541">
        <f t="shared" si="827"/>
        <v>0</v>
      </c>
      <c r="AZ444" s="538" t="s">
        <v>146</v>
      </c>
      <c r="BA444" s="534">
        <f t="shared" si="828"/>
        <v>0</v>
      </c>
      <c r="BB444" s="567" t="str">
        <f t="shared" si="807"/>
        <v/>
      </c>
      <c r="BC444" s="541">
        <f t="shared" si="829"/>
        <v>0</v>
      </c>
      <c r="BD444" s="541">
        <f t="shared" si="830"/>
        <v>0</v>
      </c>
      <c r="BE444" s="750"/>
      <c r="BF444" s="532" t="str">
        <f t="shared" si="808"/>
        <v/>
      </c>
      <c r="BG444" s="532" t="str">
        <f t="shared" si="831"/>
        <v>oui</v>
      </c>
      <c r="BH444" s="395" t="str">
        <f t="shared" si="809"/>
        <v/>
      </c>
      <c r="BI444" s="24" t="str">
        <f t="shared" si="810"/>
        <v/>
      </c>
      <c r="BJ444" s="1404"/>
      <c r="BK444" s="1404"/>
      <c r="BL444" s="1404"/>
      <c r="BM444" s="1404"/>
      <c r="BN444" s="1404"/>
      <c r="BO444" s="1404"/>
      <c r="BP444" s="1404"/>
      <c r="BQ444" s="1404"/>
      <c r="BR444" s="1405"/>
      <c r="BS444" s="1392">
        <f t="shared" si="777"/>
        <v>45958</v>
      </c>
      <c r="BT444" s="1406" t="str">
        <f t="shared" si="839"/>
        <v/>
      </c>
      <c r="BU444" s="1404"/>
      <c r="BV444" s="1404"/>
      <c r="BW444" s="1404"/>
      <c r="BX444" s="1404"/>
      <c r="BY444" s="1404"/>
      <c r="BZ444" s="1404"/>
      <c r="CA444" s="1404"/>
      <c r="CB444" s="1404"/>
      <c r="CD444" s="1408">
        <f t="shared" si="832"/>
        <v>0</v>
      </c>
      <c r="DC444" s="16" t="str">
        <f>Octobre!FC47</f>
        <v>non</v>
      </c>
      <c r="DG444" s="333">
        <f t="shared" si="833"/>
        <v>1</v>
      </c>
      <c r="DH444" s="129">
        <f t="shared" si="811"/>
        <v>10</v>
      </c>
      <c r="DI444" s="129">
        <f t="shared" si="834"/>
        <v>1</v>
      </c>
      <c r="DK444" s="16">
        <f>+IF(AND(Octobre!$DP$8&lt;&gt;52,AR444=S.CAL!$BJ$4),10,1)</f>
        <v>1</v>
      </c>
      <c r="DN444" s="16">
        <f t="shared" si="812"/>
        <v>1</v>
      </c>
      <c r="DU444" s="1296" t="str">
        <f t="shared" si="835"/>
        <v>Fiche infoA245958</v>
      </c>
      <c r="DV444" s="1384">
        <f t="shared" si="813"/>
        <v>0</v>
      </c>
      <c r="DW444" s="1385">
        <f t="shared" si="814"/>
        <v>0</v>
      </c>
      <c r="DX444" s="1385">
        <f t="shared" si="815"/>
        <v>0</v>
      </c>
      <c r="DY444" s="1385">
        <f t="shared" si="816"/>
        <v>0</v>
      </c>
      <c r="DZ444" s="1385">
        <f t="shared" si="817"/>
        <v>0</v>
      </c>
      <c r="EA444" s="1385">
        <f t="shared" si="818"/>
        <v>0</v>
      </c>
      <c r="EB444" s="1385">
        <f t="shared" si="819"/>
        <v>0</v>
      </c>
      <c r="EC444" s="1385">
        <f t="shared" si="820"/>
        <v>0</v>
      </c>
      <c r="ED444" s="1385">
        <f t="shared" si="836"/>
        <v>0</v>
      </c>
      <c r="EE444" s="1386">
        <f t="shared" si="837"/>
        <v>0</v>
      </c>
      <c r="EG444" s="16" t="str">
        <f t="shared" si="838"/>
        <v>442025</v>
      </c>
      <c r="EH444" s="16" t="str">
        <f t="shared" si="821"/>
        <v>Fiche infoA2</v>
      </c>
      <c r="EI444" s="16" t="str">
        <f t="shared" si="822"/>
        <v/>
      </c>
    </row>
    <row r="445" spans="1:139" x14ac:dyDescent="0.2">
      <c r="A445" s="24" t="str">
        <f>Octobre!BJ48</f>
        <v>Fiche infoA3</v>
      </c>
      <c r="B445" s="829">
        <f>Octobre!AB48</f>
        <v>45959</v>
      </c>
      <c r="C445" s="1393"/>
      <c r="D445" s="1001">
        <f t="shared" si="778"/>
        <v>0</v>
      </c>
      <c r="E445" s="452">
        <f t="shared" si="779"/>
        <v>0</v>
      </c>
      <c r="F445" s="452">
        <f t="shared" si="780"/>
        <v>0</v>
      </c>
      <c r="G445" s="452">
        <f t="shared" si="781"/>
        <v>0</v>
      </c>
      <c r="H445" s="452">
        <f t="shared" si="782"/>
        <v>0</v>
      </c>
      <c r="I445" s="452">
        <f t="shared" si="783"/>
        <v>0</v>
      </c>
      <c r="J445" s="452">
        <f t="shared" si="784"/>
        <v>0</v>
      </c>
      <c r="K445" s="452">
        <f t="shared" si="785"/>
        <v>0</v>
      </c>
      <c r="L445" s="452">
        <f t="shared" si="823"/>
        <v>0</v>
      </c>
      <c r="M445" s="1002">
        <f t="shared" si="824"/>
        <v>0</v>
      </c>
      <c r="O445" s="1001">
        <f t="shared" si="840"/>
        <v>0</v>
      </c>
      <c r="P445" s="452">
        <f t="shared" si="841"/>
        <v>0</v>
      </c>
      <c r="Q445" s="452">
        <f t="shared" si="842"/>
        <v>0</v>
      </c>
      <c r="R445" s="452">
        <f t="shared" si="843"/>
        <v>0</v>
      </c>
      <c r="S445" s="452">
        <f t="shared" si="844"/>
        <v>0</v>
      </c>
      <c r="T445" s="452">
        <f t="shared" si="845"/>
        <v>0</v>
      </c>
      <c r="U445" s="452">
        <f t="shared" si="846"/>
        <v>0</v>
      </c>
      <c r="V445" s="452">
        <f t="shared" si="847"/>
        <v>0</v>
      </c>
      <c r="W445" s="452">
        <f t="shared" si="794"/>
        <v>0</v>
      </c>
      <c r="X445" s="1002">
        <f t="shared" si="795"/>
        <v>0</v>
      </c>
      <c r="Y445" s="459"/>
      <c r="Z445" s="291">
        <f t="shared" si="796"/>
        <v>0</v>
      </c>
      <c r="AA445" s="291">
        <f t="shared" si="797"/>
        <v>0</v>
      </c>
      <c r="AB445" s="291">
        <f t="shared" si="798"/>
        <v>0</v>
      </c>
      <c r="AC445" s="291">
        <f t="shared" si="799"/>
        <v>0</v>
      </c>
      <c r="AD445" s="291">
        <f t="shared" si="800"/>
        <v>0</v>
      </c>
      <c r="AE445" s="291">
        <f t="shared" si="801"/>
        <v>0</v>
      </c>
      <c r="AF445" s="291">
        <f t="shared" si="802"/>
        <v>0</v>
      </c>
      <c r="AG445" s="291">
        <f t="shared" si="803"/>
        <v>0</v>
      </c>
      <c r="AI445" s="462">
        <f t="shared" si="848"/>
        <v>0</v>
      </c>
      <c r="AJ445" s="1112"/>
      <c r="AK445" s="507"/>
      <c r="AL445" s="829">
        <f t="shared" si="805"/>
        <v>45959</v>
      </c>
      <c r="AM445" s="684">
        <f>IFERROR(IF(AND(AT445="",AR445&lt;&gt;S.CAL!$BJ$3,AR445&lt;&gt;S.CAL!$BJ$4,$AR$410="NON"),M445-BD445,IF(AND(AT445="",AR445&lt;&gt;S.CAL!$BJ$3,AR445&lt;&gt;S.CAL!$BJ$4,$AR$410="OUI"),X445-AI445,IF(AT445&lt;&gt;0,AT445,IF(OR(AR445=S.CAL!$BJ$3,AR445=S.CAL!$BJ$4),AR445,"")))),"")</f>
        <v>0</v>
      </c>
      <c r="AN445" s="1115"/>
      <c r="AO445" s="1116"/>
      <c r="AP445" s="684">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516">
        <f t="shared" si="825"/>
        <v>0</v>
      </c>
      <c r="AR445" s="1120"/>
      <c r="AT445" s="1123"/>
      <c r="AU445" s="831"/>
      <c r="AV445" s="1392">
        <f t="shared" si="806"/>
        <v>45959</v>
      </c>
      <c r="AX445" s="529">
        <f t="shared" si="826"/>
        <v>45959</v>
      </c>
      <c r="AY445" s="541">
        <f t="shared" si="827"/>
        <v>0</v>
      </c>
      <c r="AZ445" s="538" t="s">
        <v>146</v>
      </c>
      <c r="BA445" s="534">
        <f t="shared" si="828"/>
        <v>0</v>
      </c>
      <c r="BB445" s="567" t="str">
        <f t="shared" si="807"/>
        <v/>
      </c>
      <c r="BC445" s="541">
        <f t="shared" si="829"/>
        <v>0</v>
      </c>
      <c r="BD445" s="541">
        <f t="shared" si="830"/>
        <v>0</v>
      </c>
      <c r="BE445" s="750"/>
      <c r="BF445" s="532" t="str">
        <f t="shared" si="808"/>
        <v/>
      </c>
      <c r="BG445" s="532" t="str">
        <f t="shared" si="831"/>
        <v>oui</v>
      </c>
      <c r="BH445" s="395" t="str">
        <f t="shared" si="809"/>
        <v/>
      </c>
      <c r="BI445" s="24" t="str">
        <f t="shared" si="810"/>
        <v/>
      </c>
      <c r="BJ445" s="1403"/>
      <c r="BK445" s="1403"/>
      <c r="BL445" s="1403"/>
      <c r="BM445" s="1403"/>
      <c r="BN445" s="1403"/>
      <c r="BO445" s="1403"/>
      <c r="BP445" s="1403"/>
      <c r="BQ445" s="1403"/>
      <c r="BS445" s="1392">
        <f t="shared" si="777"/>
        <v>45959</v>
      </c>
      <c r="BT445" s="27" t="str">
        <f t="shared" si="839"/>
        <v/>
      </c>
      <c r="BU445" s="1402"/>
      <c r="BV445" s="1402"/>
      <c r="BW445" s="1402"/>
      <c r="BX445" s="1402"/>
      <c r="BY445" s="1402"/>
      <c r="BZ445" s="1402"/>
      <c r="CA445" s="1402"/>
      <c r="CB445" s="1402"/>
      <c r="CD445" s="1408">
        <f t="shared" si="832"/>
        <v>0</v>
      </c>
      <c r="DC445" s="16" t="str">
        <f>Octobre!FC48</f>
        <v>non</v>
      </c>
      <c r="DG445" s="333">
        <f t="shared" si="833"/>
        <v>1</v>
      </c>
      <c r="DH445" s="129">
        <f t="shared" si="811"/>
        <v>10</v>
      </c>
      <c r="DI445" s="129">
        <f t="shared" si="834"/>
        <v>1</v>
      </c>
      <c r="DK445" s="16">
        <f>+IF(AND(Octobre!$DP$8&lt;&gt;52,AR445=S.CAL!$BJ$4),10,1)</f>
        <v>1</v>
      </c>
      <c r="DN445" s="16">
        <f t="shared" si="812"/>
        <v>1</v>
      </c>
      <c r="DU445" s="1296" t="str">
        <f t="shared" si="835"/>
        <v>Fiche infoA345959</v>
      </c>
      <c r="DV445" s="1384">
        <f t="shared" si="813"/>
        <v>0</v>
      </c>
      <c r="DW445" s="1385">
        <f t="shared" si="814"/>
        <v>0</v>
      </c>
      <c r="DX445" s="1385">
        <f t="shared" si="815"/>
        <v>0</v>
      </c>
      <c r="DY445" s="1385">
        <f t="shared" si="816"/>
        <v>0</v>
      </c>
      <c r="DZ445" s="1385">
        <f t="shared" si="817"/>
        <v>0</v>
      </c>
      <c r="EA445" s="1385">
        <f t="shared" si="818"/>
        <v>0</v>
      </c>
      <c r="EB445" s="1385">
        <f t="shared" si="819"/>
        <v>0</v>
      </c>
      <c r="EC445" s="1385">
        <f t="shared" si="820"/>
        <v>0</v>
      </c>
      <c r="ED445" s="1385">
        <f t="shared" si="836"/>
        <v>0</v>
      </c>
      <c r="EE445" s="1386">
        <f t="shared" si="837"/>
        <v>0</v>
      </c>
      <c r="EG445" s="16" t="str">
        <f t="shared" si="838"/>
        <v>442025</v>
      </c>
      <c r="EH445" s="16" t="str">
        <f t="shared" si="821"/>
        <v>Fiche infoA3</v>
      </c>
      <c r="EI445" s="16" t="str">
        <f t="shared" si="822"/>
        <v/>
      </c>
    </row>
    <row r="446" spans="1:139" x14ac:dyDescent="0.2">
      <c r="A446" s="1395" t="str">
        <f>Octobre!BJ49</f>
        <v>Fiche infoA4</v>
      </c>
      <c r="B446" s="829">
        <f>Octobre!AB49</f>
        <v>45960</v>
      </c>
      <c r="C446" s="1394"/>
      <c r="D446" s="1001">
        <f t="shared" si="778"/>
        <v>0</v>
      </c>
      <c r="E446" s="452">
        <f t="shared" si="779"/>
        <v>0</v>
      </c>
      <c r="F446" s="452">
        <f t="shared" si="780"/>
        <v>0</v>
      </c>
      <c r="G446" s="452">
        <f t="shared" si="781"/>
        <v>0</v>
      </c>
      <c r="H446" s="452">
        <f t="shared" si="782"/>
        <v>0</v>
      </c>
      <c r="I446" s="452">
        <f t="shared" si="783"/>
        <v>0</v>
      </c>
      <c r="J446" s="452">
        <f t="shared" si="784"/>
        <v>0</v>
      </c>
      <c r="K446" s="452">
        <f t="shared" si="785"/>
        <v>0</v>
      </c>
      <c r="L446" s="452">
        <f t="shared" si="823"/>
        <v>0</v>
      </c>
      <c r="M446" s="1002">
        <f t="shared" si="824"/>
        <v>0</v>
      </c>
      <c r="N446" s="1396"/>
      <c r="O446" s="1001">
        <f t="shared" si="840"/>
        <v>0</v>
      </c>
      <c r="P446" s="452">
        <f t="shared" si="841"/>
        <v>0</v>
      </c>
      <c r="Q446" s="452">
        <f t="shared" si="842"/>
        <v>0</v>
      </c>
      <c r="R446" s="452">
        <f t="shared" si="843"/>
        <v>0</v>
      </c>
      <c r="S446" s="452">
        <f t="shared" si="844"/>
        <v>0</v>
      </c>
      <c r="T446" s="452">
        <f t="shared" si="845"/>
        <v>0</v>
      </c>
      <c r="U446" s="452">
        <f t="shared" si="846"/>
        <v>0</v>
      </c>
      <c r="V446" s="452">
        <f t="shared" si="847"/>
        <v>0</v>
      </c>
      <c r="W446" s="452">
        <f t="shared" si="794"/>
        <v>0</v>
      </c>
      <c r="X446" s="1002">
        <f t="shared" si="795"/>
        <v>0</v>
      </c>
      <c r="Y446" s="1397"/>
      <c r="Z446" s="1398">
        <f t="shared" si="796"/>
        <v>0</v>
      </c>
      <c r="AA446" s="1398">
        <f t="shared" si="797"/>
        <v>0</v>
      </c>
      <c r="AB446" s="1398">
        <f t="shared" si="798"/>
        <v>0</v>
      </c>
      <c r="AC446" s="1398">
        <f t="shared" si="799"/>
        <v>0</v>
      </c>
      <c r="AD446" s="1398">
        <f t="shared" si="800"/>
        <v>0</v>
      </c>
      <c r="AE446" s="1398">
        <f t="shared" si="801"/>
        <v>0</v>
      </c>
      <c r="AF446" s="1398">
        <f t="shared" si="802"/>
        <v>0</v>
      </c>
      <c r="AG446" s="1398">
        <f t="shared" si="803"/>
        <v>0</v>
      </c>
      <c r="AH446" s="1396"/>
      <c r="AI446" s="462">
        <f t="shared" si="848"/>
        <v>0</v>
      </c>
      <c r="AJ446" s="1112"/>
      <c r="AK446" s="1399"/>
      <c r="AL446" s="829">
        <f t="shared" si="805"/>
        <v>45960</v>
      </c>
      <c r="AM446" s="684">
        <f>IFERROR(IF(AND(AT446="",AR446&lt;&gt;S.CAL!$BJ$3,AR446&lt;&gt;S.CAL!$BJ$4,$AR$410="NON"),M446-BD446,IF(AND(AT446="",AR446&lt;&gt;S.CAL!$BJ$3,AR446&lt;&gt;S.CAL!$BJ$4,$AR$410="OUI"),X446-AI446,IF(AT446&lt;&gt;0,AT446,IF(OR(AR446=S.CAL!$BJ$3,AR446=S.CAL!$BJ$4),AR446,"")))),"")</f>
        <v>0</v>
      </c>
      <c r="AN446" s="1115"/>
      <c r="AO446" s="1116"/>
      <c r="AP446" s="684">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400">
        <f t="shared" si="825"/>
        <v>0</v>
      </c>
      <c r="AR446" s="1120"/>
      <c r="AS446" s="1396"/>
      <c r="AT446" s="1123"/>
      <c r="AU446" s="831"/>
      <c r="AV446" s="1392">
        <f t="shared" si="806"/>
        <v>45960</v>
      </c>
      <c r="AW446" s="1396"/>
      <c r="AX446" s="529">
        <f t="shared" si="826"/>
        <v>45960</v>
      </c>
      <c r="AY446" s="541">
        <f t="shared" si="827"/>
        <v>0</v>
      </c>
      <c r="AZ446" s="538" t="s">
        <v>146</v>
      </c>
      <c r="BA446" s="534">
        <f t="shared" si="828"/>
        <v>0</v>
      </c>
      <c r="BB446" s="567" t="str">
        <f t="shared" si="807"/>
        <v/>
      </c>
      <c r="BC446" s="541">
        <f t="shared" si="829"/>
        <v>0</v>
      </c>
      <c r="BD446" s="541">
        <f t="shared" si="830"/>
        <v>0</v>
      </c>
      <c r="BE446" s="750"/>
      <c r="BF446" s="532" t="str">
        <f t="shared" si="808"/>
        <v/>
      </c>
      <c r="BG446" s="532" t="str">
        <f t="shared" si="831"/>
        <v>oui</v>
      </c>
      <c r="BH446" s="395" t="str">
        <f t="shared" si="809"/>
        <v/>
      </c>
      <c r="BI446" s="24" t="str">
        <f t="shared" si="810"/>
        <v/>
      </c>
      <c r="BJ446" s="1404"/>
      <c r="BK446" s="1404"/>
      <c r="BL446" s="1404"/>
      <c r="BM446" s="1404"/>
      <c r="BN446" s="1404"/>
      <c r="BO446" s="1404"/>
      <c r="BP446" s="1404"/>
      <c r="BQ446" s="1404"/>
      <c r="BR446" s="1405"/>
      <c r="BS446" s="1392">
        <f t="shared" si="777"/>
        <v>45960</v>
      </c>
      <c r="BT446" s="1406" t="str">
        <f t="shared" si="839"/>
        <v/>
      </c>
      <c r="BU446" s="1404"/>
      <c r="BV446" s="1404"/>
      <c r="BW446" s="1404"/>
      <c r="BX446" s="1404"/>
      <c r="BY446" s="1404"/>
      <c r="BZ446" s="1404"/>
      <c r="CA446" s="1404"/>
      <c r="CB446" s="1404"/>
      <c r="CD446" s="1408">
        <f t="shared" si="832"/>
        <v>0</v>
      </c>
      <c r="DC446" s="16" t="str">
        <f>Octobre!FC49</f>
        <v>non</v>
      </c>
      <c r="DG446" s="333">
        <f t="shared" si="833"/>
        <v>1</v>
      </c>
      <c r="DH446" s="129">
        <f t="shared" si="811"/>
        <v>10</v>
      </c>
      <c r="DI446" s="129">
        <f t="shared" si="834"/>
        <v>1</v>
      </c>
      <c r="DK446" s="16">
        <f>+IF(AND(Octobre!$DP$8&lt;&gt;52,AR446=S.CAL!$BJ$4),10,1)</f>
        <v>1</v>
      </c>
      <c r="DN446" s="16">
        <f t="shared" si="812"/>
        <v>1</v>
      </c>
      <c r="DU446" s="1296" t="str">
        <f t="shared" si="835"/>
        <v>Fiche infoA445960</v>
      </c>
      <c r="DV446" s="1384">
        <f t="shared" si="813"/>
        <v>0</v>
      </c>
      <c r="DW446" s="1385">
        <f t="shared" si="814"/>
        <v>0</v>
      </c>
      <c r="DX446" s="1385">
        <f t="shared" si="815"/>
        <v>0</v>
      </c>
      <c r="DY446" s="1385">
        <f t="shared" si="816"/>
        <v>0</v>
      </c>
      <c r="DZ446" s="1385">
        <f t="shared" si="817"/>
        <v>0</v>
      </c>
      <c r="EA446" s="1385">
        <f t="shared" si="818"/>
        <v>0</v>
      </c>
      <c r="EB446" s="1385">
        <f t="shared" si="819"/>
        <v>0</v>
      </c>
      <c r="EC446" s="1385">
        <f t="shared" si="820"/>
        <v>0</v>
      </c>
      <c r="ED446" s="1385">
        <f t="shared" si="836"/>
        <v>0</v>
      </c>
      <c r="EE446" s="1386">
        <f t="shared" si="837"/>
        <v>0</v>
      </c>
      <c r="EG446" s="16" t="str">
        <f t="shared" si="838"/>
        <v>442025</v>
      </c>
      <c r="EH446" s="16" t="str">
        <f t="shared" si="821"/>
        <v>Fiche infoA4</v>
      </c>
      <c r="EI446" s="16" t="str">
        <f t="shared" si="822"/>
        <v/>
      </c>
    </row>
    <row r="447" spans="1:139" x14ac:dyDescent="0.2">
      <c r="A447" s="24" t="str">
        <f>Octobre!BJ50</f>
        <v>Fiche infoA5</v>
      </c>
      <c r="B447" s="830">
        <f>Octobre!AB50</f>
        <v>45961</v>
      </c>
      <c r="C447" s="1393"/>
      <c r="D447" s="1003">
        <f t="shared" si="778"/>
        <v>0</v>
      </c>
      <c r="E447" s="1004">
        <f t="shared" si="779"/>
        <v>0</v>
      </c>
      <c r="F447" s="1004">
        <f t="shared" si="780"/>
        <v>0</v>
      </c>
      <c r="G447" s="1004">
        <f t="shared" si="781"/>
        <v>0</v>
      </c>
      <c r="H447" s="1004">
        <f t="shared" si="782"/>
        <v>0</v>
      </c>
      <c r="I447" s="1004">
        <f t="shared" si="783"/>
        <v>0</v>
      </c>
      <c r="J447" s="1004">
        <f t="shared" si="784"/>
        <v>0</v>
      </c>
      <c r="K447" s="1004">
        <f t="shared" si="785"/>
        <v>0</v>
      </c>
      <c r="L447" s="1004">
        <f t="shared" si="823"/>
        <v>0</v>
      </c>
      <c r="M447" s="1005">
        <f t="shared" si="824"/>
        <v>0</v>
      </c>
      <c r="O447" s="1003">
        <f t="shared" si="840"/>
        <v>0</v>
      </c>
      <c r="P447" s="1004">
        <f t="shared" si="841"/>
        <v>0</v>
      </c>
      <c r="Q447" s="1004">
        <f t="shared" si="842"/>
        <v>0</v>
      </c>
      <c r="R447" s="1004">
        <f t="shared" si="843"/>
        <v>0</v>
      </c>
      <c r="S447" s="1004">
        <f t="shared" si="844"/>
        <v>0</v>
      </c>
      <c r="T447" s="1004">
        <f t="shared" si="845"/>
        <v>0</v>
      </c>
      <c r="U447" s="1004">
        <f t="shared" si="846"/>
        <v>0</v>
      </c>
      <c r="V447" s="1004">
        <f t="shared" si="847"/>
        <v>0</v>
      </c>
      <c r="W447" s="1004">
        <f t="shared" si="794"/>
        <v>0</v>
      </c>
      <c r="X447" s="1005">
        <f t="shared" si="795"/>
        <v>0</v>
      </c>
      <c r="Y447" s="459"/>
      <c r="Z447" s="291">
        <f t="shared" si="796"/>
        <v>0</v>
      </c>
      <c r="AA447" s="291">
        <f t="shared" si="797"/>
        <v>0</v>
      </c>
      <c r="AB447" s="291">
        <f t="shared" si="798"/>
        <v>0</v>
      </c>
      <c r="AC447" s="291">
        <f t="shared" si="799"/>
        <v>0</v>
      </c>
      <c r="AD447" s="291">
        <f t="shared" si="800"/>
        <v>0</v>
      </c>
      <c r="AE447" s="291">
        <f t="shared" si="801"/>
        <v>0</v>
      </c>
      <c r="AF447" s="291">
        <f t="shared" si="802"/>
        <v>0</v>
      </c>
      <c r="AG447" s="291">
        <f t="shared" si="803"/>
        <v>0</v>
      </c>
      <c r="AI447" s="462">
        <f t="shared" si="848"/>
        <v>0</v>
      </c>
      <c r="AJ447" s="1112"/>
      <c r="AK447" s="507"/>
      <c r="AL447" s="830">
        <f t="shared" si="805"/>
        <v>45961</v>
      </c>
      <c r="AM447" s="517">
        <f>IFERROR(IF(AND(AT447="",AR447&lt;&gt;S.CAL!$BJ$3,AR447&lt;&gt;S.CAL!$BJ$4,$AR$410="NON"),M447-BD447,IF(AND(AT447="",AR447&lt;&gt;S.CAL!$BJ$3,AR447&lt;&gt;S.CAL!$BJ$4,$AR$410="OUI"),X447-AI447,IF(AT447&lt;&gt;0,AT447,IF(OR(AR447=S.CAL!$BJ$3,AR447=S.CAL!$BJ$4),AR447,"")))),"")</f>
        <v>0</v>
      </c>
      <c r="AN447" s="1117"/>
      <c r="AO447" s="1118"/>
      <c r="AP447" s="517">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516">
        <f t="shared" si="825"/>
        <v>0</v>
      </c>
      <c r="AR447" s="1121"/>
      <c r="AT447" s="1124"/>
      <c r="AU447" s="832"/>
      <c r="AV447" s="830">
        <f t="shared" si="806"/>
        <v>45961</v>
      </c>
      <c r="AX447" s="529">
        <f t="shared" si="826"/>
        <v>45961</v>
      </c>
      <c r="AY447" s="542">
        <f t="shared" si="827"/>
        <v>0</v>
      </c>
      <c r="AZ447" s="539" t="s">
        <v>146</v>
      </c>
      <c r="BA447" s="552">
        <f t="shared" si="828"/>
        <v>0</v>
      </c>
      <c r="BB447" s="540" t="str">
        <f t="shared" si="807"/>
        <v/>
      </c>
      <c r="BC447" s="542">
        <f t="shared" si="829"/>
        <v>0</v>
      </c>
      <c r="BD447" s="542">
        <f t="shared" si="830"/>
        <v>0</v>
      </c>
      <c r="BE447" s="509"/>
      <c r="BF447" s="532" t="str">
        <f t="shared" si="808"/>
        <v/>
      </c>
      <c r="BG447" s="532" t="str">
        <f t="shared" si="831"/>
        <v>oui</v>
      </c>
      <c r="BH447" s="395" t="str">
        <f t="shared" si="809"/>
        <v/>
      </c>
      <c r="BI447" s="24" t="str">
        <f t="shared" si="810"/>
        <v/>
      </c>
      <c r="BJ447" s="1403"/>
      <c r="BK447" s="1403"/>
      <c r="BL447" s="1403"/>
      <c r="BM447" s="1403"/>
      <c r="BN447" s="1403"/>
      <c r="BO447" s="1403"/>
      <c r="BP447" s="1403"/>
      <c r="BQ447" s="1403"/>
      <c r="BS447" s="830">
        <f t="shared" si="777"/>
        <v>45961</v>
      </c>
      <c r="BT447" s="27" t="str">
        <f t="shared" si="839"/>
        <v/>
      </c>
      <c r="BU447" s="1402"/>
      <c r="BV447" s="1402"/>
      <c r="BW447" s="1402"/>
      <c r="BX447" s="1402"/>
      <c r="BY447" s="1402"/>
      <c r="BZ447" s="1402"/>
      <c r="CA447" s="1402"/>
      <c r="CB447" s="1402"/>
      <c r="CD447" s="1409">
        <f t="shared" si="832"/>
        <v>0</v>
      </c>
      <c r="DC447" s="16" t="str">
        <f>Octobre!FC50</f>
        <v>non</v>
      </c>
      <c r="DG447" s="333">
        <f t="shared" si="833"/>
        <v>1</v>
      </c>
      <c r="DH447" s="129">
        <f t="shared" si="811"/>
        <v>10</v>
      </c>
      <c r="DI447" s="129">
        <f t="shared" si="834"/>
        <v>1</v>
      </c>
      <c r="DK447" s="16">
        <f>+IF(AND(Octobre!$DP$8&lt;&gt;52,AR447=S.CAL!$BJ$4),10,1)</f>
        <v>1</v>
      </c>
      <c r="DN447" s="16">
        <f t="shared" si="812"/>
        <v>1</v>
      </c>
      <c r="DU447" s="1296" t="str">
        <f t="shared" si="835"/>
        <v>Fiche infoA545961</v>
      </c>
      <c r="DV447" s="1384">
        <f t="shared" si="813"/>
        <v>0</v>
      </c>
      <c r="DW447" s="1385">
        <f t="shared" si="814"/>
        <v>0</v>
      </c>
      <c r="DX447" s="1385">
        <f t="shared" si="815"/>
        <v>0</v>
      </c>
      <c r="DY447" s="1385">
        <f t="shared" si="816"/>
        <v>0</v>
      </c>
      <c r="DZ447" s="1385">
        <f t="shared" si="817"/>
        <v>0</v>
      </c>
      <c r="EA447" s="1385">
        <f t="shared" si="818"/>
        <v>0</v>
      </c>
      <c r="EB447" s="1385">
        <f t="shared" si="819"/>
        <v>0</v>
      </c>
      <c r="EC447" s="1385">
        <f t="shared" si="820"/>
        <v>0</v>
      </c>
      <c r="ED447" s="1385">
        <f t="shared" si="836"/>
        <v>0</v>
      </c>
      <c r="EE447" s="1386">
        <f t="shared" si="837"/>
        <v>0</v>
      </c>
      <c r="EG447" s="16" t="str">
        <f t="shared" si="838"/>
        <v>442025</v>
      </c>
      <c r="EH447" s="16" t="str">
        <f t="shared" si="821"/>
        <v>Fiche infoA5</v>
      </c>
      <c r="EI447" s="16" t="str">
        <f t="shared" si="822"/>
        <v/>
      </c>
    </row>
    <row r="448" spans="1:139" x14ac:dyDescent="0.2">
      <c r="AM448" s="554">
        <f>SUM(AM417:AM447)</f>
        <v>0</v>
      </c>
      <c r="AN448" s="518">
        <f>SUM(AN417:AN447)</f>
        <v>0</v>
      </c>
      <c r="AO448" s="518">
        <f>SUM(AO417:AO447)</f>
        <v>0</v>
      </c>
      <c r="AP448" s="519">
        <f>SUM(AP417:AP447)</f>
        <v>0</v>
      </c>
      <c r="BD448" s="555">
        <f>SUM(BD417:BD447)</f>
        <v>0</v>
      </c>
      <c r="EE448" s="1386"/>
    </row>
    <row r="449" spans="1:145" x14ac:dyDescent="0.2">
      <c r="X449" s="29" t="s">
        <v>450</v>
      </c>
      <c r="Y449" s="29"/>
      <c r="Z449" s="29"/>
      <c r="AA449" s="29"/>
      <c r="AB449" s="29"/>
      <c r="AC449" s="29"/>
      <c r="AD449" s="29"/>
      <c r="AE449" s="29"/>
      <c r="AF449" s="29"/>
      <c r="AG449" s="29"/>
      <c r="AI449" s="463">
        <f>SUM(AI417:AI447)</f>
        <v>0</v>
      </c>
      <c r="AJ449" s="19"/>
      <c r="AK449" s="19"/>
      <c r="AL449" s="19"/>
      <c r="AM449" s="19"/>
      <c r="AN449" s="19"/>
      <c r="AO449" s="19"/>
      <c r="AP449" s="19"/>
      <c r="AQ449" s="512"/>
    </row>
    <row r="451" spans="1:145" ht="23.25" x14ac:dyDescent="0.35">
      <c r="B451" s="453" t="s">
        <v>806</v>
      </c>
      <c r="C451" s="453"/>
      <c r="D451" s="453"/>
      <c r="BS451" s="19" t="s">
        <v>1552</v>
      </c>
      <c r="EK451" s="16" t="str">
        <f>+EG461</f>
        <v>numero sem</v>
      </c>
      <c r="EL451" s="27" t="s">
        <v>1546</v>
      </c>
      <c r="EM451" s="27" t="s">
        <v>1547</v>
      </c>
      <c r="EN451" s="16" t="s">
        <v>1548</v>
      </c>
    </row>
    <row r="452" spans="1:145" ht="13.5" thickBot="1" x14ac:dyDescent="0.25">
      <c r="AR452" s="1713" t="s">
        <v>1003</v>
      </c>
      <c r="AS452" s="1714"/>
      <c r="AT452" s="1715"/>
      <c r="BT452" s="29" t="s">
        <v>1555</v>
      </c>
      <c r="BU452" s="27" t="str">
        <f>+IFERROR(EJ452,"")</f>
        <v>44</v>
      </c>
      <c r="BV452" s="53" t="str">
        <f>IF(BU452="","",+EN452)</f>
        <v>non</v>
      </c>
      <c r="BW452" s="1711" t="str">
        <f>+IF(BV452="oui", "Ecart "&amp;EO452&amp;" hrs","")</f>
        <v/>
      </c>
      <c r="BX452" s="1711"/>
      <c r="EJ452" s="16" t="str">
        <f>LEFT(EK452,LEN(EK452)-4)</f>
        <v>44</v>
      </c>
      <c r="EK452" s="16" t="str" cm="1">
        <f t="array" ref="EK452">IFERROR(INDEX(EG462:EG492,MATCH(0,INDEX(COUNTIF(EK451:EK451,EG462:EG492),0,0),0)),"")</f>
        <v>442025</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805</v>
      </c>
      <c r="D453" s="1710">
        <f>+Identification!$B$7</f>
        <v>0</v>
      </c>
      <c r="E453" s="1710"/>
      <c r="F453" s="1710"/>
      <c r="G453" s="1710"/>
      <c r="O453" s="454" t="s">
        <v>84</v>
      </c>
      <c r="P453" s="32"/>
      <c r="Q453" s="33"/>
      <c r="R453" s="454" t="s">
        <v>149</v>
      </c>
      <c r="S453" s="32"/>
      <c r="T453" s="32"/>
      <c r="U453" s="32"/>
      <c r="V453" s="32"/>
      <c r="W453" s="32"/>
      <c r="X453" s="33"/>
      <c r="AR453" s="1716"/>
      <c r="AS453" s="1717"/>
      <c r="AT453" s="1718"/>
      <c r="BU453" s="27" t="str">
        <f t="shared" ref="BU453:BU457" si="850">+IFERROR(EJ453,"")</f>
        <v>45</v>
      </c>
      <c r="BV453" s="53" t="str">
        <f t="shared" ref="BV453:BV457" si="851">IF(BU453="","",+EN453)</f>
        <v>non</v>
      </c>
      <c r="BW453" s="1711" t="str">
        <f t="shared" ref="BW453:BW457" si="852">+IF(BV453="oui", "Ecart "&amp;EO453&amp;" hrs","")</f>
        <v/>
      </c>
      <c r="BX453" s="1711"/>
      <c r="EJ453" s="16" t="str">
        <f t="shared" ref="EJ453:EJ458" si="853">LEFT(EK453,LEN(EK453)-4)</f>
        <v>45</v>
      </c>
      <c r="EK453" s="16" t="str" cm="1">
        <f t="array" ref="EK453">IFERROR(INDEX(EG462:EG492,MATCH(0,INDEX(COUNTIF(EK451:EK452,EG462:EG492),0,0),0)),"")</f>
        <v>452025</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21"/>
      <c r="S454" s="1722"/>
      <c r="T454" s="1722"/>
      <c r="U454" s="1722"/>
      <c r="V454" s="1722"/>
      <c r="W454" s="1722"/>
      <c r="X454" s="1723"/>
      <c r="Y454" s="460"/>
      <c r="Z454" s="460"/>
      <c r="AA454" s="460"/>
      <c r="AB454" s="460"/>
      <c r="AC454" s="460"/>
      <c r="AD454" s="460"/>
      <c r="AE454" s="460"/>
      <c r="AF454" s="460"/>
      <c r="AG454" s="460"/>
      <c r="AR454" s="1716"/>
      <c r="AS454" s="1717"/>
      <c r="AT454" s="1718"/>
      <c r="BU454" s="27" t="str">
        <f t="shared" si="850"/>
        <v>46</v>
      </c>
      <c r="BV454" s="53" t="str">
        <f t="shared" si="851"/>
        <v>non</v>
      </c>
      <c r="BW454" s="1711" t="str">
        <f t="shared" si="852"/>
        <v/>
      </c>
      <c r="BX454" s="1711"/>
      <c r="EJ454" s="16" t="str">
        <f t="shared" si="853"/>
        <v>46</v>
      </c>
      <c r="EK454" s="16" t="str">
        <f t="array" ref="EK454">IFERROR(INDEX(EG462:EG492,MATCH(0,INDEX(COUNTIF(EK451:EK453,EG462:EG492),0,0),0)),"")</f>
        <v>462025</v>
      </c>
      <c r="EL454" s="27">
        <f t="shared" si="854"/>
        <v>0</v>
      </c>
      <c r="EM454" s="27">
        <f t="shared" si="855"/>
        <v>0</v>
      </c>
      <c r="EN454" s="16" t="str">
        <f t="shared" si="849"/>
        <v>non</v>
      </c>
      <c r="EO454" s="16">
        <f t="shared" si="856"/>
        <v>0</v>
      </c>
    </row>
    <row r="455" spans="1:145" x14ac:dyDescent="0.2">
      <c r="C455" s="39" t="s">
        <v>29</v>
      </c>
      <c r="D455" s="1710">
        <f>+Identification!$B$25</f>
        <v>0</v>
      </c>
      <c r="E455" s="1710"/>
      <c r="O455" s="35"/>
      <c r="Q455" s="36"/>
      <c r="R455" s="1721"/>
      <c r="S455" s="1722"/>
      <c r="T455" s="1722"/>
      <c r="U455" s="1722"/>
      <c r="V455" s="1722"/>
      <c r="W455" s="1722"/>
      <c r="X455" s="1723"/>
      <c r="Y455" s="460"/>
      <c r="Z455" s="460"/>
      <c r="AA455" s="460"/>
      <c r="AB455" s="460"/>
      <c r="AC455" s="460"/>
      <c r="AD455" s="460"/>
      <c r="AE455" s="460"/>
      <c r="AF455" s="460"/>
      <c r="AG455" s="460"/>
      <c r="AL455" s="16" t="str">
        <f t="shared" ref="AL455" si="857">C458</f>
        <v>Mois :</v>
      </c>
      <c r="AM455" s="1712">
        <f t="shared" ref="AM455" si="858">D458</f>
        <v>45962</v>
      </c>
      <c r="AN455" s="1712">
        <f t="shared" ref="AN455" si="859">E458</f>
        <v>0</v>
      </c>
      <c r="AR455" s="557" t="str">
        <f>IF(AT455="",AR410,AT455)</f>
        <v>NON</v>
      </c>
      <c r="AS455" s="556" t="s">
        <v>503</v>
      </c>
      <c r="AT455" s="1105"/>
      <c r="BJ455" s="16" t="str">
        <f t="shared" ref="BJ455" si="860">AL455</f>
        <v>Mois :</v>
      </c>
      <c r="BK455" s="1712">
        <f t="shared" ref="BK455" si="861">AM455</f>
        <v>45962</v>
      </c>
      <c r="BL455" s="1712"/>
      <c r="BU455" s="27" t="str">
        <f t="shared" si="850"/>
        <v>47</v>
      </c>
      <c r="BV455" s="53" t="str">
        <f t="shared" si="851"/>
        <v>non</v>
      </c>
      <c r="BW455" s="1711" t="str">
        <f t="shared" si="852"/>
        <v/>
      </c>
      <c r="BX455" s="1711"/>
      <c r="EJ455" s="16" t="str">
        <f t="shared" si="853"/>
        <v>47</v>
      </c>
      <c r="EK455" s="16" t="str">
        <f t="array" ref="EK455">IFERROR(INDEX(EG462:EG492,MATCH(0,INDEX(COUNTIF(EK451:EK454,EG462:EG492),0,0),0)),"")</f>
        <v>472025</v>
      </c>
      <c r="EL455" s="27">
        <f t="shared" si="854"/>
        <v>0</v>
      </c>
      <c r="EM455" s="27">
        <f t="shared" si="855"/>
        <v>0</v>
      </c>
      <c r="EN455" s="16" t="str">
        <f t="shared" si="849"/>
        <v>non</v>
      </c>
      <c r="EO455" s="16">
        <f t="shared" si="856"/>
        <v>0</v>
      </c>
    </row>
    <row r="456" spans="1:145" ht="13.5" thickBot="1" x14ac:dyDescent="0.25">
      <c r="O456" s="42"/>
      <c r="P456" s="43"/>
      <c r="Q456" s="44"/>
      <c r="R456" s="1724"/>
      <c r="S456" s="1725"/>
      <c r="T456" s="1725"/>
      <c r="U456" s="1725"/>
      <c r="V456" s="1725"/>
      <c r="W456" s="1725"/>
      <c r="X456" s="1726"/>
      <c r="Y456" s="460"/>
      <c r="Z456" s="460"/>
      <c r="AA456" s="460"/>
      <c r="AB456" s="460"/>
      <c r="AC456" s="460"/>
      <c r="AD456" s="460"/>
      <c r="AE456" s="460"/>
      <c r="AF456" s="460"/>
      <c r="AG456" s="460"/>
      <c r="BU456" s="27" t="str">
        <f t="shared" si="850"/>
        <v>48</v>
      </c>
      <c r="BV456" s="53" t="str">
        <f t="shared" si="851"/>
        <v>non</v>
      </c>
      <c r="BW456" s="1711" t="str">
        <f t="shared" si="852"/>
        <v/>
      </c>
      <c r="BX456" s="1711"/>
      <c r="EJ456" s="16" t="str">
        <f t="shared" si="853"/>
        <v>48</v>
      </c>
      <c r="EK456" s="16" t="str">
        <f t="array" ref="EK456">IFERROR(INDEX(EG462:EG492,MATCH(0,INDEX(COUNTIF(EK451:EK455,EG462:EG492),0,0),0)),"")</f>
        <v>482025</v>
      </c>
      <c r="EL456" s="27">
        <f t="shared" si="854"/>
        <v>0</v>
      </c>
      <c r="EM456" s="27">
        <f t="shared" si="855"/>
        <v>0</v>
      </c>
      <c r="EN456" s="16" t="str">
        <f t="shared" si="849"/>
        <v>non</v>
      </c>
      <c r="EO456" s="16">
        <f t="shared" si="856"/>
        <v>0</v>
      </c>
    </row>
    <row r="457" spans="1:145" ht="13.5" thickTop="1" x14ac:dyDescent="0.2">
      <c r="AI457" s="553" t="s">
        <v>1000</v>
      </c>
      <c r="BU457" s="27" t="str">
        <f t="shared" si="850"/>
        <v/>
      </c>
      <c r="BV457" s="53" t="str">
        <f t="shared" si="851"/>
        <v/>
      </c>
      <c r="BW457" s="1711" t="str">
        <f t="shared" si="852"/>
        <v/>
      </c>
      <c r="BX457" s="1711"/>
      <c r="EJ457" s="16" t="e">
        <f t="shared" si="853"/>
        <v>#VALUE!</v>
      </c>
      <c r="EK457" s="16" t="str">
        <f t="array" ref="EK457">IFERROR(INDEX(EG462:EG492,MATCH(0,INDEX(COUNTIF(EK451:EK456,EG462:EG492),0,0),0)),"")</f>
        <v/>
      </c>
      <c r="EL457" s="27">
        <f t="shared" si="854"/>
        <v>0</v>
      </c>
      <c r="EM457" s="27">
        <f t="shared" si="855"/>
        <v>0</v>
      </c>
      <c r="EN457" s="16" t="str">
        <f t="shared" si="849"/>
        <v>non</v>
      </c>
      <c r="EO457" s="16">
        <f t="shared" si="856"/>
        <v>0</v>
      </c>
    </row>
    <row r="458" spans="1:145" x14ac:dyDescent="0.2">
      <c r="C458" s="39" t="s">
        <v>32</v>
      </c>
      <c r="D458" s="1712">
        <f>+Novembre!X3</f>
        <v>45962</v>
      </c>
      <c r="E458" s="1712"/>
      <c r="F458" s="39" t="s">
        <v>12</v>
      </c>
      <c r="G458" s="63">
        <f>+Novembre!X4</f>
        <v>2025</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20" t="s">
        <v>974</v>
      </c>
      <c r="AM459" s="1720"/>
      <c r="AN459" s="1720"/>
      <c r="AO459" s="1720"/>
      <c r="AP459" s="1720"/>
      <c r="AQ459" s="510"/>
      <c r="AT459" s="1719" t="s">
        <v>761</v>
      </c>
      <c r="AU459" s="1719"/>
      <c r="AV459" s="1719"/>
      <c r="AW459" s="63"/>
      <c r="AX459" s="63"/>
      <c r="AY459" s="535" t="s">
        <v>989</v>
      </c>
      <c r="AZ459" s="536"/>
      <c r="BA459" s="536"/>
      <c r="BB459" s="536"/>
      <c r="BC459" s="537"/>
      <c r="BD459" s="537"/>
      <c r="BE459" s="537"/>
      <c r="BF459" s="530"/>
      <c r="BG459" s="530"/>
      <c r="BJ459" s="455"/>
      <c r="BK459" s="455"/>
      <c r="BL459" s="455"/>
      <c r="BM459" s="455"/>
      <c r="BN459" s="455"/>
      <c r="BO459" s="455"/>
      <c r="BP459" s="455"/>
      <c r="BQ459" s="455"/>
      <c r="BU459" s="456"/>
      <c r="BV459" s="456"/>
      <c r="BW459" s="456"/>
      <c r="BX459" s="456"/>
      <c r="BY459" s="456"/>
      <c r="BZ459" s="456"/>
      <c r="CA459" s="456"/>
      <c r="CB459" s="456"/>
    </row>
    <row r="460" spans="1:145" ht="15" customHeight="1" x14ac:dyDescent="0.2">
      <c r="D460" s="457" t="s">
        <v>803</v>
      </c>
      <c r="E460" s="456"/>
      <c r="F460" s="456"/>
      <c r="G460" s="456"/>
      <c r="H460" s="456"/>
      <c r="I460" s="456"/>
      <c r="J460" s="456"/>
      <c r="K460" s="456"/>
      <c r="L460" s="456"/>
      <c r="M460" s="456"/>
      <c r="O460" s="458" t="s">
        <v>802</v>
      </c>
      <c r="P460" s="455"/>
      <c r="Q460" s="455"/>
      <c r="R460" s="455"/>
      <c r="S460" s="455"/>
      <c r="T460" s="455"/>
      <c r="U460" s="455"/>
      <c r="V460" s="455"/>
      <c r="W460" s="455"/>
      <c r="X460" s="455"/>
      <c r="BJ460" s="1109" t="s">
        <v>804</v>
      </c>
      <c r="BK460" s="1110"/>
      <c r="BL460" s="1110"/>
      <c r="BM460" s="1110"/>
      <c r="BN460" s="1110"/>
      <c r="BO460" s="1110"/>
      <c r="BP460" s="1110"/>
      <c r="BQ460" s="1110"/>
      <c r="BU460" s="1109" t="s">
        <v>1394</v>
      </c>
      <c r="BV460" s="1110"/>
      <c r="BW460" s="1110"/>
      <c r="BX460" s="1110"/>
      <c r="BY460" s="1110"/>
      <c r="BZ460" s="1110"/>
      <c r="CA460" s="1110"/>
      <c r="CB460" s="1110"/>
      <c r="DG460" s="333" t="s">
        <v>1349</v>
      </c>
      <c r="DH460" s="129"/>
      <c r="DI460" s="129"/>
      <c r="DK460" s="129" t="s">
        <v>1354</v>
      </c>
      <c r="DN460" s="16" t="s">
        <v>1357</v>
      </c>
      <c r="DV460" s="843" t="s">
        <v>1549</v>
      </c>
      <c r="DW460" s="843"/>
      <c r="DX460" s="843"/>
      <c r="DY460" s="843"/>
      <c r="DZ460" s="843"/>
      <c r="EA460" s="843"/>
      <c r="EB460" s="843"/>
      <c r="EC460" s="843"/>
      <c r="ED460" s="843"/>
      <c r="EE460" s="843"/>
    </row>
    <row r="461" spans="1:145" ht="56.25" customHeight="1" x14ac:dyDescent="0.2">
      <c r="A461" s="24" t="s">
        <v>801</v>
      </c>
      <c r="B461" s="450" t="s">
        <v>16</v>
      </c>
      <c r="C461" s="451"/>
      <c r="D461" s="450" t="s">
        <v>228</v>
      </c>
      <c r="E461" s="450" t="s">
        <v>229</v>
      </c>
      <c r="F461" s="450" t="s">
        <v>230</v>
      </c>
      <c r="G461" s="450" t="s">
        <v>231</v>
      </c>
      <c r="H461" s="450" t="s">
        <v>533</v>
      </c>
      <c r="I461" s="450" t="s">
        <v>534</v>
      </c>
      <c r="J461" s="450" t="s">
        <v>535</v>
      </c>
      <c r="K461" s="450" t="s">
        <v>536</v>
      </c>
      <c r="L461" s="450" t="s">
        <v>191</v>
      </c>
      <c r="M461" s="450" t="s">
        <v>192</v>
      </c>
      <c r="N461" s="451"/>
      <c r="O461" s="450" t="s">
        <v>228</v>
      </c>
      <c r="P461" s="450" t="s">
        <v>229</v>
      </c>
      <c r="Q461" s="450" t="s">
        <v>230</v>
      </c>
      <c r="R461" s="450" t="s">
        <v>231</v>
      </c>
      <c r="S461" s="450" t="s">
        <v>533</v>
      </c>
      <c r="T461" s="450" t="s">
        <v>534</v>
      </c>
      <c r="U461" s="450" t="s">
        <v>535</v>
      </c>
      <c r="V461" s="450" t="s">
        <v>536</v>
      </c>
      <c r="W461" s="450" t="s">
        <v>191</v>
      </c>
      <c r="X461" s="450" t="s">
        <v>192</v>
      </c>
      <c r="Y461" s="451"/>
      <c r="Z461" s="450" t="s">
        <v>808</v>
      </c>
      <c r="AA461" s="450" t="s">
        <v>809</v>
      </c>
      <c r="AB461" s="450" t="s">
        <v>810</v>
      </c>
      <c r="AC461" s="450" t="s">
        <v>811</v>
      </c>
      <c r="AD461" s="450" t="s">
        <v>812</v>
      </c>
      <c r="AE461" s="450" t="s">
        <v>813</v>
      </c>
      <c r="AF461" s="450" t="s">
        <v>814</v>
      </c>
      <c r="AG461" s="450" t="s">
        <v>815</v>
      </c>
      <c r="AI461" s="450" t="s">
        <v>816</v>
      </c>
      <c r="AJ461" s="450" t="s">
        <v>807</v>
      </c>
      <c r="AK461" s="451"/>
      <c r="AL461" s="513" t="s">
        <v>16</v>
      </c>
      <c r="AM461" s="548" t="s">
        <v>1017</v>
      </c>
      <c r="AN461" s="1106" t="s">
        <v>972</v>
      </c>
      <c r="AO461" s="1107" t="s">
        <v>973</v>
      </c>
      <c r="AP461" s="514" t="s">
        <v>1018</v>
      </c>
      <c r="AQ461" s="511"/>
      <c r="AR461" s="1108" t="s">
        <v>696</v>
      </c>
      <c r="AT461" s="1108" t="s">
        <v>1356</v>
      </c>
      <c r="AU461" s="1107" t="s">
        <v>1019</v>
      </c>
      <c r="AV461" s="450" t="s">
        <v>16</v>
      </c>
      <c r="AW461" s="451"/>
      <c r="AX461" s="451"/>
      <c r="AY461" s="547" t="s">
        <v>986</v>
      </c>
      <c r="AZ461" s="548" t="s">
        <v>992</v>
      </c>
      <c r="BA461" s="531" t="s">
        <v>990</v>
      </c>
      <c r="BB461" s="568" t="s">
        <v>991</v>
      </c>
      <c r="BC461" s="569" t="s">
        <v>1021</v>
      </c>
      <c r="BD461" s="568" t="s">
        <v>993</v>
      </c>
      <c r="BE461" s="570" t="s">
        <v>1020</v>
      </c>
      <c r="BF461" s="531" t="s">
        <v>994</v>
      </c>
      <c r="BG461" s="531" t="s">
        <v>999</v>
      </c>
      <c r="BI461" s="24" t="s">
        <v>1027</v>
      </c>
      <c r="BJ461" s="450" t="s">
        <v>228</v>
      </c>
      <c r="BK461" s="450" t="s">
        <v>229</v>
      </c>
      <c r="BL461" s="450" t="s">
        <v>230</v>
      </c>
      <c r="BM461" s="450" t="s">
        <v>231</v>
      </c>
      <c r="BN461" s="450" t="s">
        <v>533</v>
      </c>
      <c r="BO461" s="450" t="s">
        <v>534</v>
      </c>
      <c r="BP461" s="450" t="s">
        <v>535</v>
      </c>
      <c r="BQ461" s="450" t="s">
        <v>536</v>
      </c>
      <c r="BS461" s="1383" t="str">
        <f t="shared" ref="BS461:BS492" si="862">AV461</f>
        <v>Jours</v>
      </c>
      <c r="BU461" s="450" t="s">
        <v>228</v>
      </c>
      <c r="BV461" s="450" t="s">
        <v>229</v>
      </c>
      <c r="BW461" s="450" t="s">
        <v>230</v>
      </c>
      <c r="BX461" s="450" t="s">
        <v>231</v>
      </c>
      <c r="BY461" s="450" t="s">
        <v>533</v>
      </c>
      <c r="BZ461" s="450" t="s">
        <v>534</v>
      </c>
      <c r="CA461" s="450" t="s">
        <v>535</v>
      </c>
      <c r="CB461" s="450" t="s">
        <v>536</v>
      </c>
      <c r="CD461" s="1383" t="s">
        <v>1554</v>
      </c>
      <c r="CS461" s="506"/>
      <c r="CT461" s="506"/>
      <c r="CU461" s="506"/>
      <c r="CV461" s="506"/>
      <c r="DG461" s="333" t="s">
        <v>1350</v>
      </c>
      <c r="DH461" s="129" t="s">
        <v>1351</v>
      </c>
      <c r="DI461" s="129" t="s">
        <v>1353</v>
      </c>
      <c r="DK461" s="129" t="s">
        <v>1355</v>
      </c>
      <c r="DU461" s="1383" t="s">
        <v>247</v>
      </c>
      <c r="DV461" s="1383" t="s">
        <v>228</v>
      </c>
      <c r="DW461" s="1383" t="s">
        <v>229</v>
      </c>
      <c r="DX461" s="1383" t="s">
        <v>230</v>
      </c>
      <c r="DY461" s="1383" t="s">
        <v>231</v>
      </c>
      <c r="DZ461" s="1383" t="s">
        <v>533</v>
      </c>
      <c r="EA461" s="1383" t="s">
        <v>534</v>
      </c>
      <c r="EB461" s="1383" t="s">
        <v>535</v>
      </c>
      <c r="EC461" s="1383" t="s">
        <v>536</v>
      </c>
      <c r="ED461" s="1383" t="s">
        <v>191</v>
      </c>
      <c r="EE461" s="1383" t="s">
        <v>192</v>
      </c>
      <c r="EG461" s="1383" t="s">
        <v>1244</v>
      </c>
      <c r="EH461" s="1383" t="s">
        <v>1550</v>
      </c>
      <c r="EI461" s="1383" t="s">
        <v>1551</v>
      </c>
    </row>
    <row r="462" spans="1:145" x14ac:dyDescent="0.2">
      <c r="A462" s="24" t="str">
        <f>Novembre!BJ20</f>
        <v>Fiche infoA6</v>
      </c>
      <c r="B462" s="828">
        <f>Novembre!AB20</f>
        <v>45962</v>
      </c>
      <c r="C462" s="1393"/>
      <c r="D462" s="998">
        <f t="shared" ref="D462:D492" si="863">IF(AR462&lt;&gt;"",0,IF(DN462=10,0,IFERROR(+IF(BU462="",VLOOKUP(A462,base_horaire,2,FALSE),BU462),0)))</f>
        <v>0</v>
      </c>
      <c r="E462" s="999">
        <f t="shared" ref="E462:E492" si="864">IF(AR462&lt;&gt;"",0,IF(DN462=10,0,IFERROR(+IF(BV462="",VLOOKUP(A462,base_horaire,3,FALSE),BV462),0)))</f>
        <v>0</v>
      </c>
      <c r="F462" s="999">
        <f t="shared" ref="F462:F492" si="865">IF(AR462&lt;&gt;"",0,IF(DN462=10,0,IFERROR(+IF(BW462="",VLOOKUP(A462,base_horaire,4,FALSE),BW462),0)))</f>
        <v>0</v>
      </c>
      <c r="G462" s="999">
        <f t="shared" ref="G462:G492" si="866">IF(AR462&lt;&gt;"",0,IF(DN462=10,0,IFERROR(+IF(BX462="",VLOOKUP(A462,base_horaire,5,FALSE),BX462),0)))</f>
        <v>0</v>
      </c>
      <c r="H462" s="999">
        <f t="shared" ref="H462:H492" si="867">IF(AR462&lt;&gt;"",0,IF(DN462=10,0,IFERROR(+IF(BY462="",VLOOKUP(A462,base_horaire,6,FALSE),BY462),0)))</f>
        <v>0</v>
      </c>
      <c r="I462" s="999">
        <f t="shared" ref="I462:I492" si="868">IF(AR462&lt;&gt;"",0,IF(DN462=10,0,IFERROR(+IF(BZ462="",VLOOKUP(A462,base_horaire,7,FALSE),BZ462),0)))</f>
        <v>0</v>
      </c>
      <c r="J462" s="999">
        <f t="shared" ref="J462:J492" si="869">IF(AR462&lt;&gt;"",0,IF(DN462=10,0,IFERROR(+IF(CA462="",VLOOKUP(A462,base_horaire,8,FALSE),CA462),0)))</f>
        <v>0</v>
      </c>
      <c r="K462" s="999">
        <f t="shared" ref="K462:K492" si="870">IF(AR462&lt;&gt;"",0,IF(DN462=10,0,IFERROR(+IF(CB462="",VLOOKUP(A462,base_horaire,9,FALSE),CB462),0)))</f>
        <v>0</v>
      </c>
      <c r="L462" s="999">
        <f>+E462-D462+G462-F462+I462-H462+K462-J462</f>
        <v>0</v>
      </c>
      <c r="M462" s="1000">
        <f>ROUND(+L462*24,2)</f>
        <v>0</v>
      </c>
      <c r="O462" s="998">
        <f t="shared" ref="O462:O469" si="871">IF(AR462&lt;&gt;"",0,IF(DC462="oui",0,IF(AND(ISTEXT(AT462)=TRUE,BJ462=""),0,IF(BJ462="",D462,BJ462))))</f>
        <v>0</v>
      </c>
      <c r="P462" s="999">
        <f t="shared" ref="P462:P469" si="872">IF(AR462&lt;&gt;"",0,IF(DC462="oui",0,IF(AND(ISTEXT(AT462)=TRUE,BK462=""),0,IF(BK462="",E462,BK462))))</f>
        <v>0</v>
      </c>
      <c r="Q462" s="999">
        <f t="shared" ref="Q462:Q469" si="873">IF(AR462&lt;&gt;"",0,IF(DC462="oui",0,IF(AND(ISTEXT(AT462)=TRUE,BL462=""),0,IF(BL462="",F462,BL462))))</f>
        <v>0</v>
      </c>
      <c r="R462" s="999">
        <f t="shared" ref="R462:R469" si="874">IF(AR462&lt;&gt;"",0,IF(DC462="oui",0,IF(AND(ISTEXT(AT462)=TRUE,BM462=""),0,IF(BM462="",G462,BM462))))</f>
        <v>0</v>
      </c>
      <c r="S462" s="999">
        <f t="shared" ref="S462:S469" si="875">IF(AR462&lt;&gt;"",0,IF(DC462="oui",0,IF(AND(ISTEXT(AT462)=TRUE,BN462=""),0,IF(BN462="",H462,BN462))))</f>
        <v>0</v>
      </c>
      <c r="T462" s="999">
        <f t="shared" ref="T462:T469" si="876">IF(AR462&lt;&gt;"",0,IF(DC462="oui",0,IF(AND(ISTEXT(AT462)=TRUE,BO462=""),0,IF(BO462="",I462,BO462))))</f>
        <v>0</v>
      </c>
      <c r="U462" s="999">
        <f t="shared" ref="U462:U469" si="877">IF(AR462&lt;&gt;"",0,IF(DC462="oui",0,IF(AND(ISTEXT(AT462)=TRUE,BP462=""),0,IF(BP462="",J462,BP462))))</f>
        <v>0</v>
      </c>
      <c r="V462" s="999">
        <f t="shared" ref="V462:V469" si="878">IF(AR462&lt;&gt;"",0,IF(DC462="oui",0,IF(AND(ISTEXT(AT462)=TRUE,BQ462=""),0,IF(BQ462="",K462,BQ462))))</f>
        <v>0</v>
      </c>
      <c r="W462" s="999">
        <f t="shared" ref="W462:W492" si="879">+P462-O462+R462-Q462+T462-S462+V462-U462</f>
        <v>0</v>
      </c>
      <c r="X462" s="1000">
        <f t="shared" ref="X462:X492" si="880">ROUND(+W462*24,2)</f>
        <v>0</v>
      </c>
      <c r="Y462" s="459"/>
      <c r="Z462" s="291">
        <f t="shared" ref="Z462:Z492" si="881">+IF(AND(O462&gt;D462,D462&gt;0),D462,O462)</f>
        <v>0</v>
      </c>
      <c r="AA462" s="291">
        <f t="shared" ref="AA462:AA492" si="882">+IF(P462&gt;E462,P462,E462)</f>
        <v>0</v>
      </c>
      <c r="AB462" s="291">
        <f t="shared" ref="AB462:AB492" si="883">+IF(AND(Q462&gt;F462,F462&gt;0),F462,Q462)</f>
        <v>0</v>
      </c>
      <c r="AC462" s="291">
        <f t="shared" ref="AC462:AC492" si="884">+IF(R462&gt;G462,R462,G462)</f>
        <v>0</v>
      </c>
      <c r="AD462" s="291">
        <f t="shared" ref="AD462:AD492" si="885">+IF(AND(S462&gt;H462,H462&gt;0),H462,S462)</f>
        <v>0</v>
      </c>
      <c r="AE462" s="291">
        <f t="shared" ref="AE462:AE492" si="886">+IF(T462&gt;I462,T462,I462)</f>
        <v>0</v>
      </c>
      <c r="AF462" s="291">
        <f t="shared" ref="AF462:AF492" si="887">+IF(AND(U462&gt;J462,J462&gt;0),J462,U462)</f>
        <v>0</v>
      </c>
      <c r="AG462" s="291">
        <f t="shared" ref="AG462:AG492" si="888">+IF(V462&gt;K462,V462,K462)</f>
        <v>0</v>
      </c>
      <c r="AI462" s="461">
        <f t="shared" ref="AI462:AI469" si="889">IF(DC462="oui",0,IF(AND(ISTEXT(AT462)=TRUE,OR(X462=0,X462="")),0,ROUND(((((AA462-Z462)-(E462-D462))+((AC462-AB462)-(G462-F462))+((AE462-AD462)-(I462-H462))+(AG462-AF462)-(K462-J462))*24),2)))</f>
        <v>0</v>
      </c>
      <c r="AJ462" s="1111"/>
      <c r="AK462" s="507"/>
      <c r="AL462" s="828">
        <f t="shared" ref="AL462:AL492" si="890">B462</f>
        <v>45962</v>
      </c>
      <c r="AM462" s="515">
        <f>IFERROR(IF(AND(AT462="",AR462&lt;&gt;S.CAL!$BJ$3,AR462&lt;&gt;S.CAL!$BJ$4,$AR$455="NON"),M462-BD462,IF(AND(AT462="",AR462&lt;&gt;S.CAL!$BJ$3,AR462&lt;&gt;S.CAL!$BJ$4,$AR$455="OUI"),X462-AI462,IF(AT462&lt;&gt;0,AT462,IF(OR(AR462=S.CAL!$BJ$3,AR462=S.CAL!$BJ$4),AR462,"")))),"")</f>
        <v>0</v>
      </c>
      <c r="AN462" s="1113"/>
      <c r="AO462" s="1114"/>
      <c r="AP462" s="515">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516">
        <f>AI462-SUM(AN462:AO462)</f>
        <v>0</v>
      </c>
      <c r="AR462" s="1119"/>
      <c r="AT462" s="1122"/>
      <c r="AU462" s="831"/>
      <c r="AV462" s="1391">
        <f t="shared" ref="AV462:AV492" si="891">B462</f>
        <v>45962</v>
      </c>
      <c r="AX462" s="529">
        <f>+AV462</f>
        <v>45962</v>
      </c>
      <c r="AY462" s="546">
        <f>+IF(M462-X462&lt;0,0,M462-X462)</f>
        <v>0</v>
      </c>
      <c r="AZ462" s="549" t="s">
        <v>146</v>
      </c>
      <c r="BA462" s="550">
        <f>+IF(AZ462="OUI",AY462,0)</f>
        <v>0</v>
      </c>
      <c r="BB462" s="551" t="str">
        <f t="shared" ref="BB462:BB492" si="892">IF(AND(BE462="",+IFERROR(VLOOKUP(AT462,Liste_motif_formule,5,FALSE),0)="OUI"),"OUI",IF(AND(BE462="",IFERROR(VLOOKUP(AT462,Liste_motif_formule,5,FALSE),0)="NON"),"NON",IF(AND(BE462="",IFERROR(M462-AT462&gt;=0,0),AT462&lt;&gt;""),"OUI",IF(AND(BE462="",DC462="oui"),"OUI",IF(BE462&lt;&gt;"",BE462,"")))))</f>
        <v/>
      </c>
      <c r="BC462" s="546">
        <f>+IF(BB462="OUI",IFERROR(M462-AT462,M462),0)</f>
        <v>0</v>
      </c>
      <c r="BD462" s="546">
        <f>+BC462+BA462</f>
        <v>0</v>
      </c>
      <c r="BE462" s="1125"/>
      <c r="BF462" s="532" t="str">
        <f t="shared" ref="BF462:BF492" si="893">+IF(AND(AZ462="OUI",BB462="OUI"),"ERREUR","")</f>
        <v/>
      </c>
      <c r="BG462" s="532" t="str">
        <f>+IF(AND(M462=0,AT462=""),"oui","non")</f>
        <v>oui</v>
      </c>
      <c r="BH462" s="395" t="str">
        <f t="shared" ref="BH462:BH492" si="894">IFERROR(+VLOOKUP(AT462,Liste_motif_formule,4,FALSE),"")</f>
        <v/>
      </c>
      <c r="BI462" s="24" t="str">
        <f t="shared" ref="BI462:BI492" si="895">IFERROR(+VLOOKUP(AT462,Liste_motif_formule,5,FALSE),"")</f>
        <v/>
      </c>
      <c r="BJ462" s="1403"/>
      <c r="BK462" s="1403"/>
      <c r="BL462" s="1403"/>
      <c r="BM462" s="1403"/>
      <c r="BN462" s="1403"/>
      <c r="BO462" s="1403"/>
      <c r="BP462" s="1403"/>
      <c r="BQ462" s="1403"/>
      <c r="BS462" s="1391">
        <f t="shared" si="862"/>
        <v>45962</v>
      </c>
      <c r="BT462" s="27">
        <f>IFERROR(WEEKNUM(BS462,21),"")</f>
        <v>44</v>
      </c>
      <c r="BU462" s="1401"/>
      <c r="BV462" s="1401"/>
      <c r="BW462" s="1401"/>
      <c r="BX462" s="1401"/>
      <c r="BY462" s="1401"/>
      <c r="BZ462" s="1401"/>
      <c r="CA462" s="1401"/>
      <c r="CB462" s="1401"/>
      <c r="CD462" s="1407">
        <f>+M462</f>
        <v>0</v>
      </c>
      <c r="DC462" s="16" t="str">
        <f>Novembre!FC20</f>
        <v>non</v>
      </c>
      <c r="DG462" s="333">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96" t="str">
        <f>+A462&amp;B462</f>
        <v>Fiche infoA645962</v>
      </c>
      <c r="DV462" s="1384">
        <f t="shared" ref="DV462:DV492" si="898">+IFERROR(+IF(BU462="",VLOOKUP(A462,base_horaire,2,FALSE),BU462),0)</f>
        <v>0</v>
      </c>
      <c r="DW462" s="1385">
        <f t="shared" ref="DW462:DW492" si="899">+IFERROR(+IF(BV462="",VLOOKUP(A462,base_horaire,3,FALSE),BV462),0)</f>
        <v>0</v>
      </c>
      <c r="DX462" s="1385">
        <f t="shared" ref="DX462:DX492" si="900">+IFERROR(+IF(BW462="",VLOOKUP(A462,base_horaire,4,FALSE),BW462),0)</f>
        <v>0</v>
      </c>
      <c r="DY462" s="1385">
        <f t="shared" ref="DY462:DY492" si="901">+IFERROR(+IF(BX462="",VLOOKUP(A462,base_horaire,5,FALSE),BX462),0)</f>
        <v>0</v>
      </c>
      <c r="DZ462" s="1385">
        <f t="shared" ref="DZ462:DZ492" si="902">+IFERROR(+IF(BY462="",VLOOKUP(A462,base_horaire,6,FALSE),BY462),0)</f>
        <v>0</v>
      </c>
      <c r="EA462" s="1385">
        <f t="shared" ref="EA462:EA492" si="903">IFERROR(+IF(BZ462="",VLOOKUP(A462,base_horaire,7,FALSE),BZ462),0)</f>
        <v>0</v>
      </c>
      <c r="EB462" s="1385">
        <f t="shared" ref="EB462:EB492" si="904">IFERROR(+IF(CA462="",VLOOKUP(A462,base_horaire,8,FALSE),CA462),0)</f>
        <v>0</v>
      </c>
      <c r="EC462" s="1385">
        <f t="shared" ref="EC462:EC492" si="905">IFERROR(+IF(CB462="",VLOOKUP(A462,base_horaire,9,FALSE),CB462),0)</f>
        <v>0</v>
      </c>
      <c r="ED462" s="1385">
        <f>+DW462-DV462+DY462-DX462+EA462-DZ462+EC462-EB462</f>
        <v>0</v>
      </c>
      <c r="EE462" s="1386">
        <f>ROUND(+ED462*24,2)</f>
        <v>0</v>
      </c>
      <c r="EG462" s="16" t="str">
        <f>+WEEKNUM(B462,21)&amp;YEAR(B462)</f>
        <v>442025</v>
      </c>
      <c r="EH462" s="16" t="str">
        <f t="shared" ref="EH462:EH492" si="906">+A462</f>
        <v>Fiche infoA6</v>
      </c>
      <c r="EI462" s="16" t="str">
        <f t="shared" ref="EI462:EI492" si="907">+VLOOKUP(EH462,Base_heures,6,FALSE)</f>
        <v/>
      </c>
    </row>
    <row r="463" spans="1:145" x14ac:dyDescent="0.2">
      <c r="A463" s="1395" t="str">
        <f>Novembre!BJ21</f>
        <v>Fiche infoA7</v>
      </c>
      <c r="B463" s="829">
        <f>Novembre!AB21</f>
        <v>45963</v>
      </c>
      <c r="C463" s="1394"/>
      <c r="D463" s="1001">
        <f t="shared" si="863"/>
        <v>0</v>
      </c>
      <c r="E463" s="452">
        <f t="shared" si="864"/>
        <v>0</v>
      </c>
      <c r="F463" s="452">
        <f t="shared" si="865"/>
        <v>0</v>
      </c>
      <c r="G463" s="452">
        <f t="shared" si="866"/>
        <v>0</v>
      </c>
      <c r="H463" s="452">
        <f t="shared" si="867"/>
        <v>0</v>
      </c>
      <c r="I463" s="452">
        <f t="shared" si="868"/>
        <v>0</v>
      </c>
      <c r="J463" s="452">
        <f t="shared" si="869"/>
        <v>0</v>
      </c>
      <c r="K463" s="452">
        <f t="shared" si="870"/>
        <v>0</v>
      </c>
      <c r="L463" s="452">
        <f t="shared" ref="L463:L492" si="908">+E463-D463+G463-F463+I463-H463+K463-J463</f>
        <v>0</v>
      </c>
      <c r="M463" s="1002">
        <f t="shared" ref="M463:M492" si="909">ROUND(+L463*24,2)</f>
        <v>0</v>
      </c>
      <c r="N463" s="1396"/>
      <c r="O463" s="1001">
        <f t="shared" si="871"/>
        <v>0</v>
      </c>
      <c r="P463" s="452">
        <f t="shared" si="872"/>
        <v>0</v>
      </c>
      <c r="Q463" s="452">
        <f t="shared" si="873"/>
        <v>0</v>
      </c>
      <c r="R463" s="452">
        <f t="shared" si="874"/>
        <v>0</v>
      </c>
      <c r="S463" s="452">
        <f t="shared" si="875"/>
        <v>0</v>
      </c>
      <c r="T463" s="452">
        <f t="shared" si="876"/>
        <v>0</v>
      </c>
      <c r="U463" s="452">
        <f t="shared" si="877"/>
        <v>0</v>
      </c>
      <c r="V463" s="452">
        <f t="shared" si="878"/>
        <v>0</v>
      </c>
      <c r="W463" s="452">
        <f t="shared" si="879"/>
        <v>0</v>
      </c>
      <c r="X463" s="1002">
        <f t="shared" si="880"/>
        <v>0</v>
      </c>
      <c r="Y463" s="1397"/>
      <c r="Z463" s="1398">
        <f t="shared" si="881"/>
        <v>0</v>
      </c>
      <c r="AA463" s="1398">
        <f t="shared" si="882"/>
        <v>0</v>
      </c>
      <c r="AB463" s="1398">
        <f t="shared" si="883"/>
        <v>0</v>
      </c>
      <c r="AC463" s="1398">
        <f t="shared" si="884"/>
        <v>0</v>
      </c>
      <c r="AD463" s="1398">
        <f t="shared" si="885"/>
        <v>0</v>
      </c>
      <c r="AE463" s="1398">
        <f t="shared" si="886"/>
        <v>0</v>
      </c>
      <c r="AF463" s="1398">
        <f t="shared" si="887"/>
        <v>0</v>
      </c>
      <c r="AG463" s="1398">
        <f t="shared" si="888"/>
        <v>0</v>
      </c>
      <c r="AH463" s="1396"/>
      <c r="AI463" s="462">
        <f t="shared" si="889"/>
        <v>0</v>
      </c>
      <c r="AJ463" s="1112"/>
      <c r="AK463" s="1399"/>
      <c r="AL463" s="829">
        <f t="shared" si="890"/>
        <v>45963</v>
      </c>
      <c r="AM463" s="684">
        <f>IFERROR(IF(AND(AT463="",AR463&lt;&gt;S.CAL!$BJ$3,AR463&lt;&gt;S.CAL!$BJ$4,$AR$455="NON"),M463-BD463,IF(AND(AT463="",AR463&lt;&gt;S.CAL!$BJ$3,AR463&lt;&gt;S.CAL!$BJ$4,$AR$455="OUI"),X463-AI463,IF(AT463&lt;&gt;0,AT463,IF(OR(AR463=S.CAL!$BJ$3,AR463=S.CAL!$BJ$4),AR463,"")))),"")</f>
        <v>0</v>
      </c>
      <c r="AN463" s="1115"/>
      <c r="AO463" s="1116"/>
      <c r="AP463" s="684">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400">
        <f t="shared" ref="AQ463:AQ492" si="910">AI463-SUM(AN463:AO463)</f>
        <v>0</v>
      </c>
      <c r="AR463" s="1120"/>
      <c r="AS463" s="1396"/>
      <c r="AT463" s="1123"/>
      <c r="AU463" s="831"/>
      <c r="AV463" s="1392">
        <f t="shared" si="891"/>
        <v>45963</v>
      </c>
      <c r="AW463" s="1396"/>
      <c r="AX463" s="529">
        <f t="shared" ref="AX463:AX492" si="911">+AV463</f>
        <v>45963</v>
      </c>
      <c r="AY463" s="541">
        <f t="shared" ref="AY463:AY492" si="912">+IF(M463-X463&lt;0,0,M463-X463)</f>
        <v>0</v>
      </c>
      <c r="AZ463" s="538" t="s">
        <v>146</v>
      </c>
      <c r="BA463" s="534">
        <f t="shared" ref="BA463:BA492" si="913">+IF(AZ463="OUI",AY463,0)</f>
        <v>0</v>
      </c>
      <c r="BB463" s="567" t="str">
        <f t="shared" si="892"/>
        <v/>
      </c>
      <c r="BC463" s="541">
        <f t="shared" ref="BC463:BC492" si="914">+IF(BB463="OUI",IFERROR(M463-AT463,M463),0)</f>
        <v>0</v>
      </c>
      <c r="BD463" s="541">
        <f t="shared" ref="BD463:BD492" si="915">+BC463+BA463</f>
        <v>0</v>
      </c>
      <c r="BE463" s="1126"/>
      <c r="BF463" s="532" t="str">
        <f t="shared" si="893"/>
        <v/>
      </c>
      <c r="BG463" s="532" t="str">
        <f t="shared" ref="BG463:BG492" si="916">+IF(AND(M463=0,AT463=""),"oui","non")</f>
        <v>oui</v>
      </c>
      <c r="BH463" s="395" t="str">
        <f t="shared" si="894"/>
        <v/>
      </c>
      <c r="BI463" s="24" t="str">
        <f t="shared" si="895"/>
        <v/>
      </c>
      <c r="BJ463" s="1404"/>
      <c r="BK463" s="1404"/>
      <c r="BL463" s="1404"/>
      <c r="BM463" s="1404"/>
      <c r="BN463" s="1404"/>
      <c r="BO463" s="1404"/>
      <c r="BP463" s="1404"/>
      <c r="BQ463" s="1404"/>
      <c r="BR463" s="1405"/>
      <c r="BS463" s="1392">
        <f t="shared" si="862"/>
        <v>45963</v>
      </c>
      <c r="BT463" s="1406" t="str">
        <f>IFERROR(IF(WEEKDAY(BS463,11)=1,WEEKNUM(BS463,21),""),"")</f>
        <v/>
      </c>
      <c r="BU463" s="1404"/>
      <c r="BV463" s="1404"/>
      <c r="BW463" s="1404"/>
      <c r="BX463" s="1404"/>
      <c r="BY463" s="1404"/>
      <c r="BZ463" s="1404"/>
      <c r="CA463" s="1404"/>
      <c r="CB463" s="1404"/>
      <c r="CD463" s="1408">
        <f t="shared" ref="CD463:CD492" si="917">+M463</f>
        <v>0</v>
      </c>
      <c r="DC463" s="16" t="str">
        <f>Novembre!FC21</f>
        <v>non</v>
      </c>
      <c r="DG463" s="333">
        <f t="shared" ref="DG463:DG492" si="918">IF(OR(AT463=0,AT463=""),1,10)</f>
        <v>1</v>
      </c>
      <c r="DH463" s="129">
        <f t="shared" si="896"/>
        <v>10</v>
      </c>
      <c r="DI463" s="129">
        <f t="shared" ref="DI463:DI492" si="919">+IF(OR(DG463=1,DH463=1),1,10)</f>
        <v>1</v>
      </c>
      <c r="DK463" s="16">
        <f>+IF(AND(Novembre!$DP$8&lt;&gt;52,AR463=S.CAL!$BJ$4),10,1)</f>
        <v>1</v>
      </c>
      <c r="DN463" s="16">
        <f t="shared" si="897"/>
        <v>1</v>
      </c>
      <c r="DU463" s="1296" t="str">
        <f t="shared" ref="DU463:DU492" si="920">+A463&amp;B463</f>
        <v>Fiche infoA745963</v>
      </c>
      <c r="DV463" s="1384">
        <f t="shared" si="898"/>
        <v>0</v>
      </c>
      <c r="DW463" s="1385">
        <f t="shared" si="899"/>
        <v>0</v>
      </c>
      <c r="DX463" s="1385">
        <f t="shared" si="900"/>
        <v>0</v>
      </c>
      <c r="DY463" s="1385">
        <f t="shared" si="901"/>
        <v>0</v>
      </c>
      <c r="DZ463" s="1385">
        <f t="shared" si="902"/>
        <v>0</v>
      </c>
      <c r="EA463" s="1385">
        <f t="shared" si="903"/>
        <v>0</v>
      </c>
      <c r="EB463" s="1385">
        <f t="shared" si="904"/>
        <v>0</v>
      </c>
      <c r="EC463" s="1385">
        <f t="shared" si="905"/>
        <v>0</v>
      </c>
      <c r="ED463" s="1385">
        <f t="shared" ref="ED463:ED492" si="921">+DW463-DV463+DY463-DX463+EA463-DZ463+EC463-EB463</f>
        <v>0</v>
      </c>
      <c r="EE463" s="1386">
        <f t="shared" ref="EE463:EE492" si="922">ROUND(+ED463*24,2)</f>
        <v>0</v>
      </c>
      <c r="EG463" s="16" t="str">
        <f t="shared" ref="EG463:EG492" si="923">+WEEKNUM(B463,21)&amp;YEAR(B463)</f>
        <v>442025</v>
      </c>
      <c r="EH463" s="16" t="str">
        <f t="shared" si="906"/>
        <v>Fiche infoA7</v>
      </c>
      <c r="EI463" s="16" t="str">
        <f t="shared" si="907"/>
        <v/>
      </c>
    </row>
    <row r="464" spans="1:145" x14ac:dyDescent="0.2">
      <c r="A464" s="24" t="str">
        <f>Novembre!BJ22</f>
        <v>Fiche infoA1</v>
      </c>
      <c r="B464" s="829">
        <f>Novembre!AB22</f>
        <v>45964</v>
      </c>
      <c r="C464" s="1393"/>
      <c r="D464" s="1001">
        <f t="shared" si="863"/>
        <v>0</v>
      </c>
      <c r="E464" s="452">
        <f t="shared" si="864"/>
        <v>0</v>
      </c>
      <c r="F464" s="452">
        <f t="shared" si="865"/>
        <v>0</v>
      </c>
      <c r="G464" s="452">
        <f t="shared" si="866"/>
        <v>0</v>
      </c>
      <c r="H464" s="452">
        <f t="shared" si="867"/>
        <v>0</v>
      </c>
      <c r="I464" s="452">
        <f t="shared" si="868"/>
        <v>0</v>
      </c>
      <c r="J464" s="452">
        <f t="shared" si="869"/>
        <v>0</v>
      </c>
      <c r="K464" s="452">
        <f t="shared" si="870"/>
        <v>0</v>
      </c>
      <c r="L464" s="452">
        <f t="shared" si="908"/>
        <v>0</v>
      </c>
      <c r="M464" s="1002">
        <f t="shared" si="909"/>
        <v>0</v>
      </c>
      <c r="O464" s="1001">
        <f t="shared" si="871"/>
        <v>0</v>
      </c>
      <c r="P464" s="452">
        <f t="shared" si="872"/>
        <v>0</v>
      </c>
      <c r="Q464" s="452">
        <f t="shared" si="873"/>
        <v>0</v>
      </c>
      <c r="R464" s="452">
        <f t="shared" si="874"/>
        <v>0</v>
      </c>
      <c r="S464" s="452">
        <f t="shared" si="875"/>
        <v>0</v>
      </c>
      <c r="T464" s="452">
        <f t="shared" si="876"/>
        <v>0</v>
      </c>
      <c r="U464" s="452">
        <f t="shared" si="877"/>
        <v>0</v>
      </c>
      <c r="V464" s="452">
        <f t="shared" si="878"/>
        <v>0</v>
      </c>
      <c r="W464" s="452">
        <f t="shared" si="879"/>
        <v>0</v>
      </c>
      <c r="X464" s="1002">
        <f t="shared" si="880"/>
        <v>0</v>
      </c>
      <c r="Y464" s="459"/>
      <c r="Z464" s="291">
        <f t="shared" si="881"/>
        <v>0</v>
      </c>
      <c r="AA464" s="291">
        <f t="shared" si="882"/>
        <v>0</v>
      </c>
      <c r="AB464" s="291">
        <f t="shared" si="883"/>
        <v>0</v>
      </c>
      <c r="AC464" s="291">
        <f t="shared" si="884"/>
        <v>0</v>
      </c>
      <c r="AD464" s="291">
        <f t="shared" si="885"/>
        <v>0</v>
      </c>
      <c r="AE464" s="291">
        <f t="shared" si="886"/>
        <v>0</v>
      </c>
      <c r="AF464" s="291">
        <f t="shared" si="887"/>
        <v>0</v>
      </c>
      <c r="AG464" s="291">
        <f t="shared" si="888"/>
        <v>0</v>
      </c>
      <c r="AI464" s="462">
        <f t="shared" si="889"/>
        <v>0</v>
      </c>
      <c r="AJ464" s="1112"/>
      <c r="AK464" s="507"/>
      <c r="AL464" s="829">
        <f t="shared" si="890"/>
        <v>45964</v>
      </c>
      <c r="AM464" s="684">
        <f>IFERROR(IF(AND(AT464="",AR464&lt;&gt;S.CAL!$BJ$3,AR464&lt;&gt;S.CAL!$BJ$4,$AR$455="NON"),M464-BD464,IF(AND(AT464="",AR464&lt;&gt;S.CAL!$BJ$3,AR464&lt;&gt;S.CAL!$BJ$4,$AR$455="OUI"),X464-AI464,IF(AT464&lt;&gt;0,AT464,IF(OR(AR464=S.CAL!$BJ$3,AR464=S.CAL!$BJ$4),AR464,"")))),"")</f>
        <v>0</v>
      </c>
      <c r="AN464" s="1115"/>
      <c r="AO464" s="1116"/>
      <c r="AP464" s="684">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516">
        <f t="shared" si="910"/>
        <v>0</v>
      </c>
      <c r="AR464" s="1120"/>
      <c r="AT464" s="1123"/>
      <c r="AU464" s="831"/>
      <c r="AV464" s="1392">
        <f t="shared" si="891"/>
        <v>45964</v>
      </c>
      <c r="AX464" s="529">
        <f t="shared" si="911"/>
        <v>45964</v>
      </c>
      <c r="AY464" s="541">
        <f t="shared" si="912"/>
        <v>0</v>
      </c>
      <c r="AZ464" s="538" t="s">
        <v>146</v>
      </c>
      <c r="BA464" s="534">
        <f t="shared" si="913"/>
        <v>0</v>
      </c>
      <c r="BB464" s="567" t="str">
        <f t="shared" si="892"/>
        <v/>
      </c>
      <c r="BC464" s="541">
        <f t="shared" si="914"/>
        <v>0</v>
      </c>
      <c r="BD464" s="541">
        <f t="shared" si="915"/>
        <v>0</v>
      </c>
      <c r="BE464" s="1126"/>
      <c r="BF464" s="532" t="str">
        <f t="shared" si="893"/>
        <v/>
      </c>
      <c r="BG464" s="532" t="str">
        <f t="shared" si="916"/>
        <v>oui</v>
      </c>
      <c r="BH464" s="395" t="str">
        <f t="shared" si="894"/>
        <v/>
      </c>
      <c r="BI464" s="24" t="str">
        <f t="shared" si="895"/>
        <v/>
      </c>
      <c r="BJ464" s="1403"/>
      <c r="BK464" s="1403"/>
      <c r="BL464" s="1403"/>
      <c r="BM464" s="1403"/>
      <c r="BN464" s="1403"/>
      <c r="BO464" s="1403"/>
      <c r="BP464" s="1403"/>
      <c r="BQ464" s="1403"/>
      <c r="BS464" s="1392">
        <f t="shared" si="862"/>
        <v>45964</v>
      </c>
      <c r="BT464" s="27">
        <f t="shared" ref="BT464:BT492" si="924">IFERROR(IF(WEEKDAY(BS464,11)=1,WEEKNUM(BS464,21),""),"")</f>
        <v>45</v>
      </c>
      <c r="BU464" s="1402"/>
      <c r="BV464" s="1402"/>
      <c r="BW464" s="1402"/>
      <c r="BX464" s="1402"/>
      <c r="BY464" s="1402"/>
      <c r="BZ464" s="1402"/>
      <c r="CA464" s="1402"/>
      <c r="CB464" s="1402"/>
      <c r="CD464" s="1408">
        <f t="shared" si="917"/>
        <v>0</v>
      </c>
      <c r="DC464" s="16" t="str">
        <f>Novembre!FC22</f>
        <v>non</v>
      </c>
      <c r="DG464" s="333">
        <f t="shared" si="918"/>
        <v>1</v>
      </c>
      <c r="DH464" s="129">
        <f t="shared" si="896"/>
        <v>10</v>
      </c>
      <c r="DI464" s="129">
        <f t="shared" si="919"/>
        <v>1</v>
      </c>
      <c r="DK464" s="16">
        <f>+IF(AND(Novembre!$DP$8&lt;&gt;52,AR464=S.CAL!$BJ$4),10,1)</f>
        <v>1</v>
      </c>
      <c r="DN464" s="16">
        <f t="shared" si="897"/>
        <v>1</v>
      </c>
      <c r="DU464" s="1296" t="str">
        <f t="shared" si="920"/>
        <v>Fiche infoA145964</v>
      </c>
      <c r="DV464" s="1384">
        <f t="shared" si="898"/>
        <v>0</v>
      </c>
      <c r="DW464" s="1385">
        <f t="shared" si="899"/>
        <v>0</v>
      </c>
      <c r="DX464" s="1385">
        <f t="shared" si="900"/>
        <v>0</v>
      </c>
      <c r="DY464" s="1385">
        <f t="shared" si="901"/>
        <v>0</v>
      </c>
      <c r="DZ464" s="1385">
        <f t="shared" si="902"/>
        <v>0</v>
      </c>
      <c r="EA464" s="1385">
        <f t="shared" si="903"/>
        <v>0</v>
      </c>
      <c r="EB464" s="1385">
        <f t="shared" si="904"/>
        <v>0</v>
      </c>
      <c r="EC464" s="1385">
        <f t="shared" si="905"/>
        <v>0</v>
      </c>
      <c r="ED464" s="1385">
        <f t="shared" si="921"/>
        <v>0</v>
      </c>
      <c r="EE464" s="1386">
        <f t="shared" si="922"/>
        <v>0</v>
      </c>
      <c r="EG464" s="16" t="str">
        <f t="shared" si="923"/>
        <v>452025</v>
      </c>
      <c r="EH464" s="16" t="str">
        <f t="shared" si="906"/>
        <v>Fiche infoA1</v>
      </c>
      <c r="EI464" s="16" t="str">
        <f t="shared" si="907"/>
        <v/>
      </c>
    </row>
    <row r="465" spans="1:139" x14ac:dyDescent="0.2">
      <c r="A465" s="1395" t="str">
        <f>Novembre!BJ23</f>
        <v>Fiche infoA2</v>
      </c>
      <c r="B465" s="829">
        <f>Novembre!AB23</f>
        <v>45965</v>
      </c>
      <c r="C465" s="1394"/>
      <c r="D465" s="1001">
        <f t="shared" si="863"/>
        <v>0</v>
      </c>
      <c r="E465" s="452">
        <f t="shared" si="864"/>
        <v>0</v>
      </c>
      <c r="F465" s="452">
        <f t="shared" si="865"/>
        <v>0</v>
      </c>
      <c r="G465" s="452">
        <f t="shared" si="866"/>
        <v>0</v>
      </c>
      <c r="H465" s="452">
        <f t="shared" si="867"/>
        <v>0</v>
      </c>
      <c r="I465" s="452">
        <f t="shared" si="868"/>
        <v>0</v>
      </c>
      <c r="J465" s="452">
        <f t="shared" si="869"/>
        <v>0</v>
      </c>
      <c r="K465" s="452">
        <f t="shared" si="870"/>
        <v>0</v>
      </c>
      <c r="L465" s="452">
        <f t="shared" si="908"/>
        <v>0</v>
      </c>
      <c r="M465" s="1002">
        <f t="shared" si="909"/>
        <v>0</v>
      </c>
      <c r="N465" s="1396"/>
      <c r="O465" s="1001">
        <f t="shared" si="871"/>
        <v>0</v>
      </c>
      <c r="P465" s="452">
        <f t="shared" si="872"/>
        <v>0</v>
      </c>
      <c r="Q465" s="452">
        <f t="shared" si="873"/>
        <v>0</v>
      </c>
      <c r="R465" s="452">
        <f t="shared" si="874"/>
        <v>0</v>
      </c>
      <c r="S465" s="452">
        <f t="shared" si="875"/>
        <v>0</v>
      </c>
      <c r="T465" s="452">
        <f t="shared" si="876"/>
        <v>0</v>
      </c>
      <c r="U465" s="452">
        <f t="shared" si="877"/>
        <v>0</v>
      </c>
      <c r="V465" s="452">
        <f t="shared" si="878"/>
        <v>0</v>
      </c>
      <c r="W465" s="452">
        <f t="shared" si="879"/>
        <v>0</v>
      </c>
      <c r="X465" s="1002">
        <f t="shared" si="880"/>
        <v>0</v>
      </c>
      <c r="Y465" s="1397"/>
      <c r="Z465" s="1398">
        <f t="shared" si="881"/>
        <v>0</v>
      </c>
      <c r="AA465" s="1398">
        <f t="shared" si="882"/>
        <v>0</v>
      </c>
      <c r="AB465" s="1398">
        <f t="shared" si="883"/>
        <v>0</v>
      </c>
      <c r="AC465" s="1398">
        <f t="shared" si="884"/>
        <v>0</v>
      </c>
      <c r="AD465" s="1398">
        <f t="shared" si="885"/>
        <v>0</v>
      </c>
      <c r="AE465" s="1398">
        <f t="shared" si="886"/>
        <v>0</v>
      </c>
      <c r="AF465" s="1398">
        <f t="shared" si="887"/>
        <v>0</v>
      </c>
      <c r="AG465" s="1398">
        <f t="shared" si="888"/>
        <v>0</v>
      </c>
      <c r="AH465" s="1396"/>
      <c r="AI465" s="462">
        <f t="shared" si="889"/>
        <v>0</v>
      </c>
      <c r="AJ465" s="1112"/>
      <c r="AK465" s="1399"/>
      <c r="AL465" s="829">
        <f t="shared" si="890"/>
        <v>45965</v>
      </c>
      <c r="AM465" s="684">
        <f>IFERROR(IF(AND(AT465="",AR465&lt;&gt;S.CAL!$BJ$3,AR465&lt;&gt;S.CAL!$BJ$4,$AR$455="NON"),M465-BD465,IF(AND(AT465="",AR465&lt;&gt;S.CAL!$BJ$3,AR465&lt;&gt;S.CAL!$BJ$4,$AR$455="OUI"),X465-AI465,IF(AT465&lt;&gt;0,AT465,IF(OR(AR465=S.CAL!$BJ$3,AR465=S.CAL!$BJ$4),AR465,"")))),"")</f>
        <v>0</v>
      </c>
      <c r="AN465" s="1115"/>
      <c r="AO465" s="1116"/>
      <c r="AP465" s="684">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400">
        <f t="shared" si="910"/>
        <v>0</v>
      </c>
      <c r="AR465" s="1120"/>
      <c r="AS465" s="1396"/>
      <c r="AT465" s="1123"/>
      <c r="AU465" s="831"/>
      <c r="AV465" s="1392">
        <f t="shared" si="891"/>
        <v>45965</v>
      </c>
      <c r="AW465" s="1396"/>
      <c r="AX465" s="529">
        <f t="shared" si="911"/>
        <v>45965</v>
      </c>
      <c r="AY465" s="541">
        <f t="shared" si="912"/>
        <v>0</v>
      </c>
      <c r="AZ465" s="538" t="s">
        <v>146</v>
      </c>
      <c r="BA465" s="534">
        <f t="shared" si="913"/>
        <v>0</v>
      </c>
      <c r="BB465" s="567" t="str">
        <f t="shared" si="892"/>
        <v/>
      </c>
      <c r="BC465" s="541">
        <f t="shared" si="914"/>
        <v>0</v>
      </c>
      <c r="BD465" s="541">
        <f t="shared" si="915"/>
        <v>0</v>
      </c>
      <c r="BE465" s="1126"/>
      <c r="BF465" s="532" t="str">
        <f t="shared" si="893"/>
        <v/>
      </c>
      <c r="BG465" s="532" t="str">
        <f t="shared" si="916"/>
        <v>oui</v>
      </c>
      <c r="BH465" s="395" t="str">
        <f t="shared" si="894"/>
        <v/>
      </c>
      <c r="BI465" s="24" t="str">
        <f t="shared" si="895"/>
        <v/>
      </c>
      <c r="BJ465" s="1404"/>
      <c r="BK465" s="1404"/>
      <c r="BL465" s="1404"/>
      <c r="BM465" s="1404"/>
      <c r="BN465" s="1404"/>
      <c r="BO465" s="1404"/>
      <c r="BP465" s="1404"/>
      <c r="BQ465" s="1404"/>
      <c r="BR465" s="1405"/>
      <c r="BS465" s="1392">
        <f t="shared" si="862"/>
        <v>45965</v>
      </c>
      <c r="BT465" s="1406" t="str">
        <f t="shared" si="924"/>
        <v/>
      </c>
      <c r="BU465" s="1404"/>
      <c r="BV465" s="1404"/>
      <c r="BW465" s="1404"/>
      <c r="BX465" s="1404"/>
      <c r="BY465" s="1404"/>
      <c r="BZ465" s="1404"/>
      <c r="CA465" s="1404"/>
      <c r="CB465" s="1404"/>
      <c r="CD465" s="1408">
        <f t="shared" si="917"/>
        <v>0</v>
      </c>
      <c r="DC465" s="16" t="str">
        <f>Novembre!FC23</f>
        <v>non</v>
      </c>
      <c r="DG465" s="333">
        <f t="shared" si="918"/>
        <v>1</v>
      </c>
      <c r="DH465" s="129">
        <f t="shared" si="896"/>
        <v>10</v>
      </c>
      <c r="DI465" s="129">
        <f t="shared" si="919"/>
        <v>1</v>
      </c>
      <c r="DK465" s="16">
        <f>+IF(AND(Novembre!$DP$8&lt;&gt;52,AR465=S.CAL!$BJ$4),10,1)</f>
        <v>1</v>
      </c>
      <c r="DN465" s="16">
        <f t="shared" si="897"/>
        <v>1</v>
      </c>
      <c r="DU465" s="1296" t="str">
        <f t="shared" si="920"/>
        <v>Fiche infoA245965</v>
      </c>
      <c r="DV465" s="1384">
        <f t="shared" si="898"/>
        <v>0</v>
      </c>
      <c r="DW465" s="1385">
        <f t="shared" si="899"/>
        <v>0</v>
      </c>
      <c r="DX465" s="1385">
        <f t="shared" si="900"/>
        <v>0</v>
      </c>
      <c r="DY465" s="1385">
        <f t="shared" si="901"/>
        <v>0</v>
      </c>
      <c r="DZ465" s="1385">
        <f t="shared" si="902"/>
        <v>0</v>
      </c>
      <c r="EA465" s="1385">
        <f t="shared" si="903"/>
        <v>0</v>
      </c>
      <c r="EB465" s="1385">
        <f t="shared" si="904"/>
        <v>0</v>
      </c>
      <c r="EC465" s="1385">
        <f t="shared" si="905"/>
        <v>0</v>
      </c>
      <c r="ED465" s="1385">
        <f t="shared" si="921"/>
        <v>0</v>
      </c>
      <c r="EE465" s="1386">
        <f t="shared" si="922"/>
        <v>0</v>
      </c>
      <c r="EG465" s="16" t="str">
        <f t="shared" si="923"/>
        <v>452025</v>
      </c>
      <c r="EH465" s="16" t="str">
        <f t="shared" si="906"/>
        <v>Fiche infoA2</v>
      </c>
      <c r="EI465" s="16" t="str">
        <f t="shared" si="907"/>
        <v/>
      </c>
    </row>
    <row r="466" spans="1:139" x14ac:dyDescent="0.2">
      <c r="A466" s="24" t="str">
        <f>Novembre!BJ24</f>
        <v>Fiche infoA3</v>
      </c>
      <c r="B466" s="829">
        <f>Novembre!AB24</f>
        <v>45966</v>
      </c>
      <c r="C466" s="1393"/>
      <c r="D466" s="1001">
        <f t="shared" si="863"/>
        <v>0</v>
      </c>
      <c r="E466" s="452">
        <f t="shared" si="864"/>
        <v>0</v>
      </c>
      <c r="F466" s="452">
        <f t="shared" si="865"/>
        <v>0</v>
      </c>
      <c r="G466" s="452">
        <f t="shared" si="866"/>
        <v>0</v>
      </c>
      <c r="H466" s="452">
        <f t="shared" si="867"/>
        <v>0</v>
      </c>
      <c r="I466" s="452">
        <f t="shared" si="868"/>
        <v>0</v>
      </c>
      <c r="J466" s="452">
        <f t="shared" si="869"/>
        <v>0</v>
      </c>
      <c r="K466" s="452">
        <f t="shared" si="870"/>
        <v>0</v>
      </c>
      <c r="L466" s="452">
        <f t="shared" si="908"/>
        <v>0</v>
      </c>
      <c r="M466" s="1002">
        <f t="shared" si="909"/>
        <v>0</v>
      </c>
      <c r="O466" s="1001">
        <f t="shared" si="871"/>
        <v>0</v>
      </c>
      <c r="P466" s="452">
        <f t="shared" si="872"/>
        <v>0</v>
      </c>
      <c r="Q466" s="452">
        <f t="shared" si="873"/>
        <v>0</v>
      </c>
      <c r="R466" s="452">
        <f t="shared" si="874"/>
        <v>0</v>
      </c>
      <c r="S466" s="452">
        <f t="shared" si="875"/>
        <v>0</v>
      </c>
      <c r="T466" s="452">
        <f t="shared" si="876"/>
        <v>0</v>
      </c>
      <c r="U466" s="452">
        <f t="shared" si="877"/>
        <v>0</v>
      </c>
      <c r="V466" s="452">
        <f t="shared" si="878"/>
        <v>0</v>
      </c>
      <c r="W466" s="452">
        <f t="shared" si="879"/>
        <v>0</v>
      </c>
      <c r="X466" s="1002">
        <f t="shared" si="880"/>
        <v>0</v>
      </c>
      <c r="Y466" s="459"/>
      <c r="Z466" s="291">
        <f t="shared" si="881"/>
        <v>0</v>
      </c>
      <c r="AA466" s="291">
        <f t="shared" si="882"/>
        <v>0</v>
      </c>
      <c r="AB466" s="291">
        <f t="shared" si="883"/>
        <v>0</v>
      </c>
      <c r="AC466" s="291">
        <f t="shared" si="884"/>
        <v>0</v>
      </c>
      <c r="AD466" s="291">
        <f t="shared" si="885"/>
        <v>0</v>
      </c>
      <c r="AE466" s="291">
        <f t="shared" si="886"/>
        <v>0</v>
      </c>
      <c r="AF466" s="291">
        <f t="shared" si="887"/>
        <v>0</v>
      </c>
      <c r="AG466" s="291">
        <f t="shared" si="888"/>
        <v>0</v>
      </c>
      <c r="AI466" s="462">
        <f t="shared" si="889"/>
        <v>0</v>
      </c>
      <c r="AJ466" s="1112"/>
      <c r="AK466" s="507"/>
      <c r="AL466" s="829">
        <f t="shared" si="890"/>
        <v>45966</v>
      </c>
      <c r="AM466" s="684">
        <f>IFERROR(IF(AND(AT466="",AR466&lt;&gt;S.CAL!$BJ$3,AR466&lt;&gt;S.CAL!$BJ$4,$AR$455="NON"),M466-BD466,IF(AND(AT466="",AR466&lt;&gt;S.CAL!$BJ$3,AR466&lt;&gt;S.CAL!$BJ$4,$AR$455="OUI"),X466-AI466,IF(AT466&lt;&gt;0,AT466,IF(OR(AR466=S.CAL!$BJ$3,AR466=S.CAL!$BJ$4),AR466,"")))),"")</f>
        <v>0</v>
      </c>
      <c r="AN466" s="1115"/>
      <c r="AO466" s="1116"/>
      <c r="AP466" s="684">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516">
        <f t="shared" si="910"/>
        <v>0</v>
      </c>
      <c r="AR466" s="1120"/>
      <c r="AT466" s="1123"/>
      <c r="AU466" s="831"/>
      <c r="AV466" s="1392">
        <f t="shared" si="891"/>
        <v>45966</v>
      </c>
      <c r="AX466" s="529">
        <f t="shared" si="911"/>
        <v>45966</v>
      </c>
      <c r="AY466" s="541">
        <f t="shared" si="912"/>
        <v>0</v>
      </c>
      <c r="AZ466" s="538" t="s">
        <v>146</v>
      </c>
      <c r="BA466" s="534">
        <f t="shared" si="913"/>
        <v>0</v>
      </c>
      <c r="BB466" s="567" t="str">
        <f t="shared" si="892"/>
        <v/>
      </c>
      <c r="BC466" s="541">
        <f t="shared" si="914"/>
        <v>0</v>
      </c>
      <c r="BD466" s="541">
        <f t="shared" si="915"/>
        <v>0</v>
      </c>
      <c r="BE466" s="1126"/>
      <c r="BF466" s="532" t="str">
        <f t="shared" si="893"/>
        <v/>
      </c>
      <c r="BG466" s="532" t="str">
        <f t="shared" si="916"/>
        <v>oui</v>
      </c>
      <c r="BH466" s="395" t="str">
        <f t="shared" si="894"/>
        <v/>
      </c>
      <c r="BI466" s="24" t="str">
        <f t="shared" si="895"/>
        <v/>
      </c>
      <c r="BJ466" s="1403"/>
      <c r="BK466" s="1403"/>
      <c r="BL466" s="1403"/>
      <c r="BM466" s="1403"/>
      <c r="BN466" s="1403"/>
      <c r="BO466" s="1403"/>
      <c r="BP466" s="1403"/>
      <c r="BQ466" s="1403"/>
      <c r="BS466" s="1392">
        <f t="shared" si="862"/>
        <v>45966</v>
      </c>
      <c r="BT466" s="27" t="str">
        <f t="shared" si="924"/>
        <v/>
      </c>
      <c r="BU466" s="1402"/>
      <c r="BV466" s="1402"/>
      <c r="BW466" s="1402"/>
      <c r="BX466" s="1402"/>
      <c r="BY466" s="1402"/>
      <c r="BZ466" s="1402"/>
      <c r="CA466" s="1402"/>
      <c r="CB466" s="1402"/>
      <c r="CD466" s="1408">
        <f t="shared" si="917"/>
        <v>0</v>
      </c>
      <c r="DC466" s="16" t="str">
        <f>Novembre!FC24</f>
        <v>non</v>
      </c>
      <c r="DG466" s="333">
        <f t="shared" si="918"/>
        <v>1</v>
      </c>
      <c r="DH466" s="129">
        <f t="shared" si="896"/>
        <v>10</v>
      </c>
      <c r="DI466" s="129">
        <f t="shared" si="919"/>
        <v>1</v>
      </c>
      <c r="DK466" s="16">
        <f>+IF(AND(Novembre!$DP$8&lt;&gt;52,AR466=S.CAL!$BJ$4),10,1)</f>
        <v>1</v>
      </c>
      <c r="DN466" s="16">
        <f t="shared" si="897"/>
        <v>1</v>
      </c>
      <c r="DU466" s="1296" t="str">
        <f t="shared" si="920"/>
        <v>Fiche infoA345966</v>
      </c>
      <c r="DV466" s="1384">
        <f t="shared" si="898"/>
        <v>0</v>
      </c>
      <c r="DW466" s="1385">
        <f t="shared" si="899"/>
        <v>0</v>
      </c>
      <c r="DX466" s="1385">
        <f t="shared" si="900"/>
        <v>0</v>
      </c>
      <c r="DY466" s="1385">
        <f t="shared" si="901"/>
        <v>0</v>
      </c>
      <c r="DZ466" s="1385">
        <f t="shared" si="902"/>
        <v>0</v>
      </c>
      <c r="EA466" s="1385">
        <f t="shared" si="903"/>
        <v>0</v>
      </c>
      <c r="EB466" s="1385">
        <f t="shared" si="904"/>
        <v>0</v>
      </c>
      <c r="EC466" s="1385">
        <f t="shared" si="905"/>
        <v>0</v>
      </c>
      <c r="ED466" s="1385">
        <f t="shared" si="921"/>
        <v>0</v>
      </c>
      <c r="EE466" s="1386">
        <f t="shared" si="922"/>
        <v>0</v>
      </c>
      <c r="EG466" s="16" t="str">
        <f t="shared" si="923"/>
        <v>452025</v>
      </c>
      <c r="EH466" s="16" t="str">
        <f t="shared" si="906"/>
        <v>Fiche infoA3</v>
      </c>
      <c r="EI466" s="16" t="str">
        <f t="shared" si="907"/>
        <v/>
      </c>
    </row>
    <row r="467" spans="1:139" x14ac:dyDescent="0.2">
      <c r="A467" s="1395" t="str">
        <f>Novembre!BJ25</f>
        <v>Fiche infoA4</v>
      </c>
      <c r="B467" s="829">
        <f>Novembre!AB25</f>
        <v>45967</v>
      </c>
      <c r="C467" s="1394"/>
      <c r="D467" s="1001">
        <f t="shared" si="863"/>
        <v>0</v>
      </c>
      <c r="E467" s="452">
        <f t="shared" si="864"/>
        <v>0</v>
      </c>
      <c r="F467" s="452">
        <f t="shared" si="865"/>
        <v>0</v>
      </c>
      <c r="G467" s="452">
        <f t="shared" si="866"/>
        <v>0</v>
      </c>
      <c r="H467" s="452">
        <f t="shared" si="867"/>
        <v>0</v>
      </c>
      <c r="I467" s="452">
        <f t="shared" si="868"/>
        <v>0</v>
      </c>
      <c r="J467" s="452">
        <f t="shared" si="869"/>
        <v>0</v>
      </c>
      <c r="K467" s="452">
        <f t="shared" si="870"/>
        <v>0</v>
      </c>
      <c r="L467" s="452">
        <f t="shared" si="908"/>
        <v>0</v>
      </c>
      <c r="M467" s="1002">
        <f t="shared" si="909"/>
        <v>0</v>
      </c>
      <c r="N467" s="1396"/>
      <c r="O467" s="1001">
        <f t="shared" si="871"/>
        <v>0</v>
      </c>
      <c r="P467" s="452">
        <f t="shared" si="872"/>
        <v>0</v>
      </c>
      <c r="Q467" s="452">
        <f t="shared" si="873"/>
        <v>0</v>
      </c>
      <c r="R467" s="452">
        <f t="shared" si="874"/>
        <v>0</v>
      </c>
      <c r="S467" s="452">
        <f t="shared" si="875"/>
        <v>0</v>
      </c>
      <c r="T467" s="452">
        <f t="shared" si="876"/>
        <v>0</v>
      </c>
      <c r="U467" s="452">
        <f t="shared" si="877"/>
        <v>0</v>
      </c>
      <c r="V467" s="452">
        <f t="shared" si="878"/>
        <v>0</v>
      </c>
      <c r="W467" s="452">
        <f t="shared" si="879"/>
        <v>0</v>
      </c>
      <c r="X467" s="1002">
        <f t="shared" si="880"/>
        <v>0</v>
      </c>
      <c r="Y467" s="1397"/>
      <c r="Z467" s="1398">
        <f t="shared" si="881"/>
        <v>0</v>
      </c>
      <c r="AA467" s="1398">
        <f t="shared" si="882"/>
        <v>0</v>
      </c>
      <c r="AB467" s="1398">
        <f t="shared" si="883"/>
        <v>0</v>
      </c>
      <c r="AC467" s="1398">
        <f t="shared" si="884"/>
        <v>0</v>
      </c>
      <c r="AD467" s="1398">
        <f t="shared" si="885"/>
        <v>0</v>
      </c>
      <c r="AE467" s="1398">
        <f t="shared" si="886"/>
        <v>0</v>
      </c>
      <c r="AF467" s="1398">
        <f t="shared" si="887"/>
        <v>0</v>
      </c>
      <c r="AG467" s="1398">
        <f t="shared" si="888"/>
        <v>0</v>
      </c>
      <c r="AH467" s="1396"/>
      <c r="AI467" s="462">
        <f t="shared" si="889"/>
        <v>0</v>
      </c>
      <c r="AJ467" s="1112"/>
      <c r="AK467" s="1399"/>
      <c r="AL467" s="829">
        <f t="shared" si="890"/>
        <v>45967</v>
      </c>
      <c r="AM467" s="684">
        <f>IFERROR(IF(AND(AT467="",AR467&lt;&gt;S.CAL!$BJ$3,AR467&lt;&gt;S.CAL!$BJ$4,$AR$455="NON"),M467-BD467,IF(AND(AT467="",AR467&lt;&gt;S.CAL!$BJ$3,AR467&lt;&gt;S.CAL!$BJ$4,$AR$455="OUI"),X467-AI467,IF(AT467&lt;&gt;0,AT467,IF(OR(AR467=S.CAL!$BJ$3,AR467=S.CAL!$BJ$4),AR467,"")))),"")</f>
        <v>0</v>
      </c>
      <c r="AN467" s="1115"/>
      <c r="AO467" s="1116"/>
      <c r="AP467" s="684">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400">
        <f t="shared" si="910"/>
        <v>0</v>
      </c>
      <c r="AR467" s="1120"/>
      <c r="AS467" s="1396"/>
      <c r="AT467" s="1123"/>
      <c r="AU467" s="831"/>
      <c r="AV467" s="1392">
        <f t="shared" si="891"/>
        <v>45967</v>
      </c>
      <c r="AW467" s="1396"/>
      <c r="AX467" s="529">
        <f t="shared" si="911"/>
        <v>45967</v>
      </c>
      <c r="AY467" s="541">
        <f t="shared" si="912"/>
        <v>0</v>
      </c>
      <c r="AZ467" s="538" t="s">
        <v>146</v>
      </c>
      <c r="BA467" s="534">
        <f t="shared" si="913"/>
        <v>0</v>
      </c>
      <c r="BB467" s="567" t="str">
        <f t="shared" si="892"/>
        <v/>
      </c>
      <c r="BC467" s="541">
        <f t="shared" si="914"/>
        <v>0</v>
      </c>
      <c r="BD467" s="541">
        <f t="shared" si="915"/>
        <v>0</v>
      </c>
      <c r="BE467" s="1126"/>
      <c r="BF467" s="532" t="str">
        <f t="shared" si="893"/>
        <v/>
      </c>
      <c r="BG467" s="532" t="str">
        <f t="shared" si="916"/>
        <v>oui</v>
      </c>
      <c r="BH467" s="395" t="str">
        <f t="shared" si="894"/>
        <v/>
      </c>
      <c r="BI467" s="24" t="str">
        <f t="shared" si="895"/>
        <v/>
      </c>
      <c r="BJ467" s="1404"/>
      <c r="BK467" s="1404"/>
      <c r="BL467" s="1404"/>
      <c r="BM467" s="1404"/>
      <c r="BN467" s="1404"/>
      <c r="BO467" s="1404"/>
      <c r="BP467" s="1404"/>
      <c r="BQ467" s="1404"/>
      <c r="BR467" s="1405"/>
      <c r="BS467" s="1392">
        <f t="shared" si="862"/>
        <v>45967</v>
      </c>
      <c r="BT467" s="1406" t="str">
        <f t="shared" si="924"/>
        <v/>
      </c>
      <c r="BU467" s="1404"/>
      <c r="BV467" s="1404"/>
      <c r="BW467" s="1404"/>
      <c r="BX467" s="1404"/>
      <c r="BY467" s="1404"/>
      <c r="BZ467" s="1404"/>
      <c r="CA467" s="1404"/>
      <c r="CB467" s="1404"/>
      <c r="CD467" s="1408">
        <f t="shared" si="917"/>
        <v>0</v>
      </c>
      <c r="DC467" s="16" t="str">
        <f>Novembre!FC25</f>
        <v>non</v>
      </c>
      <c r="DG467" s="333">
        <f t="shared" si="918"/>
        <v>1</v>
      </c>
      <c r="DH467" s="129">
        <f t="shared" si="896"/>
        <v>10</v>
      </c>
      <c r="DI467" s="129">
        <f t="shared" si="919"/>
        <v>1</v>
      </c>
      <c r="DK467" s="16">
        <f>+IF(AND(Novembre!$DP$8&lt;&gt;52,AR467=S.CAL!$BJ$4),10,1)</f>
        <v>1</v>
      </c>
      <c r="DN467" s="16">
        <f t="shared" si="897"/>
        <v>1</v>
      </c>
      <c r="DU467" s="1296" t="str">
        <f t="shared" si="920"/>
        <v>Fiche infoA445967</v>
      </c>
      <c r="DV467" s="1384">
        <f t="shared" si="898"/>
        <v>0</v>
      </c>
      <c r="DW467" s="1385">
        <f t="shared" si="899"/>
        <v>0</v>
      </c>
      <c r="DX467" s="1385">
        <f t="shared" si="900"/>
        <v>0</v>
      </c>
      <c r="DY467" s="1385">
        <f t="shared" si="901"/>
        <v>0</v>
      </c>
      <c r="DZ467" s="1385">
        <f t="shared" si="902"/>
        <v>0</v>
      </c>
      <c r="EA467" s="1385">
        <f t="shared" si="903"/>
        <v>0</v>
      </c>
      <c r="EB467" s="1385">
        <f t="shared" si="904"/>
        <v>0</v>
      </c>
      <c r="EC467" s="1385">
        <f t="shared" si="905"/>
        <v>0</v>
      </c>
      <c r="ED467" s="1385">
        <f t="shared" si="921"/>
        <v>0</v>
      </c>
      <c r="EE467" s="1386">
        <f t="shared" si="922"/>
        <v>0</v>
      </c>
      <c r="EG467" s="16" t="str">
        <f t="shared" si="923"/>
        <v>452025</v>
      </c>
      <c r="EH467" s="16" t="str">
        <f t="shared" si="906"/>
        <v>Fiche infoA4</v>
      </c>
      <c r="EI467" s="16" t="str">
        <f t="shared" si="907"/>
        <v/>
      </c>
    </row>
    <row r="468" spans="1:139" x14ac:dyDescent="0.2">
      <c r="A468" s="24" t="str">
        <f>Novembre!BJ26</f>
        <v>Fiche infoA5</v>
      </c>
      <c r="B468" s="829">
        <f>Novembre!AB26</f>
        <v>45968</v>
      </c>
      <c r="C468" s="1393"/>
      <c r="D468" s="1001">
        <f t="shared" si="863"/>
        <v>0</v>
      </c>
      <c r="E468" s="452">
        <f t="shared" si="864"/>
        <v>0</v>
      </c>
      <c r="F468" s="452">
        <f t="shared" si="865"/>
        <v>0</v>
      </c>
      <c r="G468" s="452">
        <f t="shared" si="866"/>
        <v>0</v>
      </c>
      <c r="H468" s="452">
        <f t="shared" si="867"/>
        <v>0</v>
      </c>
      <c r="I468" s="452">
        <f t="shared" si="868"/>
        <v>0</v>
      </c>
      <c r="J468" s="452">
        <f t="shared" si="869"/>
        <v>0</v>
      </c>
      <c r="K468" s="452">
        <f t="shared" si="870"/>
        <v>0</v>
      </c>
      <c r="L468" s="452">
        <f t="shared" si="908"/>
        <v>0</v>
      </c>
      <c r="M468" s="1002">
        <f t="shared" si="909"/>
        <v>0</v>
      </c>
      <c r="O468" s="1001">
        <f t="shared" si="871"/>
        <v>0</v>
      </c>
      <c r="P468" s="452">
        <f t="shared" si="872"/>
        <v>0</v>
      </c>
      <c r="Q468" s="452">
        <f t="shared" si="873"/>
        <v>0</v>
      </c>
      <c r="R468" s="452">
        <f t="shared" si="874"/>
        <v>0</v>
      </c>
      <c r="S468" s="452">
        <f t="shared" si="875"/>
        <v>0</v>
      </c>
      <c r="T468" s="452">
        <f t="shared" si="876"/>
        <v>0</v>
      </c>
      <c r="U468" s="452">
        <f t="shared" si="877"/>
        <v>0</v>
      </c>
      <c r="V468" s="452">
        <f t="shared" si="878"/>
        <v>0</v>
      </c>
      <c r="W468" s="452">
        <f t="shared" si="879"/>
        <v>0</v>
      </c>
      <c r="X468" s="1002">
        <f t="shared" si="880"/>
        <v>0</v>
      </c>
      <c r="Y468" s="459"/>
      <c r="Z468" s="291">
        <f t="shared" si="881"/>
        <v>0</v>
      </c>
      <c r="AA468" s="291">
        <f t="shared" si="882"/>
        <v>0</v>
      </c>
      <c r="AB468" s="291">
        <f t="shared" si="883"/>
        <v>0</v>
      </c>
      <c r="AC468" s="291">
        <f t="shared" si="884"/>
        <v>0</v>
      </c>
      <c r="AD468" s="291">
        <f t="shared" si="885"/>
        <v>0</v>
      </c>
      <c r="AE468" s="291">
        <f t="shared" si="886"/>
        <v>0</v>
      </c>
      <c r="AF468" s="291">
        <f t="shared" si="887"/>
        <v>0</v>
      </c>
      <c r="AG468" s="291">
        <f t="shared" si="888"/>
        <v>0</v>
      </c>
      <c r="AI468" s="462">
        <f t="shared" si="889"/>
        <v>0</v>
      </c>
      <c r="AJ468" s="1112"/>
      <c r="AK468" s="507"/>
      <c r="AL468" s="829">
        <f t="shared" si="890"/>
        <v>45968</v>
      </c>
      <c r="AM468" s="684">
        <f>IFERROR(IF(AND(AT468="",AR468&lt;&gt;S.CAL!$BJ$3,AR468&lt;&gt;S.CAL!$BJ$4,$AR$455="NON"),M468-BD468,IF(AND(AT468="",AR468&lt;&gt;S.CAL!$BJ$3,AR468&lt;&gt;S.CAL!$BJ$4,$AR$455="OUI"),X468-AI468,IF(AT468&lt;&gt;0,AT468,IF(OR(AR468=S.CAL!$BJ$3,AR468=S.CAL!$BJ$4),AR468,"")))),"")</f>
        <v>0</v>
      </c>
      <c r="AN468" s="1115"/>
      <c r="AO468" s="1116"/>
      <c r="AP468" s="684">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516">
        <f t="shared" si="910"/>
        <v>0</v>
      </c>
      <c r="AR468" s="1120"/>
      <c r="AT468" s="1123"/>
      <c r="AU468" s="831"/>
      <c r="AV468" s="1392">
        <f t="shared" si="891"/>
        <v>45968</v>
      </c>
      <c r="AX468" s="529">
        <f t="shared" si="911"/>
        <v>45968</v>
      </c>
      <c r="AY468" s="541">
        <f t="shared" si="912"/>
        <v>0</v>
      </c>
      <c r="AZ468" s="538" t="s">
        <v>146</v>
      </c>
      <c r="BA468" s="534">
        <f t="shared" si="913"/>
        <v>0</v>
      </c>
      <c r="BB468" s="567" t="str">
        <f t="shared" si="892"/>
        <v/>
      </c>
      <c r="BC468" s="541">
        <f t="shared" si="914"/>
        <v>0</v>
      </c>
      <c r="BD468" s="541">
        <f t="shared" si="915"/>
        <v>0</v>
      </c>
      <c r="BE468" s="1126"/>
      <c r="BF468" s="532" t="str">
        <f t="shared" si="893"/>
        <v/>
      </c>
      <c r="BG468" s="532" t="str">
        <f t="shared" si="916"/>
        <v>oui</v>
      </c>
      <c r="BH468" s="395" t="str">
        <f t="shared" si="894"/>
        <v/>
      </c>
      <c r="BI468" s="24" t="str">
        <f t="shared" si="895"/>
        <v/>
      </c>
      <c r="BJ468" s="1403"/>
      <c r="BK468" s="1403"/>
      <c r="BL468" s="1403"/>
      <c r="BM468" s="1403"/>
      <c r="BN468" s="1403"/>
      <c r="BO468" s="1403"/>
      <c r="BP468" s="1403"/>
      <c r="BQ468" s="1403"/>
      <c r="BS468" s="1392">
        <f t="shared" si="862"/>
        <v>45968</v>
      </c>
      <c r="BT468" s="27" t="str">
        <f t="shared" si="924"/>
        <v/>
      </c>
      <c r="BU468" s="1402"/>
      <c r="BV468" s="1402"/>
      <c r="BW468" s="1402"/>
      <c r="BX468" s="1402"/>
      <c r="BY468" s="1402"/>
      <c r="BZ468" s="1402"/>
      <c r="CA468" s="1402"/>
      <c r="CB468" s="1402"/>
      <c r="CD468" s="1408">
        <f t="shared" si="917"/>
        <v>0</v>
      </c>
      <c r="DC468" s="16" t="str">
        <f>Novembre!FC26</f>
        <v>non</v>
      </c>
      <c r="DG468" s="333">
        <f t="shared" si="918"/>
        <v>1</v>
      </c>
      <c r="DH468" s="129">
        <f t="shared" si="896"/>
        <v>10</v>
      </c>
      <c r="DI468" s="129">
        <f t="shared" si="919"/>
        <v>1</v>
      </c>
      <c r="DK468" s="16">
        <f>+IF(AND(Novembre!$DP$8&lt;&gt;52,AR468=S.CAL!$BJ$4),10,1)</f>
        <v>1</v>
      </c>
      <c r="DN468" s="16">
        <f t="shared" si="897"/>
        <v>1</v>
      </c>
      <c r="DU468" s="1296" t="str">
        <f t="shared" si="920"/>
        <v>Fiche infoA545968</v>
      </c>
      <c r="DV468" s="1384">
        <f t="shared" si="898"/>
        <v>0</v>
      </c>
      <c r="DW468" s="1385">
        <f t="shared" si="899"/>
        <v>0</v>
      </c>
      <c r="DX468" s="1385">
        <f t="shared" si="900"/>
        <v>0</v>
      </c>
      <c r="DY468" s="1385">
        <f t="shared" si="901"/>
        <v>0</v>
      </c>
      <c r="DZ468" s="1385">
        <f t="shared" si="902"/>
        <v>0</v>
      </c>
      <c r="EA468" s="1385">
        <f t="shared" si="903"/>
        <v>0</v>
      </c>
      <c r="EB468" s="1385">
        <f t="shared" si="904"/>
        <v>0</v>
      </c>
      <c r="EC468" s="1385">
        <f t="shared" si="905"/>
        <v>0</v>
      </c>
      <c r="ED468" s="1385">
        <f t="shared" si="921"/>
        <v>0</v>
      </c>
      <c r="EE468" s="1386">
        <f t="shared" si="922"/>
        <v>0</v>
      </c>
      <c r="EG468" s="16" t="str">
        <f t="shared" si="923"/>
        <v>452025</v>
      </c>
      <c r="EH468" s="16" t="str">
        <f t="shared" si="906"/>
        <v>Fiche infoA5</v>
      </c>
      <c r="EI468" s="16" t="str">
        <f t="shared" si="907"/>
        <v/>
      </c>
    </row>
    <row r="469" spans="1:139" x14ac:dyDescent="0.2">
      <c r="A469" s="1395" t="str">
        <f>Novembre!BJ27</f>
        <v>Fiche infoA6</v>
      </c>
      <c r="B469" s="829">
        <f>Novembre!AB27</f>
        <v>45969</v>
      </c>
      <c r="C469" s="1394"/>
      <c r="D469" s="1001">
        <f t="shared" si="863"/>
        <v>0</v>
      </c>
      <c r="E469" s="452">
        <f t="shared" si="864"/>
        <v>0</v>
      </c>
      <c r="F469" s="452">
        <f t="shared" si="865"/>
        <v>0</v>
      </c>
      <c r="G469" s="452">
        <f t="shared" si="866"/>
        <v>0</v>
      </c>
      <c r="H469" s="452">
        <f t="shared" si="867"/>
        <v>0</v>
      </c>
      <c r="I469" s="452">
        <f t="shared" si="868"/>
        <v>0</v>
      </c>
      <c r="J469" s="452">
        <f t="shared" si="869"/>
        <v>0</v>
      </c>
      <c r="K469" s="452">
        <f t="shared" si="870"/>
        <v>0</v>
      </c>
      <c r="L469" s="452">
        <f t="shared" si="908"/>
        <v>0</v>
      </c>
      <c r="M469" s="1002">
        <f t="shared" si="909"/>
        <v>0</v>
      </c>
      <c r="N469" s="1396"/>
      <c r="O469" s="1001">
        <f t="shared" si="871"/>
        <v>0</v>
      </c>
      <c r="P469" s="452">
        <f t="shared" si="872"/>
        <v>0</v>
      </c>
      <c r="Q469" s="452">
        <f t="shared" si="873"/>
        <v>0</v>
      </c>
      <c r="R469" s="452">
        <f t="shared" si="874"/>
        <v>0</v>
      </c>
      <c r="S469" s="452">
        <f t="shared" si="875"/>
        <v>0</v>
      </c>
      <c r="T469" s="452">
        <f t="shared" si="876"/>
        <v>0</v>
      </c>
      <c r="U469" s="452">
        <f t="shared" si="877"/>
        <v>0</v>
      </c>
      <c r="V469" s="452">
        <f t="shared" si="878"/>
        <v>0</v>
      </c>
      <c r="W469" s="452">
        <f t="shared" si="879"/>
        <v>0</v>
      </c>
      <c r="X469" s="1002">
        <f t="shared" si="880"/>
        <v>0</v>
      </c>
      <c r="Y469" s="1397"/>
      <c r="Z469" s="1398">
        <f t="shared" si="881"/>
        <v>0</v>
      </c>
      <c r="AA469" s="1398">
        <f t="shared" si="882"/>
        <v>0</v>
      </c>
      <c r="AB469" s="1398">
        <f t="shared" si="883"/>
        <v>0</v>
      </c>
      <c r="AC469" s="1398">
        <f t="shared" si="884"/>
        <v>0</v>
      </c>
      <c r="AD469" s="1398">
        <f t="shared" si="885"/>
        <v>0</v>
      </c>
      <c r="AE469" s="1398">
        <f t="shared" si="886"/>
        <v>0</v>
      </c>
      <c r="AF469" s="1398">
        <f t="shared" si="887"/>
        <v>0</v>
      </c>
      <c r="AG469" s="1398">
        <f t="shared" si="888"/>
        <v>0</v>
      </c>
      <c r="AH469" s="1396"/>
      <c r="AI469" s="462">
        <f t="shared" si="889"/>
        <v>0</v>
      </c>
      <c r="AJ469" s="1112"/>
      <c r="AK469" s="1399"/>
      <c r="AL469" s="829">
        <f t="shared" si="890"/>
        <v>45969</v>
      </c>
      <c r="AM469" s="684">
        <f>IFERROR(IF(AND(AT469="",AR469&lt;&gt;S.CAL!$BJ$3,AR469&lt;&gt;S.CAL!$BJ$4,$AR$455="NON"),M469-BD469,IF(AND(AT469="",AR469&lt;&gt;S.CAL!$BJ$3,AR469&lt;&gt;S.CAL!$BJ$4,$AR$455="OUI"),X469-AI469,IF(AT469&lt;&gt;0,AT469,IF(OR(AR469=S.CAL!$BJ$3,AR469=S.CAL!$BJ$4),AR469,"")))),"")</f>
        <v>0</v>
      </c>
      <c r="AN469" s="1115"/>
      <c r="AO469" s="1116"/>
      <c r="AP469" s="684">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400">
        <f t="shared" si="910"/>
        <v>0</v>
      </c>
      <c r="AR469" s="1120"/>
      <c r="AS469" s="1396"/>
      <c r="AT469" s="1123"/>
      <c r="AU469" s="831"/>
      <c r="AV469" s="1392">
        <f t="shared" si="891"/>
        <v>45969</v>
      </c>
      <c r="AW469" s="1396"/>
      <c r="AX469" s="529">
        <f t="shared" si="911"/>
        <v>45969</v>
      </c>
      <c r="AY469" s="541">
        <f t="shared" si="912"/>
        <v>0</v>
      </c>
      <c r="AZ469" s="538" t="s">
        <v>146</v>
      </c>
      <c r="BA469" s="534">
        <f t="shared" si="913"/>
        <v>0</v>
      </c>
      <c r="BB469" s="567" t="str">
        <f t="shared" si="892"/>
        <v/>
      </c>
      <c r="BC469" s="541">
        <f t="shared" si="914"/>
        <v>0</v>
      </c>
      <c r="BD469" s="541">
        <f t="shared" si="915"/>
        <v>0</v>
      </c>
      <c r="BE469" s="1126"/>
      <c r="BF469" s="532" t="str">
        <f t="shared" si="893"/>
        <v/>
      </c>
      <c r="BG469" s="532" t="str">
        <f t="shared" si="916"/>
        <v>oui</v>
      </c>
      <c r="BH469" s="395" t="str">
        <f t="shared" si="894"/>
        <v/>
      </c>
      <c r="BI469" s="24" t="str">
        <f t="shared" si="895"/>
        <v/>
      </c>
      <c r="BJ469" s="1404"/>
      <c r="BK469" s="1404"/>
      <c r="BL469" s="1404"/>
      <c r="BM469" s="1404"/>
      <c r="BN469" s="1404"/>
      <c r="BO469" s="1404"/>
      <c r="BP469" s="1404"/>
      <c r="BQ469" s="1404"/>
      <c r="BR469" s="1405"/>
      <c r="BS469" s="1392">
        <f t="shared" si="862"/>
        <v>45969</v>
      </c>
      <c r="BT469" s="1406" t="str">
        <f t="shared" si="924"/>
        <v/>
      </c>
      <c r="BU469" s="1404"/>
      <c r="BV469" s="1404"/>
      <c r="BW469" s="1404"/>
      <c r="BX469" s="1404"/>
      <c r="BY469" s="1404"/>
      <c r="BZ469" s="1404"/>
      <c r="CA469" s="1404"/>
      <c r="CB469" s="1404"/>
      <c r="CD469" s="1408">
        <f t="shared" si="917"/>
        <v>0</v>
      </c>
      <c r="DC469" s="16" t="str">
        <f>Novembre!FC27</f>
        <v>non</v>
      </c>
      <c r="DG469" s="333">
        <f t="shared" si="918"/>
        <v>1</v>
      </c>
      <c r="DH469" s="129">
        <f t="shared" si="896"/>
        <v>10</v>
      </c>
      <c r="DI469" s="129">
        <f t="shared" si="919"/>
        <v>1</v>
      </c>
      <c r="DK469" s="16">
        <f>+IF(AND(Novembre!$DP$8&lt;&gt;52,AR469=S.CAL!$BJ$4),10,1)</f>
        <v>1</v>
      </c>
      <c r="DN469" s="16">
        <f t="shared" si="897"/>
        <v>1</v>
      </c>
      <c r="DU469" s="1296" t="str">
        <f t="shared" si="920"/>
        <v>Fiche infoA645969</v>
      </c>
      <c r="DV469" s="1384">
        <f t="shared" si="898"/>
        <v>0</v>
      </c>
      <c r="DW469" s="1385">
        <f t="shared" si="899"/>
        <v>0</v>
      </c>
      <c r="DX469" s="1385">
        <f t="shared" si="900"/>
        <v>0</v>
      </c>
      <c r="DY469" s="1385">
        <f t="shared" si="901"/>
        <v>0</v>
      </c>
      <c r="DZ469" s="1385">
        <f t="shared" si="902"/>
        <v>0</v>
      </c>
      <c r="EA469" s="1385">
        <f t="shared" si="903"/>
        <v>0</v>
      </c>
      <c r="EB469" s="1385">
        <f t="shared" si="904"/>
        <v>0</v>
      </c>
      <c r="EC469" s="1385">
        <f t="shared" si="905"/>
        <v>0</v>
      </c>
      <c r="ED469" s="1385">
        <f t="shared" si="921"/>
        <v>0</v>
      </c>
      <c r="EE469" s="1386">
        <f t="shared" si="922"/>
        <v>0</v>
      </c>
      <c r="EG469" s="16" t="str">
        <f t="shared" si="923"/>
        <v>452025</v>
      </c>
      <c r="EH469" s="16" t="str">
        <f t="shared" si="906"/>
        <v>Fiche infoA6</v>
      </c>
      <c r="EI469" s="16" t="str">
        <f t="shared" si="907"/>
        <v/>
      </c>
    </row>
    <row r="470" spans="1:139" x14ac:dyDescent="0.2">
      <c r="A470" s="24" t="str">
        <f>Novembre!BJ28</f>
        <v>Fiche infoA7</v>
      </c>
      <c r="B470" s="829">
        <f>Novembre!AB28</f>
        <v>45970</v>
      </c>
      <c r="C470" s="1393"/>
      <c r="D470" s="1001">
        <f t="shared" si="863"/>
        <v>0</v>
      </c>
      <c r="E470" s="452">
        <f t="shared" si="864"/>
        <v>0</v>
      </c>
      <c r="F470" s="452">
        <f t="shared" si="865"/>
        <v>0</v>
      </c>
      <c r="G470" s="452">
        <f t="shared" si="866"/>
        <v>0</v>
      </c>
      <c r="H470" s="452">
        <f t="shared" si="867"/>
        <v>0</v>
      </c>
      <c r="I470" s="452">
        <f t="shared" si="868"/>
        <v>0</v>
      </c>
      <c r="J470" s="452">
        <f t="shared" si="869"/>
        <v>0</v>
      </c>
      <c r="K470" s="452">
        <f t="shared" si="870"/>
        <v>0</v>
      </c>
      <c r="L470" s="452">
        <f t="shared" si="908"/>
        <v>0</v>
      </c>
      <c r="M470" s="1002">
        <f t="shared" si="909"/>
        <v>0</v>
      </c>
      <c r="O470" s="1001">
        <f>IF(AR470&lt;&gt;"",0,IF(DC470="oui",0,IF(AND(ISTEXT(AT470)=TRUE,BJ470=""),0,IF(BJ470="",D470,BJ470))))</f>
        <v>0</v>
      </c>
      <c r="P470" s="452">
        <f>IF(AR470&lt;&gt;"",0,IF(DC470="oui",0,IF(AND(ISTEXT(AT470)=TRUE,BK470=""),0,IF(BK470="",E470,BK470))))</f>
        <v>0</v>
      </c>
      <c r="Q470" s="452">
        <f>IF(AR470&lt;&gt;"",0,IF(DC470="oui",0,IF(AND(ISTEXT(AT470)=TRUE,BL470=""),0,IF(BL470="",F470,BL470))))</f>
        <v>0</v>
      </c>
      <c r="R470" s="452">
        <f>IF(AR470&lt;&gt;"",0,IF(DC470="oui",0,IF(AND(ISTEXT(AT470)=TRUE,BM470=""),0,IF(BM470="",G470,BM470))))</f>
        <v>0</v>
      </c>
      <c r="S470" s="452">
        <f>IF(AR470&lt;&gt;"",0,IF(DC470="oui",0,IF(AND(ISTEXT(AT470)=TRUE,BN470=""),0,IF(BN470="",H470,BN470))))</f>
        <v>0</v>
      </c>
      <c r="T470" s="452">
        <f>IF(AR470&lt;&gt;"",0,IF(DC470="oui",0,IF(AND(ISTEXT(AT470)=TRUE,BO470=""),0,IF(BO470="",I470,BO470))))</f>
        <v>0</v>
      </c>
      <c r="U470" s="452">
        <f>IF(AR470&lt;&gt;"",0,IF(DC470="oui",0,IF(AND(ISTEXT(AT470)=TRUE,BP470=""),0,IF(BP470="",J470,BP470))))</f>
        <v>0</v>
      </c>
      <c r="V470" s="452">
        <f>IF(AR470&lt;&gt;"",0,IF(DC470="oui",0,IF(AND(ISTEXT(AT470)=TRUE,BQ470=""),0,IF(BQ470="",K470,BQ470))))</f>
        <v>0</v>
      </c>
      <c r="W470" s="452">
        <f t="shared" si="879"/>
        <v>0</v>
      </c>
      <c r="X470" s="1002">
        <f t="shared" si="880"/>
        <v>0</v>
      </c>
      <c r="Y470" s="459"/>
      <c r="Z470" s="291">
        <f t="shared" si="881"/>
        <v>0</v>
      </c>
      <c r="AA470" s="291">
        <f t="shared" si="882"/>
        <v>0</v>
      </c>
      <c r="AB470" s="291">
        <f t="shared" si="883"/>
        <v>0</v>
      </c>
      <c r="AC470" s="291">
        <f t="shared" si="884"/>
        <v>0</v>
      </c>
      <c r="AD470" s="291">
        <f t="shared" si="885"/>
        <v>0</v>
      </c>
      <c r="AE470" s="291">
        <f t="shared" si="886"/>
        <v>0</v>
      </c>
      <c r="AF470" s="291">
        <f t="shared" si="887"/>
        <v>0</v>
      </c>
      <c r="AG470" s="291">
        <f t="shared" si="888"/>
        <v>0</v>
      </c>
      <c r="AI470" s="462">
        <f>IF(DC470="oui",0,IF(AND(ISTEXT(AT470)=TRUE,OR(X470=0,X470="")),0,ROUND(((((AA470-Z470)-(E470-D470))+((AC470-AB470)-(G470-F470))+((AE470-AD470)-(I470-H470))+(AG470-AF470)-(K470-J470))*24),2)))</f>
        <v>0</v>
      </c>
      <c r="AJ470" s="1112"/>
      <c r="AK470" s="507"/>
      <c r="AL470" s="829">
        <f t="shared" si="890"/>
        <v>45970</v>
      </c>
      <c r="AM470" s="684">
        <f>IFERROR(IF(AND(AT470="",AR470&lt;&gt;S.CAL!$BJ$3,AR470&lt;&gt;S.CAL!$BJ$4,$AR$455="NON"),M470-BD470,IF(AND(AT470="",AR470&lt;&gt;S.CAL!$BJ$3,AR470&lt;&gt;S.CAL!$BJ$4,$AR$455="OUI"),X470-AI470,IF(AT470&lt;&gt;0,AT470,IF(OR(AR470=S.CAL!$BJ$3,AR470=S.CAL!$BJ$4),AR470,"")))),"")</f>
        <v>0</v>
      </c>
      <c r="AN470" s="1115"/>
      <c r="AO470" s="1116"/>
      <c r="AP470" s="684">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516">
        <f t="shared" si="910"/>
        <v>0</v>
      </c>
      <c r="AR470" s="1120"/>
      <c r="AT470" s="1123"/>
      <c r="AU470" s="831"/>
      <c r="AV470" s="1392">
        <f t="shared" si="891"/>
        <v>45970</v>
      </c>
      <c r="AX470" s="529">
        <f t="shared" si="911"/>
        <v>45970</v>
      </c>
      <c r="AY470" s="541">
        <f t="shared" si="912"/>
        <v>0</v>
      </c>
      <c r="AZ470" s="538" t="s">
        <v>146</v>
      </c>
      <c r="BA470" s="534">
        <f t="shared" si="913"/>
        <v>0</v>
      </c>
      <c r="BB470" s="567" t="str">
        <f t="shared" si="892"/>
        <v/>
      </c>
      <c r="BC470" s="541">
        <f t="shared" si="914"/>
        <v>0</v>
      </c>
      <c r="BD470" s="541">
        <f t="shared" si="915"/>
        <v>0</v>
      </c>
      <c r="BE470" s="1126"/>
      <c r="BF470" s="532" t="str">
        <f t="shared" si="893"/>
        <v/>
      </c>
      <c r="BG470" s="532" t="str">
        <f t="shared" si="916"/>
        <v>oui</v>
      </c>
      <c r="BH470" s="395" t="str">
        <f t="shared" si="894"/>
        <v/>
      </c>
      <c r="BI470" s="24" t="str">
        <f t="shared" si="895"/>
        <v/>
      </c>
      <c r="BJ470" s="1403"/>
      <c r="BK470" s="1403"/>
      <c r="BL470" s="1403"/>
      <c r="BM470" s="1403"/>
      <c r="BN470" s="1403"/>
      <c r="BO470" s="1403"/>
      <c r="BP470" s="1403"/>
      <c r="BQ470" s="1403"/>
      <c r="BS470" s="1392">
        <f t="shared" si="862"/>
        <v>45970</v>
      </c>
      <c r="BT470" s="27" t="str">
        <f t="shared" si="924"/>
        <v/>
      </c>
      <c r="BU470" s="1402"/>
      <c r="BV470" s="1402"/>
      <c r="BW470" s="1402"/>
      <c r="BX470" s="1402"/>
      <c r="BY470" s="1402"/>
      <c r="BZ470" s="1402"/>
      <c r="CA470" s="1402"/>
      <c r="CB470" s="1402"/>
      <c r="CD470" s="1408">
        <f t="shared" si="917"/>
        <v>0</v>
      </c>
      <c r="DC470" s="16" t="str">
        <f>Novembre!FC28</f>
        <v>non</v>
      </c>
      <c r="DG470" s="333">
        <f t="shared" si="918"/>
        <v>1</v>
      </c>
      <c r="DH470" s="129">
        <f t="shared" si="896"/>
        <v>10</v>
      </c>
      <c r="DI470" s="129">
        <f t="shared" si="919"/>
        <v>1</v>
      </c>
      <c r="DK470" s="16">
        <f>+IF(AND(Novembre!$DP$8&lt;&gt;52,AR470=S.CAL!$BJ$4),10,1)</f>
        <v>1</v>
      </c>
      <c r="DN470" s="16">
        <f t="shared" si="897"/>
        <v>1</v>
      </c>
      <c r="DU470" s="1296" t="str">
        <f t="shared" si="920"/>
        <v>Fiche infoA745970</v>
      </c>
      <c r="DV470" s="1384">
        <f t="shared" si="898"/>
        <v>0</v>
      </c>
      <c r="DW470" s="1385">
        <f t="shared" si="899"/>
        <v>0</v>
      </c>
      <c r="DX470" s="1385">
        <f t="shared" si="900"/>
        <v>0</v>
      </c>
      <c r="DY470" s="1385">
        <f t="shared" si="901"/>
        <v>0</v>
      </c>
      <c r="DZ470" s="1385">
        <f t="shared" si="902"/>
        <v>0</v>
      </c>
      <c r="EA470" s="1385">
        <f t="shared" si="903"/>
        <v>0</v>
      </c>
      <c r="EB470" s="1385">
        <f t="shared" si="904"/>
        <v>0</v>
      </c>
      <c r="EC470" s="1385">
        <f t="shared" si="905"/>
        <v>0</v>
      </c>
      <c r="ED470" s="1385">
        <f t="shared" si="921"/>
        <v>0</v>
      </c>
      <c r="EE470" s="1386">
        <f t="shared" si="922"/>
        <v>0</v>
      </c>
      <c r="EG470" s="16" t="str">
        <f t="shared" si="923"/>
        <v>452025</v>
      </c>
      <c r="EH470" s="16" t="str">
        <f t="shared" si="906"/>
        <v>Fiche infoA7</v>
      </c>
      <c r="EI470" s="16" t="str">
        <f t="shared" si="907"/>
        <v/>
      </c>
    </row>
    <row r="471" spans="1:139" x14ac:dyDescent="0.2">
      <c r="A471" s="1395" t="str">
        <f>Novembre!BJ29</f>
        <v>Fiche infoA1</v>
      </c>
      <c r="B471" s="829">
        <f>Novembre!AB29</f>
        <v>45971</v>
      </c>
      <c r="C471" s="1394"/>
      <c r="D471" s="1001">
        <f t="shared" si="863"/>
        <v>0</v>
      </c>
      <c r="E471" s="452">
        <f t="shared" si="864"/>
        <v>0</v>
      </c>
      <c r="F471" s="452">
        <f t="shared" si="865"/>
        <v>0</v>
      </c>
      <c r="G471" s="452">
        <f t="shared" si="866"/>
        <v>0</v>
      </c>
      <c r="H471" s="452">
        <f t="shared" si="867"/>
        <v>0</v>
      </c>
      <c r="I471" s="452">
        <f t="shared" si="868"/>
        <v>0</v>
      </c>
      <c r="J471" s="452">
        <f t="shared" si="869"/>
        <v>0</v>
      </c>
      <c r="K471" s="452">
        <f t="shared" si="870"/>
        <v>0</v>
      </c>
      <c r="L471" s="452">
        <f t="shared" si="908"/>
        <v>0</v>
      </c>
      <c r="M471" s="1002">
        <f t="shared" si="909"/>
        <v>0</v>
      </c>
      <c r="N471" s="1396"/>
      <c r="O471" s="1001">
        <f t="shared" ref="O471:O492" si="925">IF(AR471&lt;&gt;"",0,IF(DC471="oui",0,IF(AND(ISTEXT(AT471)=TRUE,BJ471=""),0,IF(BJ471="",D471,BJ471))))</f>
        <v>0</v>
      </c>
      <c r="P471" s="452">
        <f t="shared" ref="P471:P492" si="926">IF(AR471&lt;&gt;"",0,IF(DC471="oui",0,IF(AND(ISTEXT(AT471)=TRUE,BK471=""),0,IF(BK471="",E471,BK471))))</f>
        <v>0</v>
      </c>
      <c r="Q471" s="452">
        <f t="shared" ref="Q471:Q492" si="927">IF(AR471&lt;&gt;"",0,IF(DC471="oui",0,IF(AND(ISTEXT(AT471)=TRUE,BL471=""),0,IF(BL471="",F471,BL471))))</f>
        <v>0</v>
      </c>
      <c r="R471" s="452">
        <f t="shared" ref="R471:R492" si="928">IF(AR471&lt;&gt;"",0,IF(DC471="oui",0,IF(AND(ISTEXT(AT471)=TRUE,BM471=""),0,IF(BM471="",G471,BM471))))</f>
        <v>0</v>
      </c>
      <c r="S471" s="452">
        <f t="shared" ref="S471:S492" si="929">IF(AR471&lt;&gt;"",0,IF(DC471="oui",0,IF(AND(ISTEXT(AT471)=TRUE,BN471=""),0,IF(BN471="",H471,BN471))))</f>
        <v>0</v>
      </c>
      <c r="T471" s="452">
        <f t="shared" ref="T471:T492" si="930">IF(AR471&lt;&gt;"",0,IF(DC471="oui",0,IF(AND(ISTEXT(AT471)=TRUE,BO471=""),0,IF(BO471="",I471,BO471))))</f>
        <v>0</v>
      </c>
      <c r="U471" s="452">
        <f t="shared" ref="U471:U492" si="931">IF(AR471&lt;&gt;"",0,IF(DC471="oui",0,IF(AND(ISTEXT(AT471)=TRUE,BP471=""),0,IF(BP471="",J471,BP471))))</f>
        <v>0</v>
      </c>
      <c r="V471" s="452">
        <f t="shared" ref="V471:V492" si="932">IF(AR471&lt;&gt;"",0,IF(DC471="oui",0,IF(AND(ISTEXT(AT471)=TRUE,BQ471=""),0,IF(BQ471="",K471,BQ471))))</f>
        <v>0</v>
      </c>
      <c r="W471" s="452">
        <f t="shared" si="879"/>
        <v>0</v>
      </c>
      <c r="X471" s="1002">
        <f t="shared" si="880"/>
        <v>0</v>
      </c>
      <c r="Y471" s="1397"/>
      <c r="Z471" s="1398">
        <f t="shared" si="881"/>
        <v>0</v>
      </c>
      <c r="AA471" s="1398">
        <f t="shared" si="882"/>
        <v>0</v>
      </c>
      <c r="AB471" s="1398">
        <f t="shared" si="883"/>
        <v>0</v>
      </c>
      <c r="AC471" s="1398">
        <f t="shared" si="884"/>
        <v>0</v>
      </c>
      <c r="AD471" s="1398">
        <f t="shared" si="885"/>
        <v>0</v>
      </c>
      <c r="AE471" s="1398">
        <f t="shared" si="886"/>
        <v>0</v>
      </c>
      <c r="AF471" s="1398">
        <f t="shared" si="887"/>
        <v>0</v>
      </c>
      <c r="AG471" s="1398">
        <f t="shared" si="888"/>
        <v>0</v>
      </c>
      <c r="AH471" s="1396"/>
      <c r="AI471" s="462">
        <f t="shared" ref="AI471:AI492" si="933">IF(DC471="oui",0,IF(AND(ISTEXT(AT471)=TRUE,OR(X471=0,X471="")),0,ROUND(((((AA471-Z471)-(E471-D471))+((AC471-AB471)-(G471-F471))+((AE471-AD471)-(I471-H471))+(AG471-AF471)-(K471-J471))*24),2)))</f>
        <v>0</v>
      </c>
      <c r="AJ471" s="1112"/>
      <c r="AK471" s="1399"/>
      <c r="AL471" s="829">
        <f t="shared" si="890"/>
        <v>45971</v>
      </c>
      <c r="AM471" s="684">
        <f>IFERROR(IF(AND(AT471="",AR471&lt;&gt;S.CAL!$BJ$3,AR471&lt;&gt;S.CAL!$BJ$4,$AR$455="NON"),M471-BD471,IF(AND(AT471="",AR471&lt;&gt;S.CAL!$BJ$3,AR471&lt;&gt;S.CAL!$BJ$4,$AR$455="OUI"),X471-AI471,IF(AT471&lt;&gt;0,AT471,IF(OR(AR471=S.CAL!$BJ$3,AR471=S.CAL!$BJ$4),AR471,"")))),"")</f>
        <v>0</v>
      </c>
      <c r="AN471" s="1115"/>
      <c r="AO471" s="1116"/>
      <c r="AP471" s="684">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400">
        <f t="shared" si="910"/>
        <v>0</v>
      </c>
      <c r="AR471" s="1120"/>
      <c r="AS471" s="1396"/>
      <c r="AT471" s="1123"/>
      <c r="AU471" s="831"/>
      <c r="AV471" s="1392">
        <f t="shared" si="891"/>
        <v>45971</v>
      </c>
      <c r="AW471" s="1396"/>
      <c r="AX471" s="529">
        <f t="shared" si="911"/>
        <v>45971</v>
      </c>
      <c r="AY471" s="541">
        <f t="shared" si="912"/>
        <v>0</v>
      </c>
      <c r="AZ471" s="538" t="s">
        <v>146</v>
      </c>
      <c r="BA471" s="534">
        <f t="shared" si="913"/>
        <v>0</v>
      </c>
      <c r="BB471" s="567" t="str">
        <f t="shared" si="892"/>
        <v/>
      </c>
      <c r="BC471" s="541">
        <f t="shared" si="914"/>
        <v>0</v>
      </c>
      <c r="BD471" s="541">
        <f t="shared" si="915"/>
        <v>0</v>
      </c>
      <c r="BE471" s="1126"/>
      <c r="BF471" s="532" t="str">
        <f t="shared" si="893"/>
        <v/>
      </c>
      <c r="BG471" s="532" t="str">
        <f t="shared" si="916"/>
        <v>oui</v>
      </c>
      <c r="BH471" s="395" t="str">
        <f t="shared" si="894"/>
        <v/>
      </c>
      <c r="BI471" s="24" t="str">
        <f t="shared" si="895"/>
        <v/>
      </c>
      <c r="BJ471" s="1404"/>
      <c r="BK471" s="1404"/>
      <c r="BL471" s="1404"/>
      <c r="BM471" s="1404"/>
      <c r="BN471" s="1404"/>
      <c r="BO471" s="1404"/>
      <c r="BP471" s="1404"/>
      <c r="BQ471" s="1404"/>
      <c r="BR471" s="1405"/>
      <c r="BS471" s="1392">
        <f t="shared" si="862"/>
        <v>45971</v>
      </c>
      <c r="BT471" s="1406">
        <f t="shared" si="924"/>
        <v>46</v>
      </c>
      <c r="BU471" s="1404"/>
      <c r="BV471" s="1404"/>
      <c r="BW471" s="1404"/>
      <c r="BX471" s="1404"/>
      <c r="BY471" s="1404"/>
      <c r="BZ471" s="1404"/>
      <c r="CA471" s="1404"/>
      <c r="CB471" s="1404"/>
      <c r="CD471" s="1408">
        <f t="shared" si="917"/>
        <v>0</v>
      </c>
      <c r="DC471" s="16" t="str">
        <f>Novembre!FC29</f>
        <v>non</v>
      </c>
      <c r="DG471" s="333">
        <f t="shared" si="918"/>
        <v>1</v>
      </c>
      <c r="DH471" s="129">
        <f t="shared" si="896"/>
        <v>10</v>
      </c>
      <c r="DI471" s="129">
        <f t="shared" si="919"/>
        <v>1</v>
      </c>
      <c r="DK471" s="16">
        <f>+IF(AND(Novembre!$DP$8&lt;&gt;52,AR471=S.CAL!$BJ$4),10,1)</f>
        <v>1</v>
      </c>
      <c r="DN471" s="16">
        <f t="shared" si="897"/>
        <v>1</v>
      </c>
      <c r="DU471" s="1296" t="str">
        <f t="shared" si="920"/>
        <v>Fiche infoA145971</v>
      </c>
      <c r="DV471" s="1384">
        <f t="shared" si="898"/>
        <v>0</v>
      </c>
      <c r="DW471" s="1385">
        <f t="shared" si="899"/>
        <v>0</v>
      </c>
      <c r="DX471" s="1385">
        <f t="shared" si="900"/>
        <v>0</v>
      </c>
      <c r="DY471" s="1385">
        <f t="shared" si="901"/>
        <v>0</v>
      </c>
      <c r="DZ471" s="1385">
        <f t="shared" si="902"/>
        <v>0</v>
      </c>
      <c r="EA471" s="1385">
        <f t="shared" si="903"/>
        <v>0</v>
      </c>
      <c r="EB471" s="1385">
        <f t="shared" si="904"/>
        <v>0</v>
      </c>
      <c r="EC471" s="1385">
        <f t="shared" si="905"/>
        <v>0</v>
      </c>
      <c r="ED471" s="1385">
        <f t="shared" si="921"/>
        <v>0</v>
      </c>
      <c r="EE471" s="1386">
        <f t="shared" si="922"/>
        <v>0</v>
      </c>
      <c r="EG471" s="16" t="str">
        <f t="shared" si="923"/>
        <v>462025</v>
      </c>
      <c r="EH471" s="16" t="str">
        <f t="shared" si="906"/>
        <v>Fiche infoA1</v>
      </c>
      <c r="EI471" s="16" t="str">
        <f t="shared" si="907"/>
        <v/>
      </c>
    </row>
    <row r="472" spans="1:139" x14ac:dyDescent="0.2">
      <c r="A472" s="24" t="str">
        <f>Novembre!BJ30</f>
        <v>Fiche infoA2</v>
      </c>
      <c r="B472" s="829">
        <f>Novembre!AB30</f>
        <v>45972</v>
      </c>
      <c r="C472" s="1393"/>
      <c r="D472" s="1001">
        <f t="shared" si="863"/>
        <v>0</v>
      </c>
      <c r="E472" s="452">
        <f t="shared" si="864"/>
        <v>0</v>
      </c>
      <c r="F472" s="452">
        <f t="shared" si="865"/>
        <v>0</v>
      </c>
      <c r="G472" s="452">
        <f t="shared" si="866"/>
        <v>0</v>
      </c>
      <c r="H472" s="452">
        <f t="shared" si="867"/>
        <v>0</v>
      </c>
      <c r="I472" s="452">
        <f t="shared" si="868"/>
        <v>0</v>
      </c>
      <c r="J472" s="452">
        <f t="shared" si="869"/>
        <v>0</v>
      </c>
      <c r="K472" s="452">
        <f t="shared" si="870"/>
        <v>0</v>
      </c>
      <c r="L472" s="452">
        <f t="shared" si="908"/>
        <v>0</v>
      </c>
      <c r="M472" s="1002">
        <f t="shared" si="909"/>
        <v>0</v>
      </c>
      <c r="O472" s="1001">
        <f t="shared" si="925"/>
        <v>0</v>
      </c>
      <c r="P472" s="452">
        <f t="shared" si="926"/>
        <v>0</v>
      </c>
      <c r="Q472" s="452">
        <f t="shared" si="927"/>
        <v>0</v>
      </c>
      <c r="R472" s="452">
        <f t="shared" si="928"/>
        <v>0</v>
      </c>
      <c r="S472" s="452">
        <f t="shared" si="929"/>
        <v>0</v>
      </c>
      <c r="T472" s="452">
        <f t="shared" si="930"/>
        <v>0</v>
      </c>
      <c r="U472" s="452">
        <f t="shared" si="931"/>
        <v>0</v>
      </c>
      <c r="V472" s="452">
        <f t="shared" si="932"/>
        <v>0</v>
      </c>
      <c r="W472" s="452">
        <f t="shared" si="879"/>
        <v>0</v>
      </c>
      <c r="X472" s="1002">
        <f t="shared" si="880"/>
        <v>0</v>
      </c>
      <c r="Y472" s="459"/>
      <c r="Z472" s="291">
        <f t="shared" si="881"/>
        <v>0</v>
      </c>
      <c r="AA472" s="291">
        <f t="shared" si="882"/>
        <v>0</v>
      </c>
      <c r="AB472" s="291">
        <f t="shared" si="883"/>
        <v>0</v>
      </c>
      <c r="AC472" s="291">
        <f t="shared" si="884"/>
        <v>0</v>
      </c>
      <c r="AD472" s="291">
        <f t="shared" si="885"/>
        <v>0</v>
      </c>
      <c r="AE472" s="291">
        <f t="shared" si="886"/>
        <v>0</v>
      </c>
      <c r="AF472" s="291">
        <f t="shared" si="887"/>
        <v>0</v>
      </c>
      <c r="AG472" s="291">
        <f t="shared" si="888"/>
        <v>0</v>
      </c>
      <c r="AI472" s="462">
        <f t="shared" si="933"/>
        <v>0</v>
      </c>
      <c r="AJ472" s="1112"/>
      <c r="AK472" s="507"/>
      <c r="AL472" s="829">
        <f t="shared" si="890"/>
        <v>45972</v>
      </c>
      <c r="AM472" s="684">
        <f>IFERROR(IF(AND(AT472="",AR472&lt;&gt;S.CAL!$BJ$3,AR472&lt;&gt;S.CAL!$BJ$4,$AR$455="NON"),M472-BD472,IF(AND(AT472="",AR472&lt;&gt;S.CAL!$BJ$3,AR472&lt;&gt;S.CAL!$BJ$4,$AR$455="OUI"),X472-AI472,IF(AT472&lt;&gt;0,AT472,IF(OR(AR472=S.CAL!$BJ$3,AR472=S.CAL!$BJ$4),AR472,"")))),"")</f>
        <v>0</v>
      </c>
      <c r="AN472" s="1115"/>
      <c r="AO472" s="1116"/>
      <c r="AP472" s="684">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516">
        <f t="shared" si="910"/>
        <v>0</v>
      </c>
      <c r="AR472" s="1120"/>
      <c r="AT472" s="1123"/>
      <c r="AU472" s="831"/>
      <c r="AV472" s="1392">
        <f t="shared" si="891"/>
        <v>45972</v>
      </c>
      <c r="AX472" s="529">
        <f t="shared" si="911"/>
        <v>45972</v>
      </c>
      <c r="AY472" s="541">
        <f t="shared" si="912"/>
        <v>0</v>
      </c>
      <c r="AZ472" s="538" t="s">
        <v>146</v>
      </c>
      <c r="BA472" s="534">
        <f t="shared" si="913"/>
        <v>0</v>
      </c>
      <c r="BB472" s="567" t="str">
        <f t="shared" si="892"/>
        <v/>
      </c>
      <c r="BC472" s="541">
        <f t="shared" si="914"/>
        <v>0</v>
      </c>
      <c r="BD472" s="541">
        <f t="shared" si="915"/>
        <v>0</v>
      </c>
      <c r="BE472" s="1126"/>
      <c r="BF472" s="532" t="str">
        <f t="shared" si="893"/>
        <v/>
      </c>
      <c r="BG472" s="532" t="str">
        <f t="shared" si="916"/>
        <v>oui</v>
      </c>
      <c r="BH472" s="395" t="str">
        <f t="shared" si="894"/>
        <v/>
      </c>
      <c r="BI472" s="24" t="str">
        <f t="shared" si="895"/>
        <v/>
      </c>
      <c r="BJ472" s="1403"/>
      <c r="BK472" s="1403"/>
      <c r="BL472" s="1403"/>
      <c r="BM472" s="1403"/>
      <c r="BN472" s="1403"/>
      <c r="BO472" s="1403"/>
      <c r="BP472" s="1403"/>
      <c r="BQ472" s="1403"/>
      <c r="BS472" s="1392">
        <f t="shared" si="862"/>
        <v>45972</v>
      </c>
      <c r="BT472" s="27" t="str">
        <f t="shared" si="924"/>
        <v/>
      </c>
      <c r="BU472" s="1402"/>
      <c r="BV472" s="1402"/>
      <c r="BW472" s="1402"/>
      <c r="BX472" s="1402"/>
      <c r="BY472" s="1402"/>
      <c r="BZ472" s="1402"/>
      <c r="CA472" s="1402"/>
      <c r="CB472" s="1402"/>
      <c r="CD472" s="1408">
        <f t="shared" si="917"/>
        <v>0</v>
      </c>
      <c r="DC472" s="16" t="str">
        <f>Novembre!FC30</f>
        <v>non</v>
      </c>
      <c r="DG472" s="333">
        <f t="shared" si="918"/>
        <v>1</v>
      </c>
      <c r="DH472" s="129">
        <f t="shared" si="896"/>
        <v>10</v>
      </c>
      <c r="DI472" s="129">
        <f t="shared" si="919"/>
        <v>1</v>
      </c>
      <c r="DK472" s="16">
        <f>+IF(AND(Novembre!$DP$8&lt;&gt;52,AR472=S.CAL!$BJ$4),10,1)</f>
        <v>1</v>
      </c>
      <c r="DN472" s="16">
        <f t="shared" si="897"/>
        <v>1</v>
      </c>
      <c r="DU472" s="1296" t="str">
        <f t="shared" si="920"/>
        <v>Fiche infoA245972</v>
      </c>
      <c r="DV472" s="1384">
        <f t="shared" si="898"/>
        <v>0</v>
      </c>
      <c r="DW472" s="1385">
        <f t="shared" si="899"/>
        <v>0</v>
      </c>
      <c r="DX472" s="1385">
        <f t="shared" si="900"/>
        <v>0</v>
      </c>
      <c r="DY472" s="1385">
        <f t="shared" si="901"/>
        <v>0</v>
      </c>
      <c r="DZ472" s="1385">
        <f t="shared" si="902"/>
        <v>0</v>
      </c>
      <c r="EA472" s="1385">
        <f t="shared" si="903"/>
        <v>0</v>
      </c>
      <c r="EB472" s="1385">
        <f t="shared" si="904"/>
        <v>0</v>
      </c>
      <c r="EC472" s="1385">
        <f t="shared" si="905"/>
        <v>0</v>
      </c>
      <c r="ED472" s="1385">
        <f t="shared" si="921"/>
        <v>0</v>
      </c>
      <c r="EE472" s="1386">
        <f t="shared" si="922"/>
        <v>0</v>
      </c>
      <c r="EG472" s="16" t="str">
        <f t="shared" si="923"/>
        <v>462025</v>
      </c>
      <c r="EH472" s="16" t="str">
        <f t="shared" si="906"/>
        <v>Fiche infoA2</v>
      </c>
      <c r="EI472" s="16" t="str">
        <f t="shared" si="907"/>
        <v/>
      </c>
    </row>
    <row r="473" spans="1:139" x14ac:dyDescent="0.2">
      <c r="A473" s="1395" t="str">
        <f>Novembre!BJ31</f>
        <v>Fiche infoA3</v>
      </c>
      <c r="B473" s="829">
        <f>Novembre!AB31</f>
        <v>45973</v>
      </c>
      <c r="C473" s="1394"/>
      <c r="D473" s="1001">
        <f t="shared" si="863"/>
        <v>0</v>
      </c>
      <c r="E473" s="452">
        <f t="shared" si="864"/>
        <v>0</v>
      </c>
      <c r="F473" s="452">
        <f t="shared" si="865"/>
        <v>0</v>
      </c>
      <c r="G473" s="452">
        <f t="shared" si="866"/>
        <v>0</v>
      </c>
      <c r="H473" s="452">
        <f t="shared" si="867"/>
        <v>0</v>
      </c>
      <c r="I473" s="452">
        <f t="shared" si="868"/>
        <v>0</v>
      </c>
      <c r="J473" s="452">
        <f t="shared" si="869"/>
        <v>0</v>
      </c>
      <c r="K473" s="452">
        <f t="shared" si="870"/>
        <v>0</v>
      </c>
      <c r="L473" s="452">
        <f t="shared" si="908"/>
        <v>0</v>
      </c>
      <c r="M473" s="1002">
        <f t="shared" si="909"/>
        <v>0</v>
      </c>
      <c r="N473" s="1396"/>
      <c r="O473" s="1001">
        <f t="shared" si="925"/>
        <v>0</v>
      </c>
      <c r="P473" s="452">
        <f t="shared" si="926"/>
        <v>0</v>
      </c>
      <c r="Q473" s="452">
        <f t="shared" si="927"/>
        <v>0</v>
      </c>
      <c r="R473" s="452">
        <f t="shared" si="928"/>
        <v>0</v>
      </c>
      <c r="S473" s="452">
        <f t="shared" si="929"/>
        <v>0</v>
      </c>
      <c r="T473" s="452">
        <f t="shared" si="930"/>
        <v>0</v>
      </c>
      <c r="U473" s="452">
        <f t="shared" si="931"/>
        <v>0</v>
      </c>
      <c r="V473" s="452">
        <f t="shared" si="932"/>
        <v>0</v>
      </c>
      <c r="W473" s="452">
        <f t="shared" si="879"/>
        <v>0</v>
      </c>
      <c r="X473" s="1002">
        <f t="shared" si="880"/>
        <v>0</v>
      </c>
      <c r="Y473" s="1397"/>
      <c r="Z473" s="1398">
        <f t="shared" si="881"/>
        <v>0</v>
      </c>
      <c r="AA473" s="1398">
        <f t="shared" si="882"/>
        <v>0</v>
      </c>
      <c r="AB473" s="1398">
        <f t="shared" si="883"/>
        <v>0</v>
      </c>
      <c r="AC473" s="1398">
        <f t="shared" si="884"/>
        <v>0</v>
      </c>
      <c r="AD473" s="1398">
        <f t="shared" si="885"/>
        <v>0</v>
      </c>
      <c r="AE473" s="1398">
        <f t="shared" si="886"/>
        <v>0</v>
      </c>
      <c r="AF473" s="1398">
        <f t="shared" si="887"/>
        <v>0</v>
      </c>
      <c r="AG473" s="1398">
        <f t="shared" si="888"/>
        <v>0</v>
      </c>
      <c r="AH473" s="1396"/>
      <c r="AI473" s="462">
        <f t="shared" si="933"/>
        <v>0</v>
      </c>
      <c r="AJ473" s="1112"/>
      <c r="AK473" s="1399"/>
      <c r="AL473" s="829">
        <f t="shared" si="890"/>
        <v>45973</v>
      </c>
      <c r="AM473" s="684">
        <f>IFERROR(IF(AND(AT473="",AR473&lt;&gt;S.CAL!$BJ$3,AR473&lt;&gt;S.CAL!$BJ$4,$AR$455="NON"),M473-BD473,IF(AND(AT473="",AR473&lt;&gt;S.CAL!$BJ$3,AR473&lt;&gt;S.CAL!$BJ$4,$AR$455="OUI"),X473-AI473,IF(AT473&lt;&gt;0,AT473,IF(OR(AR473=S.CAL!$BJ$3,AR473=S.CAL!$BJ$4),AR473,"")))),"")</f>
        <v>0</v>
      </c>
      <c r="AN473" s="1115"/>
      <c r="AO473" s="1116"/>
      <c r="AP473" s="684">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400">
        <f t="shared" si="910"/>
        <v>0</v>
      </c>
      <c r="AR473" s="1120"/>
      <c r="AS473" s="1396"/>
      <c r="AT473" s="1123"/>
      <c r="AU473" s="831"/>
      <c r="AV473" s="1392">
        <f t="shared" si="891"/>
        <v>45973</v>
      </c>
      <c r="AW473" s="1396"/>
      <c r="AX473" s="529">
        <f t="shared" si="911"/>
        <v>45973</v>
      </c>
      <c r="AY473" s="541">
        <f t="shared" si="912"/>
        <v>0</v>
      </c>
      <c r="AZ473" s="538" t="s">
        <v>146</v>
      </c>
      <c r="BA473" s="534">
        <f t="shared" si="913"/>
        <v>0</v>
      </c>
      <c r="BB473" s="567" t="str">
        <f t="shared" si="892"/>
        <v/>
      </c>
      <c r="BC473" s="541">
        <f t="shared" si="914"/>
        <v>0</v>
      </c>
      <c r="BD473" s="541">
        <f t="shared" si="915"/>
        <v>0</v>
      </c>
      <c r="BE473" s="1126"/>
      <c r="BF473" s="532" t="str">
        <f t="shared" si="893"/>
        <v/>
      </c>
      <c r="BG473" s="532" t="str">
        <f t="shared" si="916"/>
        <v>oui</v>
      </c>
      <c r="BH473" s="395" t="str">
        <f t="shared" si="894"/>
        <v/>
      </c>
      <c r="BI473" s="24" t="str">
        <f t="shared" si="895"/>
        <v/>
      </c>
      <c r="BJ473" s="1404"/>
      <c r="BK473" s="1404"/>
      <c r="BL473" s="1404"/>
      <c r="BM473" s="1404"/>
      <c r="BN473" s="1404"/>
      <c r="BO473" s="1404"/>
      <c r="BP473" s="1404"/>
      <c r="BQ473" s="1404"/>
      <c r="BR473" s="1405"/>
      <c r="BS473" s="1392">
        <f t="shared" si="862"/>
        <v>45973</v>
      </c>
      <c r="BT473" s="1406" t="str">
        <f t="shared" si="924"/>
        <v/>
      </c>
      <c r="BU473" s="1404"/>
      <c r="BV473" s="1404"/>
      <c r="BW473" s="1404"/>
      <c r="BX473" s="1404"/>
      <c r="BY473" s="1404"/>
      <c r="BZ473" s="1404"/>
      <c r="CA473" s="1404"/>
      <c r="CB473" s="1404"/>
      <c r="CD473" s="1408">
        <f t="shared" si="917"/>
        <v>0</v>
      </c>
      <c r="DC473" s="16" t="str">
        <f>Novembre!FC31</f>
        <v>non</v>
      </c>
      <c r="DG473" s="333">
        <f t="shared" si="918"/>
        <v>1</v>
      </c>
      <c r="DH473" s="129">
        <f t="shared" si="896"/>
        <v>10</v>
      </c>
      <c r="DI473" s="129">
        <f t="shared" si="919"/>
        <v>1</v>
      </c>
      <c r="DK473" s="16">
        <f>+IF(AND(Novembre!$DP$8&lt;&gt;52,AR473=S.CAL!$BJ$4),10,1)</f>
        <v>1</v>
      </c>
      <c r="DN473" s="16">
        <f t="shared" si="897"/>
        <v>1</v>
      </c>
      <c r="DU473" s="1296" t="str">
        <f t="shared" si="920"/>
        <v>Fiche infoA345973</v>
      </c>
      <c r="DV473" s="1384">
        <f t="shared" si="898"/>
        <v>0</v>
      </c>
      <c r="DW473" s="1385">
        <f t="shared" si="899"/>
        <v>0</v>
      </c>
      <c r="DX473" s="1385">
        <f t="shared" si="900"/>
        <v>0</v>
      </c>
      <c r="DY473" s="1385">
        <f t="shared" si="901"/>
        <v>0</v>
      </c>
      <c r="DZ473" s="1385">
        <f t="shared" si="902"/>
        <v>0</v>
      </c>
      <c r="EA473" s="1385">
        <f t="shared" si="903"/>
        <v>0</v>
      </c>
      <c r="EB473" s="1385">
        <f t="shared" si="904"/>
        <v>0</v>
      </c>
      <c r="EC473" s="1385">
        <f t="shared" si="905"/>
        <v>0</v>
      </c>
      <c r="ED473" s="1385">
        <f t="shared" si="921"/>
        <v>0</v>
      </c>
      <c r="EE473" s="1386">
        <f t="shared" si="922"/>
        <v>0</v>
      </c>
      <c r="EG473" s="16" t="str">
        <f t="shared" si="923"/>
        <v>462025</v>
      </c>
      <c r="EH473" s="16" t="str">
        <f t="shared" si="906"/>
        <v>Fiche infoA3</v>
      </c>
      <c r="EI473" s="16" t="str">
        <f t="shared" si="907"/>
        <v/>
      </c>
    </row>
    <row r="474" spans="1:139" x14ac:dyDescent="0.2">
      <c r="A474" s="24" t="str">
        <f>Novembre!BJ32</f>
        <v>Fiche infoA4</v>
      </c>
      <c r="B474" s="829">
        <f>Novembre!AB32</f>
        <v>45974</v>
      </c>
      <c r="C474" s="1393"/>
      <c r="D474" s="1001">
        <f t="shared" si="863"/>
        <v>0</v>
      </c>
      <c r="E474" s="452">
        <f t="shared" si="864"/>
        <v>0</v>
      </c>
      <c r="F474" s="452">
        <f t="shared" si="865"/>
        <v>0</v>
      </c>
      <c r="G474" s="452">
        <f t="shared" si="866"/>
        <v>0</v>
      </c>
      <c r="H474" s="452">
        <f t="shared" si="867"/>
        <v>0</v>
      </c>
      <c r="I474" s="452">
        <f t="shared" si="868"/>
        <v>0</v>
      </c>
      <c r="J474" s="452">
        <f t="shared" si="869"/>
        <v>0</v>
      </c>
      <c r="K474" s="452">
        <f t="shared" si="870"/>
        <v>0</v>
      </c>
      <c r="L474" s="452">
        <f t="shared" si="908"/>
        <v>0</v>
      </c>
      <c r="M474" s="1002">
        <f t="shared" si="909"/>
        <v>0</v>
      </c>
      <c r="O474" s="1001">
        <f t="shared" si="925"/>
        <v>0</v>
      </c>
      <c r="P474" s="452">
        <f t="shared" si="926"/>
        <v>0</v>
      </c>
      <c r="Q474" s="452">
        <f t="shared" si="927"/>
        <v>0</v>
      </c>
      <c r="R474" s="452">
        <f t="shared" si="928"/>
        <v>0</v>
      </c>
      <c r="S474" s="452">
        <f t="shared" si="929"/>
        <v>0</v>
      </c>
      <c r="T474" s="452">
        <f t="shared" si="930"/>
        <v>0</v>
      </c>
      <c r="U474" s="452">
        <f t="shared" si="931"/>
        <v>0</v>
      </c>
      <c r="V474" s="452">
        <f t="shared" si="932"/>
        <v>0</v>
      </c>
      <c r="W474" s="452">
        <f t="shared" si="879"/>
        <v>0</v>
      </c>
      <c r="X474" s="1002">
        <f t="shared" si="880"/>
        <v>0</v>
      </c>
      <c r="Y474" s="459"/>
      <c r="Z474" s="291">
        <f t="shared" si="881"/>
        <v>0</v>
      </c>
      <c r="AA474" s="291">
        <f t="shared" si="882"/>
        <v>0</v>
      </c>
      <c r="AB474" s="291">
        <f t="shared" si="883"/>
        <v>0</v>
      </c>
      <c r="AC474" s="291">
        <f t="shared" si="884"/>
        <v>0</v>
      </c>
      <c r="AD474" s="291">
        <f t="shared" si="885"/>
        <v>0</v>
      </c>
      <c r="AE474" s="291">
        <f t="shared" si="886"/>
        <v>0</v>
      </c>
      <c r="AF474" s="291">
        <f t="shared" si="887"/>
        <v>0</v>
      </c>
      <c r="AG474" s="291">
        <f t="shared" si="888"/>
        <v>0</v>
      </c>
      <c r="AI474" s="462">
        <f t="shared" si="933"/>
        <v>0</v>
      </c>
      <c r="AJ474" s="1112"/>
      <c r="AK474" s="507"/>
      <c r="AL474" s="829">
        <f t="shared" si="890"/>
        <v>45974</v>
      </c>
      <c r="AM474" s="684">
        <f>IFERROR(IF(AND(AT474="",AR474&lt;&gt;S.CAL!$BJ$3,AR474&lt;&gt;S.CAL!$BJ$4,$AR$455="NON"),M474-BD474,IF(AND(AT474="",AR474&lt;&gt;S.CAL!$BJ$3,AR474&lt;&gt;S.CAL!$BJ$4,$AR$455="OUI"),X474-AI474,IF(AT474&lt;&gt;0,AT474,IF(OR(AR474=S.CAL!$BJ$3,AR474=S.CAL!$BJ$4),AR474,"")))),"")</f>
        <v>0</v>
      </c>
      <c r="AN474" s="1115"/>
      <c r="AO474" s="1116"/>
      <c r="AP474" s="684">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516">
        <f t="shared" si="910"/>
        <v>0</v>
      </c>
      <c r="AR474" s="1120"/>
      <c r="AT474" s="1123"/>
      <c r="AU474" s="831"/>
      <c r="AV474" s="1392">
        <f t="shared" si="891"/>
        <v>45974</v>
      </c>
      <c r="AX474" s="529">
        <f t="shared" si="911"/>
        <v>45974</v>
      </c>
      <c r="AY474" s="541">
        <f t="shared" si="912"/>
        <v>0</v>
      </c>
      <c r="AZ474" s="538" t="s">
        <v>146</v>
      </c>
      <c r="BA474" s="534">
        <f t="shared" si="913"/>
        <v>0</v>
      </c>
      <c r="BB474" s="567" t="str">
        <f t="shared" si="892"/>
        <v/>
      </c>
      <c r="BC474" s="541">
        <f t="shared" si="914"/>
        <v>0</v>
      </c>
      <c r="BD474" s="541">
        <f t="shared" si="915"/>
        <v>0</v>
      </c>
      <c r="BE474" s="1126"/>
      <c r="BF474" s="532" t="str">
        <f t="shared" si="893"/>
        <v/>
      </c>
      <c r="BG474" s="532" t="str">
        <f t="shared" si="916"/>
        <v>oui</v>
      </c>
      <c r="BH474" s="395" t="str">
        <f t="shared" si="894"/>
        <v/>
      </c>
      <c r="BI474" s="24" t="str">
        <f t="shared" si="895"/>
        <v/>
      </c>
      <c r="BJ474" s="1403"/>
      <c r="BK474" s="1403"/>
      <c r="BL474" s="1403"/>
      <c r="BM474" s="1403"/>
      <c r="BN474" s="1403"/>
      <c r="BO474" s="1403"/>
      <c r="BP474" s="1403"/>
      <c r="BQ474" s="1403"/>
      <c r="BS474" s="1392">
        <f t="shared" si="862"/>
        <v>45974</v>
      </c>
      <c r="BT474" s="27" t="str">
        <f t="shared" si="924"/>
        <v/>
      </c>
      <c r="BU474" s="1402"/>
      <c r="BV474" s="1402"/>
      <c r="BW474" s="1402"/>
      <c r="BX474" s="1402"/>
      <c r="BY474" s="1402"/>
      <c r="BZ474" s="1402"/>
      <c r="CA474" s="1402"/>
      <c r="CB474" s="1402"/>
      <c r="CD474" s="1408">
        <f t="shared" si="917"/>
        <v>0</v>
      </c>
      <c r="DC474" s="16" t="str">
        <f>Novembre!FC32</f>
        <v>non</v>
      </c>
      <c r="DG474" s="333">
        <f t="shared" si="918"/>
        <v>1</v>
      </c>
      <c r="DH474" s="129">
        <f t="shared" si="896"/>
        <v>10</v>
      </c>
      <c r="DI474" s="129">
        <f t="shared" si="919"/>
        <v>1</v>
      </c>
      <c r="DK474" s="16">
        <f>+IF(AND(Novembre!$DP$8&lt;&gt;52,AR474=S.CAL!$BJ$4),10,1)</f>
        <v>1</v>
      </c>
      <c r="DN474" s="16">
        <f t="shared" si="897"/>
        <v>1</v>
      </c>
      <c r="DU474" s="1296" t="str">
        <f t="shared" si="920"/>
        <v>Fiche infoA445974</v>
      </c>
      <c r="DV474" s="1384">
        <f t="shared" si="898"/>
        <v>0</v>
      </c>
      <c r="DW474" s="1385">
        <f t="shared" si="899"/>
        <v>0</v>
      </c>
      <c r="DX474" s="1385">
        <f t="shared" si="900"/>
        <v>0</v>
      </c>
      <c r="DY474" s="1385">
        <f t="shared" si="901"/>
        <v>0</v>
      </c>
      <c r="DZ474" s="1385">
        <f t="shared" si="902"/>
        <v>0</v>
      </c>
      <c r="EA474" s="1385">
        <f t="shared" si="903"/>
        <v>0</v>
      </c>
      <c r="EB474" s="1385">
        <f t="shared" si="904"/>
        <v>0</v>
      </c>
      <c r="EC474" s="1385">
        <f t="shared" si="905"/>
        <v>0</v>
      </c>
      <c r="ED474" s="1385">
        <f t="shared" si="921"/>
        <v>0</v>
      </c>
      <c r="EE474" s="1386">
        <f t="shared" si="922"/>
        <v>0</v>
      </c>
      <c r="EG474" s="16" t="str">
        <f t="shared" si="923"/>
        <v>462025</v>
      </c>
      <c r="EH474" s="16" t="str">
        <f t="shared" si="906"/>
        <v>Fiche infoA4</v>
      </c>
      <c r="EI474" s="16" t="str">
        <f t="shared" si="907"/>
        <v/>
      </c>
    </row>
    <row r="475" spans="1:139" x14ac:dyDescent="0.2">
      <c r="A475" s="1395" t="str">
        <f>Novembre!BJ33</f>
        <v>Fiche infoA5</v>
      </c>
      <c r="B475" s="829">
        <f>Novembre!AB33</f>
        <v>45975</v>
      </c>
      <c r="C475" s="1394"/>
      <c r="D475" s="1001">
        <f t="shared" si="863"/>
        <v>0</v>
      </c>
      <c r="E475" s="452">
        <f t="shared" si="864"/>
        <v>0</v>
      </c>
      <c r="F475" s="452">
        <f t="shared" si="865"/>
        <v>0</v>
      </c>
      <c r="G475" s="452">
        <f t="shared" si="866"/>
        <v>0</v>
      </c>
      <c r="H475" s="452">
        <f t="shared" si="867"/>
        <v>0</v>
      </c>
      <c r="I475" s="452">
        <f t="shared" si="868"/>
        <v>0</v>
      </c>
      <c r="J475" s="452">
        <f t="shared" si="869"/>
        <v>0</v>
      </c>
      <c r="K475" s="452">
        <f t="shared" si="870"/>
        <v>0</v>
      </c>
      <c r="L475" s="452">
        <f t="shared" si="908"/>
        <v>0</v>
      </c>
      <c r="M475" s="1002">
        <f t="shared" si="909"/>
        <v>0</v>
      </c>
      <c r="N475" s="1396"/>
      <c r="O475" s="1001">
        <f t="shared" si="925"/>
        <v>0</v>
      </c>
      <c r="P475" s="452">
        <f t="shared" si="926"/>
        <v>0</v>
      </c>
      <c r="Q475" s="452">
        <f t="shared" si="927"/>
        <v>0</v>
      </c>
      <c r="R475" s="452">
        <f t="shared" si="928"/>
        <v>0</v>
      </c>
      <c r="S475" s="452">
        <f t="shared" si="929"/>
        <v>0</v>
      </c>
      <c r="T475" s="452">
        <f t="shared" si="930"/>
        <v>0</v>
      </c>
      <c r="U475" s="452">
        <f t="shared" si="931"/>
        <v>0</v>
      </c>
      <c r="V475" s="452">
        <f t="shared" si="932"/>
        <v>0</v>
      </c>
      <c r="W475" s="452">
        <f t="shared" si="879"/>
        <v>0</v>
      </c>
      <c r="X475" s="1002">
        <f t="shared" si="880"/>
        <v>0</v>
      </c>
      <c r="Y475" s="1397"/>
      <c r="Z475" s="1398">
        <f t="shared" si="881"/>
        <v>0</v>
      </c>
      <c r="AA475" s="1398">
        <f t="shared" si="882"/>
        <v>0</v>
      </c>
      <c r="AB475" s="1398">
        <f t="shared" si="883"/>
        <v>0</v>
      </c>
      <c r="AC475" s="1398">
        <f t="shared" si="884"/>
        <v>0</v>
      </c>
      <c r="AD475" s="1398">
        <f t="shared" si="885"/>
        <v>0</v>
      </c>
      <c r="AE475" s="1398">
        <f t="shared" si="886"/>
        <v>0</v>
      </c>
      <c r="AF475" s="1398">
        <f t="shared" si="887"/>
        <v>0</v>
      </c>
      <c r="AG475" s="1398">
        <f t="shared" si="888"/>
        <v>0</v>
      </c>
      <c r="AH475" s="1396"/>
      <c r="AI475" s="462">
        <f t="shared" si="933"/>
        <v>0</v>
      </c>
      <c r="AJ475" s="1112"/>
      <c r="AK475" s="1399"/>
      <c r="AL475" s="829">
        <f t="shared" si="890"/>
        <v>45975</v>
      </c>
      <c r="AM475" s="684">
        <f>IFERROR(IF(AND(AT475="",AR475&lt;&gt;S.CAL!$BJ$3,AR475&lt;&gt;S.CAL!$BJ$4,$AR$455="NON"),M475-BD475,IF(AND(AT475="",AR475&lt;&gt;S.CAL!$BJ$3,AR475&lt;&gt;S.CAL!$BJ$4,$AR$455="OUI"),X475-AI475,IF(AT475&lt;&gt;0,AT475,IF(OR(AR475=S.CAL!$BJ$3,AR475=S.CAL!$BJ$4),AR475,"")))),"")</f>
        <v>0</v>
      </c>
      <c r="AN475" s="1115"/>
      <c r="AO475" s="1116"/>
      <c r="AP475" s="684">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400">
        <f t="shared" si="910"/>
        <v>0</v>
      </c>
      <c r="AR475" s="1120"/>
      <c r="AS475" s="1396"/>
      <c r="AT475" s="1123"/>
      <c r="AU475" s="831"/>
      <c r="AV475" s="1392">
        <f t="shared" si="891"/>
        <v>45975</v>
      </c>
      <c r="AW475" s="1396"/>
      <c r="AX475" s="529">
        <f t="shared" si="911"/>
        <v>45975</v>
      </c>
      <c r="AY475" s="541">
        <f t="shared" si="912"/>
        <v>0</v>
      </c>
      <c r="AZ475" s="538" t="s">
        <v>146</v>
      </c>
      <c r="BA475" s="534">
        <f t="shared" si="913"/>
        <v>0</v>
      </c>
      <c r="BB475" s="567" t="str">
        <f t="shared" si="892"/>
        <v/>
      </c>
      <c r="BC475" s="541">
        <f t="shared" si="914"/>
        <v>0</v>
      </c>
      <c r="BD475" s="541">
        <f t="shared" si="915"/>
        <v>0</v>
      </c>
      <c r="BE475" s="1126"/>
      <c r="BF475" s="532" t="str">
        <f t="shared" si="893"/>
        <v/>
      </c>
      <c r="BG475" s="532" t="str">
        <f t="shared" si="916"/>
        <v>oui</v>
      </c>
      <c r="BH475" s="395" t="str">
        <f t="shared" si="894"/>
        <v/>
      </c>
      <c r="BI475" s="24" t="str">
        <f t="shared" si="895"/>
        <v/>
      </c>
      <c r="BJ475" s="1404"/>
      <c r="BK475" s="1404"/>
      <c r="BL475" s="1404"/>
      <c r="BM475" s="1404"/>
      <c r="BN475" s="1404"/>
      <c r="BO475" s="1404"/>
      <c r="BP475" s="1404"/>
      <c r="BQ475" s="1404"/>
      <c r="BR475" s="1405"/>
      <c r="BS475" s="1392">
        <f t="shared" si="862"/>
        <v>45975</v>
      </c>
      <c r="BT475" s="1406" t="str">
        <f t="shared" si="924"/>
        <v/>
      </c>
      <c r="BU475" s="1404"/>
      <c r="BV475" s="1404"/>
      <c r="BW475" s="1404"/>
      <c r="BX475" s="1404"/>
      <c r="BY475" s="1404"/>
      <c r="BZ475" s="1404"/>
      <c r="CA475" s="1404"/>
      <c r="CB475" s="1404"/>
      <c r="CD475" s="1408">
        <f t="shared" si="917"/>
        <v>0</v>
      </c>
      <c r="DC475" s="16" t="str">
        <f>Novembre!FC33</f>
        <v>non</v>
      </c>
      <c r="DG475" s="333">
        <f t="shared" si="918"/>
        <v>1</v>
      </c>
      <c r="DH475" s="129">
        <f t="shared" si="896"/>
        <v>10</v>
      </c>
      <c r="DI475" s="129">
        <f t="shared" si="919"/>
        <v>1</v>
      </c>
      <c r="DK475" s="16">
        <f>+IF(AND(Novembre!$DP$8&lt;&gt;52,AR475=S.CAL!$BJ$4),10,1)</f>
        <v>1</v>
      </c>
      <c r="DN475" s="16">
        <f t="shared" si="897"/>
        <v>1</v>
      </c>
      <c r="DU475" s="1296" t="str">
        <f t="shared" si="920"/>
        <v>Fiche infoA545975</v>
      </c>
      <c r="DV475" s="1384">
        <f t="shared" si="898"/>
        <v>0</v>
      </c>
      <c r="DW475" s="1385">
        <f t="shared" si="899"/>
        <v>0</v>
      </c>
      <c r="DX475" s="1385">
        <f t="shared" si="900"/>
        <v>0</v>
      </c>
      <c r="DY475" s="1385">
        <f t="shared" si="901"/>
        <v>0</v>
      </c>
      <c r="DZ475" s="1385">
        <f t="shared" si="902"/>
        <v>0</v>
      </c>
      <c r="EA475" s="1385">
        <f t="shared" si="903"/>
        <v>0</v>
      </c>
      <c r="EB475" s="1385">
        <f t="shared" si="904"/>
        <v>0</v>
      </c>
      <c r="EC475" s="1385">
        <f t="shared" si="905"/>
        <v>0</v>
      </c>
      <c r="ED475" s="1385">
        <f t="shared" si="921"/>
        <v>0</v>
      </c>
      <c r="EE475" s="1386">
        <f t="shared" si="922"/>
        <v>0</v>
      </c>
      <c r="EG475" s="16" t="str">
        <f t="shared" si="923"/>
        <v>462025</v>
      </c>
      <c r="EH475" s="16" t="str">
        <f t="shared" si="906"/>
        <v>Fiche infoA5</v>
      </c>
      <c r="EI475" s="16" t="str">
        <f t="shared" si="907"/>
        <v/>
      </c>
    </row>
    <row r="476" spans="1:139" x14ac:dyDescent="0.2">
      <c r="A476" s="24" t="str">
        <f>Novembre!BJ34</f>
        <v>Fiche infoA6</v>
      </c>
      <c r="B476" s="829">
        <f>Novembre!AB34</f>
        <v>45976</v>
      </c>
      <c r="C476" s="1393"/>
      <c r="D476" s="1001">
        <f t="shared" si="863"/>
        <v>0</v>
      </c>
      <c r="E476" s="452">
        <f t="shared" si="864"/>
        <v>0</v>
      </c>
      <c r="F476" s="452">
        <f t="shared" si="865"/>
        <v>0</v>
      </c>
      <c r="G476" s="452">
        <f t="shared" si="866"/>
        <v>0</v>
      </c>
      <c r="H476" s="452">
        <f t="shared" si="867"/>
        <v>0</v>
      </c>
      <c r="I476" s="452">
        <f t="shared" si="868"/>
        <v>0</v>
      </c>
      <c r="J476" s="452">
        <f t="shared" si="869"/>
        <v>0</v>
      </c>
      <c r="K476" s="452">
        <f t="shared" si="870"/>
        <v>0</v>
      </c>
      <c r="L476" s="452">
        <f t="shared" si="908"/>
        <v>0</v>
      </c>
      <c r="M476" s="1002">
        <f t="shared" si="909"/>
        <v>0</v>
      </c>
      <c r="O476" s="1001">
        <f t="shared" si="925"/>
        <v>0</v>
      </c>
      <c r="P476" s="452">
        <f t="shared" si="926"/>
        <v>0</v>
      </c>
      <c r="Q476" s="452">
        <f t="shared" si="927"/>
        <v>0</v>
      </c>
      <c r="R476" s="452">
        <f t="shared" si="928"/>
        <v>0</v>
      </c>
      <c r="S476" s="452">
        <f t="shared" si="929"/>
        <v>0</v>
      </c>
      <c r="T476" s="452">
        <f t="shared" si="930"/>
        <v>0</v>
      </c>
      <c r="U476" s="452">
        <f t="shared" si="931"/>
        <v>0</v>
      </c>
      <c r="V476" s="452">
        <f t="shared" si="932"/>
        <v>0</v>
      </c>
      <c r="W476" s="452">
        <f t="shared" si="879"/>
        <v>0</v>
      </c>
      <c r="X476" s="1002">
        <f t="shared" si="880"/>
        <v>0</v>
      </c>
      <c r="Y476" s="459"/>
      <c r="Z476" s="291">
        <f t="shared" si="881"/>
        <v>0</v>
      </c>
      <c r="AA476" s="291">
        <f t="shared" si="882"/>
        <v>0</v>
      </c>
      <c r="AB476" s="291">
        <f t="shared" si="883"/>
        <v>0</v>
      </c>
      <c r="AC476" s="291">
        <f t="shared" si="884"/>
        <v>0</v>
      </c>
      <c r="AD476" s="291">
        <f t="shared" si="885"/>
        <v>0</v>
      </c>
      <c r="AE476" s="291">
        <f t="shared" si="886"/>
        <v>0</v>
      </c>
      <c r="AF476" s="291">
        <f t="shared" si="887"/>
        <v>0</v>
      </c>
      <c r="AG476" s="291">
        <f t="shared" si="888"/>
        <v>0</v>
      </c>
      <c r="AI476" s="462">
        <f t="shared" si="933"/>
        <v>0</v>
      </c>
      <c r="AJ476" s="1112"/>
      <c r="AK476" s="507"/>
      <c r="AL476" s="829">
        <f t="shared" si="890"/>
        <v>45976</v>
      </c>
      <c r="AM476" s="684">
        <f>IFERROR(IF(AND(AT476="",AR476&lt;&gt;S.CAL!$BJ$3,AR476&lt;&gt;S.CAL!$BJ$4,$AR$455="NON"),M476-BD476,IF(AND(AT476="",AR476&lt;&gt;S.CAL!$BJ$3,AR476&lt;&gt;S.CAL!$BJ$4,$AR$455="OUI"),X476-AI476,IF(AT476&lt;&gt;0,AT476,IF(OR(AR476=S.CAL!$BJ$3,AR476=S.CAL!$BJ$4),AR476,"")))),"")</f>
        <v>0</v>
      </c>
      <c r="AN476" s="1115"/>
      <c r="AO476" s="1116"/>
      <c r="AP476" s="684">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516">
        <f t="shared" si="910"/>
        <v>0</v>
      </c>
      <c r="AR476" s="1120"/>
      <c r="AT476" s="1123"/>
      <c r="AU476" s="831"/>
      <c r="AV476" s="1392">
        <f t="shared" si="891"/>
        <v>45976</v>
      </c>
      <c r="AX476" s="529">
        <f t="shared" si="911"/>
        <v>45976</v>
      </c>
      <c r="AY476" s="541">
        <f t="shared" si="912"/>
        <v>0</v>
      </c>
      <c r="AZ476" s="538" t="s">
        <v>146</v>
      </c>
      <c r="BA476" s="534">
        <f t="shared" si="913"/>
        <v>0</v>
      </c>
      <c r="BB476" s="567" t="str">
        <f t="shared" si="892"/>
        <v/>
      </c>
      <c r="BC476" s="541">
        <f t="shared" si="914"/>
        <v>0</v>
      </c>
      <c r="BD476" s="541">
        <f t="shared" si="915"/>
        <v>0</v>
      </c>
      <c r="BE476" s="1126"/>
      <c r="BF476" s="532" t="str">
        <f t="shared" si="893"/>
        <v/>
      </c>
      <c r="BG476" s="532" t="str">
        <f t="shared" si="916"/>
        <v>oui</v>
      </c>
      <c r="BH476" s="395" t="str">
        <f t="shared" si="894"/>
        <v/>
      </c>
      <c r="BI476" s="24" t="str">
        <f t="shared" si="895"/>
        <v/>
      </c>
      <c r="BJ476" s="1403"/>
      <c r="BK476" s="1403"/>
      <c r="BL476" s="1403"/>
      <c r="BM476" s="1403"/>
      <c r="BN476" s="1403"/>
      <c r="BO476" s="1403"/>
      <c r="BP476" s="1403"/>
      <c r="BQ476" s="1403"/>
      <c r="BS476" s="1392">
        <f t="shared" si="862"/>
        <v>45976</v>
      </c>
      <c r="BT476" s="27" t="str">
        <f t="shared" si="924"/>
        <v/>
      </c>
      <c r="BU476" s="1402"/>
      <c r="BV476" s="1402"/>
      <c r="BW476" s="1402"/>
      <c r="BX476" s="1402"/>
      <c r="BY476" s="1402"/>
      <c r="BZ476" s="1402"/>
      <c r="CA476" s="1402"/>
      <c r="CB476" s="1402"/>
      <c r="CD476" s="1408">
        <f t="shared" si="917"/>
        <v>0</v>
      </c>
      <c r="DC476" s="16" t="str">
        <f>Novembre!FC34</f>
        <v>non</v>
      </c>
      <c r="DG476" s="333">
        <f t="shared" si="918"/>
        <v>1</v>
      </c>
      <c r="DH476" s="129">
        <f t="shared" si="896"/>
        <v>10</v>
      </c>
      <c r="DI476" s="129">
        <f t="shared" si="919"/>
        <v>1</v>
      </c>
      <c r="DK476" s="16">
        <f>+IF(AND(Novembre!$DP$8&lt;&gt;52,AR476=S.CAL!$BJ$4),10,1)</f>
        <v>1</v>
      </c>
      <c r="DN476" s="16">
        <f t="shared" si="897"/>
        <v>1</v>
      </c>
      <c r="DU476" s="1296" t="str">
        <f t="shared" si="920"/>
        <v>Fiche infoA645976</v>
      </c>
      <c r="DV476" s="1384">
        <f t="shared" si="898"/>
        <v>0</v>
      </c>
      <c r="DW476" s="1385">
        <f t="shared" si="899"/>
        <v>0</v>
      </c>
      <c r="DX476" s="1385">
        <f t="shared" si="900"/>
        <v>0</v>
      </c>
      <c r="DY476" s="1385">
        <f t="shared" si="901"/>
        <v>0</v>
      </c>
      <c r="DZ476" s="1385">
        <f t="shared" si="902"/>
        <v>0</v>
      </c>
      <c r="EA476" s="1385">
        <f t="shared" si="903"/>
        <v>0</v>
      </c>
      <c r="EB476" s="1385">
        <f t="shared" si="904"/>
        <v>0</v>
      </c>
      <c r="EC476" s="1385">
        <f t="shared" si="905"/>
        <v>0</v>
      </c>
      <c r="ED476" s="1385">
        <f t="shared" si="921"/>
        <v>0</v>
      </c>
      <c r="EE476" s="1386">
        <f t="shared" si="922"/>
        <v>0</v>
      </c>
      <c r="EG476" s="16" t="str">
        <f t="shared" si="923"/>
        <v>462025</v>
      </c>
      <c r="EH476" s="16" t="str">
        <f t="shared" si="906"/>
        <v>Fiche infoA6</v>
      </c>
      <c r="EI476" s="16" t="str">
        <f t="shared" si="907"/>
        <v/>
      </c>
    </row>
    <row r="477" spans="1:139" x14ac:dyDescent="0.2">
      <c r="A477" s="1395" t="str">
        <f>Novembre!BJ35</f>
        <v>Fiche infoA7</v>
      </c>
      <c r="B477" s="829">
        <f>Novembre!AB35</f>
        <v>45977</v>
      </c>
      <c r="C477" s="1394"/>
      <c r="D477" s="1001">
        <f t="shared" si="863"/>
        <v>0</v>
      </c>
      <c r="E477" s="452">
        <f t="shared" si="864"/>
        <v>0</v>
      </c>
      <c r="F477" s="452">
        <f t="shared" si="865"/>
        <v>0</v>
      </c>
      <c r="G477" s="452">
        <f t="shared" si="866"/>
        <v>0</v>
      </c>
      <c r="H477" s="452">
        <f t="shared" si="867"/>
        <v>0</v>
      </c>
      <c r="I477" s="452">
        <f t="shared" si="868"/>
        <v>0</v>
      </c>
      <c r="J477" s="452">
        <f t="shared" si="869"/>
        <v>0</v>
      </c>
      <c r="K477" s="452">
        <f t="shared" si="870"/>
        <v>0</v>
      </c>
      <c r="L477" s="452">
        <f t="shared" si="908"/>
        <v>0</v>
      </c>
      <c r="M477" s="1002">
        <f t="shared" si="909"/>
        <v>0</v>
      </c>
      <c r="N477" s="1396"/>
      <c r="O477" s="1001">
        <f t="shared" si="925"/>
        <v>0</v>
      </c>
      <c r="P477" s="452">
        <f t="shared" si="926"/>
        <v>0</v>
      </c>
      <c r="Q477" s="452">
        <f t="shared" si="927"/>
        <v>0</v>
      </c>
      <c r="R477" s="452">
        <f t="shared" si="928"/>
        <v>0</v>
      </c>
      <c r="S477" s="452">
        <f t="shared" si="929"/>
        <v>0</v>
      </c>
      <c r="T477" s="452">
        <f t="shared" si="930"/>
        <v>0</v>
      </c>
      <c r="U477" s="452">
        <f t="shared" si="931"/>
        <v>0</v>
      </c>
      <c r="V477" s="452">
        <f t="shared" si="932"/>
        <v>0</v>
      </c>
      <c r="W477" s="452">
        <f t="shared" si="879"/>
        <v>0</v>
      </c>
      <c r="X477" s="1002">
        <f t="shared" si="880"/>
        <v>0</v>
      </c>
      <c r="Y477" s="1397"/>
      <c r="Z477" s="1398">
        <f t="shared" si="881"/>
        <v>0</v>
      </c>
      <c r="AA477" s="1398">
        <f t="shared" si="882"/>
        <v>0</v>
      </c>
      <c r="AB477" s="1398">
        <f t="shared" si="883"/>
        <v>0</v>
      </c>
      <c r="AC477" s="1398">
        <f t="shared" si="884"/>
        <v>0</v>
      </c>
      <c r="AD477" s="1398">
        <f t="shared" si="885"/>
        <v>0</v>
      </c>
      <c r="AE477" s="1398">
        <f t="shared" si="886"/>
        <v>0</v>
      </c>
      <c r="AF477" s="1398">
        <f t="shared" si="887"/>
        <v>0</v>
      </c>
      <c r="AG477" s="1398">
        <f t="shared" si="888"/>
        <v>0</v>
      </c>
      <c r="AH477" s="1396"/>
      <c r="AI477" s="462">
        <f t="shared" si="933"/>
        <v>0</v>
      </c>
      <c r="AJ477" s="1112"/>
      <c r="AK477" s="1399"/>
      <c r="AL477" s="829">
        <f t="shared" si="890"/>
        <v>45977</v>
      </c>
      <c r="AM477" s="684">
        <f>IFERROR(IF(AND(AT477="",AR477&lt;&gt;S.CAL!$BJ$3,AR477&lt;&gt;S.CAL!$BJ$4,$AR$455="NON"),M477-BD477,IF(AND(AT477="",AR477&lt;&gt;S.CAL!$BJ$3,AR477&lt;&gt;S.CAL!$BJ$4,$AR$455="OUI"),X477-AI477,IF(AT477&lt;&gt;0,AT477,IF(OR(AR477=S.CAL!$BJ$3,AR477=S.CAL!$BJ$4),AR477,"")))),"")</f>
        <v>0</v>
      </c>
      <c r="AN477" s="1115"/>
      <c r="AO477" s="1116"/>
      <c r="AP477" s="684">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400">
        <f t="shared" si="910"/>
        <v>0</v>
      </c>
      <c r="AR477" s="1120"/>
      <c r="AS477" s="1396"/>
      <c r="AT477" s="1123"/>
      <c r="AU477" s="831"/>
      <c r="AV477" s="1392">
        <f t="shared" si="891"/>
        <v>45977</v>
      </c>
      <c r="AW477" s="1396"/>
      <c r="AX477" s="529">
        <f t="shared" si="911"/>
        <v>45977</v>
      </c>
      <c r="AY477" s="541">
        <f t="shared" si="912"/>
        <v>0</v>
      </c>
      <c r="AZ477" s="538" t="s">
        <v>146</v>
      </c>
      <c r="BA477" s="534">
        <f t="shared" si="913"/>
        <v>0</v>
      </c>
      <c r="BB477" s="567" t="str">
        <f t="shared" si="892"/>
        <v/>
      </c>
      <c r="BC477" s="541">
        <f t="shared" si="914"/>
        <v>0</v>
      </c>
      <c r="BD477" s="541">
        <f t="shared" si="915"/>
        <v>0</v>
      </c>
      <c r="BE477" s="1126"/>
      <c r="BF477" s="532" t="str">
        <f t="shared" si="893"/>
        <v/>
      </c>
      <c r="BG477" s="532" t="str">
        <f t="shared" si="916"/>
        <v>oui</v>
      </c>
      <c r="BH477" s="395" t="str">
        <f t="shared" si="894"/>
        <v/>
      </c>
      <c r="BI477" s="24" t="str">
        <f t="shared" si="895"/>
        <v/>
      </c>
      <c r="BJ477" s="1404"/>
      <c r="BK477" s="1404"/>
      <c r="BL477" s="1404"/>
      <c r="BM477" s="1404"/>
      <c r="BN477" s="1404"/>
      <c r="BO477" s="1404"/>
      <c r="BP477" s="1404"/>
      <c r="BQ477" s="1404"/>
      <c r="BR477" s="1405"/>
      <c r="BS477" s="1392">
        <f t="shared" si="862"/>
        <v>45977</v>
      </c>
      <c r="BT477" s="1406" t="str">
        <f t="shared" si="924"/>
        <v/>
      </c>
      <c r="BU477" s="1404"/>
      <c r="BV477" s="1404"/>
      <c r="BW477" s="1404"/>
      <c r="BX477" s="1404"/>
      <c r="BY477" s="1404"/>
      <c r="BZ477" s="1404"/>
      <c r="CA477" s="1404"/>
      <c r="CB477" s="1404"/>
      <c r="CD477" s="1408">
        <f t="shared" si="917"/>
        <v>0</v>
      </c>
      <c r="DC477" s="16" t="str">
        <f>Novembre!FC35</f>
        <v>non</v>
      </c>
      <c r="DG477" s="333">
        <f t="shared" si="918"/>
        <v>1</v>
      </c>
      <c r="DH477" s="129">
        <f t="shared" si="896"/>
        <v>10</v>
      </c>
      <c r="DI477" s="129">
        <f t="shared" si="919"/>
        <v>1</v>
      </c>
      <c r="DK477" s="16">
        <f>+IF(AND(Novembre!$DP$8&lt;&gt;52,AR477=S.CAL!$BJ$4),10,1)</f>
        <v>1</v>
      </c>
      <c r="DN477" s="16">
        <f t="shared" si="897"/>
        <v>1</v>
      </c>
      <c r="DU477" s="1296" t="str">
        <f t="shared" si="920"/>
        <v>Fiche infoA745977</v>
      </c>
      <c r="DV477" s="1384">
        <f t="shared" si="898"/>
        <v>0</v>
      </c>
      <c r="DW477" s="1385">
        <f t="shared" si="899"/>
        <v>0</v>
      </c>
      <c r="DX477" s="1385">
        <f t="shared" si="900"/>
        <v>0</v>
      </c>
      <c r="DY477" s="1385">
        <f t="shared" si="901"/>
        <v>0</v>
      </c>
      <c r="DZ477" s="1385">
        <f t="shared" si="902"/>
        <v>0</v>
      </c>
      <c r="EA477" s="1385">
        <f t="shared" si="903"/>
        <v>0</v>
      </c>
      <c r="EB477" s="1385">
        <f t="shared" si="904"/>
        <v>0</v>
      </c>
      <c r="EC477" s="1385">
        <f t="shared" si="905"/>
        <v>0</v>
      </c>
      <c r="ED477" s="1385">
        <f t="shared" si="921"/>
        <v>0</v>
      </c>
      <c r="EE477" s="1386">
        <f t="shared" si="922"/>
        <v>0</v>
      </c>
      <c r="EG477" s="16" t="str">
        <f t="shared" si="923"/>
        <v>462025</v>
      </c>
      <c r="EH477" s="16" t="str">
        <f t="shared" si="906"/>
        <v>Fiche infoA7</v>
      </c>
      <c r="EI477" s="16" t="str">
        <f t="shared" si="907"/>
        <v/>
      </c>
    </row>
    <row r="478" spans="1:139" x14ac:dyDescent="0.2">
      <c r="A478" s="24" t="str">
        <f>Novembre!BJ36</f>
        <v>Fiche infoA1</v>
      </c>
      <c r="B478" s="829">
        <f>Novembre!AB36</f>
        <v>45978</v>
      </c>
      <c r="C478" s="1393"/>
      <c r="D478" s="1001">
        <f t="shared" si="863"/>
        <v>0</v>
      </c>
      <c r="E478" s="452">
        <f t="shared" si="864"/>
        <v>0</v>
      </c>
      <c r="F478" s="452">
        <f t="shared" si="865"/>
        <v>0</v>
      </c>
      <c r="G478" s="452">
        <f t="shared" si="866"/>
        <v>0</v>
      </c>
      <c r="H478" s="452">
        <f t="shared" si="867"/>
        <v>0</v>
      </c>
      <c r="I478" s="452">
        <f t="shared" si="868"/>
        <v>0</v>
      </c>
      <c r="J478" s="452">
        <f t="shared" si="869"/>
        <v>0</v>
      </c>
      <c r="K478" s="452">
        <f t="shared" si="870"/>
        <v>0</v>
      </c>
      <c r="L478" s="452">
        <f t="shared" si="908"/>
        <v>0</v>
      </c>
      <c r="M478" s="1002">
        <f t="shared" si="909"/>
        <v>0</v>
      </c>
      <c r="O478" s="1001">
        <f t="shared" si="925"/>
        <v>0</v>
      </c>
      <c r="P478" s="452">
        <f t="shared" si="926"/>
        <v>0</v>
      </c>
      <c r="Q478" s="452">
        <f t="shared" si="927"/>
        <v>0</v>
      </c>
      <c r="R478" s="452">
        <f t="shared" si="928"/>
        <v>0</v>
      </c>
      <c r="S478" s="452">
        <f t="shared" si="929"/>
        <v>0</v>
      </c>
      <c r="T478" s="452">
        <f t="shared" si="930"/>
        <v>0</v>
      </c>
      <c r="U478" s="452">
        <f t="shared" si="931"/>
        <v>0</v>
      </c>
      <c r="V478" s="452">
        <f t="shared" si="932"/>
        <v>0</v>
      </c>
      <c r="W478" s="452">
        <f t="shared" si="879"/>
        <v>0</v>
      </c>
      <c r="X478" s="1002">
        <f t="shared" si="880"/>
        <v>0</v>
      </c>
      <c r="Y478" s="459"/>
      <c r="Z478" s="291">
        <f t="shared" si="881"/>
        <v>0</v>
      </c>
      <c r="AA478" s="291">
        <f t="shared" si="882"/>
        <v>0</v>
      </c>
      <c r="AB478" s="291">
        <f t="shared" si="883"/>
        <v>0</v>
      </c>
      <c r="AC478" s="291">
        <f t="shared" si="884"/>
        <v>0</v>
      </c>
      <c r="AD478" s="291">
        <f t="shared" si="885"/>
        <v>0</v>
      </c>
      <c r="AE478" s="291">
        <f t="shared" si="886"/>
        <v>0</v>
      </c>
      <c r="AF478" s="291">
        <f t="shared" si="887"/>
        <v>0</v>
      </c>
      <c r="AG478" s="291">
        <f t="shared" si="888"/>
        <v>0</v>
      </c>
      <c r="AI478" s="462">
        <f t="shared" si="933"/>
        <v>0</v>
      </c>
      <c r="AJ478" s="1112"/>
      <c r="AK478" s="507"/>
      <c r="AL478" s="829">
        <f t="shared" si="890"/>
        <v>45978</v>
      </c>
      <c r="AM478" s="684">
        <f>IFERROR(IF(AND(AT478="",AR478&lt;&gt;S.CAL!$BJ$3,AR478&lt;&gt;S.CAL!$BJ$4,$AR$455="NON"),M478-BD478,IF(AND(AT478="",AR478&lt;&gt;S.CAL!$BJ$3,AR478&lt;&gt;S.CAL!$BJ$4,$AR$455="OUI"),X478-AI478,IF(AT478&lt;&gt;0,AT478,IF(OR(AR478=S.CAL!$BJ$3,AR478=S.CAL!$BJ$4),AR478,"")))),"")</f>
        <v>0</v>
      </c>
      <c r="AN478" s="1115"/>
      <c r="AO478" s="1116"/>
      <c r="AP478" s="684">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516">
        <f t="shared" si="910"/>
        <v>0</v>
      </c>
      <c r="AR478" s="1120"/>
      <c r="AT478" s="1123"/>
      <c r="AU478" s="831"/>
      <c r="AV478" s="1392">
        <f t="shared" si="891"/>
        <v>45978</v>
      </c>
      <c r="AX478" s="529">
        <f t="shared" si="911"/>
        <v>45978</v>
      </c>
      <c r="AY478" s="541">
        <f t="shared" si="912"/>
        <v>0</v>
      </c>
      <c r="AZ478" s="538" t="s">
        <v>146</v>
      </c>
      <c r="BA478" s="534">
        <f t="shared" si="913"/>
        <v>0</v>
      </c>
      <c r="BB478" s="567" t="str">
        <f t="shared" si="892"/>
        <v/>
      </c>
      <c r="BC478" s="541">
        <f t="shared" si="914"/>
        <v>0</v>
      </c>
      <c r="BD478" s="541">
        <f t="shared" si="915"/>
        <v>0</v>
      </c>
      <c r="BE478" s="1126"/>
      <c r="BF478" s="532" t="str">
        <f t="shared" si="893"/>
        <v/>
      </c>
      <c r="BG478" s="532" t="str">
        <f t="shared" si="916"/>
        <v>oui</v>
      </c>
      <c r="BH478" s="395" t="str">
        <f t="shared" si="894"/>
        <v/>
      </c>
      <c r="BI478" s="24" t="str">
        <f t="shared" si="895"/>
        <v/>
      </c>
      <c r="BJ478" s="1403"/>
      <c r="BK478" s="1403"/>
      <c r="BL478" s="1403"/>
      <c r="BM478" s="1403"/>
      <c r="BN478" s="1403"/>
      <c r="BO478" s="1403"/>
      <c r="BP478" s="1403"/>
      <c r="BQ478" s="1403"/>
      <c r="BS478" s="1392">
        <f t="shared" si="862"/>
        <v>45978</v>
      </c>
      <c r="BT478" s="27">
        <f t="shared" si="924"/>
        <v>47</v>
      </c>
      <c r="BU478" s="1402"/>
      <c r="BV478" s="1402"/>
      <c r="BW478" s="1402"/>
      <c r="BX478" s="1402"/>
      <c r="BY478" s="1402"/>
      <c r="BZ478" s="1402"/>
      <c r="CA478" s="1402"/>
      <c r="CB478" s="1402"/>
      <c r="CD478" s="1408">
        <f t="shared" si="917"/>
        <v>0</v>
      </c>
      <c r="DC478" s="16" t="str">
        <f>Novembre!FC36</f>
        <v>non</v>
      </c>
      <c r="DG478" s="333">
        <f t="shared" si="918"/>
        <v>1</v>
      </c>
      <c r="DH478" s="129">
        <f t="shared" si="896"/>
        <v>10</v>
      </c>
      <c r="DI478" s="129">
        <f t="shared" si="919"/>
        <v>1</v>
      </c>
      <c r="DK478" s="16">
        <f>+IF(AND(Novembre!$DP$8&lt;&gt;52,AR478=S.CAL!$BJ$4),10,1)</f>
        <v>1</v>
      </c>
      <c r="DN478" s="16">
        <f t="shared" si="897"/>
        <v>1</v>
      </c>
      <c r="DU478" s="1296" t="str">
        <f t="shared" si="920"/>
        <v>Fiche infoA145978</v>
      </c>
      <c r="DV478" s="1384">
        <f t="shared" si="898"/>
        <v>0</v>
      </c>
      <c r="DW478" s="1385">
        <f t="shared" si="899"/>
        <v>0</v>
      </c>
      <c r="DX478" s="1385">
        <f t="shared" si="900"/>
        <v>0</v>
      </c>
      <c r="DY478" s="1385">
        <f t="shared" si="901"/>
        <v>0</v>
      </c>
      <c r="DZ478" s="1385">
        <f t="shared" si="902"/>
        <v>0</v>
      </c>
      <c r="EA478" s="1385">
        <f t="shared" si="903"/>
        <v>0</v>
      </c>
      <c r="EB478" s="1385">
        <f t="shared" si="904"/>
        <v>0</v>
      </c>
      <c r="EC478" s="1385">
        <f t="shared" si="905"/>
        <v>0</v>
      </c>
      <c r="ED478" s="1385">
        <f t="shared" si="921"/>
        <v>0</v>
      </c>
      <c r="EE478" s="1386">
        <f t="shared" si="922"/>
        <v>0</v>
      </c>
      <c r="EG478" s="16" t="str">
        <f t="shared" si="923"/>
        <v>472025</v>
      </c>
      <c r="EH478" s="16" t="str">
        <f t="shared" si="906"/>
        <v>Fiche infoA1</v>
      </c>
      <c r="EI478" s="16" t="str">
        <f t="shared" si="907"/>
        <v/>
      </c>
    </row>
    <row r="479" spans="1:139" x14ac:dyDescent="0.2">
      <c r="A479" s="1395" t="str">
        <f>Novembre!BJ37</f>
        <v>Fiche infoA2</v>
      </c>
      <c r="B479" s="829">
        <f>Novembre!AB37</f>
        <v>45979</v>
      </c>
      <c r="C479" s="1394"/>
      <c r="D479" s="1001">
        <f t="shared" si="863"/>
        <v>0</v>
      </c>
      <c r="E479" s="452">
        <f t="shared" si="864"/>
        <v>0</v>
      </c>
      <c r="F479" s="452">
        <f t="shared" si="865"/>
        <v>0</v>
      </c>
      <c r="G479" s="452">
        <f t="shared" si="866"/>
        <v>0</v>
      </c>
      <c r="H479" s="452">
        <f t="shared" si="867"/>
        <v>0</v>
      </c>
      <c r="I479" s="452">
        <f t="shared" si="868"/>
        <v>0</v>
      </c>
      <c r="J479" s="452">
        <f t="shared" si="869"/>
        <v>0</v>
      </c>
      <c r="K479" s="452">
        <f t="shared" si="870"/>
        <v>0</v>
      </c>
      <c r="L479" s="452">
        <f t="shared" si="908"/>
        <v>0</v>
      </c>
      <c r="M479" s="1002">
        <f t="shared" si="909"/>
        <v>0</v>
      </c>
      <c r="N479" s="1396"/>
      <c r="O479" s="1001">
        <f t="shared" si="925"/>
        <v>0</v>
      </c>
      <c r="P479" s="452">
        <f t="shared" si="926"/>
        <v>0</v>
      </c>
      <c r="Q479" s="452">
        <f t="shared" si="927"/>
        <v>0</v>
      </c>
      <c r="R479" s="452">
        <f t="shared" si="928"/>
        <v>0</v>
      </c>
      <c r="S479" s="452">
        <f t="shared" si="929"/>
        <v>0</v>
      </c>
      <c r="T479" s="452">
        <f t="shared" si="930"/>
        <v>0</v>
      </c>
      <c r="U479" s="452">
        <f t="shared" si="931"/>
        <v>0</v>
      </c>
      <c r="V479" s="452">
        <f t="shared" si="932"/>
        <v>0</v>
      </c>
      <c r="W479" s="452">
        <f t="shared" si="879"/>
        <v>0</v>
      </c>
      <c r="X479" s="1002">
        <f t="shared" si="880"/>
        <v>0</v>
      </c>
      <c r="Y479" s="1397"/>
      <c r="Z479" s="1398">
        <f t="shared" si="881"/>
        <v>0</v>
      </c>
      <c r="AA479" s="1398">
        <f t="shared" si="882"/>
        <v>0</v>
      </c>
      <c r="AB479" s="1398">
        <f t="shared" si="883"/>
        <v>0</v>
      </c>
      <c r="AC479" s="1398">
        <f t="shared" si="884"/>
        <v>0</v>
      </c>
      <c r="AD479" s="1398">
        <f t="shared" si="885"/>
        <v>0</v>
      </c>
      <c r="AE479" s="1398">
        <f t="shared" si="886"/>
        <v>0</v>
      </c>
      <c r="AF479" s="1398">
        <f t="shared" si="887"/>
        <v>0</v>
      </c>
      <c r="AG479" s="1398">
        <f t="shared" si="888"/>
        <v>0</v>
      </c>
      <c r="AH479" s="1396"/>
      <c r="AI479" s="462">
        <f t="shared" si="933"/>
        <v>0</v>
      </c>
      <c r="AJ479" s="1112"/>
      <c r="AK479" s="1399"/>
      <c r="AL479" s="829">
        <f t="shared" si="890"/>
        <v>45979</v>
      </c>
      <c r="AM479" s="684">
        <f>IFERROR(IF(AND(AT479="",AR479&lt;&gt;S.CAL!$BJ$3,AR479&lt;&gt;S.CAL!$BJ$4,$AR$455="NON"),M479-BD479,IF(AND(AT479="",AR479&lt;&gt;S.CAL!$BJ$3,AR479&lt;&gt;S.CAL!$BJ$4,$AR$455="OUI"),X479-AI479,IF(AT479&lt;&gt;0,AT479,IF(OR(AR479=S.CAL!$BJ$3,AR479=S.CAL!$BJ$4),AR479,"")))),"")</f>
        <v>0</v>
      </c>
      <c r="AN479" s="1115"/>
      <c r="AO479" s="1116"/>
      <c r="AP479" s="684">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400">
        <f t="shared" si="910"/>
        <v>0</v>
      </c>
      <c r="AR479" s="1120"/>
      <c r="AS479" s="1396"/>
      <c r="AT479" s="1123"/>
      <c r="AU479" s="831"/>
      <c r="AV479" s="1392">
        <f t="shared" si="891"/>
        <v>45979</v>
      </c>
      <c r="AW479" s="1396"/>
      <c r="AX479" s="529">
        <f t="shared" si="911"/>
        <v>45979</v>
      </c>
      <c r="AY479" s="541">
        <f t="shared" si="912"/>
        <v>0</v>
      </c>
      <c r="AZ479" s="538" t="s">
        <v>146</v>
      </c>
      <c r="BA479" s="534">
        <f t="shared" si="913"/>
        <v>0</v>
      </c>
      <c r="BB479" s="567" t="str">
        <f t="shared" si="892"/>
        <v/>
      </c>
      <c r="BC479" s="541">
        <f t="shared" si="914"/>
        <v>0</v>
      </c>
      <c r="BD479" s="541">
        <f t="shared" si="915"/>
        <v>0</v>
      </c>
      <c r="BE479" s="1126"/>
      <c r="BF479" s="532" t="str">
        <f t="shared" si="893"/>
        <v/>
      </c>
      <c r="BG479" s="532" t="str">
        <f t="shared" si="916"/>
        <v>oui</v>
      </c>
      <c r="BH479" s="395" t="str">
        <f t="shared" si="894"/>
        <v/>
      </c>
      <c r="BI479" s="24" t="str">
        <f t="shared" si="895"/>
        <v/>
      </c>
      <c r="BJ479" s="1404"/>
      <c r="BK479" s="1404"/>
      <c r="BL479" s="1404"/>
      <c r="BM479" s="1404"/>
      <c r="BN479" s="1404"/>
      <c r="BO479" s="1404"/>
      <c r="BP479" s="1404"/>
      <c r="BQ479" s="1404"/>
      <c r="BR479" s="1405"/>
      <c r="BS479" s="1392">
        <f t="shared" si="862"/>
        <v>45979</v>
      </c>
      <c r="BT479" s="1406" t="str">
        <f t="shared" si="924"/>
        <v/>
      </c>
      <c r="BU479" s="1404"/>
      <c r="BV479" s="1404"/>
      <c r="BW479" s="1404"/>
      <c r="BX479" s="1404"/>
      <c r="BY479" s="1404"/>
      <c r="BZ479" s="1404"/>
      <c r="CA479" s="1404"/>
      <c r="CB479" s="1404"/>
      <c r="CD479" s="1408">
        <f t="shared" si="917"/>
        <v>0</v>
      </c>
      <c r="DC479" s="16" t="str">
        <f>Novembre!FC37</f>
        <v>non</v>
      </c>
      <c r="DG479" s="333">
        <f t="shared" si="918"/>
        <v>1</v>
      </c>
      <c r="DH479" s="129">
        <f t="shared" si="896"/>
        <v>10</v>
      </c>
      <c r="DI479" s="129">
        <f t="shared" si="919"/>
        <v>1</v>
      </c>
      <c r="DK479" s="16">
        <f>+IF(AND(Novembre!$DP$8&lt;&gt;52,AR479=S.CAL!$BJ$4),10,1)</f>
        <v>1</v>
      </c>
      <c r="DN479" s="16">
        <f t="shared" si="897"/>
        <v>1</v>
      </c>
      <c r="DU479" s="1296" t="str">
        <f t="shared" si="920"/>
        <v>Fiche infoA245979</v>
      </c>
      <c r="DV479" s="1384">
        <f t="shared" si="898"/>
        <v>0</v>
      </c>
      <c r="DW479" s="1385">
        <f t="shared" si="899"/>
        <v>0</v>
      </c>
      <c r="DX479" s="1385">
        <f t="shared" si="900"/>
        <v>0</v>
      </c>
      <c r="DY479" s="1385">
        <f t="shared" si="901"/>
        <v>0</v>
      </c>
      <c r="DZ479" s="1385">
        <f t="shared" si="902"/>
        <v>0</v>
      </c>
      <c r="EA479" s="1385">
        <f t="shared" si="903"/>
        <v>0</v>
      </c>
      <c r="EB479" s="1385">
        <f t="shared" si="904"/>
        <v>0</v>
      </c>
      <c r="EC479" s="1385">
        <f t="shared" si="905"/>
        <v>0</v>
      </c>
      <c r="ED479" s="1385">
        <f t="shared" si="921"/>
        <v>0</v>
      </c>
      <c r="EE479" s="1386">
        <f t="shared" si="922"/>
        <v>0</v>
      </c>
      <c r="EG479" s="16" t="str">
        <f t="shared" si="923"/>
        <v>472025</v>
      </c>
      <c r="EH479" s="16" t="str">
        <f t="shared" si="906"/>
        <v>Fiche infoA2</v>
      </c>
      <c r="EI479" s="16" t="str">
        <f t="shared" si="907"/>
        <v/>
      </c>
    </row>
    <row r="480" spans="1:139" x14ac:dyDescent="0.2">
      <c r="A480" s="24" t="str">
        <f>Novembre!BJ38</f>
        <v>Fiche infoA3</v>
      </c>
      <c r="B480" s="829">
        <f>Novembre!AB38</f>
        <v>45980</v>
      </c>
      <c r="C480" s="1393"/>
      <c r="D480" s="1001">
        <f t="shared" si="863"/>
        <v>0</v>
      </c>
      <c r="E480" s="452">
        <f t="shared" si="864"/>
        <v>0</v>
      </c>
      <c r="F480" s="452">
        <f t="shared" si="865"/>
        <v>0</v>
      </c>
      <c r="G480" s="452">
        <f t="shared" si="866"/>
        <v>0</v>
      </c>
      <c r="H480" s="452">
        <f t="shared" si="867"/>
        <v>0</v>
      </c>
      <c r="I480" s="452">
        <f t="shared" si="868"/>
        <v>0</v>
      </c>
      <c r="J480" s="452">
        <f t="shared" si="869"/>
        <v>0</v>
      </c>
      <c r="K480" s="452">
        <f t="shared" si="870"/>
        <v>0</v>
      </c>
      <c r="L480" s="452">
        <f t="shared" si="908"/>
        <v>0</v>
      </c>
      <c r="M480" s="1002">
        <f t="shared" si="909"/>
        <v>0</v>
      </c>
      <c r="O480" s="1001">
        <f t="shared" si="925"/>
        <v>0</v>
      </c>
      <c r="P480" s="452">
        <f t="shared" si="926"/>
        <v>0</v>
      </c>
      <c r="Q480" s="452">
        <f t="shared" si="927"/>
        <v>0</v>
      </c>
      <c r="R480" s="452">
        <f t="shared" si="928"/>
        <v>0</v>
      </c>
      <c r="S480" s="452">
        <f t="shared" si="929"/>
        <v>0</v>
      </c>
      <c r="T480" s="452">
        <f t="shared" si="930"/>
        <v>0</v>
      </c>
      <c r="U480" s="452">
        <f t="shared" si="931"/>
        <v>0</v>
      </c>
      <c r="V480" s="452">
        <f t="shared" si="932"/>
        <v>0</v>
      </c>
      <c r="W480" s="452">
        <f t="shared" si="879"/>
        <v>0</v>
      </c>
      <c r="X480" s="1002">
        <f t="shared" si="880"/>
        <v>0</v>
      </c>
      <c r="Y480" s="459"/>
      <c r="Z480" s="291">
        <f t="shared" si="881"/>
        <v>0</v>
      </c>
      <c r="AA480" s="291">
        <f t="shared" si="882"/>
        <v>0</v>
      </c>
      <c r="AB480" s="291">
        <f t="shared" si="883"/>
        <v>0</v>
      </c>
      <c r="AC480" s="291">
        <f t="shared" si="884"/>
        <v>0</v>
      </c>
      <c r="AD480" s="291">
        <f t="shared" si="885"/>
        <v>0</v>
      </c>
      <c r="AE480" s="291">
        <f t="shared" si="886"/>
        <v>0</v>
      </c>
      <c r="AF480" s="291">
        <f t="shared" si="887"/>
        <v>0</v>
      </c>
      <c r="AG480" s="291">
        <f t="shared" si="888"/>
        <v>0</v>
      </c>
      <c r="AI480" s="462">
        <f t="shared" si="933"/>
        <v>0</v>
      </c>
      <c r="AJ480" s="1112"/>
      <c r="AK480" s="507"/>
      <c r="AL480" s="829">
        <f t="shared" si="890"/>
        <v>45980</v>
      </c>
      <c r="AM480" s="684">
        <f>IFERROR(IF(AND(AT480="",AR480&lt;&gt;S.CAL!$BJ$3,AR480&lt;&gt;S.CAL!$BJ$4,$AR$455="NON"),M480-BD480,IF(AND(AT480="",AR480&lt;&gt;S.CAL!$BJ$3,AR480&lt;&gt;S.CAL!$BJ$4,$AR$455="OUI"),X480-AI480,IF(AT480&lt;&gt;0,AT480,IF(OR(AR480=S.CAL!$BJ$3,AR480=S.CAL!$BJ$4),AR480,"")))),"")</f>
        <v>0</v>
      </c>
      <c r="AN480" s="1115"/>
      <c r="AO480" s="1116"/>
      <c r="AP480" s="684">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516">
        <f t="shared" si="910"/>
        <v>0</v>
      </c>
      <c r="AR480" s="1120"/>
      <c r="AT480" s="1123"/>
      <c r="AU480" s="831"/>
      <c r="AV480" s="1392">
        <f t="shared" si="891"/>
        <v>45980</v>
      </c>
      <c r="AX480" s="529">
        <f t="shared" si="911"/>
        <v>45980</v>
      </c>
      <c r="AY480" s="541">
        <f t="shared" si="912"/>
        <v>0</v>
      </c>
      <c r="AZ480" s="538" t="s">
        <v>146</v>
      </c>
      <c r="BA480" s="534">
        <f t="shared" si="913"/>
        <v>0</v>
      </c>
      <c r="BB480" s="567" t="str">
        <f t="shared" si="892"/>
        <v/>
      </c>
      <c r="BC480" s="541">
        <f t="shared" si="914"/>
        <v>0</v>
      </c>
      <c r="BD480" s="541">
        <f t="shared" si="915"/>
        <v>0</v>
      </c>
      <c r="BE480" s="1126"/>
      <c r="BF480" s="532" t="str">
        <f t="shared" si="893"/>
        <v/>
      </c>
      <c r="BG480" s="532" t="str">
        <f t="shared" si="916"/>
        <v>oui</v>
      </c>
      <c r="BH480" s="395" t="str">
        <f t="shared" si="894"/>
        <v/>
      </c>
      <c r="BI480" s="24" t="str">
        <f t="shared" si="895"/>
        <v/>
      </c>
      <c r="BJ480" s="1403"/>
      <c r="BK480" s="1403"/>
      <c r="BL480" s="1403"/>
      <c r="BM480" s="1403"/>
      <c r="BN480" s="1403"/>
      <c r="BO480" s="1403"/>
      <c r="BP480" s="1403"/>
      <c r="BQ480" s="1403"/>
      <c r="BS480" s="1392">
        <f t="shared" si="862"/>
        <v>45980</v>
      </c>
      <c r="BT480" s="27" t="str">
        <f t="shared" si="924"/>
        <v/>
      </c>
      <c r="BU480" s="1402"/>
      <c r="BV480" s="1402"/>
      <c r="BW480" s="1402"/>
      <c r="BX480" s="1402"/>
      <c r="BY480" s="1402"/>
      <c r="BZ480" s="1402"/>
      <c r="CA480" s="1402"/>
      <c r="CB480" s="1402"/>
      <c r="CD480" s="1408">
        <f t="shared" si="917"/>
        <v>0</v>
      </c>
      <c r="DC480" s="16" t="str">
        <f>Novembre!FC38</f>
        <v>non</v>
      </c>
      <c r="DG480" s="333">
        <f t="shared" si="918"/>
        <v>1</v>
      </c>
      <c r="DH480" s="129">
        <f t="shared" si="896"/>
        <v>10</v>
      </c>
      <c r="DI480" s="129">
        <f t="shared" si="919"/>
        <v>1</v>
      </c>
      <c r="DK480" s="16">
        <f>+IF(AND(Novembre!$DP$8&lt;&gt;52,AR480=S.CAL!$BJ$4),10,1)</f>
        <v>1</v>
      </c>
      <c r="DN480" s="16">
        <f t="shared" si="897"/>
        <v>1</v>
      </c>
      <c r="DU480" s="1296" t="str">
        <f t="shared" si="920"/>
        <v>Fiche infoA345980</v>
      </c>
      <c r="DV480" s="1384">
        <f t="shared" si="898"/>
        <v>0</v>
      </c>
      <c r="DW480" s="1385">
        <f t="shared" si="899"/>
        <v>0</v>
      </c>
      <c r="DX480" s="1385">
        <f t="shared" si="900"/>
        <v>0</v>
      </c>
      <c r="DY480" s="1385">
        <f t="shared" si="901"/>
        <v>0</v>
      </c>
      <c r="DZ480" s="1385">
        <f t="shared" si="902"/>
        <v>0</v>
      </c>
      <c r="EA480" s="1385">
        <f t="shared" si="903"/>
        <v>0</v>
      </c>
      <c r="EB480" s="1385">
        <f t="shared" si="904"/>
        <v>0</v>
      </c>
      <c r="EC480" s="1385">
        <f t="shared" si="905"/>
        <v>0</v>
      </c>
      <c r="ED480" s="1385">
        <f t="shared" si="921"/>
        <v>0</v>
      </c>
      <c r="EE480" s="1386">
        <f t="shared" si="922"/>
        <v>0</v>
      </c>
      <c r="EG480" s="16" t="str">
        <f t="shared" si="923"/>
        <v>472025</v>
      </c>
      <c r="EH480" s="16" t="str">
        <f t="shared" si="906"/>
        <v>Fiche infoA3</v>
      </c>
      <c r="EI480" s="16" t="str">
        <f t="shared" si="907"/>
        <v/>
      </c>
    </row>
    <row r="481" spans="1:144" x14ac:dyDescent="0.2">
      <c r="A481" s="1395" t="str">
        <f>Novembre!BJ39</f>
        <v>Fiche infoA4</v>
      </c>
      <c r="B481" s="829">
        <f>Novembre!AB39</f>
        <v>45981</v>
      </c>
      <c r="C481" s="1394"/>
      <c r="D481" s="1001">
        <f t="shared" si="863"/>
        <v>0</v>
      </c>
      <c r="E481" s="452">
        <f t="shared" si="864"/>
        <v>0</v>
      </c>
      <c r="F481" s="452">
        <f t="shared" si="865"/>
        <v>0</v>
      </c>
      <c r="G481" s="452">
        <f t="shared" si="866"/>
        <v>0</v>
      </c>
      <c r="H481" s="452">
        <f t="shared" si="867"/>
        <v>0</v>
      </c>
      <c r="I481" s="452">
        <f t="shared" si="868"/>
        <v>0</v>
      </c>
      <c r="J481" s="452">
        <f t="shared" si="869"/>
        <v>0</v>
      </c>
      <c r="K481" s="452">
        <f t="shared" si="870"/>
        <v>0</v>
      </c>
      <c r="L481" s="452">
        <f t="shared" si="908"/>
        <v>0</v>
      </c>
      <c r="M481" s="1002">
        <f t="shared" si="909"/>
        <v>0</v>
      </c>
      <c r="N481" s="1396"/>
      <c r="O481" s="1001">
        <f t="shared" si="925"/>
        <v>0</v>
      </c>
      <c r="P481" s="452">
        <f t="shared" si="926"/>
        <v>0</v>
      </c>
      <c r="Q481" s="452">
        <f t="shared" si="927"/>
        <v>0</v>
      </c>
      <c r="R481" s="452">
        <f t="shared" si="928"/>
        <v>0</v>
      </c>
      <c r="S481" s="452">
        <f t="shared" si="929"/>
        <v>0</v>
      </c>
      <c r="T481" s="452">
        <f t="shared" si="930"/>
        <v>0</v>
      </c>
      <c r="U481" s="452">
        <f t="shared" si="931"/>
        <v>0</v>
      </c>
      <c r="V481" s="452">
        <f t="shared" si="932"/>
        <v>0</v>
      </c>
      <c r="W481" s="452">
        <f t="shared" si="879"/>
        <v>0</v>
      </c>
      <c r="X481" s="1002">
        <f t="shared" si="880"/>
        <v>0</v>
      </c>
      <c r="Y481" s="1397"/>
      <c r="Z481" s="1398">
        <f t="shared" si="881"/>
        <v>0</v>
      </c>
      <c r="AA481" s="1398">
        <f t="shared" si="882"/>
        <v>0</v>
      </c>
      <c r="AB481" s="1398">
        <f t="shared" si="883"/>
        <v>0</v>
      </c>
      <c r="AC481" s="1398">
        <f t="shared" si="884"/>
        <v>0</v>
      </c>
      <c r="AD481" s="1398">
        <f t="shared" si="885"/>
        <v>0</v>
      </c>
      <c r="AE481" s="1398">
        <f t="shared" si="886"/>
        <v>0</v>
      </c>
      <c r="AF481" s="1398">
        <f t="shared" si="887"/>
        <v>0</v>
      </c>
      <c r="AG481" s="1398">
        <f t="shared" si="888"/>
        <v>0</v>
      </c>
      <c r="AH481" s="1396"/>
      <c r="AI481" s="462">
        <f t="shared" si="933"/>
        <v>0</v>
      </c>
      <c r="AJ481" s="1112"/>
      <c r="AK481" s="1399"/>
      <c r="AL481" s="829">
        <f t="shared" si="890"/>
        <v>45981</v>
      </c>
      <c r="AM481" s="684">
        <f>IFERROR(IF(AND(AT481="",AR481&lt;&gt;S.CAL!$BJ$3,AR481&lt;&gt;S.CAL!$BJ$4,$AR$455="NON"),M481-BD481,IF(AND(AT481="",AR481&lt;&gt;S.CAL!$BJ$3,AR481&lt;&gt;S.CAL!$BJ$4,$AR$455="OUI"),X481-AI481,IF(AT481&lt;&gt;0,AT481,IF(OR(AR481=S.CAL!$BJ$3,AR481=S.CAL!$BJ$4),AR481,"")))),"")</f>
        <v>0</v>
      </c>
      <c r="AN481" s="1115"/>
      <c r="AO481" s="1116"/>
      <c r="AP481" s="684">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400">
        <f t="shared" si="910"/>
        <v>0</v>
      </c>
      <c r="AR481" s="1120"/>
      <c r="AS481" s="1396"/>
      <c r="AT481" s="1123"/>
      <c r="AU481" s="831"/>
      <c r="AV481" s="1392">
        <f t="shared" si="891"/>
        <v>45981</v>
      </c>
      <c r="AW481" s="1396"/>
      <c r="AX481" s="529">
        <f t="shared" si="911"/>
        <v>45981</v>
      </c>
      <c r="AY481" s="541">
        <f t="shared" si="912"/>
        <v>0</v>
      </c>
      <c r="AZ481" s="538" t="s">
        <v>146</v>
      </c>
      <c r="BA481" s="534">
        <f t="shared" si="913"/>
        <v>0</v>
      </c>
      <c r="BB481" s="567" t="str">
        <f t="shared" si="892"/>
        <v/>
      </c>
      <c r="BC481" s="541">
        <f t="shared" si="914"/>
        <v>0</v>
      </c>
      <c r="BD481" s="541">
        <f t="shared" si="915"/>
        <v>0</v>
      </c>
      <c r="BE481" s="1126"/>
      <c r="BF481" s="532" t="str">
        <f t="shared" si="893"/>
        <v/>
      </c>
      <c r="BG481" s="532" t="str">
        <f t="shared" si="916"/>
        <v>oui</v>
      </c>
      <c r="BH481" s="395" t="str">
        <f t="shared" si="894"/>
        <v/>
      </c>
      <c r="BI481" s="24" t="str">
        <f t="shared" si="895"/>
        <v/>
      </c>
      <c r="BJ481" s="1404"/>
      <c r="BK481" s="1404"/>
      <c r="BL481" s="1404"/>
      <c r="BM481" s="1404"/>
      <c r="BN481" s="1404"/>
      <c r="BO481" s="1404"/>
      <c r="BP481" s="1404"/>
      <c r="BQ481" s="1404"/>
      <c r="BR481" s="1405"/>
      <c r="BS481" s="1392">
        <f t="shared" si="862"/>
        <v>45981</v>
      </c>
      <c r="BT481" s="1406" t="str">
        <f t="shared" si="924"/>
        <v/>
      </c>
      <c r="BU481" s="1404"/>
      <c r="BV481" s="1404"/>
      <c r="BW481" s="1404"/>
      <c r="BX481" s="1404"/>
      <c r="BY481" s="1404"/>
      <c r="BZ481" s="1404"/>
      <c r="CA481" s="1404"/>
      <c r="CB481" s="1404"/>
      <c r="CD481" s="1408">
        <f t="shared" si="917"/>
        <v>0</v>
      </c>
      <c r="DC481" s="16" t="str">
        <f>Novembre!FC39</f>
        <v>non</v>
      </c>
      <c r="DG481" s="333">
        <f t="shared" si="918"/>
        <v>1</v>
      </c>
      <c r="DH481" s="129">
        <f t="shared" si="896"/>
        <v>10</v>
      </c>
      <c r="DI481" s="129">
        <f t="shared" si="919"/>
        <v>1</v>
      </c>
      <c r="DK481" s="16">
        <f>+IF(AND(Novembre!$DP$8&lt;&gt;52,AR481=S.CAL!$BJ$4),10,1)</f>
        <v>1</v>
      </c>
      <c r="DN481" s="16">
        <f t="shared" si="897"/>
        <v>1</v>
      </c>
      <c r="DU481" s="1296" t="str">
        <f t="shared" si="920"/>
        <v>Fiche infoA445981</v>
      </c>
      <c r="DV481" s="1384">
        <f t="shared" si="898"/>
        <v>0</v>
      </c>
      <c r="DW481" s="1385">
        <f t="shared" si="899"/>
        <v>0</v>
      </c>
      <c r="DX481" s="1385">
        <f t="shared" si="900"/>
        <v>0</v>
      </c>
      <c r="DY481" s="1385">
        <f t="shared" si="901"/>
        <v>0</v>
      </c>
      <c r="DZ481" s="1385">
        <f t="shared" si="902"/>
        <v>0</v>
      </c>
      <c r="EA481" s="1385">
        <f t="shared" si="903"/>
        <v>0</v>
      </c>
      <c r="EB481" s="1385">
        <f t="shared" si="904"/>
        <v>0</v>
      </c>
      <c r="EC481" s="1385">
        <f t="shared" si="905"/>
        <v>0</v>
      </c>
      <c r="ED481" s="1385">
        <f t="shared" si="921"/>
        <v>0</v>
      </c>
      <c r="EE481" s="1386">
        <f t="shared" si="922"/>
        <v>0</v>
      </c>
      <c r="EG481" s="16" t="str">
        <f t="shared" si="923"/>
        <v>472025</v>
      </c>
      <c r="EH481" s="16" t="str">
        <f t="shared" si="906"/>
        <v>Fiche infoA4</v>
      </c>
      <c r="EI481" s="16" t="str">
        <f t="shared" si="907"/>
        <v/>
      </c>
    </row>
    <row r="482" spans="1:144" x14ac:dyDescent="0.2">
      <c r="A482" s="24" t="str">
        <f>Novembre!BJ40</f>
        <v>Fiche infoA5</v>
      </c>
      <c r="B482" s="829">
        <f>Novembre!AB40</f>
        <v>45982</v>
      </c>
      <c r="C482" s="1393"/>
      <c r="D482" s="1001">
        <f t="shared" si="863"/>
        <v>0</v>
      </c>
      <c r="E482" s="452">
        <f t="shared" si="864"/>
        <v>0</v>
      </c>
      <c r="F482" s="452">
        <f t="shared" si="865"/>
        <v>0</v>
      </c>
      <c r="G482" s="452">
        <f t="shared" si="866"/>
        <v>0</v>
      </c>
      <c r="H482" s="452">
        <f t="shared" si="867"/>
        <v>0</v>
      </c>
      <c r="I482" s="452">
        <f t="shared" si="868"/>
        <v>0</v>
      </c>
      <c r="J482" s="452">
        <f t="shared" si="869"/>
        <v>0</v>
      </c>
      <c r="K482" s="452">
        <f t="shared" si="870"/>
        <v>0</v>
      </c>
      <c r="L482" s="452">
        <f t="shared" si="908"/>
        <v>0</v>
      </c>
      <c r="M482" s="1002">
        <f t="shared" si="909"/>
        <v>0</v>
      </c>
      <c r="O482" s="1001">
        <f t="shared" si="925"/>
        <v>0</v>
      </c>
      <c r="P482" s="452">
        <f t="shared" si="926"/>
        <v>0</v>
      </c>
      <c r="Q482" s="452">
        <f t="shared" si="927"/>
        <v>0</v>
      </c>
      <c r="R482" s="452">
        <f t="shared" si="928"/>
        <v>0</v>
      </c>
      <c r="S482" s="452">
        <f t="shared" si="929"/>
        <v>0</v>
      </c>
      <c r="T482" s="452">
        <f t="shared" si="930"/>
        <v>0</v>
      </c>
      <c r="U482" s="452">
        <f t="shared" si="931"/>
        <v>0</v>
      </c>
      <c r="V482" s="452">
        <f t="shared" si="932"/>
        <v>0</v>
      </c>
      <c r="W482" s="452">
        <f t="shared" si="879"/>
        <v>0</v>
      </c>
      <c r="X482" s="1002">
        <f t="shared" si="880"/>
        <v>0</v>
      </c>
      <c r="Y482" s="459"/>
      <c r="Z482" s="291">
        <f t="shared" si="881"/>
        <v>0</v>
      </c>
      <c r="AA482" s="291">
        <f t="shared" si="882"/>
        <v>0</v>
      </c>
      <c r="AB482" s="291">
        <f t="shared" si="883"/>
        <v>0</v>
      </c>
      <c r="AC482" s="291">
        <f t="shared" si="884"/>
        <v>0</v>
      </c>
      <c r="AD482" s="291">
        <f t="shared" si="885"/>
        <v>0</v>
      </c>
      <c r="AE482" s="291">
        <f t="shared" si="886"/>
        <v>0</v>
      </c>
      <c r="AF482" s="291">
        <f t="shared" si="887"/>
        <v>0</v>
      </c>
      <c r="AG482" s="291">
        <f t="shared" si="888"/>
        <v>0</v>
      </c>
      <c r="AI482" s="462">
        <f t="shared" si="933"/>
        <v>0</v>
      </c>
      <c r="AJ482" s="1112"/>
      <c r="AK482" s="507"/>
      <c r="AL482" s="829">
        <f t="shared" si="890"/>
        <v>45982</v>
      </c>
      <c r="AM482" s="684">
        <f>IFERROR(IF(AND(AT482="",AR482&lt;&gt;S.CAL!$BJ$3,AR482&lt;&gt;S.CAL!$BJ$4,$AR$455="NON"),M482-BD482,IF(AND(AT482="",AR482&lt;&gt;S.CAL!$BJ$3,AR482&lt;&gt;S.CAL!$BJ$4,$AR$455="OUI"),X482-AI482,IF(AT482&lt;&gt;0,AT482,IF(OR(AR482=S.CAL!$BJ$3,AR482=S.CAL!$BJ$4),AR482,"")))),"")</f>
        <v>0</v>
      </c>
      <c r="AN482" s="1115"/>
      <c r="AO482" s="1116"/>
      <c r="AP482" s="684">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516">
        <f t="shared" si="910"/>
        <v>0</v>
      </c>
      <c r="AR482" s="1120"/>
      <c r="AT482" s="1123"/>
      <c r="AU482" s="831"/>
      <c r="AV482" s="1392">
        <f t="shared" si="891"/>
        <v>45982</v>
      </c>
      <c r="AX482" s="529">
        <f t="shared" si="911"/>
        <v>45982</v>
      </c>
      <c r="AY482" s="541">
        <f t="shared" si="912"/>
        <v>0</v>
      </c>
      <c r="AZ482" s="538" t="s">
        <v>146</v>
      </c>
      <c r="BA482" s="534">
        <f t="shared" si="913"/>
        <v>0</v>
      </c>
      <c r="BB482" s="567" t="str">
        <f t="shared" si="892"/>
        <v/>
      </c>
      <c r="BC482" s="541">
        <f t="shared" si="914"/>
        <v>0</v>
      </c>
      <c r="BD482" s="541">
        <f t="shared" si="915"/>
        <v>0</v>
      </c>
      <c r="BE482" s="1126"/>
      <c r="BF482" s="532" t="str">
        <f t="shared" si="893"/>
        <v/>
      </c>
      <c r="BG482" s="532" t="str">
        <f t="shared" si="916"/>
        <v>oui</v>
      </c>
      <c r="BH482" s="395" t="str">
        <f t="shared" si="894"/>
        <v/>
      </c>
      <c r="BI482" s="24" t="str">
        <f t="shared" si="895"/>
        <v/>
      </c>
      <c r="BJ482" s="1403"/>
      <c r="BK482" s="1403"/>
      <c r="BL482" s="1403"/>
      <c r="BM482" s="1403"/>
      <c r="BN482" s="1403"/>
      <c r="BO482" s="1403"/>
      <c r="BP482" s="1403"/>
      <c r="BQ482" s="1403"/>
      <c r="BS482" s="1392">
        <f t="shared" si="862"/>
        <v>45982</v>
      </c>
      <c r="BT482" s="27" t="str">
        <f t="shared" si="924"/>
        <v/>
      </c>
      <c r="BU482" s="1402"/>
      <c r="BV482" s="1402"/>
      <c r="BW482" s="1402"/>
      <c r="BX482" s="1402"/>
      <c r="BY482" s="1402"/>
      <c r="BZ482" s="1402"/>
      <c r="CA482" s="1402"/>
      <c r="CB482" s="1402"/>
      <c r="CD482" s="1408">
        <f t="shared" si="917"/>
        <v>0</v>
      </c>
      <c r="DC482" s="16" t="str">
        <f>Novembre!FC40</f>
        <v>non</v>
      </c>
      <c r="DG482" s="333">
        <f t="shared" si="918"/>
        <v>1</v>
      </c>
      <c r="DH482" s="129">
        <f t="shared" si="896"/>
        <v>10</v>
      </c>
      <c r="DI482" s="129">
        <f t="shared" si="919"/>
        <v>1</v>
      </c>
      <c r="DK482" s="16">
        <f>+IF(AND(Novembre!$DP$8&lt;&gt;52,AR482=S.CAL!$BJ$4),10,1)</f>
        <v>1</v>
      </c>
      <c r="DN482" s="16">
        <f t="shared" si="897"/>
        <v>1</v>
      </c>
      <c r="DU482" s="1296" t="str">
        <f t="shared" si="920"/>
        <v>Fiche infoA545982</v>
      </c>
      <c r="DV482" s="1384">
        <f t="shared" si="898"/>
        <v>0</v>
      </c>
      <c r="DW482" s="1385">
        <f t="shared" si="899"/>
        <v>0</v>
      </c>
      <c r="DX482" s="1385">
        <f t="shared" si="900"/>
        <v>0</v>
      </c>
      <c r="DY482" s="1385">
        <f t="shared" si="901"/>
        <v>0</v>
      </c>
      <c r="DZ482" s="1385">
        <f t="shared" si="902"/>
        <v>0</v>
      </c>
      <c r="EA482" s="1385">
        <f t="shared" si="903"/>
        <v>0</v>
      </c>
      <c r="EB482" s="1385">
        <f t="shared" si="904"/>
        <v>0</v>
      </c>
      <c r="EC482" s="1385">
        <f t="shared" si="905"/>
        <v>0</v>
      </c>
      <c r="ED482" s="1385">
        <f t="shared" si="921"/>
        <v>0</v>
      </c>
      <c r="EE482" s="1386">
        <f t="shared" si="922"/>
        <v>0</v>
      </c>
      <c r="EG482" s="16" t="str">
        <f t="shared" si="923"/>
        <v>472025</v>
      </c>
      <c r="EH482" s="16" t="str">
        <f t="shared" si="906"/>
        <v>Fiche infoA5</v>
      </c>
      <c r="EI482" s="16" t="str">
        <f t="shared" si="907"/>
        <v/>
      </c>
    </row>
    <row r="483" spans="1:144" x14ac:dyDescent="0.2">
      <c r="A483" s="1395" t="str">
        <f>Novembre!BJ41</f>
        <v>Fiche infoA6</v>
      </c>
      <c r="B483" s="829">
        <f>Novembre!AB41</f>
        <v>45983</v>
      </c>
      <c r="C483" s="1394"/>
      <c r="D483" s="1001">
        <f t="shared" si="863"/>
        <v>0</v>
      </c>
      <c r="E483" s="452">
        <f t="shared" si="864"/>
        <v>0</v>
      </c>
      <c r="F483" s="452">
        <f t="shared" si="865"/>
        <v>0</v>
      </c>
      <c r="G483" s="452">
        <f t="shared" si="866"/>
        <v>0</v>
      </c>
      <c r="H483" s="452">
        <f t="shared" si="867"/>
        <v>0</v>
      </c>
      <c r="I483" s="452">
        <f t="shared" si="868"/>
        <v>0</v>
      </c>
      <c r="J483" s="452">
        <f t="shared" si="869"/>
        <v>0</v>
      </c>
      <c r="K483" s="452">
        <f t="shared" si="870"/>
        <v>0</v>
      </c>
      <c r="L483" s="452">
        <f t="shared" si="908"/>
        <v>0</v>
      </c>
      <c r="M483" s="1002">
        <f t="shared" si="909"/>
        <v>0</v>
      </c>
      <c r="N483" s="1396"/>
      <c r="O483" s="1001">
        <f t="shared" si="925"/>
        <v>0</v>
      </c>
      <c r="P483" s="452">
        <f t="shared" si="926"/>
        <v>0</v>
      </c>
      <c r="Q483" s="452">
        <f t="shared" si="927"/>
        <v>0</v>
      </c>
      <c r="R483" s="452">
        <f t="shared" si="928"/>
        <v>0</v>
      </c>
      <c r="S483" s="452">
        <f t="shared" si="929"/>
        <v>0</v>
      </c>
      <c r="T483" s="452">
        <f t="shared" si="930"/>
        <v>0</v>
      </c>
      <c r="U483" s="452">
        <f t="shared" si="931"/>
        <v>0</v>
      </c>
      <c r="V483" s="452">
        <f t="shared" si="932"/>
        <v>0</v>
      </c>
      <c r="W483" s="452">
        <f t="shared" si="879"/>
        <v>0</v>
      </c>
      <c r="X483" s="1002">
        <f t="shared" si="880"/>
        <v>0</v>
      </c>
      <c r="Y483" s="1397"/>
      <c r="Z483" s="1398">
        <f t="shared" si="881"/>
        <v>0</v>
      </c>
      <c r="AA483" s="1398">
        <f t="shared" si="882"/>
        <v>0</v>
      </c>
      <c r="AB483" s="1398">
        <f t="shared" si="883"/>
        <v>0</v>
      </c>
      <c r="AC483" s="1398">
        <f t="shared" si="884"/>
        <v>0</v>
      </c>
      <c r="AD483" s="1398">
        <f t="shared" si="885"/>
        <v>0</v>
      </c>
      <c r="AE483" s="1398">
        <f t="shared" si="886"/>
        <v>0</v>
      </c>
      <c r="AF483" s="1398">
        <f t="shared" si="887"/>
        <v>0</v>
      </c>
      <c r="AG483" s="1398">
        <f t="shared" si="888"/>
        <v>0</v>
      </c>
      <c r="AH483" s="1396"/>
      <c r="AI483" s="462">
        <f t="shared" si="933"/>
        <v>0</v>
      </c>
      <c r="AJ483" s="1112"/>
      <c r="AK483" s="1399"/>
      <c r="AL483" s="829">
        <f t="shared" si="890"/>
        <v>45983</v>
      </c>
      <c r="AM483" s="684">
        <f>IFERROR(IF(AND(AT483="",AR483&lt;&gt;S.CAL!$BJ$3,AR483&lt;&gt;S.CAL!$BJ$4,$AR$455="NON"),M483-BD483,IF(AND(AT483="",AR483&lt;&gt;S.CAL!$BJ$3,AR483&lt;&gt;S.CAL!$BJ$4,$AR$455="OUI"),X483-AI483,IF(AT483&lt;&gt;0,AT483,IF(OR(AR483=S.CAL!$BJ$3,AR483=S.CAL!$BJ$4),AR483,"")))),"")</f>
        <v>0</v>
      </c>
      <c r="AN483" s="1115"/>
      <c r="AO483" s="1116"/>
      <c r="AP483" s="684">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400">
        <f t="shared" si="910"/>
        <v>0</v>
      </c>
      <c r="AR483" s="1120"/>
      <c r="AS483" s="1396"/>
      <c r="AT483" s="1123"/>
      <c r="AU483" s="831"/>
      <c r="AV483" s="1392">
        <f t="shared" si="891"/>
        <v>45983</v>
      </c>
      <c r="AW483" s="1396"/>
      <c r="AX483" s="529">
        <f t="shared" si="911"/>
        <v>45983</v>
      </c>
      <c r="AY483" s="541">
        <f t="shared" si="912"/>
        <v>0</v>
      </c>
      <c r="AZ483" s="538" t="s">
        <v>146</v>
      </c>
      <c r="BA483" s="534">
        <f t="shared" si="913"/>
        <v>0</v>
      </c>
      <c r="BB483" s="567" t="str">
        <f t="shared" si="892"/>
        <v/>
      </c>
      <c r="BC483" s="541">
        <f t="shared" si="914"/>
        <v>0</v>
      </c>
      <c r="BD483" s="541">
        <f t="shared" si="915"/>
        <v>0</v>
      </c>
      <c r="BE483" s="1126"/>
      <c r="BF483" s="532" t="str">
        <f t="shared" si="893"/>
        <v/>
      </c>
      <c r="BG483" s="532" t="str">
        <f t="shared" si="916"/>
        <v>oui</v>
      </c>
      <c r="BH483" s="395" t="str">
        <f t="shared" si="894"/>
        <v/>
      </c>
      <c r="BI483" s="24" t="str">
        <f t="shared" si="895"/>
        <v/>
      </c>
      <c r="BJ483" s="1404"/>
      <c r="BK483" s="1404"/>
      <c r="BL483" s="1404"/>
      <c r="BM483" s="1404"/>
      <c r="BN483" s="1404"/>
      <c r="BO483" s="1404"/>
      <c r="BP483" s="1404"/>
      <c r="BQ483" s="1404"/>
      <c r="BR483" s="1405"/>
      <c r="BS483" s="1392">
        <f t="shared" si="862"/>
        <v>45983</v>
      </c>
      <c r="BT483" s="1406" t="str">
        <f t="shared" si="924"/>
        <v/>
      </c>
      <c r="BU483" s="1404"/>
      <c r="BV483" s="1404"/>
      <c r="BW483" s="1404"/>
      <c r="BX483" s="1404"/>
      <c r="BY483" s="1404"/>
      <c r="BZ483" s="1404"/>
      <c r="CA483" s="1404"/>
      <c r="CB483" s="1404"/>
      <c r="CD483" s="1408">
        <f t="shared" si="917"/>
        <v>0</v>
      </c>
      <c r="DC483" s="16" t="str">
        <f>Novembre!FC41</f>
        <v>non</v>
      </c>
      <c r="DG483" s="333">
        <f t="shared" si="918"/>
        <v>1</v>
      </c>
      <c r="DH483" s="129">
        <f t="shared" si="896"/>
        <v>10</v>
      </c>
      <c r="DI483" s="129">
        <f t="shared" si="919"/>
        <v>1</v>
      </c>
      <c r="DK483" s="16">
        <f>+IF(AND(Novembre!$DP$8&lt;&gt;52,AR483=S.CAL!$BJ$4),10,1)</f>
        <v>1</v>
      </c>
      <c r="DN483" s="16">
        <f t="shared" si="897"/>
        <v>1</v>
      </c>
      <c r="DU483" s="1296" t="str">
        <f t="shared" si="920"/>
        <v>Fiche infoA645983</v>
      </c>
      <c r="DV483" s="1384">
        <f t="shared" si="898"/>
        <v>0</v>
      </c>
      <c r="DW483" s="1385">
        <f t="shared" si="899"/>
        <v>0</v>
      </c>
      <c r="DX483" s="1385">
        <f t="shared" si="900"/>
        <v>0</v>
      </c>
      <c r="DY483" s="1385">
        <f t="shared" si="901"/>
        <v>0</v>
      </c>
      <c r="DZ483" s="1385">
        <f t="shared" si="902"/>
        <v>0</v>
      </c>
      <c r="EA483" s="1385">
        <f t="shared" si="903"/>
        <v>0</v>
      </c>
      <c r="EB483" s="1385">
        <f t="shared" si="904"/>
        <v>0</v>
      </c>
      <c r="EC483" s="1385">
        <f t="shared" si="905"/>
        <v>0</v>
      </c>
      <c r="ED483" s="1385">
        <f t="shared" si="921"/>
        <v>0</v>
      </c>
      <c r="EE483" s="1386">
        <f t="shared" si="922"/>
        <v>0</v>
      </c>
      <c r="EG483" s="16" t="str">
        <f t="shared" si="923"/>
        <v>472025</v>
      </c>
      <c r="EH483" s="16" t="str">
        <f t="shared" si="906"/>
        <v>Fiche infoA6</v>
      </c>
      <c r="EI483" s="16" t="str">
        <f t="shared" si="907"/>
        <v/>
      </c>
    </row>
    <row r="484" spans="1:144" x14ac:dyDescent="0.2">
      <c r="A484" s="24" t="str">
        <f>Novembre!BJ42</f>
        <v>Fiche infoA7</v>
      </c>
      <c r="B484" s="829">
        <f>Novembre!AB42</f>
        <v>45984</v>
      </c>
      <c r="C484" s="1393"/>
      <c r="D484" s="1001">
        <f t="shared" si="863"/>
        <v>0</v>
      </c>
      <c r="E484" s="452">
        <f t="shared" si="864"/>
        <v>0</v>
      </c>
      <c r="F484" s="452">
        <f t="shared" si="865"/>
        <v>0</v>
      </c>
      <c r="G484" s="452">
        <f t="shared" si="866"/>
        <v>0</v>
      </c>
      <c r="H484" s="452">
        <f t="shared" si="867"/>
        <v>0</v>
      </c>
      <c r="I484" s="452">
        <f t="shared" si="868"/>
        <v>0</v>
      </c>
      <c r="J484" s="452">
        <f t="shared" si="869"/>
        <v>0</v>
      </c>
      <c r="K484" s="452">
        <f t="shared" si="870"/>
        <v>0</v>
      </c>
      <c r="L484" s="452">
        <f t="shared" si="908"/>
        <v>0</v>
      </c>
      <c r="M484" s="1002">
        <f t="shared" si="909"/>
        <v>0</v>
      </c>
      <c r="O484" s="1001">
        <f t="shared" si="925"/>
        <v>0</v>
      </c>
      <c r="P484" s="452">
        <f t="shared" si="926"/>
        <v>0</v>
      </c>
      <c r="Q484" s="452">
        <f t="shared" si="927"/>
        <v>0</v>
      </c>
      <c r="R484" s="452">
        <f t="shared" si="928"/>
        <v>0</v>
      </c>
      <c r="S484" s="452">
        <f t="shared" si="929"/>
        <v>0</v>
      </c>
      <c r="T484" s="452">
        <f t="shared" si="930"/>
        <v>0</v>
      </c>
      <c r="U484" s="452">
        <f t="shared" si="931"/>
        <v>0</v>
      </c>
      <c r="V484" s="452">
        <f t="shared" si="932"/>
        <v>0</v>
      </c>
      <c r="W484" s="452">
        <f t="shared" si="879"/>
        <v>0</v>
      </c>
      <c r="X484" s="1002">
        <f t="shared" si="880"/>
        <v>0</v>
      </c>
      <c r="Y484" s="459"/>
      <c r="Z484" s="291">
        <f t="shared" si="881"/>
        <v>0</v>
      </c>
      <c r="AA484" s="291">
        <f t="shared" si="882"/>
        <v>0</v>
      </c>
      <c r="AB484" s="291">
        <f t="shared" si="883"/>
        <v>0</v>
      </c>
      <c r="AC484" s="291">
        <f t="shared" si="884"/>
        <v>0</v>
      </c>
      <c r="AD484" s="291">
        <f t="shared" si="885"/>
        <v>0</v>
      </c>
      <c r="AE484" s="291">
        <f t="shared" si="886"/>
        <v>0</v>
      </c>
      <c r="AF484" s="291">
        <f t="shared" si="887"/>
        <v>0</v>
      </c>
      <c r="AG484" s="291">
        <f t="shared" si="888"/>
        <v>0</v>
      </c>
      <c r="AI484" s="462">
        <f t="shared" si="933"/>
        <v>0</v>
      </c>
      <c r="AJ484" s="1112"/>
      <c r="AK484" s="507"/>
      <c r="AL484" s="829">
        <f t="shared" si="890"/>
        <v>45984</v>
      </c>
      <c r="AM484" s="684">
        <f>IFERROR(IF(AND(AT484="",AR484&lt;&gt;S.CAL!$BJ$3,AR484&lt;&gt;S.CAL!$BJ$4,$AR$455="NON"),M484-BD484,IF(AND(AT484="",AR484&lt;&gt;S.CAL!$BJ$3,AR484&lt;&gt;S.CAL!$BJ$4,$AR$455="OUI"),X484-AI484,IF(AT484&lt;&gt;0,AT484,IF(OR(AR484=S.CAL!$BJ$3,AR484=S.CAL!$BJ$4),AR484,"")))),"")</f>
        <v>0</v>
      </c>
      <c r="AN484" s="1115"/>
      <c r="AO484" s="1116"/>
      <c r="AP484" s="684">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516">
        <f t="shared" si="910"/>
        <v>0</v>
      </c>
      <c r="AR484" s="1120"/>
      <c r="AT484" s="1123"/>
      <c r="AU484" s="831"/>
      <c r="AV484" s="1392">
        <f t="shared" si="891"/>
        <v>45984</v>
      </c>
      <c r="AX484" s="529">
        <f t="shared" si="911"/>
        <v>45984</v>
      </c>
      <c r="AY484" s="541">
        <f t="shared" si="912"/>
        <v>0</v>
      </c>
      <c r="AZ484" s="538" t="s">
        <v>146</v>
      </c>
      <c r="BA484" s="534">
        <f t="shared" si="913"/>
        <v>0</v>
      </c>
      <c r="BB484" s="567" t="str">
        <f t="shared" si="892"/>
        <v/>
      </c>
      <c r="BC484" s="541">
        <f t="shared" si="914"/>
        <v>0</v>
      </c>
      <c r="BD484" s="541">
        <f t="shared" si="915"/>
        <v>0</v>
      </c>
      <c r="BE484" s="1126"/>
      <c r="BF484" s="532" t="str">
        <f t="shared" si="893"/>
        <v/>
      </c>
      <c r="BG484" s="532" t="str">
        <f t="shared" si="916"/>
        <v>oui</v>
      </c>
      <c r="BH484" s="395" t="str">
        <f t="shared" si="894"/>
        <v/>
      </c>
      <c r="BI484" s="24" t="str">
        <f t="shared" si="895"/>
        <v/>
      </c>
      <c r="BJ484" s="1403"/>
      <c r="BK484" s="1403"/>
      <c r="BL484" s="1403"/>
      <c r="BM484" s="1403"/>
      <c r="BN484" s="1403"/>
      <c r="BO484" s="1403"/>
      <c r="BP484" s="1403"/>
      <c r="BQ484" s="1403"/>
      <c r="BS484" s="1392">
        <f t="shared" si="862"/>
        <v>45984</v>
      </c>
      <c r="BT484" s="27" t="str">
        <f t="shared" si="924"/>
        <v/>
      </c>
      <c r="BU484" s="1402"/>
      <c r="BV484" s="1402"/>
      <c r="BW484" s="1402"/>
      <c r="BX484" s="1402"/>
      <c r="BY484" s="1402"/>
      <c r="BZ484" s="1402"/>
      <c r="CA484" s="1402"/>
      <c r="CB484" s="1402"/>
      <c r="CD484" s="1408">
        <f t="shared" si="917"/>
        <v>0</v>
      </c>
      <c r="DC484" s="16" t="str">
        <f>Novembre!FC42</f>
        <v>non</v>
      </c>
      <c r="DG484" s="333">
        <f t="shared" si="918"/>
        <v>1</v>
      </c>
      <c r="DH484" s="129">
        <f t="shared" si="896"/>
        <v>10</v>
      </c>
      <c r="DI484" s="129">
        <f t="shared" si="919"/>
        <v>1</v>
      </c>
      <c r="DK484" s="16">
        <f>+IF(AND(Novembre!$DP$8&lt;&gt;52,AR484=S.CAL!$BJ$4),10,1)</f>
        <v>1</v>
      </c>
      <c r="DN484" s="16">
        <f t="shared" si="897"/>
        <v>1</v>
      </c>
      <c r="DU484" s="1296" t="str">
        <f t="shared" si="920"/>
        <v>Fiche infoA745984</v>
      </c>
      <c r="DV484" s="1384">
        <f t="shared" si="898"/>
        <v>0</v>
      </c>
      <c r="DW484" s="1385">
        <f t="shared" si="899"/>
        <v>0</v>
      </c>
      <c r="DX484" s="1385">
        <f t="shared" si="900"/>
        <v>0</v>
      </c>
      <c r="DY484" s="1385">
        <f t="shared" si="901"/>
        <v>0</v>
      </c>
      <c r="DZ484" s="1385">
        <f t="shared" si="902"/>
        <v>0</v>
      </c>
      <c r="EA484" s="1385">
        <f t="shared" si="903"/>
        <v>0</v>
      </c>
      <c r="EB484" s="1385">
        <f t="shared" si="904"/>
        <v>0</v>
      </c>
      <c r="EC484" s="1385">
        <f t="shared" si="905"/>
        <v>0</v>
      </c>
      <c r="ED484" s="1385">
        <f t="shared" si="921"/>
        <v>0</v>
      </c>
      <c r="EE484" s="1386">
        <f t="shared" si="922"/>
        <v>0</v>
      </c>
      <c r="EG484" s="16" t="str">
        <f t="shared" si="923"/>
        <v>472025</v>
      </c>
      <c r="EH484" s="16" t="str">
        <f t="shared" si="906"/>
        <v>Fiche infoA7</v>
      </c>
      <c r="EI484" s="16" t="str">
        <f t="shared" si="907"/>
        <v/>
      </c>
    </row>
    <row r="485" spans="1:144" x14ac:dyDescent="0.2">
      <c r="A485" s="1395" t="str">
        <f>Novembre!BJ43</f>
        <v>Fiche infoA1</v>
      </c>
      <c r="B485" s="829">
        <f>Novembre!AB43</f>
        <v>45985</v>
      </c>
      <c r="C485" s="1394"/>
      <c r="D485" s="1001">
        <f t="shared" si="863"/>
        <v>0</v>
      </c>
      <c r="E485" s="452">
        <f t="shared" si="864"/>
        <v>0</v>
      </c>
      <c r="F485" s="452">
        <f t="shared" si="865"/>
        <v>0</v>
      </c>
      <c r="G485" s="452">
        <f t="shared" si="866"/>
        <v>0</v>
      </c>
      <c r="H485" s="452">
        <f t="shared" si="867"/>
        <v>0</v>
      </c>
      <c r="I485" s="452">
        <f t="shared" si="868"/>
        <v>0</v>
      </c>
      <c r="J485" s="452">
        <f t="shared" si="869"/>
        <v>0</v>
      </c>
      <c r="K485" s="452">
        <f t="shared" si="870"/>
        <v>0</v>
      </c>
      <c r="L485" s="452">
        <f t="shared" si="908"/>
        <v>0</v>
      </c>
      <c r="M485" s="1002">
        <f t="shared" si="909"/>
        <v>0</v>
      </c>
      <c r="N485" s="1396"/>
      <c r="O485" s="1001">
        <f t="shared" si="925"/>
        <v>0</v>
      </c>
      <c r="P485" s="452">
        <f t="shared" si="926"/>
        <v>0</v>
      </c>
      <c r="Q485" s="452">
        <f t="shared" si="927"/>
        <v>0</v>
      </c>
      <c r="R485" s="452">
        <f t="shared" si="928"/>
        <v>0</v>
      </c>
      <c r="S485" s="452">
        <f t="shared" si="929"/>
        <v>0</v>
      </c>
      <c r="T485" s="452">
        <f t="shared" si="930"/>
        <v>0</v>
      </c>
      <c r="U485" s="452">
        <f t="shared" si="931"/>
        <v>0</v>
      </c>
      <c r="V485" s="452">
        <f t="shared" si="932"/>
        <v>0</v>
      </c>
      <c r="W485" s="452">
        <f t="shared" si="879"/>
        <v>0</v>
      </c>
      <c r="X485" s="1002">
        <f t="shared" si="880"/>
        <v>0</v>
      </c>
      <c r="Y485" s="1397"/>
      <c r="Z485" s="1398">
        <f t="shared" si="881"/>
        <v>0</v>
      </c>
      <c r="AA485" s="1398">
        <f t="shared" si="882"/>
        <v>0</v>
      </c>
      <c r="AB485" s="1398">
        <f t="shared" si="883"/>
        <v>0</v>
      </c>
      <c r="AC485" s="1398">
        <f t="shared" si="884"/>
        <v>0</v>
      </c>
      <c r="AD485" s="1398">
        <f t="shared" si="885"/>
        <v>0</v>
      </c>
      <c r="AE485" s="1398">
        <f t="shared" si="886"/>
        <v>0</v>
      </c>
      <c r="AF485" s="1398">
        <f t="shared" si="887"/>
        <v>0</v>
      </c>
      <c r="AG485" s="1398">
        <f t="shared" si="888"/>
        <v>0</v>
      </c>
      <c r="AH485" s="1396"/>
      <c r="AI485" s="462">
        <f t="shared" si="933"/>
        <v>0</v>
      </c>
      <c r="AJ485" s="1112"/>
      <c r="AK485" s="1399"/>
      <c r="AL485" s="829">
        <f t="shared" si="890"/>
        <v>45985</v>
      </c>
      <c r="AM485" s="684">
        <f>IFERROR(IF(AND(AT485="",AR485&lt;&gt;S.CAL!$BJ$3,AR485&lt;&gt;S.CAL!$BJ$4,$AR$455="NON"),M485-BD485,IF(AND(AT485="",AR485&lt;&gt;S.CAL!$BJ$3,AR485&lt;&gt;S.CAL!$BJ$4,$AR$455="OUI"),X485-AI485,IF(AT485&lt;&gt;0,AT485,IF(OR(AR485=S.CAL!$BJ$3,AR485=S.CAL!$BJ$4),AR485,"")))),"")</f>
        <v>0</v>
      </c>
      <c r="AN485" s="1115"/>
      <c r="AO485" s="1116"/>
      <c r="AP485" s="684">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400">
        <f t="shared" si="910"/>
        <v>0</v>
      </c>
      <c r="AR485" s="1120"/>
      <c r="AS485" s="1396"/>
      <c r="AT485" s="1123"/>
      <c r="AU485" s="831"/>
      <c r="AV485" s="1392">
        <f t="shared" si="891"/>
        <v>45985</v>
      </c>
      <c r="AW485" s="1396"/>
      <c r="AX485" s="529">
        <f t="shared" si="911"/>
        <v>45985</v>
      </c>
      <c r="AY485" s="541">
        <f t="shared" si="912"/>
        <v>0</v>
      </c>
      <c r="AZ485" s="538" t="s">
        <v>146</v>
      </c>
      <c r="BA485" s="534">
        <f t="shared" si="913"/>
        <v>0</v>
      </c>
      <c r="BB485" s="567" t="str">
        <f t="shared" si="892"/>
        <v/>
      </c>
      <c r="BC485" s="541">
        <f t="shared" si="914"/>
        <v>0</v>
      </c>
      <c r="BD485" s="541">
        <f t="shared" si="915"/>
        <v>0</v>
      </c>
      <c r="BE485" s="1126"/>
      <c r="BF485" s="532" t="str">
        <f t="shared" si="893"/>
        <v/>
      </c>
      <c r="BG485" s="532" t="str">
        <f t="shared" si="916"/>
        <v>oui</v>
      </c>
      <c r="BH485" s="395" t="str">
        <f t="shared" si="894"/>
        <v/>
      </c>
      <c r="BI485" s="24" t="str">
        <f t="shared" si="895"/>
        <v/>
      </c>
      <c r="BJ485" s="1404"/>
      <c r="BK485" s="1404"/>
      <c r="BL485" s="1404"/>
      <c r="BM485" s="1404"/>
      <c r="BN485" s="1404"/>
      <c r="BO485" s="1404"/>
      <c r="BP485" s="1404"/>
      <c r="BQ485" s="1404"/>
      <c r="BR485" s="1405"/>
      <c r="BS485" s="1392">
        <f t="shared" si="862"/>
        <v>45985</v>
      </c>
      <c r="BT485" s="1406">
        <f t="shared" si="924"/>
        <v>48</v>
      </c>
      <c r="BU485" s="1404"/>
      <c r="BV485" s="1404"/>
      <c r="BW485" s="1404"/>
      <c r="BX485" s="1404"/>
      <c r="BY485" s="1404"/>
      <c r="BZ485" s="1404"/>
      <c r="CA485" s="1404"/>
      <c r="CB485" s="1404"/>
      <c r="CD485" s="1408">
        <f t="shared" si="917"/>
        <v>0</v>
      </c>
      <c r="DC485" s="16" t="str">
        <f>Novembre!FC43</f>
        <v>non</v>
      </c>
      <c r="DG485" s="333">
        <f t="shared" si="918"/>
        <v>1</v>
      </c>
      <c r="DH485" s="129">
        <f t="shared" si="896"/>
        <v>10</v>
      </c>
      <c r="DI485" s="129">
        <f t="shared" si="919"/>
        <v>1</v>
      </c>
      <c r="DK485" s="16">
        <f>+IF(AND(Novembre!$DP$8&lt;&gt;52,AR485=S.CAL!$BJ$4),10,1)</f>
        <v>1</v>
      </c>
      <c r="DN485" s="16">
        <f t="shared" si="897"/>
        <v>1</v>
      </c>
      <c r="DU485" s="1296" t="str">
        <f t="shared" si="920"/>
        <v>Fiche infoA145985</v>
      </c>
      <c r="DV485" s="1384">
        <f t="shared" si="898"/>
        <v>0</v>
      </c>
      <c r="DW485" s="1385">
        <f t="shared" si="899"/>
        <v>0</v>
      </c>
      <c r="DX485" s="1385">
        <f t="shared" si="900"/>
        <v>0</v>
      </c>
      <c r="DY485" s="1385">
        <f t="shared" si="901"/>
        <v>0</v>
      </c>
      <c r="DZ485" s="1385">
        <f t="shared" si="902"/>
        <v>0</v>
      </c>
      <c r="EA485" s="1385">
        <f t="shared" si="903"/>
        <v>0</v>
      </c>
      <c r="EB485" s="1385">
        <f t="shared" si="904"/>
        <v>0</v>
      </c>
      <c r="EC485" s="1385">
        <f t="shared" si="905"/>
        <v>0</v>
      </c>
      <c r="ED485" s="1385">
        <f t="shared" si="921"/>
        <v>0</v>
      </c>
      <c r="EE485" s="1386">
        <f t="shared" si="922"/>
        <v>0</v>
      </c>
      <c r="EG485" s="16" t="str">
        <f t="shared" si="923"/>
        <v>482025</v>
      </c>
      <c r="EH485" s="16" t="str">
        <f t="shared" si="906"/>
        <v>Fiche infoA1</v>
      </c>
      <c r="EI485" s="16" t="str">
        <f t="shared" si="907"/>
        <v/>
      </c>
    </row>
    <row r="486" spans="1:144" x14ac:dyDescent="0.2">
      <c r="A486" s="24" t="str">
        <f>Novembre!BJ44</f>
        <v>Fiche infoA2</v>
      </c>
      <c r="B486" s="829">
        <f>Novembre!AB44</f>
        <v>45986</v>
      </c>
      <c r="C486" s="1393"/>
      <c r="D486" s="1001">
        <f t="shared" si="863"/>
        <v>0</v>
      </c>
      <c r="E486" s="452">
        <f t="shared" si="864"/>
        <v>0</v>
      </c>
      <c r="F486" s="452">
        <f t="shared" si="865"/>
        <v>0</v>
      </c>
      <c r="G486" s="452">
        <f t="shared" si="866"/>
        <v>0</v>
      </c>
      <c r="H486" s="452">
        <f t="shared" si="867"/>
        <v>0</v>
      </c>
      <c r="I486" s="452">
        <f t="shared" si="868"/>
        <v>0</v>
      </c>
      <c r="J486" s="452">
        <f t="shared" si="869"/>
        <v>0</v>
      </c>
      <c r="K486" s="452">
        <f t="shared" si="870"/>
        <v>0</v>
      </c>
      <c r="L486" s="452">
        <f t="shared" si="908"/>
        <v>0</v>
      </c>
      <c r="M486" s="1002">
        <f t="shared" si="909"/>
        <v>0</v>
      </c>
      <c r="O486" s="1001">
        <f t="shared" si="925"/>
        <v>0</v>
      </c>
      <c r="P486" s="452">
        <f t="shared" si="926"/>
        <v>0</v>
      </c>
      <c r="Q486" s="452">
        <f t="shared" si="927"/>
        <v>0</v>
      </c>
      <c r="R486" s="452">
        <f t="shared" si="928"/>
        <v>0</v>
      </c>
      <c r="S486" s="452">
        <f t="shared" si="929"/>
        <v>0</v>
      </c>
      <c r="T486" s="452">
        <f t="shared" si="930"/>
        <v>0</v>
      </c>
      <c r="U486" s="452">
        <f t="shared" si="931"/>
        <v>0</v>
      </c>
      <c r="V486" s="452">
        <f t="shared" si="932"/>
        <v>0</v>
      </c>
      <c r="W486" s="452">
        <f t="shared" si="879"/>
        <v>0</v>
      </c>
      <c r="X486" s="1002">
        <f t="shared" si="880"/>
        <v>0</v>
      </c>
      <c r="Y486" s="459"/>
      <c r="Z486" s="291">
        <f t="shared" si="881"/>
        <v>0</v>
      </c>
      <c r="AA486" s="291">
        <f t="shared" si="882"/>
        <v>0</v>
      </c>
      <c r="AB486" s="291">
        <f t="shared" si="883"/>
        <v>0</v>
      </c>
      <c r="AC486" s="291">
        <f t="shared" si="884"/>
        <v>0</v>
      </c>
      <c r="AD486" s="291">
        <f t="shared" si="885"/>
        <v>0</v>
      </c>
      <c r="AE486" s="291">
        <f t="shared" si="886"/>
        <v>0</v>
      </c>
      <c r="AF486" s="291">
        <f t="shared" si="887"/>
        <v>0</v>
      </c>
      <c r="AG486" s="291">
        <f t="shared" si="888"/>
        <v>0</v>
      </c>
      <c r="AI486" s="462">
        <f t="shared" si="933"/>
        <v>0</v>
      </c>
      <c r="AJ486" s="1112"/>
      <c r="AK486" s="507"/>
      <c r="AL486" s="829">
        <f t="shared" si="890"/>
        <v>45986</v>
      </c>
      <c r="AM486" s="684">
        <f>IFERROR(IF(AND(AT486="",AR486&lt;&gt;S.CAL!$BJ$3,AR486&lt;&gt;S.CAL!$BJ$4,$AR$455="NON"),M486-BD486,IF(AND(AT486="",AR486&lt;&gt;S.CAL!$BJ$3,AR486&lt;&gt;S.CAL!$BJ$4,$AR$455="OUI"),X486-AI486,IF(AT486&lt;&gt;0,AT486,IF(OR(AR486=S.CAL!$BJ$3,AR486=S.CAL!$BJ$4),AR486,"")))),"")</f>
        <v>0</v>
      </c>
      <c r="AN486" s="1115"/>
      <c r="AO486" s="1116"/>
      <c r="AP486" s="684">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516">
        <f t="shared" si="910"/>
        <v>0</v>
      </c>
      <c r="AR486" s="1120"/>
      <c r="AT486" s="1123"/>
      <c r="AU486" s="831"/>
      <c r="AV486" s="1392">
        <f t="shared" si="891"/>
        <v>45986</v>
      </c>
      <c r="AX486" s="529">
        <f t="shared" si="911"/>
        <v>45986</v>
      </c>
      <c r="AY486" s="541">
        <f t="shared" si="912"/>
        <v>0</v>
      </c>
      <c r="AZ486" s="538" t="s">
        <v>146</v>
      </c>
      <c r="BA486" s="534">
        <f t="shared" si="913"/>
        <v>0</v>
      </c>
      <c r="BB486" s="567" t="str">
        <f t="shared" si="892"/>
        <v/>
      </c>
      <c r="BC486" s="541">
        <f t="shared" si="914"/>
        <v>0</v>
      </c>
      <c r="BD486" s="541">
        <f t="shared" si="915"/>
        <v>0</v>
      </c>
      <c r="BE486" s="1126"/>
      <c r="BF486" s="532" t="str">
        <f t="shared" si="893"/>
        <v/>
      </c>
      <c r="BG486" s="532" t="str">
        <f t="shared" si="916"/>
        <v>oui</v>
      </c>
      <c r="BH486" s="395" t="str">
        <f t="shared" si="894"/>
        <v/>
      </c>
      <c r="BI486" s="24" t="str">
        <f t="shared" si="895"/>
        <v/>
      </c>
      <c r="BJ486" s="1403"/>
      <c r="BK486" s="1403"/>
      <c r="BL486" s="1403"/>
      <c r="BM486" s="1403"/>
      <c r="BN486" s="1403"/>
      <c r="BO486" s="1403"/>
      <c r="BP486" s="1403"/>
      <c r="BQ486" s="1403"/>
      <c r="BS486" s="1392">
        <f t="shared" si="862"/>
        <v>45986</v>
      </c>
      <c r="BT486" s="27" t="str">
        <f t="shared" si="924"/>
        <v/>
      </c>
      <c r="BU486" s="1402"/>
      <c r="BV486" s="1402"/>
      <c r="BW486" s="1402"/>
      <c r="BX486" s="1402"/>
      <c r="BY486" s="1402"/>
      <c r="BZ486" s="1402"/>
      <c r="CA486" s="1402"/>
      <c r="CB486" s="1402"/>
      <c r="CD486" s="1408">
        <f t="shared" si="917"/>
        <v>0</v>
      </c>
      <c r="DC486" s="16" t="str">
        <f>Novembre!FC44</f>
        <v>non</v>
      </c>
      <c r="DG486" s="333">
        <f t="shared" si="918"/>
        <v>1</v>
      </c>
      <c r="DH486" s="129">
        <f t="shared" si="896"/>
        <v>10</v>
      </c>
      <c r="DI486" s="129">
        <f t="shared" si="919"/>
        <v>1</v>
      </c>
      <c r="DK486" s="16">
        <f>+IF(AND(Novembre!$DP$8&lt;&gt;52,AR486=S.CAL!$BJ$4),10,1)</f>
        <v>1</v>
      </c>
      <c r="DN486" s="16">
        <f t="shared" si="897"/>
        <v>1</v>
      </c>
      <c r="DU486" s="1296" t="str">
        <f t="shared" si="920"/>
        <v>Fiche infoA245986</v>
      </c>
      <c r="DV486" s="1384">
        <f t="shared" si="898"/>
        <v>0</v>
      </c>
      <c r="DW486" s="1385">
        <f t="shared" si="899"/>
        <v>0</v>
      </c>
      <c r="DX486" s="1385">
        <f t="shared" si="900"/>
        <v>0</v>
      </c>
      <c r="DY486" s="1385">
        <f t="shared" si="901"/>
        <v>0</v>
      </c>
      <c r="DZ486" s="1385">
        <f t="shared" si="902"/>
        <v>0</v>
      </c>
      <c r="EA486" s="1385">
        <f t="shared" si="903"/>
        <v>0</v>
      </c>
      <c r="EB486" s="1385">
        <f t="shared" si="904"/>
        <v>0</v>
      </c>
      <c r="EC486" s="1385">
        <f t="shared" si="905"/>
        <v>0</v>
      </c>
      <c r="ED486" s="1385">
        <f t="shared" si="921"/>
        <v>0</v>
      </c>
      <c r="EE486" s="1386">
        <f t="shared" si="922"/>
        <v>0</v>
      </c>
      <c r="EG486" s="16" t="str">
        <f t="shared" si="923"/>
        <v>482025</v>
      </c>
      <c r="EH486" s="16" t="str">
        <f t="shared" si="906"/>
        <v>Fiche infoA2</v>
      </c>
      <c r="EI486" s="16" t="str">
        <f t="shared" si="907"/>
        <v/>
      </c>
    </row>
    <row r="487" spans="1:144" x14ac:dyDescent="0.2">
      <c r="A487" s="1395" t="str">
        <f>Novembre!BJ45</f>
        <v>Fiche infoA3</v>
      </c>
      <c r="B487" s="829">
        <f>Novembre!AB45</f>
        <v>45987</v>
      </c>
      <c r="C487" s="1394"/>
      <c r="D487" s="1001">
        <f t="shared" si="863"/>
        <v>0</v>
      </c>
      <c r="E487" s="452">
        <f t="shared" si="864"/>
        <v>0</v>
      </c>
      <c r="F487" s="452">
        <f t="shared" si="865"/>
        <v>0</v>
      </c>
      <c r="G487" s="452">
        <f t="shared" si="866"/>
        <v>0</v>
      </c>
      <c r="H487" s="452">
        <f t="shared" si="867"/>
        <v>0</v>
      </c>
      <c r="I487" s="452">
        <f t="shared" si="868"/>
        <v>0</v>
      </c>
      <c r="J487" s="452">
        <f t="shared" si="869"/>
        <v>0</v>
      </c>
      <c r="K487" s="452">
        <f t="shared" si="870"/>
        <v>0</v>
      </c>
      <c r="L487" s="452">
        <f t="shared" si="908"/>
        <v>0</v>
      </c>
      <c r="M487" s="1002">
        <f t="shared" si="909"/>
        <v>0</v>
      </c>
      <c r="N487" s="1396"/>
      <c r="O487" s="1001">
        <f t="shared" si="925"/>
        <v>0</v>
      </c>
      <c r="P487" s="452">
        <f t="shared" si="926"/>
        <v>0</v>
      </c>
      <c r="Q487" s="452">
        <f t="shared" si="927"/>
        <v>0</v>
      </c>
      <c r="R487" s="452">
        <f t="shared" si="928"/>
        <v>0</v>
      </c>
      <c r="S487" s="452">
        <f t="shared" si="929"/>
        <v>0</v>
      </c>
      <c r="T487" s="452">
        <f t="shared" si="930"/>
        <v>0</v>
      </c>
      <c r="U487" s="452">
        <f t="shared" si="931"/>
        <v>0</v>
      </c>
      <c r="V487" s="452">
        <f t="shared" si="932"/>
        <v>0</v>
      </c>
      <c r="W487" s="452">
        <f t="shared" si="879"/>
        <v>0</v>
      </c>
      <c r="X487" s="1002">
        <f t="shared" si="880"/>
        <v>0</v>
      </c>
      <c r="Y487" s="1397"/>
      <c r="Z487" s="1398">
        <f t="shared" si="881"/>
        <v>0</v>
      </c>
      <c r="AA487" s="1398">
        <f t="shared" si="882"/>
        <v>0</v>
      </c>
      <c r="AB487" s="1398">
        <f t="shared" si="883"/>
        <v>0</v>
      </c>
      <c r="AC487" s="1398">
        <f t="shared" si="884"/>
        <v>0</v>
      </c>
      <c r="AD487" s="1398">
        <f t="shared" si="885"/>
        <v>0</v>
      </c>
      <c r="AE487" s="1398">
        <f t="shared" si="886"/>
        <v>0</v>
      </c>
      <c r="AF487" s="1398">
        <f t="shared" si="887"/>
        <v>0</v>
      </c>
      <c r="AG487" s="1398">
        <f t="shared" si="888"/>
        <v>0</v>
      </c>
      <c r="AH487" s="1396"/>
      <c r="AI487" s="462">
        <f t="shared" si="933"/>
        <v>0</v>
      </c>
      <c r="AJ487" s="1112"/>
      <c r="AK487" s="1399"/>
      <c r="AL487" s="829">
        <f t="shared" si="890"/>
        <v>45987</v>
      </c>
      <c r="AM487" s="684">
        <f>IFERROR(IF(AND(AT487="",AR487&lt;&gt;S.CAL!$BJ$3,AR487&lt;&gt;S.CAL!$BJ$4,$AR$455="NON"),M487-BD487,IF(AND(AT487="",AR487&lt;&gt;S.CAL!$BJ$3,AR487&lt;&gt;S.CAL!$BJ$4,$AR$455="OUI"),X487-AI487,IF(AT487&lt;&gt;0,AT487,IF(OR(AR487=S.CAL!$BJ$3,AR487=S.CAL!$BJ$4),AR487,"")))),"")</f>
        <v>0</v>
      </c>
      <c r="AN487" s="1115"/>
      <c r="AO487" s="1116"/>
      <c r="AP487" s="684">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400">
        <f t="shared" si="910"/>
        <v>0</v>
      </c>
      <c r="AR487" s="1120"/>
      <c r="AS487" s="1396"/>
      <c r="AT487" s="1123"/>
      <c r="AU487" s="831"/>
      <c r="AV487" s="1392">
        <f t="shared" si="891"/>
        <v>45987</v>
      </c>
      <c r="AW487" s="1396"/>
      <c r="AX487" s="529">
        <f t="shared" si="911"/>
        <v>45987</v>
      </c>
      <c r="AY487" s="541">
        <f t="shared" si="912"/>
        <v>0</v>
      </c>
      <c r="AZ487" s="538" t="s">
        <v>146</v>
      </c>
      <c r="BA487" s="534">
        <f t="shared" si="913"/>
        <v>0</v>
      </c>
      <c r="BB487" s="567" t="str">
        <f t="shared" si="892"/>
        <v/>
      </c>
      <c r="BC487" s="541">
        <f t="shared" si="914"/>
        <v>0</v>
      </c>
      <c r="BD487" s="541">
        <f t="shared" si="915"/>
        <v>0</v>
      </c>
      <c r="BE487" s="1126"/>
      <c r="BF487" s="532" t="str">
        <f t="shared" si="893"/>
        <v/>
      </c>
      <c r="BG487" s="532" t="str">
        <f t="shared" si="916"/>
        <v>oui</v>
      </c>
      <c r="BH487" s="395" t="str">
        <f t="shared" si="894"/>
        <v/>
      </c>
      <c r="BI487" s="24" t="str">
        <f t="shared" si="895"/>
        <v/>
      </c>
      <c r="BJ487" s="1404"/>
      <c r="BK487" s="1404"/>
      <c r="BL487" s="1404"/>
      <c r="BM487" s="1404"/>
      <c r="BN487" s="1404"/>
      <c r="BO487" s="1404"/>
      <c r="BP487" s="1404"/>
      <c r="BQ487" s="1404"/>
      <c r="BR487" s="1405"/>
      <c r="BS487" s="1392">
        <f t="shared" si="862"/>
        <v>45987</v>
      </c>
      <c r="BT487" s="1406" t="str">
        <f t="shared" si="924"/>
        <v/>
      </c>
      <c r="BU487" s="1404"/>
      <c r="BV487" s="1404"/>
      <c r="BW487" s="1404"/>
      <c r="BX487" s="1404"/>
      <c r="BY487" s="1404"/>
      <c r="BZ487" s="1404"/>
      <c r="CA487" s="1404"/>
      <c r="CB487" s="1404"/>
      <c r="CD487" s="1408">
        <f t="shared" si="917"/>
        <v>0</v>
      </c>
      <c r="DC487" s="16" t="str">
        <f>Novembre!FC45</f>
        <v>non</v>
      </c>
      <c r="DG487" s="333">
        <f t="shared" si="918"/>
        <v>1</v>
      </c>
      <c r="DH487" s="129">
        <f t="shared" si="896"/>
        <v>10</v>
      </c>
      <c r="DI487" s="129">
        <f t="shared" si="919"/>
        <v>1</v>
      </c>
      <c r="DK487" s="16">
        <f>+IF(AND(Novembre!$DP$8&lt;&gt;52,AR487=S.CAL!$BJ$4),10,1)</f>
        <v>1</v>
      </c>
      <c r="DN487" s="16">
        <f t="shared" si="897"/>
        <v>1</v>
      </c>
      <c r="DU487" s="1296" t="str">
        <f t="shared" si="920"/>
        <v>Fiche infoA345987</v>
      </c>
      <c r="DV487" s="1384">
        <f t="shared" si="898"/>
        <v>0</v>
      </c>
      <c r="DW487" s="1385">
        <f t="shared" si="899"/>
        <v>0</v>
      </c>
      <c r="DX487" s="1385">
        <f t="shared" si="900"/>
        <v>0</v>
      </c>
      <c r="DY487" s="1385">
        <f t="shared" si="901"/>
        <v>0</v>
      </c>
      <c r="DZ487" s="1385">
        <f t="shared" si="902"/>
        <v>0</v>
      </c>
      <c r="EA487" s="1385">
        <f t="shared" si="903"/>
        <v>0</v>
      </c>
      <c r="EB487" s="1385">
        <f t="shared" si="904"/>
        <v>0</v>
      </c>
      <c r="EC487" s="1385">
        <f t="shared" si="905"/>
        <v>0</v>
      </c>
      <c r="ED487" s="1385">
        <f t="shared" si="921"/>
        <v>0</v>
      </c>
      <c r="EE487" s="1386">
        <f t="shared" si="922"/>
        <v>0</v>
      </c>
      <c r="EG487" s="16" t="str">
        <f t="shared" si="923"/>
        <v>482025</v>
      </c>
      <c r="EH487" s="16" t="str">
        <f t="shared" si="906"/>
        <v>Fiche infoA3</v>
      </c>
      <c r="EI487" s="16" t="str">
        <f t="shared" si="907"/>
        <v/>
      </c>
    </row>
    <row r="488" spans="1:144" x14ac:dyDescent="0.2">
      <c r="A488" s="24" t="str">
        <f>Novembre!BJ46</f>
        <v>Fiche infoA4</v>
      </c>
      <c r="B488" s="829">
        <f>Novembre!AB46</f>
        <v>45988</v>
      </c>
      <c r="C488" s="1393"/>
      <c r="D488" s="1001">
        <f t="shared" si="863"/>
        <v>0</v>
      </c>
      <c r="E488" s="452">
        <f t="shared" si="864"/>
        <v>0</v>
      </c>
      <c r="F488" s="452">
        <f t="shared" si="865"/>
        <v>0</v>
      </c>
      <c r="G488" s="452">
        <f t="shared" si="866"/>
        <v>0</v>
      </c>
      <c r="H488" s="452">
        <f t="shared" si="867"/>
        <v>0</v>
      </c>
      <c r="I488" s="452">
        <f t="shared" si="868"/>
        <v>0</v>
      </c>
      <c r="J488" s="452">
        <f t="shared" si="869"/>
        <v>0</v>
      </c>
      <c r="K488" s="452">
        <f t="shared" si="870"/>
        <v>0</v>
      </c>
      <c r="L488" s="452">
        <f t="shared" si="908"/>
        <v>0</v>
      </c>
      <c r="M488" s="1002">
        <f t="shared" si="909"/>
        <v>0</v>
      </c>
      <c r="O488" s="1001">
        <f t="shared" si="925"/>
        <v>0</v>
      </c>
      <c r="P488" s="452">
        <f t="shared" si="926"/>
        <v>0</v>
      </c>
      <c r="Q488" s="452">
        <f t="shared" si="927"/>
        <v>0</v>
      </c>
      <c r="R488" s="452">
        <f t="shared" si="928"/>
        <v>0</v>
      </c>
      <c r="S488" s="452">
        <f t="shared" si="929"/>
        <v>0</v>
      </c>
      <c r="T488" s="452">
        <f t="shared" si="930"/>
        <v>0</v>
      </c>
      <c r="U488" s="452">
        <f t="shared" si="931"/>
        <v>0</v>
      </c>
      <c r="V488" s="452">
        <f t="shared" si="932"/>
        <v>0</v>
      </c>
      <c r="W488" s="452">
        <f t="shared" si="879"/>
        <v>0</v>
      </c>
      <c r="X488" s="1002">
        <f t="shared" si="880"/>
        <v>0</v>
      </c>
      <c r="Y488" s="459"/>
      <c r="Z488" s="291">
        <f t="shared" si="881"/>
        <v>0</v>
      </c>
      <c r="AA488" s="291">
        <f t="shared" si="882"/>
        <v>0</v>
      </c>
      <c r="AB488" s="291">
        <f t="shared" si="883"/>
        <v>0</v>
      </c>
      <c r="AC488" s="291">
        <f t="shared" si="884"/>
        <v>0</v>
      </c>
      <c r="AD488" s="291">
        <f t="shared" si="885"/>
        <v>0</v>
      </c>
      <c r="AE488" s="291">
        <f t="shared" si="886"/>
        <v>0</v>
      </c>
      <c r="AF488" s="291">
        <f t="shared" si="887"/>
        <v>0</v>
      </c>
      <c r="AG488" s="291">
        <f t="shared" si="888"/>
        <v>0</v>
      </c>
      <c r="AI488" s="462">
        <f t="shared" si="933"/>
        <v>0</v>
      </c>
      <c r="AJ488" s="1112"/>
      <c r="AK488" s="507"/>
      <c r="AL488" s="829">
        <f t="shared" si="890"/>
        <v>45988</v>
      </c>
      <c r="AM488" s="684">
        <f>IFERROR(IF(AND(AT488="",AR488&lt;&gt;S.CAL!$BJ$3,AR488&lt;&gt;S.CAL!$BJ$4,$AR$455="NON"),M488-BD488,IF(AND(AT488="",AR488&lt;&gt;S.CAL!$BJ$3,AR488&lt;&gt;S.CAL!$BJ$4,$AR$455="OUI"),X488-AI488,IF(AT488&lt;&gt;0,AT488,IF(OR(AR488=S.CAL!$BJ$3,AR488=S.CAL!$BJ$4),AR488,"")))),"")</f>
        <v>0</v>
      </c>
      <c r="AN488" s="1115"/>
      <c r="AO488" s="1116"/>
      <c r="AP488" s="684">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516">
        <f t="shared" si="910"/>
        <v>0</v>
      </c>
      <c r="AR488" s="1120"/>
      <c r="AT488" s="1123"/>
      <c r="AU488" s="831"/>
      <c r="AV488" s="1392">
        <f t="shared" si="891"/>
        <v>45988</v>
      </c>
      <c r="AX488" s="529">
        <f t="shared" si="911"/>
        <v>45988</v>
      </c>
      <c r="AY488" s="541">
        <f t="shared" si="912"/>
        <v>0</v>
      </c>
      <c r="AZ488" s="538" t="s">
        <v>146</v>
      </c>
      <c r="BA488" s="534">
        <f t="shared" si="913"/>
        <v>0</v>
      </c>
      <c r="BB488" s="567" t="str">
        <f t="shared" si="892"/>
        <v/>
      </c>
      <c r="BC488" s="541">
        <f t="shared" si="914"/>
        <v>0</v>
      </c>
      <c r="BD488" s="541">
        <f t="shared" si="915"/>
        <v>0</v>
      </c>
      <c r="BE488" s="1126"/>
      <c r="BF488" s="532" t="str">
        <f t="shared" si="893"/>
        <v/>
      </c>
      <c r="BG488" s="532" t="str">
        <f t="shared" si="916"/>
        <v>oui</v>
      </c>
      <c r="BH488" s="395" t="str">
        <f t="shared" si="894"/>
        <v/>
      </c>
      <c r="BI488" s="24" t="str">
        <f t="shared" si="895"/>
        <v/>
      </c>
      <c r="BJ488" s="1403"/>
      <c r="BK488" s="1403"/>
      <c r="BL488" s="1403"/>
      <c r="BM488" s="1403"/>
      <c r="BN488" s="1403"/>
      <c r="BO488" s="1403"/>
      <c r="BP488" s="1403"/>
      <c r="BQ488" s="1403"/>
      <c r="BS488" s="1392">
        <f t="shared" si="862"/>
        <v>45988</v>
      </c>
      <c r="BT488" s="27" t="str">
        <f t="shared" si="924"/>
        <v/>
      </c>
      <c r="BU488" s="1402"/>
      <c r="BV488" s="1402"/>
      <c r="BW488" s="1402"/>
      <c r="BX488" s="1402"/>
      <c r="BY488" s="1402"/>
      <c r="BZ488" s="1402"/>
      <c r="CA488" s="1402"/>
      <c r="CB488" s="1402"/>
      <c r="CD488" s="1408">
        <f t="shared" si="917"/>
        <v>0</v>
      </c>
      <c r="DC488" s="16" t="str">
        <f>Novembre!FC46</f>
        <v>non</v>
      </c>
      <c r="DG488" s="333">
        <f t="shared" si="918"/>
        <v>1</v>
      </c>
      <c r="DH488" s="129">
        <f t="shared" si="896"/>
        <v>10</v>
      </c>
      <c r="DI488" s="129">
        <f t="shared" si="919"/>
        <v>1</v>
      </c>
      <c r="DK488" s="16">
        <f>+IF(AND(Novembre!$DP$8&lt;&gt;52,AR488=S.CAL!$BJ$4),10,1)</f>
        <v>1</v>
      </c>
      <c r="DN488" s="16">
        <f t="shared" si="897"/>
        <v>1</v>
      </c>
      <c r="DU488" s="1296" t="str">
        <f t="shared" si="920"/>
        <v>Fiche infoA445988</v>
      </c>
      <c r="DV488" s="1384">
        <f t="shared" si="898"/>
        <v>0</v>
      </c>
      <c r="DW488" s="1385">
        <f t="shared" si="899"/>
        <v>0</v>
      </c>
      <c r="DX488" s="1385">
        <f t="shared" si="900"/>
        <v>0</v>
      </c>
      <c r="DY488" s="1385">
        <f t="shared" si="901"/>
        <v>0</v>
      </c>
      <c r="DZ488" s="1385">
        <f t="shared" si="902"/>
        <v>0</v>
      </c>
      <c r="EA488" s="1385">
        <f t="shared" si="903"/>
        <v>0</v>
      </c>
      <c r="EB488" s="1385">
        <f t="shared" si="904"/>
        <v>0</v>
      </c>
      <c r="EC488" s="1385">
        <f t="shared" si="905"/>
        <v>0</v>
      </c>
      <c r="ED488" s="1385">
        <f t="shared" si="921"/>
        <v>0</v>
      </c>
      <c r="EE488" s="1386">
        <f t="shared" si="922"/>
        <v>0</v>
      </c>
      <c r="EG488" s="16" t="str">
        <f t="shared" si="923"/>
        <v>482025</v>
      </c>
      <c r="EH488" s="16" t="str">
        <f t="shared" si="906"/>
        <v>Fiche infoA4</v>
      </c>
      <c r="EI488" s="16" t="str">
        <f t="shared" si="907"/>
        <v/>
      </c>
    </row>
    <row r="489" spans="1:144" x14ac:dyDescent="0.2">
      <c r="A489" s="1395" t="str">
        <f>Novembre!BJ47</f>
        <v>Fiche infoA5</v>
      </c>
      <c r="B489" s="829">
        <f>Novembre!AB47</f>
        <v>45989</v>
      </c>
      <c r="C489" s="1394"/>
      <c r="D489" s="1001">
        <f t="shared" si="863"/>
        <v>0</v>
      </c>
      <c r="E489" s="452">
        <f t="shared" si="864"/>
        <v>0</v>
      </c>
      <c r="F489" s="452">
        <f t="shared" si="865"/>
        <v>0</v>
      </c>
      <c r="G489" s="452">
        <f t="shared" si="866"/>
        <v>0</v>
      </c>
      <c r="H489" s="452">
        <f t="shared" si="867"/>
        <v>0</v>
      </c>
      <c r="I489" s="452">
        <f t="shared" si="868"/>
        <v>0</v>
      </c>
      <c r="J489" s="452">
        <f t="shared" si="869"/>
        <v>0</v>
      </c>
      <c r="K489" s="452">
        <f t="shared" si="870"/>
        <v>0</v>
      </c>
      <c r="L489" s="452">
        <f t="shared" si="908"/>
        <v>0</v>
      </c>
      <c r="M489" s="1002">
        <f t="shared" si="909"/>
        <v>0</v>
      </c>
      <c r="N489" s="1396"/>
      <c r="O489" s="1001">
        <f t="shared" si="925"/>
        <v>0</v>
      </c>
      <c r="P489" s="452">
        <f t="shared" si="926"/>
        <v>0</v>
      </c>
      <c r="Q489" s="452">
        <f t="shared" si="927"/>
        <v>0</v>
      </c>
      <c r="R489" s="452">
        <f t="shared" si="928"/>
        <v>0</v>
      </c>
      <c r="S489" s="452">
        <f t="shared" si="929"/>
        <v>0</v>
      </c>
      <c r="T489" s="452">
        <f t="shared" si="930"/>
        <v>0</v>
      </c>
      <c r="U489" s="452">
        <f t="shared" si="931"/>
        <v>0</v>
      </c>
      <c r="V489" s="452">
        <f t="shared" si="932"/>
        <v>0</v>
      </c>
      <c r="W489" s="452">
        <f t="shared" si="879"/>
        <v>0</v>
      </c>
      <c r="X489" s="1002">
        <f t="shared" si="880"/>
        <v>0</v>
      </c>
      <c r="Y489" s="1397"/>
      <c r="Z489" s="1398">
        <f t="shared" si="881"/>
        <v>0</v>
      </c>
      <c r="AA489" s="1398">
        <f t="shared" si="882"/>
        <v>0</v>
      </c>
      <c r="AB489" s="1398">
        <f t="shared" si="883"/>
        <v>0</v>
      </c>
      <c r="AC489" s="1398">
        <f t="shared" si="884"/>
        <v>0</v>
      </c>
      <c r="AD489" s="1398">
        <f t="shared" si="885"/>
        <v>0</v>
      </c>
      <c r="AE489" s="1398">
        <f t="shared" si="886"/>
        <v>0</v>
      </c>
      <c r="AF489" s="1398">
        <f t="shared" si="887"/>
        <v>0</v>
      </c>
      <c r="AG489" s="1398">
        <f t="shared" si="888"/>
        <v>0</v>
      </c>
      <c r="AH489" s="1396"/>
      <c r="AI489" s="462">
        <f t="shared" si="933"/>
        <v>0</v>
      </c>
      <c r="AJ489" s="1112"/>
      <c r="AK489" s="1399"/>
      <c r="AL489" s="829">
        <f t="shared" si="890"/>
        <v>45989</v>
      </c>
      <c r="AM489" s="684">
        <f>IFERROR(IF(AND(AT489="",AR489&lt;&gt;S.CAL!$BJ$3,AR489&lt;&gt;S.CAL!$BJ$4,$AR$455="NON"),M489-BD489,IF(AND(AT489="",AR489&lt;&gt;S.CAL!$BJ$3,AR489&lt;&gt;S.CAL!$BJ$4,$AR$455="OUI"),X489-AI489,IF(AT489&lt;&gt;0,AT489,IF(OR(AR489=S.CAL!$BJ$3,AR489=S.CAL!$BJ$4),AR489,"")))),"")</f>
        <v>0</v>
      </c>
      <c r="AN489" s="1115"/>
      <c r="AO489" s="1116"/>
      <c r="AP489" s="684">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400">
        <f t="shared" si="910"/>
        <v>0</v>
      </c>
      <c r="AR489" s="1120"/>
      <c r="AS489" s="1396"/>
      <c r="AT489" s="1123"/>
      <c r="AU489" s="831"/>
      <c r="AV489" s="1392">
        <f t="shared" si="891"/>
        <v>45989</v>
      </c>
      <c r="AW489" s="1396"/>
      <c r="AX489" s="529">
        <f t="shared" si="911"/>
        <v>45989</v>
      </c>
      <c r="AY489" s="541">
        <f t="shared" si="912"/>
        <v>0</v>
      </c>
      <c r="AZ489" s="538" t="s">
        <v>146</v>
      </c>
      <c r="BA489" s="534">
        <f t="shared" si="913"/>
        <v>0</v>
      </c>
      <c r="BB489" s="567" t="str">
        <f t="shared" si="892"/>
        <v/>
      </c>
      <c r="BC489" s="541">
        <f t="shared" si="914"/>
        <v>0</v>
      </c>
      <c r="BD489" s="541">
        <f t="shared" si="915"/>
        <v>0</v>
      </c>
      <c r="BE489" s="1126"/>
      <c r="BF489" s="532" t="str">
        <f t="shared" si="893"/>
        <v/>
      </c>
      <c r="BG489" s="532" t="str">
        <f t="shared" si="916"/>
        <v>oui</v>
      </c>
      <c r="BH489" s="395" t="str">
        <f t="shared" si="894"/>
        <v/>
      </c>
      <c r="BI489" s="24" t="str">
        <f t="shared" si="895"/>
        <v/>
      </c>
      <c r="BJ489" s="1404"/>
      <c r="BK489" s="1404"/>
      <c r="BL489" s="1404"/>
      <c r="BM489" s="1404"/>
      <c r="BN489" s="1404"/>
      <c r="BO489" s="1404"/>
      <c r="BP489" s="1404"/>
      <c r="BQ489" s="1404"/>
      <c r="BR489" s="1405"/>
      <c r="BS489" s="1392">
        <f t="shared" si="862"/>
        <v>45989</v>
      </c>
      <c r="BT489" s="1406" t="str">
        <f t="shared" si="924"/>
        <v/>
      </c>
      <c r="BU489" s="1404"/>
      <c r="BV489" s="1404"/>
      <c r="BW489" s="1404"/>
      <c r="BX489" s="1404"/>
      <c r="BY489" s="1404"/>
      <c r="BZ489" s="1404"/>
      <c r="CA489" s="1404"/>
      <c r="CB489" s="1404"/>
      <c r="CD489" s="1408">
        <f t="shared" si="917"/>
        <v>0</v>
      </c>
      <c r="DC489" s="16" t="str">
        <f>Novembre!FC47</f>
        <v>non</v>
      </c>
      <c r="DG489" s="333">
        <f t="shared" si="918"/>
        <v>1</v>
      </c>
      <c r="DH489" s="129">
        <f t="shared" si="896"/>
        <v>10</v>
      </c>
      <c r="DI489" s="129">
        <f t="shared" si="919"/>
        <v>1</v>
      </c>
      <c r="DK489" s="16">
        <f>+IF(AND(Novembre!$DP$8&lt;&gt;52,AR489=S.CAL!$BJ$4),10,1)</f>
        <v>1</v>
      </c>
      <c r="DN489" s="16">
        <f t="shared" si="897"/>
        <v>1</v>
      </c>
      <c r="DU489" s="1296" t="str">
        <f t="shared" si="920"/>
        <v>Fiche infoA545989</v>
      </c>
      <c r="DV489" s="1384">
        <f t="shared" si="898"/>
        <v>0</v>
      </c>
      <c r="DW489" s="1385">
        <f t="shared" si="899"/>
        <v>0</v>
      </c>
      <c r="DX489" s="1385">
        <f t="shared" si="900"/>
        <v>0</v>
      </c>
      <c r="DY489" s="1385">
        <f t="shared" si="901"/>
        <v>0</v>
      </c>
      <c r="DZ489" s="1385">
        <f t="shared" si="902"/>
        <v>0</v>
      </c>
      <c r="EA489" s="1385">
        <f t="shared" si="903"/>
        <v>0</v>
      </c>
      <c r="EB489" s="1385">
        <f t="shared" si="904"/>
        <v>0</v>
      </c>
      <c r="EC489" s="1385">
        <f t="shared" si="905"/>
        <v>0</v>
      </c>
      <c r="ED489" s="1385">
        <f t="shared" si="921"/>
        <v>0</v>
      </c>
      <c r="EE489" s="1386">
        <f t="shared" si="922"/>
        <v>0</v>
      </c>
      <c r="EG489" s="16" t="str">
        <f t="shared" si="923"/>
        <v>482025</v>
      </c>
      <c r="EH489" s="16" t="str">
        <f t="shared" si="906"/>
        <v>Fiche infoA5</v>
      </c>
      <c r="EI489" s="16" t="str">
        <f t="shared" si="907"/>
        <v/>
      </c>
    </row>
    <row r="490" spans="1:144" x14ac:dyDescent="0.2">
      <c r="A490" s="24" t="str">
        <f>Novembre!BJ48</f>
        <v>Fiche infoA6</v>
      </c>
      <c r="B490" s="829">
        <f>Novembre!AB48</f>
        <v>45990</v>
      </c>
      <c r="C490" s="1393"/>
      <c r="D490" s="1001">
        <f t="shared" si="863"/>
        <v>0</v>
      </c>
      <c r="E490" s="452">
        <f t="shared" si="864"/>
        <v>0</v>
      </c>
      <c r="F490" s="452">
        <f t="shared" si="865"/>
        <v>0</v>
      </c>
      <c r="G490" s="452">
        <f t="shared" si="866"/>
        <v>0</v>
      </c>
      <c r="H490" s="452">
        <f t="shared" si="867"/>
        <v>0</v>
      </c>
      <c r="I490" s="452">
        <f t="shared" si="868"/>
        <v>0</v>
      </c>
      <c r="J490" s="452">
        <f t="shared" si="869"/>
        <v>0</v>
      </c>
      <c r="K490" s="452">
        <f t="shared" si="870"/>
        <v>0</v>
      </c>
      <c r="L490" s="452">
        <f t="shared" si="908"/>
        <v>0</v>
      </c>
      <c r="M490" s="1002">
        <f t="shared" si="909"/>
        <v>0</v>
      </c>
      <c r="O490" s="1001">
        <f t="shared" si="925"/>
        <v>0</v>
      </c>
      <c r="P490" s="452">
        <f t="shared" si="926"/>
        <v>0</v>
      </c>
      <c r="Q490" s="452">
        <f t="shared" si="927"/>
        <v>0</v>
      </c>
      <c r="R490" s="452">
        <f t="shared" si="928"/>
        <v>0</v>
      </c>
      <c r="S490" s="452">
        <f t="shared" si="929"/>
        <v>0</v>
      </c>
      <c r="T490" s="452">
        <f t="shared" si="930"/>
        <v>0</v>
      </c>
      <c r="U490" s="452">
        <f t="shared" si="931"/>
        <v>0</v>
      </c>
      <c r="V490" s="452">
        <f t="shared" si="932"/>
        <v>0</v>
      </c>
      <c r="W490" s="452">
        <f t="shared" si="879"/>
        <v>0</v>
      </c>
      <c r="X490" s="1002">
        <f t="shared" si="880"/>
        <v>0</v>
      </c>
      <c r="Y490" s="459"/>
      <c r="Z490" s="291">
        <f t="shared" si="881"/>
        <v>0</v>
      </c>
      <c r="AA490" s="291">
        <f t="shared" si="882"/>
        <v>0</v>
      </c>
      <c r="AB490" s="291">
        <f t="shared" si="883"/>
        <v>0</v>
      </c>
      <c r="AC490" s="291">
        <f t="shared" si="884"/>
        <v>0</v>
      </c>
      <c r="AD490" s="291">
        <f t="shared" si="885"/>
        <v>0</v>
      </c>
      <c r="AE490" s="291">
        <f t="shared" si="886"/>
        <v>0</v>
      </c>
      <c r="AF490" s="291">
        <f t="shared" si="887"/>
        <v>0</v>
      </c>
      <c r="AG490" s="291">
        <f t="shared" si="888"/>
        <v>0</v>
      </c>
      <c r="AI490" s="462">
        <f t="shared" si="933"/>
        <v>0</v>
      </c>
      <c r="AJ490" s="1112"/>
      <c r="AK490" s="507"/>
      <c r="AL490" s="829">
        <f t="shared" si="890"/>
        <v>45990</v>
      </c>
      <c r="AM490" s="684">
        <f>IFERROR(IF(AND(AT490="",AR490&lt;&gt;S.CAL!$BJ$3,AR490&lt;&gt;S.CAL!$BJ$4,$AR$455="NON"),M490-BD490,IF(AND(AT490="",AR490&lt;&gt;S.CAL!$BJ$3,AR490&lt;&gt;S.CAL!$BJ$4,$AR$455="OUI"),X490-AI490,IF(AT490&lt;&gt;0,AT490,IF(OR(AR490=S.CAL!$BJ$3,AR490=S.CAL!$BJ$4),AR490,"")))),"")</f>
        <v>0</v>
      </c>
      <c r="AN490" s="1115"/>
      <c r="AO490" s="1116"/>
      <c r="AP490" s="684">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516">
        <f t="shared" si="910"/>
        <v>0</v>
      </c>
      <c r="AR490" s="1120"/>
      <c r="AT490" s="1123"/>
      <c r="AU490" s="831"/>
      <c r="AV490" s="1392">
        <f t="shared" si="891"/>
        <v>45990</v>
      </c>
      <c r="AX490" s="529">
        <f t="shared" si="911"/>
        <v>45990</v>
      </c>
      <c r="AY490" s="541">
        <f t="shared" si="912"/>
        <v>0</v>
      </c>
      <c r="AZ490" s="538" t="s">
        <v>146</v>
      </c>
      <c r="BA490" s="534">
        <f t="shared" si="913"/>
        <v>0</v>
      </c>
      <c r="BB490" s="567" t="str">
        <f t="shared" si="892"/>
        <v/>
      </c>
      <c r="BC490" s="541">
        <f t="shared" si="914"/>
        <v>0</v>
      </c>
      <c r="BD490" s="541">
        <f t="shared" si="915"/>
        <v>0</v>
      </c>
      <c r="BE490" s="1126"/>
      <c r="BF490" s="532" t="str">
        <f t="shared" si="893"/>
        <v/>
      </c>
      <c r="BG490" s="532" t="str">
        <f t="shared" si="916"/>
        <v>oui</v>
      </c>
      <c r="BH490" s="395" t="str">
        <f t="shared" si="894"/>
        <v/>
      </c>
      <c r="BI490" s="24" t="str">
        <f t="shared" si="895"/>
        <v/>
      </c>
      <c r="BJ490" s="1403"/>
      <c r="BK490" s="1403"/>
      <c r="BL490" s="1403"/>
      <c r="BM490" s="1403"/>
      <c r="BN490" s="1403"/>
      <c r="BO490" s="1403"/>
      <c r="BP490" s="1403"/>
      <c r="BQ490" s="1403"/>
      <c r="BS490" s="1392">
        <f t="shared" si="862"/>
        <v>45990</v>
      </c>
      <c r="BT490" s="27" t="str">
        <f t="shared" si="924"/>
        <v/>
      </c>
      <c r="BU490" s="1402"/>
      <c r="BV490" s="1402"/>
      <c r="BW490" s="1402"/>
      <c r="BX490" s="1402"/>
      <c r="BY490" s="1402"/>
      <c r="BZ490" s="1402"/>
      <c r="CA490" s="1402"/>
      <c r="CB490" s="1402"/>
      <c r="CD490" s="1408">
        <f t="shared" si="917"/>
        <v>0</v>
      </c>
      <c r="DC490" s="16" t="str">
        <f>Novembre!FC48</f>
        <v>non</v>
      </c>
      <c r="DG490" s="333">
        <f t="shared" si="918"/>
        <v>1</v>
      </c>
      <c r="DH490" s="129">
        <f t="shared" si="896"/>
        <v>10</v>
      </c>
      <c r="DI490" s="129">
        <f t="shared" si="919"/>
        <v>1</v>
      </c>
      <c r="DK490" s="16">
        <f>+IF(AND(Novembre!$DP$8&lt;&gt;52,AR490=S.CAL!$BJ$4),10,1)</f>
        <v>1</v>
      </c>
      <c r="DN490" s="16">
        <f t="shared" si="897"/>
        <v>1</v>
      </c>
      <c r="DU490" s="1296" t="str">
        <f t="shared" si="920"/>
        <v>Fiche infoA645990</v>
      </c>
      <c r="DV490" s="1384">
        <f t="shared" si="898"/>
        <v>0</v>
      </c>
      <c r="DW490" s="1385">
        <f t="shared" si="899"/>
        <v>0</v>
      </c>
      <c r="DX490" s="1385">
        <f t="shared" si="900"/>
        <v>0</v>
      </c>
      <c r="DY490" s="1385">
        <f t="shared" si="901"/>
        <v>0</v>
      </c>
      <c r="DZ490" s="1385">
        <f t="shared" si="902"/>
        <v>0</v>
      </c>
      <c r="EA490" s="1385">
        <f t="shared" si="903"/>
        <v>0</v>
      </c>
      <c r="EB490" s="1385">
        <f t="shared" si="904"/>
        <v>0</v>
      </c>
      <c r="EC490" s="1385">
        <f t="shared" si="905"/>
        <v>0</v>
      </c>
      <c r="ED490" s="1385">
        <f t="shared" si="921"/>
        <v>0</v>
      </c>
      <c r="EE490" s="1386">
        <f t="shared" si="922"/>
        <v>0</v>
      </c>
      <c r="EG490" s="16" t="str">
        <f t="shared" si="923"/>
        <v>482025</v>
      </c>
      <c r="EH490" s="16" t="str">
        <f t="shared" si="906"/>
        <v>Fiche infoA6</v>
      </c>
      <c r="EI490" s="16" t="str">
        <f t="shared" si="907"/>
        <v/>
      </c>
    </row>
    <row r="491" spans="1:144" x14ac:dyDescent="0.2">
      <c r="A491" s="1395" t="str">
        <f>Novembre!BJ49</f>
        <v>Fiche infoA7</v>
      </c>
      <c r="B491" s="829">
        <f>Novembre!AB49</f>
        <v>45991</v>
      </c>
      <c r="C491" s="1394"/>
      <c r="D491" s="1001">
        <f t="shared" si="863"/>
        <v>0</v>
      </c>
      <c r="E491" s="452">
        <f t="shared" si="864"/>
        <v>0</v>
      </c>
      <c r="F491" s="452">
        <f t="shared" si="865"/>
        <v>0</v>
      </c>
      <c r="G491" s="452">
        <f t="shared" si="866"/>
        <v>0</v>
      </c>
      <c r="H491" s="452">
        <f t="shared" si="867"/>
        <v>0</v>
      </c>
      <c r="I491" s="452">
        <f t="shared" si="868"/>
        <v>0</v>
      </c>
      <c r="J491" s="452">
        <f t="shared" si="869"/>
        <v>0</v>
      </c>
      <c r="K491" s="452">
        <f t="shared" si="870"/>
        <v>0</v>
      </c>
      <c r="L491" s="452">
        <f t="shared" si="908"/>
        <v>0</v>
      </c>
      <c r="M491" s="1002">
        <f t="shared" si="909"/>
        <v>0</v>
      </c>
      <c r="N491" s="1396"/>
      <c r="O491" s="1001">
        <f t="shared" si="925"/>
        <v>0</v>
      </c>
      <c r="P491" s="452">
        <f t="shared" si="926"/>
        <v>0</v>
      </c>
      <c r="Q491" s="452">
        <f t="shared" si="927"/>
        <v>0</v>
      </c>
      <c r="R491" s="452">
        <f t="shared" si="928"/>
        <v>0</v>
      </c>
      <c r="S491" s="452">
        <f t="shared" si="929"/>
        <v>0</v>
      </c>
      <c r="T491" s="452">
        <f t="shared" si="930"/>
        <v>0</v>
      </c>
      <c r="U491" s="452">
        <f t="shared" si="931"/>
        <v>0</v>
      </c>
      <c r="V491" s="452">
        <f t="shared" si="932"/>
        <v>0</v>
      </c>
      <c r="W491" s="452">
        <f t="shared" si="879"/>
        <v>0</v>
      </c>
      <c r="X491" s="1002">
        <f t="shared" si="880"/>
        <v>0</v>
      </c>
      <c r="Y491" s="1397"/>
      <c r="Z491" s="1398">
        <f t="shared" si="881"/>
        <v>0</v>
      </c>
      <c r="AA491" s="1398">
        <f t="shared" si="882"/>
        <v>0</v>
      </c>
      <c r="AB491" s="1398">
        <f t="shared" si="883"/>
        <v>0</v>
      </c>
      <c r="AC491" s="1398">
        <f t="shared" si="884"/>
        <v>0</v>
      </c>
      <c r="AD491" s="1398">
        <f t="shared" si="885"/>
        <v>0</v>
      </c>
      <c r="AE491" s="1398">
        <f t="shared" si="886"/>
        <v>0</v>
      </c>
      <c r="AF491" s="1398">
        <f t="shared" si="887"/>
        <v>0</v>
      </c>
      <c r="AG491" s="1398">
        <f t="shared" si="888"/>
        <v>0</v>
      </c>
      <c r="AH491" s="1396"/>
      <c r="AI491" s="462">
        <f t="shared" si="933"/>
        <v>0</v>
      </c>
      <c r="AJ491" s="1112"/>
      <c r="AK491" s="1399"/>
      <c r="AL491" s="829">
        <f t="shared" si="890"/>
        <v>45991</v>
      </c>
      <c r="AM491" s="684">
        <f>IFERROR(IF(AND(AT491="",AR491&lt;&gt;S.CAL!$BJ$3,AR491&lt;&gt;S.CAL!$BJ$4,$AR$455="NON"),M491-BD491,IF(AND(AT491="",AR491&lt;&gt;S.CAL!$BJ$3,AR491&lt;&gt;S.CAL!$BJ$4,$AR$455="OUI"),X491-AI491,IF(AT491&lt;&gt;0,AT491,IF(OR(AR491=S.CAL!$BJ$3,AR491=S.CAL!$BJ$4),AR491,"")))),"")</f>
        <v>0</v>
      </c>
      <c r="AN491" s="1115"/>
      <c r="AO491" s="1116"/>
      <c r="AP491" s="684">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400">
        <f t="shared" si="910"/>
        <v>0</v>
      </c>
      <c r="AR491" s="1120"/>
      <c r="AS491" s="1396"/>
      <c r="AT491" s="1123"/>
      <c r="AU491" s="831"/>
      <c r="AV491" s="1392">
        <f t="shared" si="891"/>
        <v>45991</v>
      </c>
      <c r="AW491" s="1396"/>
      <c r="AX491" s="529">
        <f t="shared" si="911"/>
        <v>45991</v>
      </c>
      <c r="AY491" s="541">
        <f t="shared" si="912"/>
        <v>0</v>
      </c>
      <c r="AZ491" s="538" t="s">
        <v>146</v>
      </c>
      <c r="BA491" s="534">
        <f t="shared" si="913"/>
        <v>0</v>
      </c>
      <c r="BB491" s="567" t="str">
        <f t="shared" si="892"/>
        <v/>
      </c>
      <c r="BC491" s="541">
        <f t="shared" si="914"/>
        <v>0</v>
      </c>
      <c r="BD491" s="541">
        <f t="shared" si="915"/>
        <v>0</v>
      </c>
      <c r="BE491" s="1126"/>
      <c r="BF491" s="532" t="str">
        <f t="shared" si="893"/>
        <v/>
      </c>
      <c r="BG491" s="532" t="str">
        <f t="shared" si="916"/>
        <v>oui</v>
      </c>
      <c r="BH491" s="395" t="str">
        <f t="shared" si="894"/>
        <v/>
      </c>
      <c r="BI491" s="24" t="str">
        <f t="shared" si="895"/>
        <v/>
      </c>
      <c r="BJ491" s="1404"/>
      <c r="BK491" s="1404"/>
      <c r="BL491" s="1404"/>
      <c r="BM491" s="1404"/>
      <c r="BN491" s="1404"/>
      <c r="BO491" s="1404"/>
      <c r="BP491" s="1404"/>
      <c r="BQ491" s="1404"/>
      <c r="BR491" s="1405"/>
      <c r="BS491" s="1392">
        <f t="shared" si="862"/>
        <v>45991</v>
      </c>
      <c r="BT491" s="1406" t="str">
        <f t="shared" si="924"/>
        <v/>
      </c>
      <c r="BU491" s="1404"/>
      <c r="BV491" s="1404"/>
      <c r="BW491" s="1404"/>
      <c r="BX491" s="1404"/>
      <c r="BY491" s="1404"/>
      <c r="BZ491" s="1404"/>
      <c r="CA491" s="1404"/>
      <c r="CB491" s="1404"/>
      <c r="CD491" s="1408">
        <f t="shared" si="917"/>
        <v>0</v>
      </c>
      <c r="DC491" s="16" t="str">
        <f>Novembre!FC49</f>
        <v>non</v>
      </c>
      <c r="DG491" s="333">
        <f t="shared" si="918"/>
        <v>1</v>
      </c>
      <c r="DH491" s="129">
        <f t="shared" si="896"/>
        <v>10</v>
      </c>
      <c r="DI491" s="129">
        <f t="shared" si="919"/>
        <v>1</v>
      </c>
      <c r="DK491" s="16">
        <f>+IF(AND(Novembre!$DP$8&lt;&gt;52,AR491=S.CAL!$BJ$4),10,1)</f>
        <v>1</v>
      </c>
      <c r="DN491" s="16">
        <f t="shared" si="897"/>
        <v>1</v>
      </c>
      <c r="DU491" s="1296" t="str">
        <f t="shared" si="920"/>
        <v>Fiche infoA745991</v>
      </c>
      <c r="DV491" s="1384">
        <f t="shared" si="898"/>
        <v>0</v>
      </c>
      <c r="DW491" s="1385">
        <f t="shared" si="899"/>
        <v>0</v>
      </c>
      <c r="DX491" s="1385">
        <f t="shared" si="900"/>
        <v>0</v>
      </c>
      <c r="DY491" s="1385">
        <f t="shared" si="901"/>
        <v>0</v>
      </c>
      <c r="DZ491" s="1385">
        <f t="shared" si="902"/>
        <v>0</v>
      </c>
      <c r="EA491" s="1385">
        <f t="shared" si="903"/>
        <v>0</v>
      </c>
      <c r="EB491" s="1385">
        <f t="shared" si="904"/>
        <v>0</v>
      </c>
      <c r="EC491" s="1385">
        <f t="shared" si="905"/>
        <v>0</v>
      </c>
      <c r="ED491" s="1385">
        <f t="shared" si="921"/>
        <v>0</v>
      </c>
      <c r="EE491" s="1386">
        <f t="shared" si="922"/>
        <v>0</v>
      </c>
      <c r="EG491" s="16" t="str">
        <f t="shared" si="923"/>
        <v>482025</v>
      </c>
      <c r="EH491" s="16" t="str">
        <f t="shared" si="906"/>
        <v>Fiche infoA7</v>
      </c>
      <c r="EI491" s="16" t="str">
        <f t="shared" si="907"/>
        <v/>
      </c>
    </row>
    <row r="492" spans="1:144" x14ac:dyDescent="0.2">
      <c r="A492" s="24" t="str">
        <f>Novembre!BJ50</f>
        <v>Fiche infoA0</v>
      </c>
      <c r="B492" s="830" t="str">
        <f>Novembre!AB50</f>
        <v/>
      </c>
      <c r="C492" s="1393"/>
      <c r="D492" s="1003">
        <f t="shared" si="863"/>
        <v>0</v>
      </c>
      <c r="E492" s="1004">
        <f t="shared" si="864"/>
        <v>0</v>
      </c>
      <c r="F492" s="1004">
        <f t="shared" si="865"/>
        <v>0</v>
      </c>
      <c r="G492" s="1004">
        <f t="shared" si="866"/>
        <v>0</v>
      </c>
      <c r="H492" s="1004">
        <f t="shared" si="867"/>
        <v>0</v>
      </c>
      <c r="I492" s="1004">
        <f t="shared" si="868"/>
        <v>0</v>
      </c>
      <c r="J492" s="1004">
        <f t="shared" si="869"/>
        <v>0</v>
      </c>
      <c r="K492" s="1004">
        <f t="shared" si="870"/>
        <v>0</v>
      </c>
      <c r="L492" s="1004">
        <f t="shared" si="908"/>
        <v>0</v>
      </c>
      <c r="M492" s="1005">
        <f t="shared" si="909"/>
        <v>0</v>
      </c>
      <c r="O492" s="1003">
        <f t="shared" si="925"/>
        <v>0</v>
      </c>
      <c r="P492" s="1004">
        <f t="shared" si="926"/>
        <v>0</v>
      </c>
      <c r="Q492" s="1004">
        <f t="shared" si="927"/>
        <v>0</v>
      </c>
      <c r="R492" s="1004">
        <f t="shared" si="928"/>
        <v>0</v>
      </c>
      <c r="S492" s="1004">
        <f t="shared" si="929"/>
        <v>0</v>
      </c>
      <c r="T492" s="1004">
        <f t="shared" si="930"/>
        <v>0</v>
      </c>
      <c r="U492" s="1004">
        <f t="shared" si="931"/>
        <v>0</v>
      </c>
      <c r="V492" s="1004">
        <f t="shared" si="932"/>
        <v>0</v>
      </c>
      <c r="W492" s="1004">
        <f t="shared" si="879"/>
        <v>0</v>
      </c>
      <c r="X492" s="1005">
        <f t="shared" si="880"/>
        <v>0</v>
      </c>
      <c r="Y492" s="459"/>
      <c r="Z492" s="291">
        <f t="shared" si="881"/>
        <v>0</v>
      </c>
      <c r="AA492" s="291">
        <f t="shared" si="882"/>
        <v>0</v>
      </c>
      <c r="AB492" s="291">
        <f t="shared" si="883"/>
        <v>0</v>
      </c>
      <c r="AC492" s="291">
        <f t="shared" si="884"/>
        <v>0</v>
      </c>
      <c r="AD492" s="291">
        <f t="shared" si="885"/>
        <v>0</v>
      </c>
      <c r="AE492" s="291">
        <f t="shared" si="886"/>
        <v>0</v>
      </c>
      <c r="AF492" s="291">
        <f t="shared" si="887"/>
        <v>0</v>
      </c>
      <c r="AG492" s="291">
        <f t="shared" si="888"/>
        <v>0</v>
      </c>
      <c r="AI492" s="462">
        <f t="shared" si="933"/>
        <v>0</v>
      </c>
      <c r="AJ492" s="1112"/>
      <c r="AK492" s="507"/>
      <c r="AL492" s="830" t="str">
        <f t="shared" si="890"/>
        <v/>
      </c>
      <c r="AM492" s="517">
        <f>IFERROR(IF(AND(AT492="",AR492&lt;&gt;S.CAL!$BJ$3,AR492&lt;&gt;S.CAL!$BJ$4,$AR$455="NON"),M492-BD492,IF(AND(AT492="",AR492&lt;&gt;S.CAL!$BJ$3,AR492&lt;&gt;S.CAL!$BJ$4,$AR$455="OUI"),X492-AI492,IF(AT492&lt;&gt;0,AT492,IF(OR(AR492=S.CAL!$BJ$3,AR492=S.CAL!$BJ$4),AR492,"")))),"")</f>
        <v>0</v>
      </c>
      <c r="AN492" s="1117"/>
      <c r="AO492" s="1118"/>
      <c r="AP492" s="517">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516">
        <f t="shared" si="910"/>
        <v>0</v>
      </c>
      <c r="AR492" s="1129"/>
      <c r="AT492" s="997"/>
      <c r="AU492" s="832"/>
      <c r="AV492" s="830" t="str">
        <f t="shared" si="891"/>
        <v/>
      </c>
      <c r="AX492" s="529" t="str">
        <f t="shared" si="911"/>
        <v/>
      </c>
      <c r="AY492" s="542">
        <f t="shared" si="912"/>
        <v>0</v>
      </c>
      <c r="AZ492" s="539" t="s">
        <v>146</v>
      </c>
      <c r="BA492" s="552">
        <f t="shared" si="913"/>
        <v>0</v>
      </c>
      <c r="BB492" s="540" t="str">
        <f t="shared" si="892"/>
        <v/>
      </c>
      <c r="BC492" s="542">
        <f t="shared" si="914"/>
        <v>0</v>
      </c>
      <c r="BD492" s="542">
        <f t="shared" si="915"/>
        <v>0</v>
      </c>
      <c r="BE492" s="1127"/>
      <c r="BF492" s="532" t="str">
        <f t="shared" si="893"/>
        <v/>
      </c>
      <c r="BG492" s="532" t="str">
        <f t="shared" si="916"/>
        <v>oui</v>
      </c>
      <c r="BH492" s="395" t="str">
        <f t="shared" si="894"/>
        <v/>
      </c>
      <c r="BI492" s="24" t="str">
        <f t="shared" si="895"/>
        <v/>
      </c>
      <c r="BJ492" s="1403"/>
      <c r="BK492" s="1403"/>
      <c r="BL492" s="1403"/>
      <c r="BM492" s="1403"/>
      <c r="BN492" s="1403"/>
      <c r="BO492" s="1403"/>
      <c r="BP492" s="1403"/>
      <c r="BQ492" s="1403"/>
      <c r="BS492" s="830" t="str">
        <f t="shared" si="862"/>
        <v/>
      </c>
      <c r="BT492" s="27" t="str">
        <f t="shared" si="924"/>
        <v/>
      </c>
      <c r="BU492" s="1402"/>
      <c r="BV492" s="1402"/>
      <c r="BW492" s="1402"/>
      <c r="BX492" s="1402"/>
      <c r="BY492" s="1402"/>
      <c r="BZ492" s="1402"/>
      <c r="CA492" s="1402"/>
      <c r="CB492" s="1402"/>
      <c r="CD492" s="1409">
        <f t="shared" si="917"/>
        <v>0</v>
      </c>
      <c r="DC492" s="16" t="str">
        <f>Novembre!FC50</f>
        <v/>
      </c>
      <c r="DG492" s="333">
        <f t="shared" si="918"/>
        <v>1</v>
      </c>
      <c r="DH492" s="129">
        <f t="shared" si="896"/>
        <v>10</v>
      </c>
      <c r="DI492" s="129">
        <f t="shared" si="919"/>
        <v>1</v>
      </c>
      <c r="DK492" s="16">
        <f>+IF(AND(Novembre!$DP$8&lt;&gt;52,AR492=S.CAL!$BJ$4),10,1)</f>
        <v>1</v>
      </c>
      <c r="DN492" s="16">
        <f t="shared" si="897"/>
        <v>1</v>
      </c>
      <c r="DU492" s="1296" t="str">
        <f t="shared" si="920"/>
        <v>Fiche infoA0</v>
      </c>
      <c r="DV492" s="1384">
        <f t="shared" si="898"/>
        <v>0</v>
      </c>
      <c r="DW492" s="1385">
        <f t="shared" si="899"/>
        <v>0</v>
      </c>
      <c r="DX492" s="1385">
        <f t="shared" si="900"/>
        <v>0</v>
      </c>
      <c r="DY492" s="1385">
        <f t="shared" si="901"/>
        <v>0</v>
      </c>
      <c r="DZ492" s="1385">
        <f t="shared" si="902"/>
        <v>0</v>
      </c>
      <c r="EA492" s="1385">
        <f t="shared" si="903"/>
        <v>0</v>
      </c>
      <c r="EB492" s="1385">
        <f t="shared" si="904"/>
        <v>0</v>
      </c>
      <c r="EC492" s="1385">
        <f t="shared" si="905"/>
        <v>0</v>
      </c>
      <c r="ED492" s="1385">
        <f t="shared" si="921"/>
        <v>0</v>
      </c>
      <c r="EE492" s="1386">
        <f t="shared" si="922"/>
        <v>0</v>
      </c>
      <c r="EG492" s="16" t="e">
        <f t="shared" si="923"/>
        <v>#VALUE!</v>
      </c>
      <c r="EH492" s="16" t="str">
        <f t="shared" si="906"/>
        <v>Fiche infoA0</v>
      </c>
      <c r="EI492" s="16" t="e">
        <f t="shared" si="907"/>
        <v>#N/A</v>
      </c>
    </row>
    <row r="493" spans="1:144" x14ac:dyDescent="0.2">
      <c r="AM493" s="554">
        <f>SUM(AM462:AM492)</f>
        <v>0</v>
      </c>
      <c r="AN493" s="518">
        <f>SUM(AN462:AN492)</f>
        <v>0</v>
      </c>
      <c r="AO493" s="518">
        <f>SUM(AO462:AO492)</f>
        <v>0</v>
      </c>
      <c r="AP493" s="519">
        <f>SUM(AP462:AP492)</f>
        <v>0</v>
      </c>
      <c r="BD493" s="555">
        <f>SUM(BD462:BD492)</f>
        <v>0</v>
      </c>
      <c r="EE493" s="1386"/>
    </row>
    <row r="494" spans="1:144" x14ac:dyDescent="0.2">
      <c r="X494" s="29" t="s">
        <v>450</v>
      </c>
      <c r="Y494" s="29"/>
      <c r="Z494" s="29"/>
      <c r="AA494" s="29"/>
      <c r="AB494" s="29"/>
      <c r="AC494" s="29"/>
      <c r="AD494" s="29"/>
      <c r="AE494" s="29"/>
      <c r="AF494" s="29"/>
      <c r="AG494" s="29"/>
      <c r="AI494" s="463">
        <f>SUM(AI462:AI492)</f>
        <v>0</v>
      </c>
      <c r="AJ494" s="19"/>
      <c r="AK494" s="19"/>
      <c r="AL494" s="19"/>
      <c r="AM494" s="19"/>
      <c r="AN494" s="19"/>
      <c r="AO494" s="19"/>
      <c r="AP494" s="19"/>
      <c r="AQ494" s="512"/>
    </row>
    <row r="496" spans="1:144" ht="23.25" x14ac:dyDescent="0.35">
      <c r="B496" s="453" t="s">
        <v>806</v>
      </c>
      <c r="C496" s="453"/>
      <c r="D496" s="453"/>
      <c r="BS496" s="19" t="s">
        <v>1552</v>
      </c>
      <c r="EK496" s="16" t="str">
        <f>+EG506</f>
        <v>numero sem</v>
      </c>
      <c r="EL496" s="27" t="s">
        <v>1546</v>
      </c>
      <c r="EM496" s="27" t="s">
        <v>1547</v>
      </c>
      <c r="EN496" s="16" t="s">
        <v>1548</v>
      </c>
    </row>
    <row r="497" spans="1:145" ht="13.5" thickBot="1" x14ac:dyDescent="0.25">
      <c r="AR497" s="1713" t="s">
        <v>1003</v>
      </c>
      <c r="AS497" s="1714"/>
      <c r="AT497" s="1715"/>
      <c r="BT497" s="29" t="s">
        <v>1555</v>
      </c>
      <c r="BU497" s="27" t="str">
        <f>+IFERROR(EJ497,"")</f>
        <v>49</v>
      </c>
      <c r="BV497" s="53" t="str">
        <f>IF(BU497="","",+EN497)</f>
        <v>non</v>
      </c>
      <c r="BW497" s="1711" t="str">
        <f>+IF(BV497="oui", "Ecart "&amp;EO497&amp;" hrs","")</f>
        <v/>
      </c>
      <c r="BX497" s="1711"/>
      <c r="EJ497" s="16" t="str">
        <f>LEFT(EK497,LEN(EK497)-4)</f>
        <v>49</v>
      </c>
      <c r="EK497" s="16" t="str" cm="1">
        <f t="array" ref="EK497">IFERROR(INDEX(EG507:EG537,MATCH(0,INDEX(COUNTIF(EK496:EK496,EG507:EG537),0,0),0)),"")</f>
        <v>492025</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805</v>
      </c>
      <c r="D498" s="1710">
        <f>+Identification!$B$7</f>
        <v>0</v>
      </c>
      <c r="E498" s="1710"/>
      <c r="F498" s="1710"/>
      <c r="G498" s="1710"/>
      <c r="O498" s="454" t="s">
        <v>84</v>
      </c>
      <c r="P498" s="32"/>
      <c r="Q498" s="33"/>
      <c r="R498" s="454" t="s">
        <v>149</v>
      </c>
      <c r="S498" s="32"/>
      <c r="T498" s="32"/>
      <c r="U498" s="32"/>
      <c r="V498" s="32"/>
      <c r="W498" s="32"/>
      <c r="X498" s="33"/>
      <c r="AR498" s="1716"/>
      <c r="AS498" s="1717"/>
      <c r="AT498" s="1718"/>
      <c r="BU498" s="27" t="str">
        <f t="shared" ref="BU498:BU502" si="935">+IFERROR(EJ498,"")</f>
        <v>50</v>
      </c>
      <c r="BV498" s="53" t="str">
        <f t="shared" ref="BV498:BV502" si="936">IF(BU498="","",+EN498)</f>
        <v>non</v>
      </c>
      <c r="BW498" s="1711" t="str">
        <f t="shared" ref="BW498:BW502" si="937">+IF(BV498="oui", "Ecart "&amp;EO498&amp;" hrs","")</f>
        <v/>
      </c>
      <c r="BX498" s="1711"/>
      <c r="EJ498" s="16" t="str">
        <f t="shared" ref="EJ498:EJ503" si="938">LEFT(EK498,LEN(EK498)-4)</f>
        <v>50</v>
      </c>
      <c r="EK498" s="16" t="str" cm="1">
        <f t="array" ref="EK498">IFERROR(INDEX(EG507:EG537,MATCH(0,INDEX(COUNTIF(EK496:EK497,EG507:EG537),0,0),0)),"")</f>
        <v>502025</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21"/>
      <c r="S499" s="1722"/>
      <c r="T499" s="1722"/>
      <c r="U499" s="1722"/>
      <c r="V499" s="1722"/>
      <c r="W499" s="1722"/>
      <c r="X499" s="1723"/>
      <c r="Y499" s="460"/>
      <c r="Z499" s="460"/>
      <c r="AA499" s="460"/>
      <c r="AB499" s="460"/>
      <c r="AC499" s="460"/>
      <c r="AD499" s="460"/>
      <c r="AE499" s="460"/>
      <c r="AF499" s="460"/>
      <c r="AG499" s="460"/>
      <c r="AR499" s="1716"/>
      <c r="AS499" s="1717"/>
      <c r="AT499" s="1718"/>
      <c r="BU499" s="27" t="str">
        <f t="shared" si="935"/>
        <v>51</v>
      </c>
      <c r="BV499" s="53" t="str">
        <f t="shared" si="936"/>
        <v>non</v>
      </c>
      <c r="BW499" s="1711" t="str">
        <f t="shared" si="937"/>
        <v/>
      </c>
      <c r="BX499" s="1711"/>
      <c r="EJ499" s="16" t="str">
        <f t="shared" si="938"/>
        <v>51</v>
      </c>
      <c r="EK499" s="16" t="str">
        <f t="array" ref="EK499">IFERROR(INDEX(EG507:EG537,MATCH(0,INDEX(COUNTIF(EK496:EK498,EG507:EG537),0,0),0)),"")</f>
        <v>512025</v>
      </c>
      <c r="EL499" s="27">
        <f t="shared" si="939"/>
        <v>0</v>
      </c>
      <c r="EM499" s="27">
        <f t="shared" si="940"/>
        <v>0</v>
      </c>
      <c r="EN499" s="16" t="str">
        <f t="shared" si="934"/>
        <v>non</v>
      </c>
      <c r="EO499" s="16">
        <f t="shared" si="941"/>
        <v>0</v>
      </c>
    </row>
    <row r="500" spans="1:145" x14ac:dyDescent="0.2">
      <c r="C500" s="39" t="s">
        <v>29</v>
      </c>
      <c r="D500" s="1710">
        <f>+Identification!$B$25</f>
        <v>0</v>
      </c>
      <c r="E500" s="1710"/>
      <c r="O500" s="35"/>
      <c r="Q500" s="36"/>
      <c r="R500" s="1721"/>
      <c r="S500" s="1722"/>
      <c r="T500" s="1722"/>
      <c r="U500" s="1722"/>
      <c r="V500" s="1722"/>
      <c r="W500" s="1722"/>
      <c r="X500" s="1723"/>
      <c r="Y500" s="460"/>
      <c r="Z500" s="460"/>
      <c r="AA500" s="460"/>
      <c r="AB500" s="460"/>
      <c r="AC500" s="460"/>
      <c r="AD500" s="460"/>
      <c r="AE500" s="460"/>
      <c r="AF500" s="460"/>
      <c r="AG500" s="460"/>
      <c r="AL500" s="16" t="str">
        <f t="shared" ref="AL500" si="942">C503</f>
        <v>Mois :</v>
      </c>
      <c r="AM500" s="1712">
        <f t="shared" ref="AM500" si="943">D503</f>
        <v>45992</v>
      </c>
      <c r="AN500" s="1712">
        <f t="shared" ref="AN500" si="944">E503</f>
        <v>0</v>
      </c>
      <c r="AR500" s="557" t="str">
        <f>IF(AT500="",AR455,AT500)</f>
        <v>NON</v>
      </c>
      <c r="AS500" s="556" t="s">
        <v>503</v>
      </c>
      <c r="AT500" s="1105"/>
      <c r="BJ500" s="16" t="str">
        <f t="shared" ref="BJ500" si="945">AL500</f>
        <v>Mois :</v>
      </c>
      <c r="BK500" s="1712">
        <f t="shared" ref="BK500" si="946">AM500</f>
        <v>45992</v>
      </c>
      <c r="BL500" s="1712"/>
      <c r="BU500" s="27" t="str">
        <f t="shared" si="935"/>
        <v>52</v>
      </c>
      <c r="BV500" s="53" t="str">
        <f t="shared" si="936"/>
        <v>non</v>
      </c>
      <c r="BW500" s="1711" t="str">
        <f t="shared" si="937"/>
        <v/>
      </c>
      <c r="BX500" s="1711"/>
      <c r="EJ500" s="16" t="str">
        <f t="shared" si="938"/>
        <v>52</v>
      </c>
      <c r="EK500" s="16" t="str">
        <f t="array" ref="EK500">IFERROR(INDEX(EG507:EG537,MATCH(0,INDEX(COUNTIF(EK496:EK499,EG507:EG537),0,0),0)),"")</f>
        <v>522025</v>
      </c>
      <c r="EL500" s="27">
        <f t="shared" si="939"/>
        <v>0</v>
      </c>
      <c r="EM500" s="27">
        <f t="shared" si="940"/>
        <v>0</v>
      </c>
      <c r="EN500" s="16" t="str">
        <f t="shared" si="934"/>
        <v>non</v>
      </c>
      <c r="EO500" s="16">
        <f t="shared" si="941"/>
        <v>0</v>
      </c>
    </row>
    <row r="501" spans="1:145" ht="13.5" thickBot="1" x14ac:dyDescent="0.25">
      <c r="O501" s="42"/>
      <c r="P501" s="43"/>
      <c r="Q501" s="44"/>
      <c r="R501" s="1724"/>
      <c r="S501" s="1725"/>
      <c r="T501" s="1725"/>
      <c r="U501" s="1725"/>
      <c r="V501" s="1725"/>
      <c r="W501" s="1725"/>
      <c r="X501" s="1726"/>
      <c r="Y501" s="460"/>
      <c r="Z501" s="460"/>
      <c r="AA501" s="460"/>
      <c r="AB501" s="460"/>
      <c r="AC501" s="460"/>
      <c r="AD501" s="460"/>
      <c r="AE501" s="460"/>
      <c r="AF501" s="460"/>
      <c r="AG501" s="460"/>
      <c r="BU501" s="27" t="str">
        <f t="shared" si="935"/>
        <v>1</v>
      </c>
      <c r="BV501" s="53" t="str">
        <f t="shared" si="936"/>
        <v>non</v>
      </c>
      <c r="BW501" s="1711" t="str">
        <f t="shared" si="937"/>
        <v/>
      </c>
      <c r="BX501" s="1711"/>
      <c r="EJ501" s="16" t="str">
        <f t="shared" si="938"/>
        <v>1</v>
      </c>
      <c r="EK501" s="16" t="str">
        <f t="array" ref="EK501">IFERROR(INDEX(EG507:EG537,MATCH(0,INDEX(COUNTIF(EK496:EK500,EG507:EG537),0,0),0)),"")</f>
        <v>12025</v>
      </c>
      <c r="EL501" s="27">
        <f t="shared" si="939"/>
        <v>0</v>
      </c>
      <c r="EM501" s="27">
        <f t="shared" si="940"/>
        <v>0</v>
      </c>
      <c r="EN501" s="16" t="str">
        <f t="shared" si="934"/>
        <v>non</v>
      </c>
      <c r="EO501" s="16">
        <f t="shared" si="941"/>
        <v>0</v>
      </c>
    </row>
    <row r="502" spans="1:145" ht="13.5" thickTop="1" x14ac:dyDescent="0.2">
      <c r="AI502" s="553" t="s">
        <v>1000</v>
      </c>
      <c r="BU502" s="27" t="str">
        <f t="shared" si="935"/>
        <v/>
      </c>
      <c r="BV502" s="53" t="str">
        <f t="shared" si="936"/>
        <v/>
      </c>
      <c r="BW502" s="1711" t="str">
        <f t="shared" si="937"/>
        <v/>
      </c>
      <c r="BX502" s="1711"/>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32</v>
      </c>
      <c r="D503" s="1712">
        <f>+Décembre!X3</f>
        <v>45992</v>
      </c>
      <c r="E503" s="1712"/>
      <c r="F503" s="39" t="s">
        <v>12</v>
      </c>
      <c r="G503" s="63">
        <f>+Décembre!X4</f>
        <v>2025</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20" t="s">
        <v>974</v>
      </c>
      <c r="AM504" s="1720"/>
      <c r="AN504" s="1720"/>
      <c r="AO504" s="1720"/>
      <c r="AP504" s="1720"/>
      <c r="AQ504" s="510"/>
      <c r="AT504" s="1719" t="s">
        <v>761</v>
      </c>
      <c r="AU504" s="1719"/>
      <c r="AV504" s="1719"/>
      <c r="AW504" s="63"/>
      <c r="AX504" s="63"/>
      <c r="AY504" s="535" t="s">
        <v>989</v>
      </c>
      <c r="AZ504" s="536"/>
      <c r="BA504" s="536"/>
      <c r="BB504" s="536"/>
      <c r="BC504" s="537"/>
      <c r="BD504" s="537"/>
      <c r="BE504" s="537"/>
      <c r="BF504" s="530"/>
      <c r="BG504" s="530"/>
      <c r="BJ504" s="455"/>
      <c r="BK504" s="455"/>
      <c r="BL504" s="455"/>
      <c r="BM504" s="455"/>
      <c r="BN504" s="455"/>
      <c r="BO504" s="455"/>
      <c r="BP504" s="455"/>
      <c r="BQ504" s="455"/>
      <c r="BU504" s="456"/>
      <c r="BV504" s="456"/>
      <c r="BW504" s="456"/>
      <c r="BX504" s="456"/>
      <c r="BY504" s="456"/>
      <c r="BZ504" s="456"/>
      <c r="CA504" s="456"/>
      <c r="CB504" s="456"/>
    </row>
    <row r="505" spans="1:145" ht="15" customHeight="1" x14ac:dyDescent="0.2">
      <c r="D505" s="457" t="s">
        <v>803</v>
      </c>
      <c r="E505" s="456"/>
      <c r="F505" s="456"/>
      <c r="G505" s="456"/>
      <c r="H505" s="456"/>
      <c r="I505" s="456"/>
      <c r="J505" s="456"/>
      <c r="K505" s="456"/>
      <c r="L505" s="456"/>
      <c r="M505" s="456"/>
      <c r="O505" s="458" t="s">
        <v>802</v>
      </c>
      <c r="P505" s="455"/>
      <c r="Q505" s="455"/>
      <c r="R505" s="455"/>
      <c r="S505" s="455"/>
      <c r="T505" s="455"/>
      <c r="U505" s="455"/>
      <c r="V505" s="455"/>
      <c r="W505" s="455"/>
      <c r="X505" s="455"/>
      <c r="BJ505" s="1109" t="s">
        <v>804</v>
      </c>
      <c r="BK505" s="1110"/>
      <c r="BL505" s="1110"/>
      <c r="BM505" s="1110"/>
      <c r="BN505" s="1110"/>
      <c r="BO505" s="1110"/>
      <c r="BP505" s="1110"/>
      <c r="BQ505" s="1110"/>
      <c r="BU505" s="1109" t="s">
        <v>1394</v>
      </c>
      <c r="BV505" s="1110"/>
      <c r="BW505" s="1110"/>
      <c r="BX505" s="1110"/>
      <c r="BY505" s="1110"/>
      <c r="BZ505" s="1110"/>
      <c r="CA505" s="1110"/>
      <c r="CB505" s="1110"/>
      <c r="DG505" s="333" t="s">
        <v>1349</v>
      </c>
      <c r="DH505" s="129"/>
      <c r="DI505" s="129"/>
      <c r="DK505" s="129" t="s">
        <v>1354</v>
      </c>
      <c r="DN505" s="16" t="s">
        <v>1357</v>
      </c>
      <c r="DV505" s="843" t="s">
        <v>1549</v>
      </c>
      <c r="DW505" s="843"/>
      <c r="DX505" s="843"/>
      <c r="DY505" s="843"/>
      <c r="DZ505" s="843"/>
      <c r="EA505" s="843"/>
      <c r="EB505" s="843"/>
      <c r="EC505" s="843"/>
      <c r="ED505" s="843"/>
      <c r="EE505" s="843"/>
    </row>
    <row r="506" spans="1:145" ht="56.25" customHeight="1" x14ac:dyDescent="0.2">
      <c r="A506" s="24" t="s">
        <v>801</v>
      </c>
      <c r="B506" s="450" t="s">
        <v>16</v>
      </c>
      <c r="C506" s="451"/>
      <c r="D506" s="450" t="s">
        <v>228</v>
      </c>
      <c r="E506" s="450" t="s">
        <v>229</v>
      </c>
      <c r="F506" s="450" t="s">
        <v>230</v>
      </c>
      <c r="G506" s="450" t="s">
        <v>231</v>
      </c>
      <c r="H506" s="450" t="s">
        <v>533</v>
      </c>
      <c r="I506" s="450" t="s">
        <v>534</v>
      </c>
      <c r="J506" s="450" t="s">
        <v>535</v>
      </c>
      <c r="K506" s="450" t="s">
        <v>536</v>
      </c>
      <c r="L506" s="450" t="s">
        <v>191</v>
      </c>
      <c r="M506" s="450" t="s">
        <v>192</v>
      </c>
      <c r="N506" s="451"/>
      <c r="O506" s="450" t="s">
        <v>228</v>
      </c>
      <c r="P506" s="450" t="s">
        <v>229</v>
      </c>
      <c r="Q506" s="450" t="s">
        <v>230</v>
      </c>
      <c r="R506" s="450" t="s">
        <v>231</v>
      </c>
      <c r="S506" s="450" t="s">
        <v>533</v>
      </c>
      <c r="T506" s="450" t="s">
        <v>534</v>
      </c>
      <c r="U506" s="450" t="s">
        <v>535</v>
      </c>
      <c r="V506" s="450" t="s">
        <v>536</v>
      </c>
      <c r="W506" s="450" t="s">
        <v>191</v>
      </c>
      <c r="X506" s="450" t="s">
        <v>192</v>
      </c>
      <c r="Y506" s="451"/>
      <c r="Z506" s="450" t="s">
        <v>808</v>
      </c>
      <c r="AA506" s="450" t="s">
        <v>809</v>
      </c>
      <c r="AB506" s="450" t="s">
        <v>810</v>
      </c>
      <c r="AC506" s="450" t="s">
        <v>811</v>
      </c>
      <c r="AD506" s="450" t="s">
        <v>812</v>
      </c>
      <c r="AE506" s="450" t="s">
        <v>813</v>
      </c>
      <c r="AF506" s="450" t="s">
        <v>814</v>
      </c>
      <c r="AG506" s="450" t="s">
        <v>815</v>
      </c>
      <c r="AI506" s="450" t="s">
        <v>816</v>
      </c>
      <c r="AJ506" s="450" t="s">
        <v>807</v>
      </c>
      <c r="AK506" s="451"/>
      <c r="AL506" s="513" t="s">
        <v>16</v>
      </c>
      <c r="AM506" s="548" t="s">
        <v>1017</v>
      </c>
      <c r="AN506" s="1106" t="s">
        <v>972</v>
      </c>
      <c r="AO506" s="1107" t="s">
        <v>973</v>
      </c>
      <c r="AP506" s="514" t="s">
        <v>1018</v>
      </c>
      <c r="AQ506" s="511"/>
      <c r="AR506" s="1108" t="s">
        <v>696</v>
      </c>
      <c r="AT506" s="1108" t="s">
        <v>1356</v>
      </c>
      <c r="AU506" s="1107" t="s">
        <v>1019</v>
      </c>
      <c r="AV506" s="450" t="s">
        <v>16</v>
      </c>
      <c r="AW506" s="451"/>
      <c r="AX506" s="451"/>
      <c r="AY506" s="547" t="s">
        <v>986</v>
      </c>
      <c r="AZ506" s="548" t="s">
        <v>992</v>
      </c>
      <c r="BA506" s="531" t="s">
        <v>990</v>
      </c>
      <c r="BB506" s="568" t="s">
        <v>991</v>
      </c>
      <c r="BC506" s="569" t="s">
        <v>1021</v>
      </c>
      <c r="BD506" s="568" t="s">
        <v>993</v>
      </c>
      <c r="BE506" s="570" t="s">
        <v>1020</v>
      </c>
      <c r="BF506" s="531" t="s">
        <v>994</v>
      </c>
      <c r="BG506" s="531" t="s">
        <v>999</v>
      </c>
      <c r="BI506" s="24" t="s">
        <v>1027</v>
      </c>
      <c r="BJ506" s="450" t="s">
        <v>228</v>
      </c>
      <c r="BK506" s="450" t="s">
        <v>229</v>
      </c>
      <c r="BL506" s="450" t="s">
        <v>230</v>
      </c>
      <c r="BM506" s="450" t="s">
        <v>231</v>
      </c>
      <c r="BN506" s="450" t="s">
        <v>533</v>
      </c>
      <c r="BO506" s="450" t="s">
        <v>534</v>
      </c>
      <c r="BP506" s="450" t="s">
        <v>535</v>
      </c>
      <c r="BQ506" s="450" t="s">
        <v>536</v>
      </c>
      <c r="BS506" s="1383" t="str">
        <f t="shared" ref="BS506:BS537" si="947">AV506</f>
        <v>Jours</v>
      </c>
      <c r="BU506" s="450" t="s">
        <v>228</v>
      </c>
      <c r="BV506" s="450" t="s">
        <v>229</v>
      </c>
      <c r="BW506" s="450" t="s">
        <v>230</v>
      </c>
      <c r="BX506" s="450" t="s">
        <v>231</v>
      </c>
      <c r="BY506" s="450" t="s">
        <v>533</v>
      </c>
      <c r="BZ506" s="450" t="s">
        <v>534</v>
      </c>
      <c r="CA506" s="450" t="s">
        <v>535</v>
      </c>
      <c r="CB506" s="450" t="s">
        <v>536</v>
      </c>
      <c r="CD506" s="1383" t="s">
        <v>1554</v>
      </c>
      <c r="CS506" s="506"/>
      <c r="CT506" s="506"/>
      <c r="CU506" s="506"/>
      <c r="CV506" s="506"/>
      <c r="DG506" s="333" t="s">
        <v>1350</v>
      </c>
      <c r="DH506" s="129" t="s">
        <v>1351</v>
      </c>
      <c r="DI506" s="129" t="s">
        <v>1353</v>
      </c>
      <c r="DK506" s="129" t="s">
        <v>1355</v>
      </c>
      <c r="DU506" s="1383" t="s">
        <v>247</v>
      </c>
      <c r="DV506" s="1383" t="s">
        <v>228</v>
      </c>
      <c r="DW506" s="1383" t="s">
        <v>229</v>
      </c>
      <c r="DX506" s="1383" t="s">
        <v>230</v>
      </c>
      <c r="DY506" s="1383" t="s">
        <v>231</v>
      </c>
      <c r="DZ506" s="1383" t="s">
        <v>533</v>
      </c>
      <c r="EA506" s="1383" t="s">
        <v>534</v>
      </c>
      <c r="EB506" s="1383" t="s">
        <v>535</v>
      </c>
      <c r="EC506" s="1383" t="s">
        <v>536</v>
      </c>
      <c r="ED506" s="1383" t="s">
        <v>191</v>
      </c>
      <c r="EE506" s="1383" t="s">
        <v>192</v>
      </c>
      <c r="EG506" s="1383" t="s">
        <v>1244</v>
      </c>
      <c r="EH506" s="1383" t="s">
        <v>1550</v>
      </c>
      <c r="EI506" s="1383" t="s">
        <v>1551</v>
      </c>
    </row>
    <row r="507" spans="1:145" x14ac:dyDescent="0.2">
      <c r="A507" s="24" t="str">
        <f>Décembre!BJ20</f>
        <v>Fiche infoA1</v>
      </c>
      <c r="B507" s="828">
        <f>Décembre!AB20</f>
        <v>45992</v>
      </c>
      <c r="C507" s="1393"/>
      <c r="D507" s="998">
        <f t="shared" ref="D507:D537" si="948">IF(AR507&lt;&gt;"",0,IF(DN507=10,0,IFERROR(+IF(BU507="",VLOOKUP(A507,base_horaire,2,FALSE),BU507),0)))</f>
        <v>0</v>
      </c>
      <c r="E507" s="999">
        <f t="shared" ref="E507:E537" si="949">IF(AR507&lt;&gt;"",0,IF(DN507=10,0,IFERROR(+IF(BV507="",VLOOKUP(A507,base_horaire,3,FALSE),BV507),0)))</f>
        <v>0</v>
      </c>
      <c r="F507" s="999">
        <f t="shared" ref="F507:F537" si="950">IF(AR507&lt;&gt;"",0,IF(DN507=10,0,IFERROR(+IF(BW507="",VLOOKUP(A507,base_horaire,4,FALSE),BW507),0)))</f>
        <v>0</v>
      </c>
      <c r="G507" s="999">
        <f t="shared" ref="G507:G537" si="951">IF(AR507&lt;&gt;"",0,IF(DN507=10,0,IFERROR(+IF(BX507="",VLOOKUP(A507,base_horaire,5,FALSE),BX507),0)))</f>
        <v>0</v>
      </c>
      <c r="H507" s="999">
        <f t="shared" ref="H507:H537" si="952">IF(AR507&lt;&gt;"",0,IF(DN507=10,0,IFERROR(+IF(BY507="",VLOOKUP(A507,base_horaire,6,FALSE),BY507),0)))</f>
        <v>0</v>
      </c>
      <c r="I507" s="999">
        <f t="shared" ref="I507:I537" si="953">IF(AR507&lt;&gt;"",0,IF(DN507=10,0,IFERROR(+IF(BZ507="",VLOOKUP(A507,base_horaire,7,FALSE),BZ507),0)))</f>
        <v>0</v>
      </c>
      <c r="J507" s="999">
        <f t="shared" ref="J507:J537" si="954">IF(AR507&lt;&gt;"",0,IF(DN507=10,0,IFERROR(+IF(CA507="",VLOOKUP(A507,base_horaire,8,FALSE),CA507),0)))</f>
        <v>0</v>
      </c>
      <c r="K507" s="999">
        <f t="shared" ref="K507:K537" si="955">IF(AR507&lt;&gt;"",0,IF(DN507=10,0,IFERROR(+IF(CB507="",VLOOKUP(A507,base_horaire,9,FALSE),CB507),0)))</f>
        <v>0</v>
      </c>
      <c r="L507" s="999">
        <f>+E507-D507+G507-F507+I507-H507+K507-J507</f>
        <v>0</v>
      </c>
      <c r="M507" s="1000">
        <f>ROUND(+L507*24,2)</f>
        <v>0</v>
      </c>
      <c r="O507" s="998">
        <f t="shared" ref="O507:O514" si="956">IF(AR507&lt;&gt;"",0,IF(DC507="oui",0,IF(AND(ISTEXT(AT507)=TRUE,BJ507=""),0,IF(BJ507="",D507,BJ507))))</f>
        <v>0</v>
      </c>
      <c r="P507" s="999">
        <f t="shared" ref="P507:P514" si="957">IF(AR507&lt;&gt;"",0,IF(DC507="oui",0,IF(AND(ISTEXT(AT507)=TRUE,BK507=""),0,IF(BK507="",E507,BK507))))</f>
        <v>0</v>
      </c>
      <c r="Q507" s="999">
        <f t="shared" ref="Q507:Q514" si="958">IF(AR507&lt;&gt;"",0,IF(DC507="oui",0,IF(AND(ISTEXT(AT507)=TRUE,BL507=""),0,IF(BL507="",F507,BL507))))</f>
        <v>0</v>
      </c>
      <c r="R507" s="999">
        <f t="shared" ref="R507:R514" si="959">IF(AR507&lt;&gt;"",0,IF(DC507="oui",0,IF(AND(ISTEXT(AT507)=TRUE,BM507=""),0,IF(BM507="",G507,BM507))))</f>
        <v>0</v>
      </c>
      <c r="S507" s="999">
        <f t="shared" ref="S507:S514" si="960">IF(AR507&lt;&gt;"",0,IF(DC507="oui",0,IF(AND(ISTEXT(AT507)=TRUE,BN507=""),0,IF(BN507="",H507,BN507))))</f>
        <v>0</v>
      </c>
      <c r="T507" s="999">
        <f t="shared" ref="T507:T514" si="961">IF(AR507&lt;&gt;"",0,IF(DC507="oui",0,IF(AND(ISTEXT(AT507)=TRUE,BO507=""),0,IF(BO507="",I507,BO507))))</f>
        <v>0</v>
      </c>
      <c r="U507" s="999">
        <f t="shared" ref="U507:U514" si="962">IF(AR507&lt;&gt;"",0,IF(DC507="oui",0,IF(AND(ISTEXT(AT507)=TRUE,BP507=""),0,IF(BP507="",J507,BP507))))</f>
        <v>0</v>
      </c>
      <c r="V507" s="999">
        <f t="shared" ref="V507:V514" si="963">IF(AR507&lt;&gt;"",0,IF(DC507="oui",0,IF(AND(ISTEXT(AT507)=TRUE,BQ507=""),0,IF(BQ507="",K507,BQ507))))</f>
        <v>0</v>
      </c>
      <c r="W507" s="999">
        <f t="shared" ref="W507:W537" si="964">+P507-O507+R507-Q507+T507-S507+V507-U507</f>
        <v>0</v>
      </c>
      <c r="X507" s="1000">
        <f t="shared" ref="X507:X537" si="965">ROUND(+W507*24,2)</f>
        <v>0</v>
      </c>
      <c r="Y507" s="459"/>
      <c r="Z507" s="291">
        <f t="shared" ref="Z507:Z537" si="966">+IF(AND(O507&gt;D507,D507&gt;0),D507,O507)</f>
        <v>0</v>
      </c>
      <c r="AA507" s="291">
        <f t="shared" ref="AA507:AA537" si="967">+IF(P507&gt;E507,P507,E507)</f>
        <v>0</v>
      </c>
      <c r="AB507" s="291">
        <f t="shared" ref="AB507:AB537" si="968">+IF(AND(Q507&gt;F507,F507&gt;0),F507,Q507)</f>
        <v>0</v>
      </c>
      <c r="AC507" s="291">
        <f t="shared" ref="AC507:AC537" si="969">+IF(R507&gt;G507,R507,G507)</f>
        <v>0</v>
      </c>
      <c r="AD507" s="291">
        <f t="shared" ref="AD507:AD537" si="970">+IF(AND(S507&gt;H507,H507&gt;0),H507,S507)</f>
        <v>0</v>
      </c>
      <c r="AE507" s="291">
        <f t="shared" ref="AE507:AE537" si="971">+IF(T507&gt;I507,T507,I507)</f>
        <v>0</v>
      </c>
      <c r="AF507" s="291">
        <f t="shared" ref="AF507:AF537" si="972">+IF(AND(U507&gt;J507,J507&gt;0),J507,U507)</f>
        <v>0</v>
      </c>
      <c r="AG507" s="291">
        <f t="shared" ref="AG507:AG537" si="973">+IF(V507&gt;K507,V507,K507)</f>
        <v>0</v>
      </c>
      <c r="AI507" s="461">
        <f t="shared" ref="AI507:AI514" si="974">IF(DC507="oui",0,IF(AND(ISTEXT(AT507)=TRUE,OR(X507=0,X507="")),0,ROUND(((((AA507-Z507)-(E507-D507))+((AC507-AB507)-(G507-F507))+((AE507-AD507)-(I507-H507))+(AG507-AF507)-(K507-J507))*24),2)))</f>
        <v>0</v>
      </c>
      <c r="AJ507" s="1111"/>
      <c r="AK507" s="507"/>
      <c r="AL507" s="828">
        <f t="shared" ref="AL507:AL537" si="975">B507</f>
        <v>45992</v>
      </c>
      <c r="AM507" s="515">
        <f>IFERROR(IF(AND(AT507="",AR507&lt;&gt;S.CAL!$BJ$3,AR507&lt;&gt;S.CAL!$BJ$4,$AR$500="NON"),M507-BD507,IF(AND(AT507="",AR507&lt;&gt;S.CAL!$BJ$3,AR507&lt;&gt;S.CAL!$BJ$4,$AR$500="OUI"),X507-AI507,IF(AT507&lt;&gt;0,AT507,IF(OR(AR507=S.CAL!$BJ$3,AR507=S.CAL!$BJ$4),AR507,"")))),"")</f>
        <v>0</v>
      </c>
      <c r="AN507" s="1113"/>
      <c r="AO507" s="1114"/>
      <c r="AP507" s="515">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516">
        <f>AI507-SUM(AN507:AO507)</f>
        <v>0</v>
      </c>
      <c r="AR507" s="1119"/>
      <c r="AT507" s="1122"/>
      <c r="AU507" s="831"/>
      <c r="AV507" s="1391">
        <f t="shared" ref="AV507:AV537" si="976">B507</f>
        <v>45992</v>
      </c>
      <c r="AX507" s="529">
        <f>+AV507</f>
        <v>45992</v>
      </c>
      <c r="AY507" s="546">
        <f>+IF(M507-X507&lt;0,0,M507-X507)</f>
        <v>0</v>
      </c>
      <c r="AZ507" s="549" t="s">
        <v>146</v>
      </c>
      <c r="BA507" s="550">
        <f>+IF(AZ507="OUI",AY507,0)</f>
        <v>0</v>
      </c>
      <c r="BB507" s="551" t="str">
        <f t="shared" ref="BB507:BB537" si="977">IF(AND(BE507="",+IFERROR(VLOOKUP(AT507,Liste_motif_formule,5,FALSE),0)="OUI"),"OUI",IF(AND(BE507="",IFERROR(VLOOKUP(AT507,Liste_motif_formule,5,FALSE),0)="NON"),"NON",IF(AND(BE507="",IFERROR(M507-AT507&gt;=0,0),AT507&lt;&gt;""),"OUI",IF(AND(BE507="",DC507="oui"),"OUI",IF(BE507&lt;&gt;"",BE507,"")))))</f>
        <v/>
      </c>
      <c r="BC507" s="546">
        <f>+IF(BB507="OUI",IFERROR(M507-AT507,M507),0)</f>
        <v>0</v>
      </c>
      <c r="BD507" s="546">
        <f>+BC507+BA507</f>
        <v>0</v>
      </c>
      <c r="BE507" s="1125"/>
      <c r="BF507" s="532" t="str">
        <f t="shared" ref="BF507:BF537" si="978">+IF(AND(AZ507="OUI",BB507="OUI"),"ERREUR","")</f>
        <v/>
      </c>
      <c r="BG507" s="532" t="str">
        <f>+IF(AND(M507=0,AT507=""),"oui","non")</f>
        <v>oui</v>
      </c>
      <c r="BH507" s="395" t="str">
        <f t="shared" ref="BH507:BH537" si="979">IFERROR(+VLOOKUP(AT507,Liste_motif_formule,4,FALSE),"")</f>
        <v/>
      </c>
      <c r="BI507" s="24" t="str">
        <f t="shared" ref="BI507:BI537" si="980">IFERROR(+VLOOKUP(AT507,Liste_motif_formule,5,FALSE),"")</f>
        <v/>
      </c>
      <c r="BJ507" s="1403"/>
      <c r="BK507" s="1403"/>
      <c r="BL507" s="1403"/>
      <c r="BM507" s="1403"/>
      <c r="BN507" s="1403"/>
      <c r="BO507" s="1403"/>
      <c r="BP507" s="1403"/>
      <c r="BQ507" s="1403"/>
      <c r="BS507" s="1391">
        <f t="shared" si="947"/>
        <v>45992</v>
      </c>
      <c r="BT507" s="27">
        <f>IFERROR(WEEKNUM(BS507,21),"")</f>
        <v>49</v>
      </c>
      <c r="BU507" s="1401"/>
      <c r="BV507" s="1401"/>
      <c r="BW507" s="1401"/>
      <c r="BX507" s="1401"/>
      <c r="BY507" s="1401"/>
      <c r="BZ507" s="1401"/>
      <c r="CA507" s="1401"/>
      <c r="CB507" s="1401"/>
      <c r="CD507" s="1407">
        <f>+M507</f>
        <v>0</v>
      </c>
      <c r="DC507" s="16" t="str">
        <f>Décembre!FC20</f>
        <v>non</v>
      </c>
      <c r="DG507" s="333">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96" t="str">
        <f>+A507&amp;B507</f>
        <v>Fiche infoA145992</v>
      </c>
      <c r="DV507" s="1384">
        <f t="shared" ref="DV507:DV537" si="983">+IFERROR(+IF(BU507="",VLOOKUP(A507,base_horaire,2,FALSE),BU507),0)</f>
        <v>0</v>
      </c>
      <c r="DW507" s="1385">
        <f t="shared" ref="DW507:DW537" si="984">+IFERROR(+IF(BV507="",VLOOKUP(A507,base_horaire,3,FALSE),BV507),0)</f>
        <v>0</v>
      </c>
      <c r="DX507" s="1385">
        <f t="shared" ref="DX507:DX537" si="985">+IFERROR(+IF(BW507="",VLOOKUP(A507,base_horaire,4,FALSE),BW507),0)</f>
        <v>0</v>
      </c>
      <c r="DY507" s="1385">
        <f t="shared" ref="DY507:DY537" si="986">+IFERROR(+IF(BX507="",VLOOKUP(A507,base_horaire,5,FALSE),BX507),0)</f>
        <v>0</v>
      </c>
      <c r="DZ507" s="1385">
        <f t="shared" ref="DZ507:DZ537" si="987">+IFERROR(+IF(BY507="",VLOOKUP(A507,base_horaire,6,FALSE),BY507),0)</f>
        <v>0</v>
      </c>
      <c r="EA507" s="1385">
        <f t="shared" ref="EA507:EA537" si="988">IFERROR(+IF(BZ507="",VLOOKUP(A507,base_horaire,7,FALSE),BZ507),0)</f>
        <v>0</v>
      </c>
      <c r="EB507" s="1385">
        <f t="shared" ref="EB507:EB537" si="989">IFERROR(+IF(CA507="",VLOOKUP(A507,base_horaire,8,FALSE),CA507),0)</f>
        <v>0</v>
      </c>
      <c r="EC507" s="1385">
        <f t="shared" ref="EC507:EC537" si="990">IFERROR(+IF(CB507="",VLOOKUP(A507,base_horaire,9,FALSE),CB507),0)</f>
        <v>0</v>
      </c>
      <c r="ED507" s="1385">
        <f>+DW507-DV507+DY507-DX507+EA507-DZ507+EC507-EB507</f>
        <v>0</v>
      </c>
      <c r="EE507" s="1386">
        <f>ROUND(+ED507*24,2)</f>
        <v>0</v>
      </c>
      <c r="EG507" s="16" t="str">
        <f>+WEEKNUM(B507,21)&amp;YEAR(B507)</f>
        <v>492025</v>
      </c>
      <c r="EH507" s="16" t="str">
        <f t="shared" ref="EH507:EH537" si="991">+A507</f>
        <v>Fiche infoA1</v>
      </c>
      <c r="EI507" s="16" t="str">
        <f t="shared" ref="EI507:EI537" si="992">+VLOOKUP(EH507,Base_heures,6,FALSE)</f>
        <v/>
      </c>
    </row>
    <row r="508" spans="1:145" x14ac:dyDescent="0.2">
      <c r="A508" s="1395" t="str">
        <f>Décembre!BJ21</f>
        <v>Fiche infoA2</v>
      </c>
      <c r="B508" s="829">
        <f>Décembre!AB21</f>
        <v>45993</v>
      </c>
      <c r="C508" s="1394"/>
      <c r="D508" s="1001">
        <f t="shared" si="948"/>
        <v>0</v>
      </c>
      <c r="E508" s="452">
        <f t="shared" si="949"/>
        <v>0</v>
      </c>
      <c r="F508" s="452">
        <f t="shared" si="950"/>
        <v>0</v>
      </c>
      <c r="G508" s="452">
        <f t="shared" si="951"/>
        <v>0</v>
      </c>
      <c r="H508" s="452">
        <f t="shared" si="952"/>
        <v>0</v>
      </c>
      <c r="I508" s="452">
        <f t="shared" si="953"/>
        <v>0</v>
      </c>
      <c r="J508" s="452">
        <f t="shared" si="954"/>
        <v>0</v>
      </c>
      <c r="K508" s="452">
        <f t="shared" si="955"/>
        <v>0</v>
      </c>
      <c r="L508" s="452">
        <f t="shared" ref="L508:L537" si="993">+E508-D508+G508-F508+I508-H508+K508-J508</f>
        <v>0</v>
      </c>
      <c r="M508" s="1002">
        <f t="shared" ref="M508:M537" si="994">ROUND(+L508*24,2)</f>
        <v>0</v>
      </c>
      <c r="N508" s="1396"/>
      <c r="O508" s="1001">
        <f t="shared" si="956"/>
        <v>0</v>
      </c>
      <c r="P508" s="452">
        <f t="shared" si="957"/>
        <v>0</v>
      </c>
      <c r="Q508" s="452">
        <f t="shared" si="958"/>
        <v>0</v>
      </c>
      <c r="R508" s="452">
        <f t="shared" si="959"/>
        <v>0</v>
      </c>
      <c r="S508" s="452">
        <f t="shared" si="960"/>
        <v>0</v>
      </c>
      <c r="T508" s="452">
        <f t="shared" si="961"/>
        <v>0</v>
      </c>
      <c r="U508" s="452">
        <f t="shared" si="962"/>
        <v>0</v>
      </c>
      <c r="V508" s="452">
        <f t="shared" si="963"/>
        <v>0</v>
      </c>
      <c r="W508" s="452">
        <f t="shared" si="964"/>
        <v>0</v>
      </c>
      <c r="X508" s="1002">
        <f t="shared" si="965"/>
        <v>0</v>
      </c>
      <c r="Y508" s="1397"/>
      <c r="Z508" s="1398">
        <f t="shared" si="966"/>
        <v>0</v>
      </c>
      <c r="AA508" s="1398">
        <f t="shared" si="967"/>
        <v>0</v>
      </c>
      <c r="AB508" s="1398">
        <f t="shared" si="968"/>
        <v>0</v>
      </c>
      <c r="AC508" s="1398">
        <f t="shared" si="969"/>
        <v>0</v>
      </c>
      <c r="AD508" s="1398">
        <f t="shared" si="970"/>
        <v>0</v>
      </c>
      <c r="AE508" s="1398">
        <f t="shared" si="971"/>
        <v>0</v>
      </c>
      <c r="AF508" s="1398">
        <f t="shared" si="972"/>
        <v>0</v>
      </c>
      <c r="AG508" s="1398">
        <f t="shared" si="973"/>
        <v>0</v>
      </c>
      <c r="AH508" s="1396"/>
      <c r="AI508" s="462">
        <f t="shared" si="974"/>
        <v>0</v>
      </c>
      <c r="AJ508" s="1112"/>
      <c r="AK508" s="1399"/>
      <c r="AL508" s="829">
        <f t="shared" si="975"/>
        <v>45993</v>
      </c>
      <c r="AM508" s="684">
        <f>IFERROR(IF(AND(AT508="",AR508&lt;&gt;S.CAL!$BJ$3,AR508&lt;&gt;S.CAL!$BJ$4,$AR$500="NON"),M508-BD508,IF(AND(AT508="",AR508&lt;&gt;S.CAL!$BJ$3,AR508&lt;&gt;S.CAL!$BJ$4,$AR$500="OUI"),X508-AI508,IF(AT508&lt;&gt;0,AT508,IF(OR(AR508=S.CAL!$BJ$3,AR508=S.CAL!$BJ$4),AR508,"")))),"")</f>
        <v>0</v>
      </c>
      <c r="AN508" s="1115"/>
      <c r="AO508" s="1116"/>
      <c r="AP508" s="684">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400">
        <f t="shared" ref="AQ508:AQ537" si="995">AI508-SUM(AN508:AO508)</f>
        <v>0</v>
      </c>
      <c r="AR508" s="1120"/>
      <c r="AS508" s="1396"/>
      <c r="AT508" s="1123"/>
      <c r="AU508" s="831"/>
      <c r="AV508" s="1392">
        <f t="shared" si="976"/>
        <v>45993</v>
      </c>
      <c r="AW508" s="1396"/>
      <c r="AX508" s="529">
        <f t="shared" ref="AX508:AX537" si="996">+AV508</f>
        <v>45993</v>
      </c>
      <c r="AY508" s="541">
        <f t="shared" ref="AY508:AY537" si="997">+IF(M508-X508&lt;0,0,M508-X508)</f>
        <v>0</v>
      </c>
      <c r="AZ508" s="538" t="s">
        <v>146</v>
      </c>
      <c r="BA508" s="534">
        <f t="shared" ref="BA508:BA537" si="998">+IF(AZ508="OUI",AY508,0)</f>
        <v>0</v>
      </c>
      <c r="BB508" s="567" t="str">
        <f t="shared" si="977"/>
        <v/>
      </c>
      <c r="BC508" s="541">
        <f t="shared" ref="BC508:BC537" si="999">+IF(BB508="OUI",IFERROR(M508-AT508,M508),0)</f>
        <v>0</v>
      </c>
      <c r="BD508" s="541">
        <f t="shared" ref="BD508:BD537" si="1000">+BC508+BA508</f>
        <v>0</v>
      </c>
      <c r="BE508" s="1126"/>
      <c r="BF508" s="532" t="str">
        <f t="shared" si="978"/>
        <v/>
      </c>
      <c r="BG508" s="532" t="str">
        <f t="shared" ref="BG508:BG537" si="1001">+IF(AND(M508=0,AT508=""),"oui","non")</f>
        <v>oui</v>
      </c>
      <c r="BH508" s="395" t="str">
        <f t="shared" si="979"/>
        <v/>
      </c>
      <c r="BI508" s="24" t="str">
        <f t="shared" si="980"/>
        <v/>
      </c>
      <c r="BJ508" s="1404"/>
      <c r="BK508" s="1404"/>
      <c r="BL508" s="1404"/>
      <c r="BM508" s="1404"/>
      <c r="BN508" s="1404"/>
      <c r="BO508" s="1404"/>
      <c r="BP508" s="1404"/>
      <c r="BQ508" s="1404"/>
      <c r="BR508" s="1405"/>
      <c r="BS508" s="1392">
        <f t="shared" si="947"/>
        <v>45993</v>
      </c>
      <c r="BT508" s="1406" t="str">
        <f>IFERROR(IF(WEEKDAY(BS508,11)=1,WEEKNUM(BS508,21),""),"")</f>
        <v/>
      </c>
      <c r="BU508" s="1404"/>
      <c r="BV508" s="1404"/>
      <c r="BW508" s="1404"/>
      <c r="BX508" s="1404"/>
      <c r="BY508" s="1404"/>
      <c r="BZ508" s="1404"/>
      <c r="CA508" s="1404"/>
      <c r="CB508" s="1404"/>
      <c r="CD508" s="1408">
        <f t="shared" ref="CD508:CD537" si="1002">+M508</f>
        <v>0</v>
      </c>
      <c r="DC508" s="16" t="str">
        <f>Décembre!FC21</f>
        <v>non</v>
      </c>
      <c r="DG508" s="333">
        <f t="shared" ref="DG508:DG537" si="1003">IF(OR(AT508=0,AT508=""),1,10)</f>
        <v>1</v>
      </c>
      <c r="DH508" s="129">
        <f t="shared" si="981"/>
        <v>10</v>
      </c>
      <c r="DI508" s="129">
        <f t="shared" ref="DI508:DI537" si="1004">+IF(OR(DG508=1,DH508=1),1,10)</f>
        <v>1</v>
      </c>
      <c r="DK508" s="16">
        <f>+IF(AND(Décembre!$DP$8&lt;&gt;52,AR508=S.CAL!$BJ$4),10,1)</f>
        <v>1</v>
      </c>
      <c r="DN508" s="16">
        <f t="shared" si="982"/>
        <v>1</v>
      </c>
      <c r="DU508" s="1296" t="str">
        <f t="shared" ref="DU508:DU537" si="1005">+A508&amp;B508</f>
        <v>Fiche infoA245993</v>
      </c>
      <c r="DV508" s="1384">
        <f t="shared" si="983"/>
        <v>0</v>
      </c>
      <c r="DW508" s="1385">
        <f t="shared" si="984"/>
        <v>0</v>
      </c>
      <c r="DX508" s="1385">
        <f t="shared" si="985"/>
        <v>0</v>
      </c>
      <c r="DY508" s="1385">
        <f t="shared" si="986"/>
        <v>0</v>
      </c>
      <c r="DZ508" s="1385">
        <f t="shared" si="987"/>
        <v>0</v>
      </c>
      <c r="EA508" s="1385">
        <f t="shared" si="988"/>
        <v>0</v>
      </c>
      <c r="EB508" s="1385">
        <f t="shared" si="989"/>
        <v>0</v>
      </c>
      <c r="EC508" s="1385">
        <f t="shared" si="990"/>
        <v>0</v>
      </c>
      <c r="ED508" s="1385">
        <f t="shared" ref="ED508:ED537" si="1006">+DW508-DV508+DY508-DX508+EA508-DZ508+EC508-EB508</f>
        <v>0</v>
      </c>
      <c r="EE508" s="1386">
        <f t="shared" ref="EE508:EE537" si="1007">ROUND(+ED508*24,2)</f>
        <v>0</v>
      </c>
      <c r="EG508" s="16" t="str">
        <f t="shared" ref="EG508:EG537" si="1008">+WEEKNUM(B508,21)&amp;YEAR(B508)</f>
        <v>492025</v>
      </c>
      <c r="EH508" s="16" t="str">
        <f t="shared" si="991"/>
        <v>Fiche infoA2</v>
      </c>
      <c r="EI508" s="16" t="str">
        <f t="shared" si="992"/>
        <v/>
      </c>
    </row>
    <row r="509" spans="1:145" x14ac:dyDescent="0.2">
      <c r="A509" s="24" t="str">
        <f>Décembre!BJ22</f>
        <v>Fiche infoA3</v>
      </c>
      <c r="B509" s="829">
        <f>Décembre!AB22</f>
        <v>45994</v>
      </c>
      <c r="C509" s="1393"/>
      <c r="D509" s="1001">
        <f t="shared" si="948"/>
        <v>0</v>
      </c>
      <c r="E509" s="452">
        <f t="shared" si="949"/>
        <v>0</v>
      </c>
      <c r="F509" s="452">
        <f t="shared" si="950"/>
        <v>0</v>
      </c>
      <c r="G509" s="452">
        <f t="shared" si="951"/>
        <v>0</v>
      </c>
      <c r="H509" s="452">
        <f t="shared" si="952"/>
        <v>0</v>
      </c>
      <c r="I509" s="452">
        <f t="shared" si="953"/>
        <v>0</v>
      </c>
      <c r="J509" s="452">
        <f t="shared" si="954"/>
        <v>0</v>
      </c>
      <c r="K509" s="452">
        <f t="shared" si="955"/>
        <v>0</v>
      </c>
      <c r="L509" s="452">
        <f t="shared" si="993"/>
        <v>0</v>
      </c>
      <c r="M509" s="1002">
        <f t="shared" si="994"/>
        <v>0</v>
      </c>
      <c r="O509" s="1001">
        <f t="shared" si="956"/>
        <v>0</v>
      </c>
      <c r="P509" s="452">
        <f t="shared" si="957"/>
        <v>0</v>
      </c>
      <c r="Q509" s="452">
        <f t="shared" si="958"/>
        <v>0</v>
      </c>
      <c r="R509" s="452">
        <f t="shared" si="959"/>
        <v>0</v>
      </c>
      <c r="S509" s="452">
        <f t="shared" si="960"/>
        <v>0</v>
      </c>
      <c r="T509" s="452">
        <f t="shared" si="961"/>
        <v>0</v>
      </c>
      <c r="U509" s="452">
        <f t="shared" si="962"/>
        <v>0</v>
      </c>
      <c r="V509" s="452">
        <f t="shared" si="963"/>
        <v>0</v>
      </c>
      <c r="W509" s="452">
        <f t="shared" si="964"/>
        <v>0</v>
      </c>
      <c r="X509" s="1002">
        <f t="shared" si="965"/>
        <v>0</v>
      </c>
      <c r="Y509" s="459"/>
      <c r="Z509" s="291">
        <f t="shared" si="966"/>
        <v>0</v>
      </c>
      <c r="AA509" s="291">
        <f t="shared" si="967"/>
        <v>0</v>
      </c>
      <c r="AB509" s="291">
        <f t="shared" si="968"/>
        <v>0</v>
      </c>
      <c r="AC509" s="291">
        <f t="shared" si="969"/>
        <v>0</v>
      </c>
      <c r="AD509" s="291">
        <f t="shared" si="970"/>
        <v>0</v>
      </c>
      <c r="AE509" s="291">
        <f t="shared" si="971"/>
        <v>0</v>
      </c>
      <c r="AF509" s="291">
        <f t="shared" si="972"/>
        <v>0</v>
      </c>
      <c r="AG509" s="291">
        <f t="shared" si="973"/>
        <v>0</v>
      </c>
      <c r="AI509" s="462">
        <f t="shared" si="974"/>
        <v>0</v>
      </c>
      <c r="AJ509" s="1112"/>
      <c r="AK509" s="507"/>
      <c r="AL509" s="829">
        <f t="shared" si="975"/>
        <v>45994</v>
      </c>
      <c r="AM509" s="684">
        <f>IFERROR(IF(AND(AT509="",AR509&lt;&gt;S.CAL!$BJ$3,AR509&lt;&gt;S.CAL!$BJ$4,$AR$500="NON"),M509-BD509,IF(AND(AT509="",AR509&lt;&gt;S.CAL!$BJ$3,AR509&lt;&gt;S.CAL!$BJ$4,$AR$500="OUI"),X509-AI509,IF(AT509&lt;&gt;0,AT509,IF(OR(AR509=S.CAL!$BJ$3,AR509=S.CAL!$BJ$4),AR509,"")))),"")</f>
        <v>0</v>
      </c>
      <c r="AN509" s="1115"/>
      <c r="AO509" s="1116"/>
      <c r="AP509" s="684">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516">
        <f t="shared" si="995"/>
        <v>0</v>
      </c>
      <c r="AR509" s="1120"/>
      <c r="AT509" s="1123"/>
      <c r="AU509" s="831"/>
      <c r="AV509" s="1392">
        <f t="shared" si="976"/>
        <v>45994</v>
      </c>
      <c r="AX509" s="529">
        <f t="shared" si="996"/>
        <v>45994</v>
      </c>
      <c r="AY509" s="541">
        <f t="shared" si="997"/>
        <v>0</v>
      </c>
      <c r="AZ509" s="538" t="s">
        <v>146</v>
      </c>
      <c r="BA509" s="534">
        <f t="shared" si="998"/>
        <v>0</v>
      </c>
      <c r="BB509" s="567" t="str">
        <f t="shared" si="977"/>
        <v/>
      </c>
      <c r="BC509" s="541">
        <f t="shared" si="999"/>
        <v>0</v>
      </c>
      <c r="BD509" s="541">
        <f t="shared" si="1000"/>
        <v>0</v>
      </c>
      <c r="BE509" s="1126"/>
      <c r="BF509" s="532" t="str">
        <f t="shared" si="978"/>
        <v/>
      </c>
      <c r="BG509" s="532" t="str">
        <f t="shared" si="1001"/>
        <v>oui</v>
      </c>
      <c r="BH509" s="395" t="str">
        <f t="shared" si="979"/>
        <v/>
      </c>
      <c r="BI509" s="24" t="str">
        <f t="shared" si="980"/>
        <v/>
      </c>
      <c r="BJ509" s="1403"/>
      <c r="BK509" s="1403"/>
      <c r="BL509" s="1403"/>
      <c r="BM509" s="1403"/>
      <c r="BN509" s="1403"/>
      <c r="BO509" s="1403"/>
      <c r="BP509" s="1403"/>
      <c r="BQ509" s="1403"/>
      <c r="BS509" s="1392">
        <f t="shared" si="947"/>
        <v>45994</v>
      </c>
      <c r="BT509" s="27" t="str">
        <f t="shared" ref="BT509:BT537" si="1009">IFERROR(IF(WEEKDAY(BS509,11)=1,WEEKNUM(BS509,21),""),"")</f>
        <v/>
      </c>
      <c r="BU509" s="1402"/>
      <c r="BV509" s="1402"/>
      <c r="BW509" s="1402"/>
      <c r="BX509" s="1402"/>
      <c r="BY509" s="1402"/>
      <c r="BZ509" s="1402"/>
      <c r="CA509" s="1402"/>
      <c r="CB509" s="1402"/>
      <c r="CD509" s="1408">
        <f t="shared" si="1002"/>
        <v>0</v>
      </c>
      <c r="DC509" s="16" t="str">
        <f>Décembre!FC22</f>
        <v>non</v>
      </c>
      <c r="DG509" s="333">
        <f t="shared" si="1003"/>
        <v>1</v>
      </c>
      <c r="DH509" s="129">
        <f t="shared" si="981"/>
        <v>10</v>
      </c>
      <c r="DI509" s="129">
        <f t="shared" si="1004"/>
        <v>1</v>
      </c>
      <c r="DK509" s="16">
        <f>+IF(AND(Décembre!$DP$8&lt;&gt;52,AR509=S.CAL!$BJ$4),10,1)</f>
        <v>1</v>
      </c>
      <c r="DN509" s="16">
        <f t="shared" si="982"/>
        <v>1</v>
      </c>
      <c r="DU509" s="1296" t="str">
        <f t="shared" si="1005"/>
        <v>Fiche infoA345994</v>
      </c>
      <c r="DV509" s="1384">
        <f t="shared" si="983"/>
        <v>0</v>
      </c>
      <c r="DW509" s="1385">
        <f t="shared" si="984"/>
        <v>0</v>
      </c>
      <c r="DX509" s="1385">
        <f t="shared" si="985"/>
        <v>0</v>
      </c>
      <c r="DY509" s="1385">
        <f t="shared" si="986"/>
        <v>0</v>
      </c>
      <c r="DZ509" s="1385">
        <f t="shared" si="987"/>
        <v>0</v>
      </c>
      <c r="EA509" s="1385">
        <f t="shared" si="988"/>
        <v>0</v>
      </c>
      <c r="EB509" s="1385">
        <f t="shared" si="989"/>
        <v>0</v>
      </c>
      <c r="EC509" s="1385">
        <f t="shared" si="990"/>
        <v>0</v>
      </c>
      <c r="ED509" s="1385">
        <f t="shared" si="1006"/>
        <v>0</v>
      </c>
      <c r="EE509" s="1386">
        <f t="shared" si="1007"/>
        <v>0</v>
      </c>
      <c r="EG509" s="16" t="str">
        <f t="shared" si="1008"/>
        <v>492025</v>
      </c>
      <c r="EH509" s="16" t="str">
        <f t="shared" si="991"/>
        <v>Fiche infoA3</v>
      </c>
      <c r="EI509" s="16" t="str">
        <f t="shared" si="992"/>
        <v/>
      </c>
    </row>
    <row r="510" spans="1:145" x14ac:dyDescent="0.2">
      <c r="A510" s="1395" t="str">
        <f>Décembre!BJ23</f>
        <v>Fiche infoA4</v>
      </c>
      <c r="B510" s="829">
        <f>Décembre!AB23</f>
        <v>45995</v>
      </c>
      <c r="C510" s="1394"/>
      <c r="D510" s="1001">
        <f t="shared" si="948"/>
        <v>0</v>
      </c>
      <c r="E510" s="452">
        <f t="shared" si="949"/>
        <v>0</v>
      </c>
      <c r="F510" s="452">
        <f t="shared" si="950"/>
        <v>0</v>
      </c>
      <c r="G510" s="452">
        <f t="shared" si="951"/>
        <v>0</v>
      </c>
      <c r="H510" s="452">
        <f t="shared" si="952"/>
        <v>0</v>
      </c>
      <c r="I510" s="452">
        <f t="shared" si="953"/>
        <v>0</v>
      </c>
      <c r="J510" s="452">
        <f t="shared" si="954"/>
        <v>0</v>
      </c>
      <c r="K510" s="452">
        <f t="shared" si="955"/>
        <v>0</v>
      </c>
      <c r="L510" s="452">
        <f t="shared" si="993"/>
        <v>0</v>
      </c>
      <c r="M510" s="1002">
        <f t="shared" si="994"/>
        <v>0</v>
      </c>
      <c r="N510" s="1396"/>
      <c r="O510" s="1001">
        <f t="shared" si="956"/>
        <v>0</v>
      </c>
      <c r="P510" s="452">
        <f t="shared" si="957"/>
        <v>0</v>
      </c>
      <c r="Q510" s="452">
        <f t="shared" si="958"/>
        <v>0</v>
      </c>
      <c r="R510" s="452">
        <f t="shared" si="959"/>
        <v>0</v>
      </c>
      <c r="S510" s="452">
        <f t="shared" si="960"/>
        <v>0</v>
      </c>
      <c r="T510" s="452">
        <f t="shared" si="961"/>
        <v>0</v>
      </c>
      <c r="U510" s="452">
        <f t="shared" si="962"/>
        <v>0</v>
      </c>
      <c r="V510" s="452">
        <f t="shared" si="963"/>
        <v>0</v>
      </c>
      <c r="W510" s="452">
        <f t="shared" si="964"/>
        <v>0</v>
      </c>
      <c r="X510" s="1002">
        <f t="shared" si="965"/>
        <v>0</v>
      </c>
      <c r="Y510" s="1397"/>
      <c r="Z510" s="1398">
        <f t="shared" si="966"/>
        <v>0</v>
      </c>
      <c r="AA510" s="1398">
        <f t="shared" si="967"/>
        <v>0</v>
      </c>
      <c r="AB510" s="1398">
        <f t="shared" si="968"/>
        <v>0</v>
      </c>
      <c r="AC510" s="1398">
        <f t="shared" si="969"/>
        <v>0</v>
      </c>
      <c r="AD510" s="1398">
        <f t="shared" si="970"/>
        <v>0</v>
      </c>
      <c r="AE510" s="1398">
        <f t="shared" si="971"/>
        <v>0</v>
      </c>
      <c r="AF510" s="1398">
        <f t="shared" si="972"/>
        <v>0</v>
      </c>
      <c r="AG510" s="1398">
        <f t="shared" si="973"/>
        <v>0</v>
      </c>
      <c r="AH510" s="1396"/>
      <c r="AI510" s="462">
        <f t="shared" si="974"/>
        <v>0</v>
      </c>
      <c r="AJ510" s="1112"/>
      <c r="AK510" s="1399"/>
      <c r="AL510" s="829">
        <f t="shared" si="975"/>
        <v>45995</v>
      </c>
      <c r="AM510" s="684">
        <f>IFERROR(IF(AND(AT510="",AR510&lt;&gt;S.CAL!$BJ$3,AR510&lt;&gt;S.CAL!$BJ$4,$AR$500="NON"),M510-BD510,IF(AND(AT510="",AR510&lt;&gt;S.CAL!$BJ$3,AR510&lt;&gt;S.CAL!$BJ$4,$AR$500="OUI"),X510-AI510,IF(AT510&lt;&gt;0,AT510,IF(OR(AR510=S.CAL!$BJ$3,AR510=S.CAL!$BJ$4),AR510,"")))),"")</f>
        <v>0</v>
      </c>
      <c r="AN510" s="1115"/>
      <c r="AO510" s="1116"/>
      <c r="AP510" s="684">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400">
        <f t="shared" si="995"/>
        <v>0</v>
      </c>
      <c r="AR510" s="1120"/>
      <c r="AS510" s="1396"/>
      <c r="AT510" s="1123"/>
      <c r="AU510" s="831"/>
      <c r="AV510" s="1392">
        <f t="shared" si="976"/>
        <v>45995</v>
      </c>
      <c r="AW510" s="1396"/>
      <c r="AX510" s="529">
        <f t="shared" si="996"/>
        <v>45995</v>
      </c>
      <c r="AY510" s="541">
        <f t="shared" si="997"/>
        <v>0</v>
      </c>
      <c r="AZ510" s="538" t="s">
        <v>146</v>
      </c>
      <c r="BA510" s="534">
        <f t="shared" si="998"/>
        <v>0</v>
      </c>
      <c r="BB510" s="567" t="str">
        <f t="shared" si="977"/>
        <v/>
      </c>
      <c r="BC510" s="541">
        <f t="shared" si="999"/>
        <v>0</v>
      </c>
      <c r="BD510" s="541">
        <f t="shared" si="1000"/>
        <v>0</v>
      </c>
      <c r="BE510" s="1126"/>
      <c r="BF510" s="532" t="str">
        <f t="shared" si="978"/>
        <v/>
      </c>
      <c r="BG510" s="532" t="str">
        <f t="shared" si="1001"/>
        <v>oui</v>
      </c>
      <c r="BH510" s="395" t="str">
        <f t="shared" si="979"/>
        <v/>
      </c>
      <c r="BI510" s="24" t="str">
        <f t="shared" si="980"/>
        <v/>
      </c>
      <c r="BJ510" s="1404"/>
      <c r="BK510" s="1404"/>
      <c r="BL510" s="1404"/>
      <c r="BM510" s="1404"/>
      <c r="BN510" s="1404"/>
      <c r="BO510" s="1404"/>
      <c r="BP510" s="1404"/>
      <c r="BQ510" s="1404"/>
      <c r="BR510" s="1405"/>
      <c r="BS510" s="1392">
        <f t="shared" si="947"/>
        <v>45995</v>
      </c>
      <c r="BT510" s="1406" t="str">
        <f t="shared" si="1009"/>
        <v/>
      </c>
      <c r="BU510" s="1404"/>
      <c r="BV510" s="1404"/>
      <c r="BW510" s="1404"/>
      <c r="BX510" s="1404"/>
      <c r="BY510" s="1404"/>
      <c r="BZ510" s="1404"/>
      <c r="CA510" s="1404"/>
      <c r="CB510" s="1404"/>
      <c r="CD510" s="1408">
        <f t="shared" si="1002"/>
        <v>0</v>
      </c>
      <c r="DC510" s="16" t="str">
        <f>Décembre!FC23</f>
        <v>non</v>
      </c>
      <c r="DG510" s="333">
        <f t="shared" si="1003"/>
        <v>1</v>
      </c>
      <c r="DH510" s="129">
        <f t="shared" si="981"/>
        <v>10</v>
      </c>
      <c r="DI510" s="129">
        <f t="shared" si="1004"/>
        <v>1</v>
      </c>
      <c r="DK510" s="16">
        <f>+IF(AND(Décembre!$DP$8&lt;&gt;52,AR510=S.CAL!$BJ$4),10,1)</f>
        <v>1</v>
      </c>
      <c r="DN510" s="16">
        <f t="shared" si="982"/>
        <v>1</v>
      </c>
      <c r="DU510" s="1296" t="str">
        <f t="shared" si="1005"/>
        <v>Fiche infoA445995</v>
      </c>
      <c r="DV510" s="1384">
        <f t="shared" si="983"/>
        <v>0</v>
      </c>
      <c r="DW510" s="1385">
        <f t="shared" si="984"/>
        <v>0</v>
      </c>
      <c r="DX510" s="1385">
        <f t="shared" si="985"/>
        <v>0</v>
      </c>
      <c r="DY510" s="1385">
        <f t="shared" si="986"/>
        <v>0</v>
      </c>
      <c r="DZ510" s="1385">
        <f t="shared" si="987"/>
        <v>0</v>
      </c>
      <c r="EA510" s="1385">
        <f t="shared" si="988"/>
        <v>0</v>
      </c>
      <c r="EB510" s="1385">
        <f t="shared" si="989"/>
        <v>0</v>
      </c>
      <c r="EC510" s="1385">
        <f t="shared" si="990"/>
        <v>0</v>
      </c>
      <c r="ED510" s="1385">
        <f t="shared" si="1006"/>
        <v>0</v>
      </c>
      <c r="EE510" s="1386">
        <f t="shared" si="1007"/>
        <v>0</v>
      </c>
      <c r="EG510" s="16" t="str">
        <f t="shared" si="1008"/>
        <v>492025</v>
      </c>
      <c r="EH510" s="16" t="str">
        <f t="shared" si="991"/>
        <v>Fiche infoA4</v>
      </c>
      <c r="EI510" s="16" t="str">
        <f t="shared" si="992"/>
        <v/>
      </c>
    </row>
    <row r="511" spans="1:145" x14ac:dyDescent="0.2">
      <c r="A511" s="24" t="str">
        <f>Décembre!BJ24</f>
        <v>Fiche infoA5</v>
      </c>
      <c r="B511" s="829">
        <f>Décembre!AB24</f>
        <v>45996</v>
      </c>
      <c r="C511" s="1393"/>
      <c r="D511" s="1001">
        <f t="shared" si="948"/>
        <v>0</v>
      </c>
      <c r="E511" s="452">
        <f t="shared" si="949"/>
        <v>0</v>
      </c>
      <c r="F511" s="452">
        <f t="shared" si="950"/>
        <v>0</v>
      </c>
      <c r="G511" s="452">
        <f t="shared" si="951"/>
        <v>0</v>
      </c>
      <c r="H511" s="452">
        <f t="shared" si="952"/>
        <v>0</v>
      </c>
      <c r="I511" s="452">
        <f t="shared" si="953"/>
        <v>0</v>
      </c>
      <c r="J511" s="452">
        <f t="shared" si="954"/>
        <v>0</v>
      </c>
      <c r="K511" s="452">
        <f t="shared" si="955"/>
        <v>0</v>
      </c>
      <c r="L511" s="452">
        <f t="shared" si="993"/>
        <v>0</v>
      </c>
      <c r="M511" s="1002">
        <f t="shared" si="994"/>
        <v>0</v>
      </c>
      <c r="O511" s="1001">
        <f t="shared" si="956"/>
        <v>0</v>
      </c>
      <c r="P511" s="452">
        <f t="shared" si="957"/>
        <v>0</v>
      </c>
      <c r="Q511" s="452">
        <f t="shared" si="958"/>
        <v>0</v>
      </c>
      <c r="R511" s="452">
        <f t="shared" si="959"/>
        <v>0</v>
      </c>
      <c r="S511" s="452">
        <f t="shared" si="960"/>
        <v>0</v>
      </c>
      <c r="T511" s="452">
        <f t="shared" si="961"/>
        <v>0</v>
      </c>
      <c r="U511" s="452">
        <f t="shared" si="962"/>
        <v>0</v>
      </c>
      <c r="V511" s="452">
        <f t="shared" si="963"/>
        <v>0</v>
      </c>
      <c r="W511" s="452">
        <f t="shared" si="964"/>
        <v>0</v>
      </c>
      <c r="X511" s="1002">
        <f t="shared" si="965"/>
        <v>0</v>
      </c>
      <c r="Y511" s="459"/>
      <c r="Z511" s="291">
        <f t="shared" si="966"/>
        <v>0</v>
      </c>
      <c r="AA511" s="291">
        <f t="shared" si="967"/>
        <v>0</v>
      </c>
      <c r="AB511" s="291">
        <f t="shared" si="968"/>
        <v>0</v>
      </c>
      <c r="AC511" s="291">
        <f t="shared" si="969"/>
        <v>0</v>
      </c>
      <c r="AD511" s="291">
        <f t="shared" si="970"/>
        <v>0</v>
      </c>
      <c r="AE511" s="291">
        <f t="shared" si="971"/>
        <v>0</v>
      </c>
      <c r="AF511" s="291">
        <f t="shared" si="972"/>
        <v>0</v>
      </c>
      <c r="AG511" s="291">
        <f t="shared" si="973"/>
        <v>0</v>
      </c>
      <c r="AI511" s="462">
        <f t="shared" si="974"/>
        <v>0</v>
      </c>
      <c r="AJ511" s="1112"/>
      <c r="AK511" s="507"/>
      <c r="AL511" s="829">
        <f t="shared" si="975"/>
        <v>45996</v>
      </c>
      <c r="AM511" s="684">
        <f>IFERROR(IF(AND(AT511="",AR511&lt;&gt;S.CAL!$BJ$3,AR511&lt;&gt;S.CAL!$BJ$4,$AR$500="NON"),M511-BD511,IF(AND(AT511="",AR511&lt;&gt;S.CAL!$BJ$3,AR511&lt;&gt;S.CAL!$BJ$4,$AR$500="OUI"),X511-AI511,IF(AT511&lt;&gt;0,AT511,IF(OR(AR511=S.CAL!$BJ$3,AR511=S.CAL!$BJ$4),AR511,"")))),"")</f>
        <v>0</v>
      </c>
      <c r="AN511" s="1115"/>
      <c r="AO511" s="1116"/>
      <c r="AP511" s="684">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516">
        <f t="shared" si="995"/>
        <v>0</v>
      </c>
      <c r="AR511" s="1120"/>
      <c r="AT511" s="1123"/>
      <c r="AU511" s="831"/>
      <c r="AV511" s="1392">
        <f t="shared" si="976"/>
        <v>45996</v>
      </c>
      <c r="AX511" s="529">
        <f t="shared" si="996"/>
        <v>45996</v>
      </c>
      <c r="AY511" s="541">
        <f t="shared" si="997"/>
        <v>0</v>
      </c>
      <c r="AZ511" s="538" t="s">
        <v>146</v>
      </c>
      <c r="BA511" s="534">
        <f t="shared" si="998"/>
        <v>0</v>
      </c>
      <c r="BB511" s="567" t="str">
        <f t="shared" si="977"/>
        <v/>
      </c>
      <c r="BC511" s="541">
        <f t="shared" si="999"/>
        <v>0</v>
      </c>
      <c r="BD511" s="541">
        <f t="shared" si="1000"/>
        <v>0</v>
      </c>
      <c r="BE511" s="1126"/>
      <c r="BF511" s="532" t="str">
        <f t="shared" si="978"/>
        <v/>
      </c>
      <c r="BG511" s="532" t="str">
        <f t="shared" si="1001"/>
        <v>oui</v>
      </c>
      <c r="BH511" s="395" t="str">
        <f t="shared" si="979"/>
        <v/>
      </c>
      <c r="BI511" s="24" t="str">
        <f t="shared" si="980"/>
        <v/>
      </c>
      <c r="BJ511" s="1403"/>
      <c r="BK511" s="1403"/>
      <c r="BL511" s="1403"/>
      <c r="BM511" s="1403"/>
      <c r="BN511" s="1403"/>
      <c r="BO511" s="1403"/>
      <c r="BP511" s="1403"/>
      <c r="BQ511" s="1403"/>
      <c r="BS511" s="1392">
        <f t="shared" si="947"/>
        <v>45996</v>
      </c>
      <c r="BT511" s="27" t="str">
        <f t="shared" si="1009"/>
        <v/>
      </c>
      <c r="BU511" s="1402"/>
      <c r="BV511" s="1402"/>
      <c r="BW511" s="1402"/>
      <c r="BX511" s="1402"/>
      <c r="BY511" s="1402"/>
      <c r="BZ511" s="1402"/>
      <c r="CA511" s="1402"/>
      <c r="CB511" s="1402"/>
      <c r="CD511" s="1408">
        <f t="shared" si="1002"/>
        <v>0</v>
      </c>
      <c r="DC511" s="16" t="str">
        <f>Décembre!FC24</f>
        <v>non</v>
      </c>
      <c r="DG511" s="333">
        <f t="shared" si="1003"/>
        <v>1</v>
      </c>
      <c r="DH511" s="129">
        <f t="shared" si="981"/>
        <v>10</v>
      </c>
      <c r="DI511" s="129">
        <f t="shared" si="1004"/>
        <v>1</v>
      </c>
      <c r="DK511" s="16">
        <f>+IF(AND(Décembre!$DP$8&lt;&gt;52,AR511=S.CAL!$BJ$4),10,1)</f>
        <v>1</v>
      </c>
      <c r="DN511" s="16">
        <f t="shared" si="982"/>
        <v>1</v>
      </c>
      <c r="DU511" s="1296" t="str">
        <f t="shared" si="1005"/>
        <v>Fiche infoA545996</v>
      </c>
      <c r="DV511" s="1384">
        <f t="shared" si="983"/>
        <v>0</v>
      </c>
      <c r="DW511" s="1385">
        <f t="shared" si="984"/>
        <v>0</v>
      </c>
      <c r="DX511" s="1385">
        <f t="shared" si="985"/>
        <v>0</v>
      </c>
      <c r="DY511" s="1385">
        <f t="shared" si="986"/>
        <v>0</v>
      </c>
      <c r="DZ511" s="1385">
        <f t="shared" si="987"/>
        <v>0</v>
      </c>
      <c r="EA511" s="1385">
        <f t="shared" si="988"/>
        <v>0</v>
      </c>
      <c r="EB511" s="1385">
        <f t="shared" si="989"/>
        <v>0</v>
      </c>
      <c r="EC511" s="1385">
        <f t="shared" si="990"/>
        <v>0</v>
      </c>
      <c r="ED511" s="1385">
        <f t="shared" si="1006"/>
        <v>0</v>
      </c>
      <c r="EE511" s="1386">
        <f t="shared" si="1007"/>
        <v>0</v>
      </c>
      <c r="EG511" s="16" t="str">
        <f t="shared" si="1008"/>
        <v>492025</v>
      </c>
      <c r="EH511" s="16" t="str">
        <f t="shared" si="991"/>
        <v>Fiche infoA5</v>
      </c>
      <c r="EI511" s="16" t="str">
        <f t="shared" si="992"/>
        <v/>
      </c>
    </row>
    <row r="512" spans="1:145" x14ac:dyDescent="0.2">
      <c r="A512" s="1395" t="str">
        <f>Décembre!BJ25</f>
        <v>Fiche infoA6</v>
      </c>
      <c r="B512" s="829">
        <f>Décembre!AB25</f>
        <v>45997</v>
      </c>
      <c r="C512" s="1394"/>
      <c r="D512" s="1001">
        <f t="shared" si="948"/>
        <v>0</v>
      </c>
      <c r="E512" s="452">
        <f t="shared" si="949"/>
        <v>0</v>
      </c>
      <c r="F512" s="452">
        <f t="shared" si="950"/>
        <v>0</v>
      </c>
      <c r="G512" s="452">
        <f t="shared" si="951"/>
        <v>0</v>
      </c>
      <c r="H512" s="452">
        <f t="shared" si="952"/>
        <v>0</v>
      </c>
      <c r="I512" s="452">
        <f t="shared" si="953"/>
        <v>0</v>
      </c>
      <c r="J512" s="452">
        <f t="shared" si="954"/>
        <v>0</v>
      </c>
      <c r="K512" s="452">
        <f t="shared" si="955"/>
        <v>0</v>
      </c>
      <c r="L512" s="452">
        <f t="shared" si="993"/>
        <v>0</v>
      </c>
      <c r="M512" s="1002">
        <f t="shared" si="994"/>
        <v>0</v>
      </c>
      <c r="N512" s="1396"/>
      <c r="O512" s="1001">
        <f t="shared" si="956"/>
        <v>0</v>
      </c>
      <c r="P512" s="452">
        <f t="shared" si="957"/>
        <v>0</v>
      </c>
      <c r="Q512" s="452">
        <f t="shared" si="958"/>
        <v>0</v>
      </c>
      <c r="R512" s="452">
        <f t="shared" si="959"/>
        <v>0</v>
      </c>
      <c r="S512" s="452">
        <f t="shared" si="960"/>
        <v>0</v>
      </c>
      <c r="T512" s="452">
        <f t="shared" si="961"/>
        <v>0</v>
      </c>
      <c r="U512" s="452">
        <f t="shared" si="962"/>
        <v>0</v>
      </c>
      <c r="V512" s="452">
        <f t="shared" si="963"/>
        <v>0</v>
      </c>
      <c r="W512" s="452">
        <f t="shared" si="964"/>
        <v>0</v>
      </c>
      <c r="X512" s="1002">
        <f t="shared" si="965"/>
        <v>0</v>
      </c>
      <c r="Y512" s="1397"/>
      <c r="Z512" s="1398">
        <f t="shared" si="966"/>
        <v>0</v>
      </c>
      <c r="AA512" s="1398">
        <f t="shared" si="967"/>
        <v>0</v>
      </c>
      <c r="AB512" s="1398">
        <f t="shared" si="968"/>
        <v>0</v>
      </c>
      <c r="AC512" s="1398">
        <f t="shared" si="969"/>
        <v>0</v>
      </c>
      <c r="AD512" s="1398">
        <f t="shared" si="970"/>
        <v>0</v>
      </c>
      <c r="AE512" s="1398">
        <f t="shared" si="971"/>
        <v>0</v>
      </c>
      <c r="AF512" s="1398">
        <f t="shared" si="972"/>
        <v>0</v>
      </c>
      <c r="AG512" s="1398">
        <f t="shared" si="973"/>
        <v>0</v>
      </c>
      <c r="AH512" s="1396"/>
      <c r="AI512" s="462">
        <f t="shared" si="974"/>
        <v>0</v>
      </c>
      <c r="AJ512" s="1112"/>
      <c r="AK512" s="1399"/>
      <c r="AL512" s="829">
        <f t="shared" si="975"/>
        <v>45997</v>
      </c>
      <c r="AM512" s="684">
        <f>IFERROR(IF(AND(AT512="",AR512&lt;&gt;S.CAL!$BJ$3,AR512&lt;&gt;S.CAL!$BJ$4,$AR$500="NON"),M512-BD512,IF(AND(AT512="",AR512&lt;&gt;S.CAL!$BJ$3,AR512&lt;&gt;S.CAL!$BJ$4,$AR$500="OUI"),X512-AI512,IF(AT512&lt;&gt;0,AT512,IF(OR(AR512=S.CAL!$BJ$3,AR512=S.CAL!$BJ$4),AR512,"")))),"")</f>
        <v>0</v>
      </c>
      <c r="AN512" s="1115"/>
      <c r="AO512" s="1116"/>
      <c r="AP512" s="684">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400">
        <f t="shared" si="995"/>
        <v>0</v>
      </c>
      <c r="AR512" s="1120"/>
      <c r="AS512" s="1396"/>
      <c r="AT512" s="1123"/>
      <c r="AU512" s="831"/>
      <c r="AV512" s="1392">
        <f t="shared" si="976"/>
        <v>45997</v>
      </c>
      <c r="AW512" s="1396"/>
      <c r="AX512" s="529">
        <f t="shared" si="996"/>
        <v>45997</v>
      </c>
      <c r="AY512" s="541">
        <f t="shared" si="997"/>
        <v>0</v>
      </c>
      <c r="AZ512" s="538" t="s">
        <v>146</v>
      </c>
      <c r="BA512" s="534">
        <f t="shared" si="998"/>
        <v>0</v>
      </c>
      <c r="BB512" s="567" t="str">
        <f t="shared" si="977"/>
        <v/>
      </c>
      <c r="BC512" s="541">
        <f t="shared" si="999"/>
        <v>0</v>
      </c>
      <c r="BD512" s="541">
        <f t="shared" si="1000"/>
        <v>0</v>
      </c>
      <c r="BE512" s="1126"/>
      <c r="BF512" s="532" t="str">
        <f t="shared" si="978"/>
        <v/>
      </c>
      <c r="BG512" s="532" t="str">
        <f t="shared" si="1001"/>
        <v>oui</v>
      </c>
      <c r="BH512" s="395" t="str">
        <f t="shared" si="979"/>
        <v/>
      </c>
      <c r="BI512" s="24" t="str">
        <f t="shared" si="980"/>
        <v/>
      </c>
      <c r="BJ512" s="1404"/>
      <c r="BK512" s="1404"/>
      <c r="BL512" s="1404"/>
      <c r="BM512" s="1404"/>
      <c r="BN512" s="1404"/>
      <c r="BO512" s="1404"/>
      <c r="BP512" s="1404"/>
      <c r="BQ512" s="1404"/>
      <c r="BR512" s="1405"/>
      <c r="BS512" s="1392">
        <f t="shared" si="947"/>
        <v>45997</v>
      </c>
      <c r="BT512" s="1406" t="str">
        <f t="shared" si="1009"/>
        <v/>
      </c>
      <c r="BU512" s="1404"/>
      <c r="BV512" s="1404"/>
      <c r="BW512" s="1404"/>
      <c r="BX512" s="1404"/>
      <c r="BY512" s="1404"/>
      <c r="BZ512" s="1404"/>
      <c r="CA512" s="1404"/>
      <c r="CB512" s="1404"/>
      <c r="CD512" s="1408">
        <f t="shared" si="1002"/>
        <v>0</v>
      </c>
      <c r="DC512" s="16" t="str">
        <f>Décembre!FC25</f>
        <v>non</v>
      </c>
      <c r="DG512" s="333">
        <f t="shared" si="1003"/>
        <v>1</v>
      </c>
      <c r="DH512" s="129">
        <f t="shared" si="981"/>
        <v>10</v>
      </c>
      <c r="DI512" s="129">
        <f t="shared" si="1004"/>
        <v>1</v>
      </c>
      <c r="DK512" s="16">
        <f>+IF(AND(Décembre!$DP$8&lt;&gt;52,AR512=S.CAL!$BJ$4),10,1)</f>
        <v>1</v>
      </c>
      <c r="DN512" s="16">
        <f t="shared" si="982"/>
        <v>1</v>
      </c>
      <c r="DU512" s="1296" t="str">
        <f t="shared" si="1005"/>
        <v>Fiche infoA645997</v>
      </c>
      <c r="DV512" s="1384">
        <f t="shared" si="983"/>
        <v>0</v>
      </c>
      <c r="DW512" s="1385">
        <f t="shared" si="984"/>
        <v>0</v>
      </c>
      <c r="DX512" s="1385">
        <f t="shared" si="985"/>
        <v>0</v>
      </c>
      <c r="DY512" s="1385">
        <f t="shared" si="986"/>
        <v>0</v>
      </c>
      <c r="DZ512" s="1385">
        <f t="shared" si="987"/>
        <v>0</v>
      </c>
      <c r="EA512" s="1385">
        <f t="shared" si="988"/>
        <v>0</v>
      </c>
      <c r="EB512" s="1385">
        <f t="shared" si="989"/>
        <v>0</v>
      </c>
      <c r="EC512" s="1385">
        <f t="shared" si="990"/>
        <v>0</v>
      </c>
      <c r="ED512" s="1385">
        <f t="shared" si="1006"/>
        <v>0</v>
      </c>
      <c r="EE512" s="1386">
        <f t="shared" si="1007"/>
        <v>0</v>
      </c>
      <c r="EG512" s="16" t="str">
        <f t="shared" si="1008"/>
        <v>492025</v>
      </c>
      <c r="EH512" s="16" t="str">
        <f t="shared" si="991"/>
        <v>Fiche infoA6</v>
      </c>
      <c r="EI512" s="16" t="str">
        <f t="shared" si="992"/>
        <v/>
      </c>
    </row>
    <row r="513" spans="1:139" x14ac:dyDescent="0.2">
      <c r="A513" s="24" t="str">
        <f>Décembre!BJ26</f>
        <v>Fiche infoA7</v>
      </c>
      <c r="B513" s="829">
        <f>Décembre!AB26</f>
        <v>45998</v>
      </c>
      <c r="C513" s="1393"/>
      <c r="D513" s="1001">
        <f t="shared" si="948"/>
        <v>0</v>
      </c>
      <c r="E513" s="452">
        <f t="shared" si="949"/>
        <v>0</v>
      </c>
      <c r="F513" s="452">
        <f t="shared" si="950"/>
        <v>0</v>
      </c>
      <c r="G513" s="452">
        <f t="shared" si="951"/>
        <v>0</v>
      </c>
      <c r="H513" s="452">
        <f t="shared" si="952"/>
        <v>0</v>
      </c>
      <c r="I513" s="452">
        <f t="shared" si="953"/>
        <v>0</v>
      </c>
      <c r="J513" s="452">
        <f t="shared" si="954"/>
        <v>0</v>
      </c>
      <c r="K513" s="452">
        <f t="shared" si="955"/>
        <v>0</v>
      </c>
      <c r="L513" s="452">
        <f t="shared" si="993"/>
        <v>0</v>
      </c>
      <c r="M513" s="1002">
        <f t="shared" si="994"/>
        <v>0</v>
      </c>
      <c r="O513" s="1001">
        <f t="shared" si="956"/>
        <v>0</v>
      </c>
      <c r="P513" s="452">
        <f t="shared" si="957"/>
        <v>0</v>
      </c>
      <c r="Q513" s="452">
        <f t="shared" si="958"/>
        <v>0</v>
      </c>
      <c r="R513" s="452">
        <f t="shared" si="959"/>
        <v>0</v>
      </c>
      <c r="S513" s="452">
        <f t="shared" si="960"/>
        <v>0</v>
      </c>
      <c r="T513" s="452">
        <f t="shared" si="961"/>
        <v>0</v>
      </c>
      <c r="U513" s="452">
        <f t="shared" si="962"/>
        <v>0</v>
      </c>
      <c r="V513" s="452">
        <f t="shared" si="963"/>
        <v>0</v>
      </c>
      <c r="W513" s="452">
        <f t="shared" si="964"/>
        <v>0</v>
      </c>
      <c r="X513" s="1002">
        <f t="shared" si="965"/>
        <v>0</v>
      </c>
      <c r="Y513" s="459"/>
      <c r="Z513" s="291">
        <f t="shared" si="966"/>
        <v>0</v>
      </c>
      <c r="AA513" s="291">
        <f t="shared" si="967"/>
        <v>0</v>
      </c>
      <c r="AB513" s="291">
        <f t="shared" si="968"/>
        <v>0</v>
      </c>
      <c r="AC513" s="291">
        <f t="shared" si="969"/>
        <v>0</v>
      </c>
      <c r="AD513" s="291">
        <f t="shared" si="970"/>
        <v>0</v>
      </c>
      <c r="AE513" s="291">
        <f t="shared" si="971"/>
        <v>0</v>
      </c>
      <c r="AF513" s="291">
        <f t="shared" si="972"/>
        <v>0</v>
      </c>
      <c r="AG513" s="291">
        <f t="shared" si="973"/>
        <v>0</v>
      </c>
      <c r="AI513" s="462">
        <f t="shared" si="974"/>
        <v>0</v>
      </c>
      <c r="AJ513" s="1112"/>
      <c r="AK513" s="507"/>
      <c r="AL513" s="829">
        <f t="shared" si="975"/>
        <v>45998</v>
      </c>
      <c r="AM513" s="684">
        <f>IFERROR(IF(AND(AT513="",AR513&lt;&gt;S.CAL!$BJ$3,AR513&lt;&gt;S.CAL!$BJ$4,$AR$500="NON"),M513-BD513,IF(AND(AT513="",AR513&lt;&gt;S.CAL!$BJ$3,AR513&lt;&gt;S.CAL!$BJ$4,$AR$500="OUI"),X513-AI513,IF(AT513&lt;&gt;0,AT513,IF(OR(AR513=S.CAL!$BJ$3,AR513=S.CAL!$BJ$4),AR513,"")))),"")</f>
        <v>0</v>
      </c>
      <c r="AN513" s="1115"/>
      <c r="AO513" s="1116"/>
      <c r="AP513" s="684">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516">
        <f t="shared" si="995"/>
        <v>0</v>
      </c>
      <c r="AR513" s="1120"/>
      <c r="AT513" s="1123"/>
      <c r="AU513" s="831"/>
      <c r="AV513" s="1392">
        <f t="shared" si="976"/>
        <v>45998</v>
      </c>
      <c r="AX513" s="529">
        <f t="shared" si="996"/>
        <v>45998</v>
      </c>
      <c r="AY513" s="541">
        <f t="shared" si="997"/>
        <v>0</v>
      </c>
      <c r="AZ513" s="538" t="s">
        <v>146</v>
      </c>
      <c r="BA513" s="534">
        <f t="shared" si="998"/>
        <v>0</v>
      </c>
      <c r="BB513" s="567" t="str">
        <f t="shared" si="977"/>
        <v/>
      </c>
      <c r="BC513" s="541">
        <f t="shared" si="999"/>
        <v>0</v>
      </c>
      <c r="BD513" s="541">
        <f t="shared" si="1000"/>
        <v>0</v>
      </c>
      <c r="BE513" s="1126"/>
      <c r="BF513" s="532" t="str">
        <f t="shared" si="978"/>
        <v/>
      </c>
      <c r="BG513" s="532" t="str">
        <f t="shared" si="1001"/>
        <v>oui</v>
      </c>
      <c r="BH513" s="395" t="str">
        <f t="shared" si="979"/>
        <v/>
      </c>
      <c r="BI513" s="24" t="str">
        <f t="shared" si="980"/>
        <v/>
      </c>
      <c r="BJ513" s="1403"/>
      <c r="BK513" s="1403"/>
      <c r="BL513" s="1403"/>
      <c r="BM513" s="1403"/>
      <c r="BN513" s="1403"/>
      <c r="BO513" s="1403"/>
      <c r="BP513" s="1403"/>
      <c r="BQ513" s="1403"/>
      <c r="BS513" s="1392">
        <f t="shared" si="947"/>
        <v>45998</v>
      </c>
      <c r="BT513" s="27" t="str">
        <f t="shared" si="1009"/>
        <v/>
      </c>
      <c r="BU513" s="1402"/>
      <c r="BV513" s="1402"/>
      <c r="BW513" s="1402"/>
      <c r="BX513" s="1402"/>
      <c r="BY513" s="1402"/>
      <c r="BZ513" s="1402"/>
      <c r="CA513" s="1402"/>
      <c r="CB513" s="1402"/>
      <c r="CD513" s="1408">
        <f t="shared" si="1002"/>
        <v>0</v>
      </c>
      <c r="DC513" s="16" t="str">
        <f>Décembre!FC26</f>
        <v>non</v>
      </c>
      <c r="DG513" s="333">
        <f t="shared" si="1003"/>
        <v>1</v>
      </c>
      <c r="DH513" s="129">
        <f t="shared" si="981"/>
        <v>10</v>
      </c>
      <c r="DI513" s="129">
        <f t="shared" si="1004"/>
        <v>1</v>
      </c>
      <c r="DK513" s="16">
        <f>+IF(AND(Décembre!$DP$8&lt;&gt;52,AR513=S.CAL!$BJ$4),10,1)</f>
        <v>1</v>
      </c>
      <c r="DN513" s="16">
        <f t="shared" si="982"/>
        <v>1</v>
      </c>
      <c r="DU513" s="1296" t="str">
        <f t="shared" si="1005"/>
        <v>Fiche infoA745998</v>
      </c>
      <c r="DV513" s="1384">
        <f t="shared" si="983"/>
        <v>0</v>
      </c>
      <c r="DW513" s="1385">
        <f t="shared" si="984"/>
        <v>0</v>
      </c>
      <c r="DX513" s="1385">
        <f t="shared" si="985"/>
        <v>0</v>
      </c>
      <c r="DY513" s="1385">
        <f t="shared" si="986"/>
        <v>0</v>
      </c>
      <c r="DZ513" s="1385">
        <f t="shared" si="987"/>
        <v>0</v>
      </c>
      <c r="EA513" s="1385">
        <f t="shared" si="988"/>
        <v>0</v>
      </c>
      <c r="EB513" s="1385">
        <f t="shared" si="989"/>
        <v>0</v>
      </c>
      <c r="EC513" s="1385">
        <f t="shared" si="990"/>
        <v>0</v>
      </c>
      <c r="ED513" s="1385">
        <f t="shared" si="1006"/>
        <v>0</v>
      </c>
      <c r="EE513" s="1386">
        <f t="shared" si="1007"/>
        <v>0</v>
      </c>
      <c r="EG513" s="16" t="str">
        <f t="shared" si="1008"/>
        <v>492025</v>
      </c>
      <c r="EH513" s="16" t="str">
        <f t="shared" si="991"/>
        <v>Fiche infoA7</v>
      </c>
      <c r="EI513" s="16" t="str">
        <f t="shared" si="992"/>
        <v/>
      </c>
    </row>
    <row r="514" spans="1:139" x14ac:dyDescent="0.2">
      <c r="A514" s="1395" t="str">
        <f>Décembre!BJ27</f>
        <v>Fiche infoA1</v>
      </c>
      <c r="B514" s="829">
        <f>Décembre!AB27</f>
        <v>45999</v>
      </c>
      <c r="C514" s="1394"/>
      <c r="D514" s="1001">
        <f t="shared" si="948"/>
        <v>0</v>
      </c>
      <c r="E514" s="452">
        <f t="shared" si="949"/>
        <v>0</v>
      </c>
      <c r="F514" s="452">
        <f t="shared" si="950"/>
        <v>0</v>
      </c>
      <c r="G514" s="452">
        <f t="shared" si="951"/>
        <v>0</v>
      </c>
      <c r="H514" s="452">
        <f t="shared" si="952"/>
        <v>0</v>
      </c>
      <c r="I514" s="452">
        <f t="shared" si="953"/>
        <v>0</v>
      </c>
      <c r="J514" s="452">
        <f t="shared" si="954"/>
        <v>0</v>
      </c>
      <c r="K514" s="452">
        <f t="shared" si="955"/>
        <v>0</v>
      </c>
      <c r="L514" s="452">
        <f t="shared" si="993"/>
        <v>0</v>
      </c>
      <c r="M514" s="1002">
        <f t="shared" si="994"/>
        <v>0</v>
      </c>
      <c r="N514" s="1396"/>
      <c r="O514" s="1001">
        <f t="shared" si="956"/>
        <v>0</v>
      </c>
      <c r="P514" s="452">
        <f t="shared" si="957"/>
        <v>0</v>
      </c>
      <c r="Q514" s="452">
        <f t="shared" si="958"/>
        <v>0</v>
      </c>
      <c r="R514" s="452">
        <f t="shared" si="959"/>
        <v>0</v>
      </c>
      <c r="S514" s="452">
        <f t="shared" si="960"/>
        <v>0</v>
      </c>
      <c r="T514" s="452">
        <f t="shared" si="961"/>
        <v>0</v>
      </c>
      <c r="U514" s="452">
        <f t="shared" si="962"/>
        <v>0</v>
      </c>
      <c r="V514" s="452">
        <f t="shared" si="963"/>
        <v>0</v>
      </c>
      <c r="W514" s="452">
        <f t="shared" si="964"/>
        <v>0</v>
      </c>
      <c r="X514" s="1002">
        <f t="shared" si="965"/>
        <v>0</v>
      </c>
      <c r="Y514" s="1397"/>
      <c r="Z514" s="1398">
        <f t="shared" si="966"/>
        <v>0</v>
      </c>
      <c r="AA514" s="1398">
        <f t="shared" si="967"/>
        <v>0</v>
      </c>
      <c r="AB514" s="1398">
        <f t="shared" si="968"/>
        <v>0</v>
      </c>
      <c r="AC514" s="1398">
        <f t="shared" si="969"/>
        <v>0</v>
      </c>
      <c r="AD514" s="1398">
        <f t="shared" si="970"/>
        <v>0</v>
      </c>
      <c r="AE514" s="1398">
        <f t="shared" si="971"/>
        <v>0</v>
      </c>
      <c r="AF514" s="1398">
        <f t="shared" si="972"/>
        <v>0</v>
      </c>
      <c r="AG514" s="1398">
        <f t="shared" si="973"/>
        <v>0</v>
      </c>
      <c r="AH514" s="1396"/>
      <c r="AI514" s="462">
        <f t="shared" si="974"/>
        <v>0</v>
      </c>
      <c r="AJ514" s="1112"/>
      <c r="AK514" s="1399"/>
      <c r="AL514" s="829">
        <f t="shared" si="975"/>
        <v>45999</v>
      </c>
      <c r="AM514" s="684">
        <f>IFERROR(IF(AND(AT514="",AR514&lt;&gt;S.CAL!$BJ$3,AR514&lt;&gt;S.CAL!$BJ$4,$AR$500="NON"),M514-BD514,IF(AND(AT514="",AR514&lt;&gt;S.CAL!$BJ$3,AR514&lt;&gt;S.CAL!$BJ$4,$AR$500="OUI"),X514-AI514,IF(AT514&lt;&gt;0,AT514,IF(OR(AR514=S.CAL!$BJ$3,AR514=S.CAL!$BJ$4),AR514,"")))),"")</f>
        <v>0</v>
      </c>
      <c r="AN514" s="1115"/>
      <c r="AO514" s="1116"/>
      <c r="AP514" s="684">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400">
        <f t="shared" si="995"/>
        <v>0</v>
      </c>
      <c r="AR514" s="1120"/>
      <c r="AS514" s="1396"/>
      <c r="AT514" s="1123"/>
      <c r="AU514" s="831"/>
      <c r="AV514" s="1392">
        <f t="shared" si="976"/>
        <v>45999</v>
      </c>
      <c r="AW514" s="1396"/>
      <c r="AX514" s="529">
        <f t="shared" si="996"/>
        <v>45999</v>
      </c>
      <c r="AY514" s="541">
        <f t="shared" si="997"/>
        <v>0</v>
      </c>
      <c r="AZ514" s="538" t="s">
        <v>146</v>
      </c>
      <c r="BA514" s="534">
        <f t="shared" si="998"/>
        <v>0</v>
      </c>
      <c r="BB514" s="567" t="str">
        <f t="shared" si="977"/>
        <v/>
      </c>
      <c r="BC514" s="541">
        <f t="shared" si="999"/>
        <v>0</v>
      </c>
      <c r="BD514" s="541">
        <f t="shared" si="1000"/>
        <v>0</v>
      </c>
      <c r="BE514" s="1126"/>
      <c r="BF514" s="532" t="str">
        <f t="shared" si="978"/>
        <v/>
      </c>
      <c r="BG514" s="532" t="str">
        <f t="shared" si="1001"/>
        <v>oui</v>
      </c>
      <c r="BH514" s="395" t="str">
        <f t="shared" si="979"/>
        <v/>
      </c>
      <c r="BI514" s="24" t="str">
        <f t="shared" si="980"/>
        <v/>
      </c>
      <c r="BJ514" s="1404"/>
      <c r="BK514" s="1404"/>
      <c r="BL514" s="1404"/>
      <c r="BM514" s="1404"/>
      <c r="BN514" s="1404"/>
      <c r="BO514" s="1404"/>
      <c r="BP514" s="1404"/>
      <c r="BQ514" s="1404"/>
      <c r="BR514" s="1405"/>
      <c r="BS514" s="1392">
        <f t="shared" si="947"/>
        <v>45999</v>
      </c>
      <c r="BT514" s="1406">
        <f t="shared" si="1009"/>
        <v>50</v>
      </c>
      <c r="BU514" s="1404"/>
      <c r="BV514" s="1404"/>
      <c r="BW514" s="1404"/>
      <c r="BX514" s="1404"/>
      <c r="BY514" s="1404"/>
      <c r="BZ514" s="1404"/>
      <c r="CA514" s="1404"/>
      <c r="CB514" s="1404"/>
      <c r="CD514" s="1408">
        <f t="shared" si="1002"/>
        <v>0</v>
      </c>
      <c r="DC514" s="16" t="str">
        <f>Décembre!FC27</f>
        <v>non</v>
      </c>
      <c r="DG514" s="333">
        <f t="shared" si="1003"/>
        <v>1</v>
      </c>
      <c r="DH514" s="129">
        <f t="shared" si="981"/>
        <v>10</v>
      </c>
      <c r="DI514" s="129">
        <f t="shared" si="1004"/>
        <v>1</v>
      </c>
      <c r="DK514" s="16">
        <f>+IF(AND(Décembre!$DP$8&lt;&gt;52,AR514=S.CAL!$BJ$4),10,1)</f>
        <v>1</v>
      </c>
      <c r="DN514" s="16">
        <f t="shared" si="982"/>
        <v>1</v>
      </c>
      <c r="DU514" s="1296" t="str">
        <f t="shared" si="1005"/>
        <v>Fiche infoA145999</v>
      </c>
      <c r="DV514" s="1384">
        <f t="shared" si="983"/>
        <v>0</v>
      </c>
      <c r="DW514" s="1385">
        <f t="shared" si="984"/>
        <v>0</v>
      </c>
      <c r="DX514" s="1385">
        <f t="shared" si="985"/>
        <v>0</v>
      </c>
      <c r="DY514" s="1385">
        <f t="shared" si="986"/>
        <v>0</v>
      </c>
      <c r="DZ514" s="1385">
        <f t="shared" si="987"/>
        <v>0</v>
      </c>
      <c r="EA514" s="1385">
        <f t="shared" si="988"/>
        <v>0</v>
      </c>
      <c r="EB514" s="1385">
        <f t="shared" si="989"/>
        <v>0</v>
      </c>
      <c r="EC514" s="1385">
        <f t="shared" si="990"/>
        <v>0</v>
      </c>
      <c r="ED514" s="1385">
        <f t="shared" si="1006"/>
        <v>0</v>
      </c>
      <c r="EE514" s="1386">
        <f t="shared" si="1007"/>
        <v>0</v>
      </c>
      <c r="EG514" s="16" t="str">
        <f t="shared" si="1008"/>
        <v>502025</v>
      </c>
      <c r="EH514" s="16" t="str">
        <f t="shared" si="991"/>
        <v>Fiche infoA1</v>
      </c>
      <c r="EI514" s="16" t="str">
        <f t="shared" si="992"/>
        <v/>
      </c>
    </row>
    <row r="515" spans="1:139" x14ac:dyDescent="0.2">
      <c r="A515" s="24" t="str">
        <f>Décembre!BJ28</f>
        <v>Fiche infoA2</v>
      </c>
      <c r="B515" s="829">
        <f>Décembre!AB28</f>
        <v>46000</v>
      </c>
      <c r="C515" s="1393"/>
      <c r="D515" s="1001">
        <f t="shared" si="948"/>
        <v>0</v>
      </c>
      <c r="E515" s="452">
        <f t="shared" si="949"/>
        <v>0</v>
      </c>
      <c r="F515" s="452">
        <f t="shared" si="950"/>
        <v>0</v>
      </c>
      <c r="G515" s="452">
        <f t="shared" si="951"/>
        <v>0</v>
      </c>
      <c r="H515" s="452">
        <f t="shared" si="952"/>
        <v>0</v>
      </c>
      <c r="I515" s="452">
        <f t="shared" si="953"/>
        <v>0</v>
      </c>
      <c r="J515" s="452">
        <f t="shared" si="954"/>
        <v>0</v>
      </c>
      <c r="K515" s="452">
        <f t="shared" si="955"/>
        <v>0</v>
      </c>
      <c r="L515" s="452">
        <f t="shared" si="993"/>
        <v>0</v>
      </c>
      <c r="M515" s="1002">
        <f t="shared" si="994"/>
        <v>0</v>
      </c>
      <c r="O515" s="1001">
        <f>IF(AR515&lt;&gt;"",0,IF(DC515="oui",0,IF(AND(ISTEXT(AT515)=TRUE,BJ515=""),0,IF(BJ515="",D515,BJ515))))</f>
        <v>0</v>
      </c>
      <c r="P515" s="452">
        <f>IF(AR515&lt;&gt;"",0,IF(DC515="oui",0,IF(AND(ISTEXT(AT515)=TRUE,BK515=""),0,IF(BK515="",E515,BK515))))</f>
        <v>0</v>
      </c>
      <c r="Q515" s="452">
        <f>IF(AR515&lt;&gt;"",0,IF(DC515="oui",0,IF(AND(ISTEXT(AT515)=TRUE,BL515=""),0,IF(BL515="",F515,BL515))))</f>
        <v>0</v>
      </c>
      <c r="R515" s="452">
        <f>IF(AR515&lt;&gt;"",0,IF(DC515="oui",0,IF(AND(ISTEXT(AT515)=TRUE,BM515=""),0,IF(BM515="",G515,BM515))))</f>
        <v>0</v>
      </c>
      <c r="S515" s="452">
        <f>IF(AR515&lt;&gt;"",0,IF(DC515="oui",0,IF(AND(ISTEXT(AT515)=TRUE,BN515=""),0,IF(BN515="",H515,BN515))))</f>
        <v>0</v>
      </c>
      <c r="T515" s="452">
        <f>IF(AR515&lt;&gt;"",0,IF(DC515="oui",0,IF(AND(ISTEXT(AT515)=TRUE,BO515=""),0,IF(BO515="",I515,BO515))))</f>
        <v>0</v>
      </c>
      <c r="U515" s="452">
        <f>IF(AR515&lt;&gt;"",0,IF(DC515="oui",0,IF(AND(ISTEXT(AT515)=TRUE,BP515=""),0,IF(BP515="",J515,BP515))))</f>
        <v>0</v>
      </c>
      <c r="V515" s="452">
        <f>IF(AR515&lt;&gt;"",0,IF(DC515="oui",0,IF(AND(ISTEXT(AT515)=TRUE,BQ515=""),0,IF(BQ515="",K515,BQ515))))</f>
        <v>0</v>
      </c>
      <c r="W515" s="452">
        <f t="shared" si="964"/>
        <v>0</v>
      </c>
      <c r="X515" s="1002">
        <f t="shared" si="965"/>
        <v>0</v>
      </c>
      <c r="Y515" s="459"/>
      <c r="Z515" s="291">
        <f t="shared" si="966"/>
        <v>0</v>
      </c>
      <c r="AA515" s="291">
        <f t="shared" si="967"/>
        <v>0</v>
      </c>
      <c r="AB515" s="291">
        <f t="shared" si="968"/>
        <v>0</v>
      </c>
      <c r="AC515" s="291">
        <f t="shared" si="969"/>
        <v>0</v>
      </c>
      <c r="AD515" s="291">
        <f t="shared" si="970"/>
        <v>0</v>
      </c>
      <c r="AE515" s="291">
        <f t="shared" si="971"/>
        <v>0</v>
      </c>
      <c r="AF515" s="291">
        <f t="shared" si="972"/>
        <v>0</v>
      </c>
      <c r="AG515" s="291">
        <f t="shared" si="973"/>
        <v>0</v>
      </c>
      <c r="AI515" s="462">
        <f>IF(DC515="oui",0,IF(AND(ISTEXT(AT515)=TRUE,OR(X515=0,X515="")),0,ROUND(((((AA515-Z515)-(E515-D515))+((AC515-AB515)-(G515-F515))+((AE515-AD515)-(I515-H515))+(AG515-AF515)-(K515-J515))*24),2)))</f>
        <v>0</v>
      </c>
      <c r="AJ515" s="1112"/>
      <c r="AK515" s="507"/>
      <c r="AL515" s="829">
        <f t="shared" si="975"/>
        <v>46000</v>
      </c>
      <c r="AM515" s="684">
        <f>IFERROR(IF(AND(AT515="",AR515&lt;&gt;S.CAL!$BJ$3,AR515&lt;&gt;S.CAL!$BJ$4,$AR$500="NON"),M515-BD515,IF(AND(AT515="",AR515&lt;&gt;S.CAL!$BJ$3,AR515&lt;&gt;S.CAL!$BJ$4,$AR$500="OUI"),X515-AI515,IF(AT515&lt;&gt;0,AT515,IF(OR(AR515=S.CAL!$BJ$3,AR515=S.CAL!$BJ$4),AR515,"")))),"")</f>
        <v>0</v>
      </c>
      <c r="AN515" s="1115"/>
      <c r="AO515" s="1116"/>
      <c r="AP515" s="684">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516">
        <f t="shared" si="995"/>
        <v>0</v>
      </c>
      <c r="AR515" s="1120"/>
      <c r="AT515" s="1123"/>
      <c r="AU515" s="831"/>
      <c r="AV515" s="1392">
        <f t="shared" si="976"/>
        <v>46000</v>
      </c>
      <c r="AX515" s="529">
        <f t="shared" si="996"/>
        <v>46000</v>
      </c>
      <c r="AY515" s="541">
        <f t="shared" si="997"/>
        <v>0</v>
      </c>
      <c r="AZ515" s="538" t="s">
        <v>146</v>
      </c>
      <c r="BA515" s="534">
        <f t="shared" si="998"/>
        <v>0</v>
      </c>
      <c r="BB515" s="567" t="str">
        <f t="shared" si="977"/>
        <v/>
      </c>
      <c r="BC515" s="541">
        <f t="shared" si="999"/>
        <v>0</v>
      </c>
      <c r="BD515" s="541">
        <f t="shared" si="1000"/>
        <v>0</v>
      </c>
      <c r="BE515" s="1126"/>
      <c r="BF515" s="532" t="str">
        <f t="shared" si="978"/>
        <v/>
      </c>
      <c r="BG515" s="532" t="str">
        <f t="shared" si="1001"/>
        <v>oui</v>
      </c>
      <c r="BH515" s="395" t="str">
        <f t="shared" si="979"/>
        <v/>
      </c>
      <c r="BI515" s="24" t="str">
        <f t="shared" si="980"/>
        <v/>
      </c>
      <c r="BJ515" s="1403"/>
      <c r="BK515" s="1403"/>
      <c r="BL515" s="1403"/>
      <c r="BM515" s="1403"/>
      <c r="BN515" s="1403"/>
      <c r="BO515" s="1403"/>
      <c r="BP515" s="1403"/>
      <c r="BQ515" s="1403"/>
      <c r="BS515" s="1392">
        <f t="shared" si="947"/>
        <v>46000</v>
      </c>
      <c r="BT515" s="27" t="str">
        <f t="shared" si="1009"/>
        <v/>
      </c>
      <c r="BU515" s="1402"/>
      <c r="BV515" s="1402"/>
      <c r="BW515" s="1402"/>
      <c r="BX515" s="1402"/>
      <c r="BY515" s="1402"/>
      <c r="BZ515" s="1402"/>
      <c r="CA515" s="1402"/>
      <c r="CB515" s="1402"/>
      <c r="CD515" s="1408">
        <f t="shared" si="1002"/>
        <v>0</v>
      </c>
      <c r="DC515" s="16" t="str">
        <f>Décembre!FC28</f>
        <v>non</v>
      </c>
      <c r="DG515" s="333">
        <f t="shared" si="1003"/>
        <v>1</v>
      </c>
      <c r="DH515" s="129">
        <f t="shared" si="981"/>
        <v>10</v>
      </c>
      <c r="DI515" s="129">
        <f t="shared" si="1004"/>
        <v>1</v>
      </c>
      <c r="DK515" s="16">
        <f>+IF(AND(Décembre!$DP$8&lt;&gt;52,AR515=S.CAL!$BJ$4),10,1)</f>
        <v>1</v>
      </c>
      <c r="DN515" s="16">
        <f t="shared" si="982"/>
        <v>1</v>
      </c>
      <c r="DU515" s="1296" t="str">
        <f t="shared" si="1005"/>
        <v>Fiche infoA246000</v>
      </c>
      <c r="DV515" s="1384">
        <f t="shared" si="983"/>
        <v>0</v>
      </c>
      <c r="DW515" s="1385">
        <f t="shared" si="984"/>
        <v>0</v>
      </c>
      <c r="DX515" s="1385">
        <f t="shared" si="985"/>
        <v>0</v>
      </c>
      <c r="DY515" s="1385">
        <f t="shared" si="986"/>
        <v>0</v>
      </c>
      <c r="DZ515" s="1385">
        <f t="shared" si="987"/>
        <v>0</v>
      </c>
      <c r="EA515" s="1385">
        <f t="shared" si="988"/>
        <v>0</v>
      </c>
      <c r="EB515" s="1385">
        <f t="shared" si="989"/>
        <v>0</v>
      </c>
      <c r="EC515" s="1385">
        <f t="shared" si="990"/>
        <v>0</v>
      </c>
      <c r="ED515" s="1385">
        <f t="shared" si="1006"/>
        <v>0</v>
      </c>
      <c r="EE515" s="1386">
        <f t="shared" si="1007"/>
        <v>0</v>
      </c>
      <c r="EG515" s="16" t="str">
        <f t="shared" si="1008"/>
        <v>502025</v>
      </c>
      <c r="EH515" s="16" t="str">
        <f t="shared" si="991"/>
        <v>Fiche infoA2</v>
      </c>
      <c r="EI515" s="16" t="str">
        <f t="shared" si="992"/>
        <v/>
      </c>
    </row>
    <row r="516" spans="1:139" x14ac:dyDescent="0.2">
      <c r="A516" s="1395" t="str">
        <f>Décembre!BJ29</f>
        <v>Fiche infoA3</v>
      </c>
      <c r="B516" s="829">
        <f>Décembre!AB29</f>
        <v>46001</v>
      </c>
      <c r="C516" s="1394"/>
      <c r="D516" s="1001">
        <f t="shared" si="948"/>
        <v>0</v>
      </c>
      <c r="E516" s="452">
        <f t="shared" si="949"/>
        <v>0</v>
      </c>
      <c r="F516" s="452">
        <f t="shared" si="950"/>
        <v>0</v>
      </c>
      <c r="G516" s="452">
        <f t="shared" si="951"/>
        <v>0</v>
      </c>
      <c r="H516" s="452">
        <f t="shared" si="952"/>
        <v>0</v>
      </c>
      <c r="I516" s="452">
        <f t="shared" si="953"/>
        <v>0</v>
      </c>
      <c r="J516" s="452">
        <f t="shared" si="954"/>
        <v>0</v>
      </c>
      <c r="K516" s="452">
        <f t="shared" si="955"/>
        <v>0</v>
      </c>
      <c r="L516" s="452">
        <f t="shared" si="993"/>
        <v>0</v>
      </c>
      <c r="M516" s="1002">
        <f t="shared" si="994"/>
        <v>0</v>
      </c>
      <c r="N516" s="1396"/>
      <c r="O516" s="1001">
        <f t="shared" ref="O516:O537" si="1010">IF(AR516&lt;&gt;"",0,IF(DC516="oui",0,IF(AND(ISTEXT(AT516)=TRUE,BJ516=""),0,IF(BJ516="",D516,BJ516))))</f>
        <v>0</v>
      </c>
      <c r="P516" s="452">
        <f t="shared" ref="P516:P537" si="1011">IF(AR516&lt;&gt;"",0,IF(DC516="oui",0,IF(AND(ISTEXT(AT516)=TRUE,BK516=""),0,IF(BK516="",E516,BK516))))</f>
        <v>0</v>
      </c>
      <c r="Q516" s="452">
        <f t="shared" ref="Q516:Q537" si="1012">IF(AR516&lt;&gt;"",0,IF(DC516="oui",0,IF(AND(ISTEXT(AT516)=TRUE,BL516=""),0,IF(BL516="",F516,BL516))))</f>
        <v>0</v>
      </c>
      <c r="R516" s="452">
        <f t="shared" ref="R516:R537" si="1013">IF(AR516&lt;&gt;"",0,IF(DC516="oui",0,IF(AND(ISTEXT(AT516)=TRUE,BM516=""),0,IF(BM516="",G516,BM516))))</f>
        <v>0</v>
      </c>
      <c r="S516" s="452">
        <f t="shared" ref="S516:S537" si="1014">IF(AR516&lt;&gt;"",0,IF(DC516="oui",0,IF(AND(ISTEXT(AT516)=TRUE,BN516=""),0,IF(BN516="",H516,BN516))))</f>
        <v>0</v>
      </c>
      <c r="T516" s="452">
        <f t="shared" ref="T516:T537" si="1015">IF(AR516&lt;&gt;"",0,IF(DC516="oui",0,IF(AND(ISTEXT(AT516)=TRUE,BO516=""),0,IF(BO516="",I516,BO516))))</f>
        <v>0</v>
      </c>
      <c r="U516" s="452">
        <f t="shared" ref="U516:U537" si="1016">IF(AR516&lt;&gt;"",0,IF(DC516="oui",0,IF(AND(ISTEXT(AT516)=TRUE,BP516=""),0,IF(BP516="",J516,BP516))))</f>
        <v>0</v>
      </c>
      <c r="V516" s="452">
        <f t="shared" ref="V516:V537" si="1017">IF(AR516&lt;&gt;"",0,IF(DC516="oui",0,IF(AND(ISTEXT(AT516)=TRUE,BQ516=""),0,IF(BQ516="",K516,BQ516))))</f>
        <v>0</v>
      </c>
      <c r="W516" s="452">
        <f t="shared" si="964"/>
        <v>0</v>
      </c>
      <c r="X516" s="1002">
        <f t="shared" si="965"/>
        <v>0</v>
      </c>
      <c r="Y516" s="1397"/>
      <c r="Z516" s="1398">
        <f t="shared" si="966"/>
        <v>0</v>
      </c>
      <c r="AA516" s="1398">
        <f t="shared" si="967"/>
        <v>0</v>
      </c>
      <c r="AB516" s="1398">
        <f t="shared" si="968"/>
        <v>0</v>
      </c>
      <c r="AC516" s="1398">
        <f t="shared" si="969"/>
        <v>0</v>
      </c>
      <c r="AD516" s="1398">
        <f t="shared" si="970"/>
        <v>0</v>
      </c>
      <c r="AE516" s="1398">
        <f t="shared" si="971"/>
        <v>0</v>
      </c>
      <c r="AF516" s="1398">
        <f t="shared" si="972"/>
        <v>0</v>
      </c>
      <c r="AG516" s="1398">
        <f t="shared" si="973"/>
        <v>0</v>
      </c>
      <c r="AH516" s="1396"/>
      <c r="AI516" s="462">
        <f t="shared" ref="AI516:AI537" si="1018">IF(DC516="oui",0,IF(AND(ISTEXT(AT516)=TRUE,OR(X516=0,X516="")),0,ROUND(((((AA516-Z516)-(E516-D516))+((AC516-AB516)-(G516-F516))+((AE516-AD516)-(I516-H516))+(AG516-AF516)-(K516-J516))*24),2)))</f>
        <v>0</v>
      </c>
      <c r="AJ516" s="1112"/>
      <c r="AK516" s="1399"/>
      <c r="AL516" s="829">
        <f t="shared" si="975"/>
        <v>46001</v>
      </c>
      <c r="AM516" s="684">
        <f>IFERROR(IF(AND(AT516="",AR516&lt;&gt;S.CAL!$BJ$3,AR516&lt;&gt;S.CAL!$BJ$4,$AR$500="NON"),M516-BD516,IF(AND(AT516="",AR516&lt;&gt;S.CAL!$BJ$3,AR516&lt;&gt;S.CAL!$BJ$4,$AR$500="OUI"),X516-AI516,IF(AT516&lt;&gt;0,AT516,IF(OR(AR516=S.CAL!$BJ$3,AR516=S.CAL!$BJ$4),AR516,"")))),"")</f>
        <v>0</v>
      </c>
      <c r="AN516" s="1115"/>
      <c r="AO516" s="1116"/>
      <c r="AP516" s="684">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400">
        <f t="shared" si="995"/>
        <v>0</v>
      </c>
      <c r="AR516" s="1120"/>
      <c r="AS516" s="1396"/>
      <c r="AT516" s="1123"/>
      <c r="AU516" s="831"/>
      <c r="AV516" s="1392">
        <f t="shared" si="976"/>
        <v>46001</v>
      </c>
      <c r="AW516" s="1396"/>
      <c r="AX516" s="529">
        <f t="shared" si="996"/>
        <v>46001</v>
      </c>
      <c r="AY516" s="541">
        <f t="shared" si="997"/>
        <v>0</v>
      </c>
      <c r="AZ516" s="538" t="s">
        <v>146</v>
      </c>
      <c r="BA516" s="534">
        <f t="shared" si="998"/>
        <v>0</v>
      </c>
      <c r="BB516" s="567" t="str">
        <f t="shared" si="977"/>
        <v/>
      </c>
      <c r="BC516" s="541">
        <f t="shared" si="999"/>
        <v>0</v>
      </c>
      <c r="BD516" s="541">
        <f t="shared" si="1000"/>
        <v>0</v>
      </c>
      <c r="BE516" s="1126"/>
      <c r="BF516" s="532" t="str">
        <f t="shared" si="978"/>
        <v/>
      </c>
      <c r="BG516" s="532" t="str">
        <f t="shared" si="1001"/>
        <v>oui</v>
      </c>
      <c r="BH516" s="395" t="str">
        <f t="shared" si="979"/>
        <v/>
      </c>
      <c r="BI516" s="24" t="str">
        <f t="shared" si="980"/>
        <v/>
      </c>
      <c r="BJ516" s="1404"/>
      <c r="BK516" s="1404"/>
      <c r="BL516" s="1404"/>
      <c r="BM516" s="1404"/>
      <c r="BN516" s="1404"/>
      <c r="BO516" s="1404"/>
      <c r="BP516" s="1404"/>
      <c r="BQ516" s="1404"/>
      <c r="BR516" s="1405"/>
      <c r="BS516" s="1392">
        <f t="shared" si="947"/>
        <v>46001</v>
      </c>
      <c r="BT516" s="1406" t="str">
        <f t="shared" si="1009"/>
        <v/>
      </c>
      <c r="BU516" s="1404"/>
      <c r="BV516" s="1404"/>
      <c r="BW516" s="1404"/>
      <c r="BX516" s="1404"/>
      <c r="BY516" s="1404"/>
      <c r="BZ516" s="1404"/>
      <c r="CA516" s="1404"/>
      <c r="CB516" s="1404"/>
      <c r="CD516" s="1408">
        <f t="shared" si="1002"/>
        <v>0</v>
      </c>
      <c r="DC516" s="16" t="str">
        <f>Décembre!FC29</f>
        <v>non</v>
      </c>
      <c r="DG516" s="333">
        <f t="shared" si="1003"/>
        <v>1</v>
      </c>
      <c r="DH516" s="129">
        <f t="shared" si="981"/>
        <v>10</v>
      </c>
      <c r="DI516" s="129">
        <f t="shared" si="1004"/>
        <v>1</v>
      </c>
      <c r="DK516" s="16">
        <f>+IF(AND(Décembre!$DP$8&lt;&gt;52,AR516=S.CAL!$BJ$4),10,1)</f>
        <v>1</v>
      </c>
      <c r="DN516" s="16">
        <f t="shared" si="982"/>
        <v>1</v>
      </c>
      <c r="DU516" s="1296" t="str">
        <f t="shared" si="1005"/>
        <v>Fiche infoA346001</v>
      </c>
      <c r="DV516" s="1384">
        <f t="shared" si="983"/>
        <v>0</v>
      </c>
      <c r="DW516" s="1385">
        <f t="shared" si="984"/>
        <v>0</v>
      </c>
      <c r="DX516" s="1385">
        <f t="shared" si="985"/>
        <v>0</v>
      </c>
      <c r="DY516" s="1385">
        <f t="shared" si="986"/>
        <v>0</v>
      </c>
      <c r="DZ516" s="1385">
        <f t="shared" si="987"/>
        <v>0</v>
      </c>
      <c r="EA516" s="1385">
        <f t="shared" si="988"/>
        <v>0</v>
      </c>
      <c r="EB516" s="1385">
        <f t="shared" si="989"/>
        <v>0</v>
      </c>
      <c r="EC516" s="1385">
        <f t="shared" si="990"/>
        <v>0</v>
      </c>
      <c r="ED516" s="1385">
        <f t="shared" si="1006"/>
        <v>0</v>
      </c>
      <c r="EE516" s="1386">
        <f t="shared" si="1007"/>
        <v>0</v>
      </c>
      <c r="EG516" s="16" t="str">
        <f t="shared" si="1008"/>
        <v>502025</v>
      </c>
      <c r="EH516" s="16" t="str">
        <f t="shared" si="991"/>
        <v>Fiche infoA3</v>
      </c>
      <c r="EI516" s="16" t="str">
        <f t="shared" si="992"/>
        <v/>
      </c>
    </row>
    <row r="517" spans="1:139" x14ac:dyDescent="0.2">
      <c r="A517" s="24" t="str">
        <f>Décembre!BJ30</f>
        <v>Fiche infoA4</v>
      </c>
      <c r="B517" s="829">
        <f>Décembre!AB30</f>
        <v>46002</v>
      </c>
      <c r="C517" s="1393"/>
      <c r="D517" s="1001">
        <f t="shared" si="948"/>
        <v>0</v>
      </c>
      <c r="E517" s="452">
        <f t="shared" si="949"/>
        <v>0</v>
      </c>
      <c r="F517" s="452">
        <f t="shared" si="950"/>
        <v>0</v>
      </c>
      <c r="G517" s="452">
        <f t="shared" si="951"/>
        <v>0</v>
      </c>
      <c r="H517" s="452">
        <f t="shared" si="952"/>
        <v>0</v>
      </c>
      <c r="I517" s="452">
        <f t="shared" si="953"/>
        <v>0</v>
      </c>
      <c r="J517" s="452">
        <f t="shared" si="954"/>
        <v>0</v>
      </c>
      <c r="K517" s="452">
        <f t="shared" si="955"/>
        <v>0</v>
      </c>
      <c r="L517" s="452">
        <f t="shared" si="993"/>
        <v>0</v>
      </c>
      <c r="M517" s="1002">
        <f t="shared" si="994"/>
        <v>0</v>
      </c>
      <c r="O517" s="1001">
        <f t="shared" si="1010"/>
        <v>0</v>
      </c>
      <c r="P517" s="452">
        <f t="shared" si="1011"/>
        <v>0</v>
      </c>
      <c r="Q517" s="452">
        <f t="shared" si="1012"/>
        <v>0</v>
      </c>
      <c r="R517" s="452">
        <f t="shared" si="1013"/>
        <v>0</v>
      </c>
      <c r="S517" s="452">
        <f t="shared" si="1014"/>
        <v>0</v>
      </c>
      <c r="T517" s="452">
        <f t="shared" si="1015"/>
        <v>0</v>
      </c>
      <c r="U517" s="452">
        <f t="shared" si="1016"/>
        <v>0</v>
      </c>
      <c r="V517" s="452">
        <f t="shared" si="1017"/>
        <v>0</v>
      </c>
      <c r="W517" s="452">
        <f t="shared" si="964"/>
        <v>0</v>
      </c>
      <c r="X517" s="1002">
        <f t="shared" si="965"/>
        <v>0</v>
      </c>
      <c r="Y517" s="459"/>
      <c r="Z517" s="291">
        <f t="shared" si="966"/>
        <v>0</v>
      </c>
      <c r="AA517" s="291">
        <f t="shared" si="967"/>
        <v>0</v>
      </c>
      <c r="AB517" s="291">
        <f t="shared" si="968"/>
        <v>0</v>
      </c>
      <c r="AC517" s="291">
        <f t="shared" si="969"/>
        <v>0</v>
      </c>
      <c r="AD517" s="291">
        <f t="shared" si="970"/>
        <v>0</v>
      </c>
      <c r="AE517" s="291">
        <f t="shared" si="971"/>
        <v>0</v>
      </c>
      <c r="AF517" s="291">
        <f t="shared" si="972"/>
        <v>0</v>
      </c>
      <c r="AG517" s="291">
        <f t="shared" si="973"/>
        <v>0</v>
      </c>
      <c r="AI517" s="462">
        <f t="shared" si="1018"/>
        <v>0</v>
      </c>
      <c r="AJ517" s="1112"/>
      <c r="AK517" s="507"/>
      <c r="AL517" s="829">
        <f t="shared" si="975"/>
        <v>46002</v>
      </c>
      <c r="AM517" s="684">
        <f>IFERROR(IF(AND(AT517="",AR517&lt;&gt;S.CAL!$BJ$3,AR517&lt;&gt;S.CAL!$BJ$4,$AR$500="NON"),M517-BD517,IF(AND(AT517="",AR517&lt;&gt;S.CAL!$BJ$3,AR517&lt;&gt;S.CAL!$BJ$4,$AR$500="OUI"),X517-AI517,IF(AT517&lt;&gt;0,AT517,IF(OR(AR517=S.CAL!$BJ$3,AR517=S.CAL!$BJ$4),AR517,"")))),"")</f>
        <v>0</v>
      </c>
      <c r="AN517" s="1115"/>
      <c r="AO517" s="1116"/>
      <c r="AP517" s="684">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516">
        <f t="shared" si="995"/>
        <v>0</v>
      </c>
      <c r="AR517" s="1120"/>
      <c r="AT517" s="1123"/>
      <c r="AU517" s="831"/>
      <c r="AV517" s="1392">
        <f t="shared" si="976"/>
        <v>46002</v>
      </c>
      <c r="AX517" s="529">
        <f t="shared" si="996"/>
        <v>46002</v>
      </c>
      <c r="AY517" s="541">
        <f t="shared" si="997"/>
        <v>0</v>
      </c>
      <c r="AZ517" s="538" t="s">
        <v>146</v>
      </c>
      <c r="BA517" s="534">
        <f t="shared" si="998"/>
        <v>0</v>
      </c>
      <c r="BB517" s="567" t="str">
        <f t="shared" si="977"/>
        <v/>
      </c>
      <c r="BC517" s="541">
        <f t="shared" si="999"/>
        <v>0</v>
      </c>
      <c r="BD517" s="541">
        <f t="shared" si="1000"/>
        <v>0</v>
      </c>
      <c r="BE517" s="1126"/>
      <c r="BF517" s="532" t="str">
        <f t="shared" si="978"/>
        <v/>
      </c>
      <c r="BG517" s="532" t="str">
        <f t="shared" si="1001"/>
        <v>oui</v>
      </c>
      <c r="BH517" s="395" t="str">
        <f t="shared" si="979"/>
        <v/>
      </c>
      <c r="BI517" s="24" t="str">
        <f t="shared" si="980"/>
        <v/>
      </c>
      <c r="BJ517" s="1403"/>
      <c r="BK517" s="1403"/>
      <c r="BL517" s="1403"/>
      <c r="BM517" s="1403"/>
      <c r="BN517" s="1403"/>
      <c r="BO517" s="1403"/>
      <c r="BP517" s="1403"/>
      <c r="BQ517" s="1403"/>
      <c r="BS517" s="1392">
        <f t="shared" si="947"/>
        <v>46002</v>
      </c>
      <c r="BT517" s="27" t="str">
        <f t="shared" si="1009"/>
        <v/>
      </c>
      <c r="BU517" s="1402"/>
      <c r="BV517" s="1402"/>
      <c r="BW517" s="1402"/>
      <c r="BX517" s="1402"/>
      <c r="BY517" s="1402"/>
      <c r="BZ517" s="1402"/>
      <c r="CA517" s="1402"/>
      <c r="CB517" s="1402"/>
      <c r="CD517" s="1408">
        <f t="shared" si="1002"/>
        <v>0</v>
      </c>
      <c r="DC517" s="16" t="str">
        <f>Décembre!FC30</f>
        <v>non</v>
      </c>
      <c r="DG517" s="333">
        <f t="shared" si="1003"/>
        <v>1</v>
      </c>
      <c r="DH517" s="129">
        <f t="shared" si="981"/>
        <v>10</v>
      </c>
      <c r="DI517" s="129">
        <f t="shared" si="1004"/>
        <v>1</v>
      </c>
      <c r="DK517" s="16">
        <f>+IF(AND(Décembre!$DP$8&lt;&gt;52,AR517=S.CAL!$BJ$4),10,1)</f>
        <v>1</v>
      </c>
      <c r="DN517" s="16">
        <f t="shared" si="982"/>
        <v>1</v>
      </c>
      <c r="DU517" s="1296" t="str">
        <f t="shared" si="1005"/>
        <v>Fiche infoA446002</v>
      </c>
      <c r="DV517" s="1384">
        <f t="shared" si="983"/>
        <v>0</v>
      </c>
      <c r="DW517" s="1385">
        <f t="shared" si="984"/>
        <v>0</v>
      </c>
      <c r="DX517" s="1385">
        <f t="shared" si="985"/>
        <v>0</v>
      </c>
      <c r="DY517" s="1385">
        <f t="shared" si="986"/>
        <v>0</v>
      </c>
      <c r="DZ517" s="1385">
        <f t="shared" si="987"/>
        <v>0</v>
      </c>
      <c r="EA517" s="1385">
        <f t="shared" si="988"/>
        <v>0</v>
      </c>
      <c r="EB517" s="1385">
        <f t="shared" si="989"/>
        <v>0</v>
      </c>
      <c r="EC517" s="1385">
        <f t="shared" si="990"/>
        <v>0</v>
      </c>
      <c r="ED517" s="1385">
        <f t="shared" si="1006"/>
        <v>0</v>
      </c>
      <c r="EE517" s="1386">
        <f t="shared" si="1007"/>
        <v>0</v>
      </c>
      <c r="EG517" s="16" t="str">
        <f t="shared" si="1008"/>
        <v>502025</v>
      </c>
      <c r="EH517" s="16" t="str">
        <f t="shared" si="991"/>
        <v>Fiche infoA4</v>
      </c>
      <c r="EI517" s="16" t="str">
        <f t="shared" si="992"/>
        <v/>
      </c>
    </row>
    <row r="518" spans="1:139" x14ac:dyDescent="0.2">
      <c r="A518" s="1395" t="str">
        <f>Décembre!BJ31</f>
        <v>Fiche infoA5</v>
      </c>
      <c r="B518" s="829">
        <f>Décembre!AB31</f>
        <v>46003</v>
      </c>
      <c r="C518" s="1394"/>
      <c r="D518" s="1001">
        <f t="shared" si="948"/>
        <v>0</v>
      </c>
      <c r="E518" s="452">
        <f t="shared" si="949"/>
        <v>0</v>
      </c>
      <c r="F518" s="452">
        <f t="shared" si="950"/>
        <v>0</v>
      </c>
      <c r="G518" s="452">
        <f t="shared" si="951"/>
        <v>0</v>
      </c>
      <c r="H518" s="452">
        <f t="shared" si="952"/>
        <v>0</v>
      </c>
      <c r="I518" s="452">
        <f t="shared" si="953"/>
        <v>0</v>
      </c>
      <c r="J518" s="452">
        <f t="shared" si="954"/>
        <v>0</v>
      </c>
      <c r="K518" s="452">
        <f t="shared" si="955"/>
        <v>0</v>
      </c>
      <c r="L518" s="452">
        <f t="shared" si="993"/>
        <v>0</v>
      </c>
      <c r="M518" s="1002">
        <f t="shared" si="994"/>
        <v>0</v>
      </c>
      <c r="N518" s="1396"/>
      <c r="O518" s="1001">
        <f t="shared" si="1010"/>
        <v>0</v>
      </c>
      <c r="P518" s="452">
        <f t="shared" si="1011"/>
        <v>0</v>
      </c>
      <c r="Q518" s="452">
        <f t="shared" si="1012"/>
        <v>0</v>
      </c>
      <c r="R518" s="452">
        <f t="shared" si="1013"/>
        <v>0</v>
      </c>
      <c r="S518" s="452">
        <f t="shared" si="1014"/>
        <v>0</v>
      </c>
      <c r="T518" s="452">
        <f t="shared" si="1015"/>
        <v>0</v>
      </c>
      <c r="U518" s="452">
        <f t="shared" si="1016"/>
        <v>0</v>
      </c>
      <c r="V518" s="452">
        <f t="shared" si="1017"/>
        <v>0</v>
      </c>
      <c r="W518" s="452">
        <f t="shared" si="964"/>
        <v>0</v>
      </c>
      <c r="X518" s="1002">
        <f t="shared" si="965"/>
        <v>0</v>
      </c>
      <c r="Y518" s="1397"/>
      <c r="Z518" s="1398">
        <f t="shared" si="966"/>
        <v>0</v>
      </c>
      <c r="AA518" s="1398">
        <f t="shared" si="967"/>
        <v>0</v>
      </c>
      <c r="AB518" s="1398">
        <f t="shared" si="968"/>
        <v>0</v>
      </c>
      <c r="AC518" s="1398">
        <f t="shared" si="969"/>
        <v>0</v>
      </c>
      <c r="AD518" s="1398">
        <f t="shared" si="970"/>
        <v>0</v>
      </c>
      <c r="AE518" s="1398">
        <f t="shared" si="971"/>
        <v>0</v>
      </c>
      <c r="AF518" s="1398">
        <f t="shared" si="972"/>
        <v>0</v>
      </c>
      <c r="AG518" s="1398">
        <f t="shared" si="973"/>
        <v>0</v>
      </c>
      <c r="AH518" s="1396"/>
      <c r="AI518" s="462">
        <f t="shared" si="1018"/>
        <v>0</v>
      </c>
      <c r="AJ518" s="1112"/>
      <c r="AK518" s="1399"/>
      <c r="AL518" s="829">
        <f t="shared" si="975"/>
        <v>46003</v>
      </c>
      <c r="AM518" s="684">
        <f>IFERROR(IF(AND(AT518="",AR518&lt;&gt;S.CAL!$BJ$3,AR518&lt;&gt;S.CAL!$BJ$4,$AR$500="NON"),M518-BD518,IF(AND(AT518="",AR518&lt;&gt;S.CAL!$BJ$3,AR518&lt;&gt;S.CAL!$BJ$4,$AR$500="OUI"),X518-AI518,IF(AT518&lt;&gt;0,AT518,IF(OR(AR518=S.CAL!$BJ$3,AR518=S.CAL!$BJ$4),AR518,"")))),"")</f>
        <v>0</v>
      </c>
      <c r="AN518" s="1115"/>
      <c r="AO518" s="1116"/>
      <c r="AP518" s="684">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400">
        <f t="shared" si="995"/>
        <v>0</v>
      </c>
      <c r="AR518" s="1120"/>
      <c r="AS518" s="1396"/>
      <c r="AT518" s="1123"/>
      <c r="AU518" s="831"/>
      <c r="AV518" s="1392">
        <f t="shared" si="976"/>
        <v>46003</v>
      </c>
      <c r="AW518" s="1396"/>
      <c r="AX518" s="529">
        <f t="shared" si="996"/>
        <v>46003</v>
      </c>
      <c r="AY518" s="541">
        <f t="shared" si="997"/>
        <v>0</v>
      </c>
      <c r="AZ518" s="538" t="s">
        <v>146</v>
      </c>
      <c r="BA518" s="534">
        <f t="shared" si="998"/>
        <v>0</v>
      </c>
      <c r="BB518" s="567" t="str">
        <f t="shared" si="977"/>
        <v/>
      </c>
      <c r="BC518" s="541">
        <f t="shared" si="999"/>
        <v>0</v>
      </c>
      <c r="BD518" s="541">
        <f t="shared" si="1000"/>
        <v>0</v>
      </c>
      <c r="BE518" s="1126"/>
      <c r="BF518" s="532" t="str">
        <f t="shared" si="978"/>
        <v/>
      </c>
      <c r="BG518" s="532" t="str">
        <f t="shared" si="1001"/>
        <v>oui</v>
      </c>
      <c r="BH518" s="395" t="str">
        <f t="shared" si="979"/>
        <v/>
      </c>
      <c r="BI518" s="24" t="str">
        <f t="shared" si="980"/>
        <v/>
      </c>
      <c r="BJ518" s="1404"/>
      <c r="BK518" s="1404"/>
      <c r="BL518" s="1404"/>
      <c r="BM518" s="1404"/>
      <c r="BN518" s="1404"/>
      <c r="BO518" s="1404"/>
      <c r="BP518" s="1404"/>
      <c r="BQ518" s="1404"/>
      <c r="BR518" s="1405"/>
      <c r="BS518" s="1392">
        <f t="shared" si="947"/>
        <v>46003</v>
      </c>
      <c r="BT518" s="1406" t="str">
        <f t="shared" si="1009"/>
        <v/>
      </c>
      <c r="BU518" s="1404"/>
      <c r="BV518" s="1404"/>
      <c r="BW518" s="1404"/>
      <c r="BX518" s="1404"/>
      <c r="BY518" s="1404"/>
      <c r="BZ518" s="1404"/>
      <c r="CA518" s="1404"/>
      <c r="CB518" s="1404"/>
      <c r="CD518" s="1408">
        <f t="shared" si="1002"/>
        <v>0</v>
      </c>
      <c r="DC518" s="16" t="str">
        <f>Décembre!FC31</f>
        <v>non</v>
      </c>
      <c r="DG518" s="333">
        <f t="shared" si="1003"/>
        <v>1</v>
      </c>
      <c r="DH518" s="129">
        <f t="shared" si="981"/>
        <v>10</v>
      </c>
      <c r="DI518" s="129">
        <f t="shared" si="1004"/>
        <v>1</v>
      </c>
      <c r="DK518" s="16">
        <f>+IF(AND(Décembre!$DP$8&lt;&gt;52,AR518=S.CAL!$BJ$4),10,1)</f>
        <v>1</v>
      </c>
      <c r="DN518" s="16">
        <f t="shared" si="982"/>
        <v>1</v>
      </c>
      <c r="DU518" s="1296" t="str">
        <f t="shared" si="1005"/>
        <v>Fiche infoA546003</v>
      </c>
      <c r="DV518" s="1384">
        <f t="shared" si="983"/>
        <v>0</v>
      </c>
      <c r="DW518" s="1385">
        <f t="shared" si="984"/>
        <v>0</v>
      </c>
      <c r="DX518" s="1385">
        <f t="shared" si="985"/>
        <v>0</v>
      </c>
      <c r="DY518" s="1385">
        <f t="shared" si="986"/>
        <v>0</v>
      </c>
      <c r="DZ518" s="1385">
        <f t="shared" si="987"/>
        <v>0</v>
      </c>
      <c r="EA518" s="1385">
        <f t="shared" si="988"/>
        <v>0</v>
      </c>
      <c r="EB518" s="1385">
        <f t="shared" si="989"/>
        <v>0</v>
      </c>
      <c r="EC518" s="1385">
        <f t="shared" si="990"/>
        <v>0</v>
      </c>
      <c r="ED518" s="1385">
        <f t="shared" si="1006"/>
        <v>0</v>
      </c>
      <c r="EE518" s="1386">
        <f t="shared" si="1007"/>
        <v>0</v>
      </c>
      <c r="EG518" s="16" t="str">
        <f t="shared" si="1008"/>
        <v>502025</v>
      </c>
      <c r="EH518" s="16" t="str">
        <f t="shared" si="991"/>
        <v>Fiche infoA5</v>
      </c>
      <c r="EI518" s="16" t="str">
        <f t="shared" si="992"/>
        <v/>
      </c>
    </row>
    <row r="519" spans="1:139" x14ac:dyDescent="0.2">
      <c r="A519" s="24" t="str">
        <f>Décembre!BJ32</f>
        <v>Fiche infoA6</v>
      </c>
      <c r="B519" s="829">
        <f>Décembre!AB32</f>
        <v>46004</v>
      </c>
      <c r="C519" s="1393"/>
      <c r="D519" s="1001">
        <f t="shared" si="948"/>
        <v>0</v>
      </c>
      <c r="E519" s="452">
        <f t="shared" si="949"/>
        <v>0</v>
      </c>
      <c r="F519" s="452">
        <f t="shared" si="950"/>
        <v>0</v>
      </c>
      <c r="G519" s="452">
        <f t="shared" si="951"/>
        <v>0</v>
      </c>
      <c r="H519" s="452">
        <f t="shared" si="952"/>
        <v>0</v>
      </c>
      <c r="I519" s="452">
        <f t="shared" si="953"/>
        <v>0</v>
      </c>
      <c r="J519" s="452">
        <f t="shared" si="954"/>
        <v>0</v>
      </c>
      <c r="K519" s="452">
        <f t="shared" si="955"/>
        <v>0</v>
      </c>
      <c r="L519" s="452">
        <f t="shared" si="993"/>
        <v>0</v>
      </c>
      <c r="M519" s="1002">
        <f t="shared" si="994"/>
        <v>0</v>
      </c>
      <c r="O519" s="1001">
        <f t="shared" si="1010"/>
        <v>0</v>
      </c>
      <c r="P519" s="452">
        <f t="shared" si="1011"/>
        <v>0</v>
      </c>
      <c r="Q519" s="452">
        <f t="shared" si="1012"/>
        <v>0</v>
      </c>
      <c r="R519" s="452">
        <f t="shared" si="1013"/>
        <v>0</v>
      </c>
      <c r="S519" s="452">
        <f t="shared" si="1014"/>
        <v>0</v>
      </c>
      <c r="T519" s="452">
        <f t="shared" si="1015"/>
        <v>0</v>
      </c>
      <c r="U519" s="452">
        <f t="shared" si="1016"/>
        <v>0</v>
      </c>
      <c r="V519" s="452">
        <f t="shared" si="1017"/>
        <v>0</v>
      </c>
      <c r="W519" s="452">
        <f t="shared" si="964"/>
        <v>0</v>
      </c>
      <c r="X519" s="1002">
        <f t="shared" si="965"/>
        <v>0</v>
      </c>
      <c r="Y519" s="459"/>
      <c r="Z519" s="291">
        <f t="shared" si="966"/>
        <v>0</v>
      </c>
      <c r="AA519" s="291">
        <f t="shared" si="967"/>
        <v>0</v>
      </c>
      <c r="AB519" s="291">
        <f t="shared" si="968"/>
        <v>0</v>
      </c>
      <c r="AC519" s="291">
        <f t="shared" si="969"/>
        <v>0</v>
      </c>
      <c r="AD519" s="291">
        <f t="shared" si="970"/>
        <v>0</v>
      </c>
      <c r="AE519" s="291">
        <f t="shared" si="971"/>
        <v>0</v>
      </c>
      <c r="AF519" s="291">
        <f t="shared" si="972"/>
        <v>0</v>
      </c>
      <c r="AG519" s="291">
        <f t="shared" si="973"/>
        <v>0</v>
      </c>
      <c r="AI519" s="462">
        <f t="shared" si="1018"/>
        <v>0</v>
      </c>
      <c r="AJ519" s="1112"/>
      <c r="AK519" s="507"/>
      <c r="AL519" s="829">
        <f t="shared" si="975"/>
        <v>46004</v>
      </c>
      <c r="AM519" s="684">
        <f>IFERROR(IF(AND(AT519="",AR519&lt;&gt;S.CAL!$BJ$3,AR519&lt;&gt;S.CAL!$BJ$4,$AR$500="NON"),M519-BD519,IF(AND(AT519="",AR519&lt;&gt;S.CAL!$BJ$3,AR519&lt;&gt;S.CAL!$BJ$4,$AR$500="OUI"),X519-AI519,IF(AT519&lt;&gt;0,AT519,IF(OR(AR519=S.CAL!$BJ$3,AR519=S.CAL!$BJ$4),AR519,"")))),"")</f>
        <v>0</v>
      </c>
      <c r="AN519" s="1115"/>
      <c r="AO519" s="1116"/>
      <c r="AP519" s="684">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516">
        <f t="shared" si="995"/>
        <v>0</v>
      </c>
      <c r="AR519" s="1120"/>
      <c r="AT519" s="1123"/>
      <c r="AU519" s="831"/>
      <c r="AV519" s="1392">
        <f t="shared" si="976"/>
        <v>46004</v>
      </c>
      <c r="AX519" s="529">
        <f t="shared" si="996"/>
        <v>46004</v>
      </c>
      <c r="AY519" s="541">
        <f t="shared" si="997"/>
        <v>0</v>
      </c>
      <c r="AZ519" s="538" t="s">
        <v>146</v>
      </c>
      <c r="BA519" s="534">
        <f t="shared" si="998"/>
        <v>0</v>
      </c>
      <c r="BB519" s="567" t="str">
        <f t="shared" si="977"/>
        <v/>
      </c>
      <c r="BC519" s="541">
        <f t="shared" si="999"/>
        <v>0</v>
      </c>
      <c r="BD519" s="541">
        <f t="shared" si="1000"/>
        <v>0</v>
      </c>
      <c r="BE519" s="1126"/>
      <c r="BF519" s="532" t="str">
        <f t="shared" si="978"/>
        <v/>
      </c>
      <c r="BG519" s="532" t="str">
        <f t="shared" si="1001"/>
        <v>oui</v>
      </c>
      <c r="BH519" s="395" t="str">
        <f t="shared" si="979"/>
        <v/>
      </c>
      <c r="BI519" s="24" t="str">
        <f t="shared" si="980"/>
        <v/>
      </c>
      <c r="BJ519" s="1403"/>
      <c r="BK519" s="1403"/>
      <c r="BL519" s="1403"/>
      <c r="BM519" s="1403"/>
      <c r="BN519" s="1403"/>
      <c r="BO519" s="1403"/>
      <c r="BP519" s="1403"/>
      <c r="BQ519" s="1403"/>
      <c r="BS519" s="1392">
        <f t="shared" si="947"/>
        <v>46004</v>
      </c>
      <c r="BT519" s="27" t="str">
        <f t="shared" si="1009"/>
        <v/>
      </c>
      <c r="BU519" s="1402"/>
      <c r="BV519" s="1402"/>
      <c r="BW519" s="1402"/>
      <c r="BX519" s="1402"/>
      <c r="BY519" s="1402"/>
      <c r="BZ519" s="1402"/>
      <c r="CA519" s="1402"/>
      <c r="CB519" s="1402"/>
      <c r="CD519" s="1408">
        <f t="shared" si="1002"/>
        <v>0</v>
      </c>
      <c r="DC519" s="16" t="str">
        <f>Décembre!FC32</f>
        <v>non</v>
      </c>
      <c r="DG519" s="333">
        <f t="shared" si="1003"/>
        <v>1</v>
      </c>
      <c r="DH519" s="129">
        <f t="shared" si="981"/>
        <v>10</v>
      </c>
      <c r="DI519" s="129">
        <f t="shared" si="1004"/>
        <v>1</v>
      </c>
      <c r="DK519" s="16">
        <f>+IF(AND(Décembre!$DP$8&lt;&gt;52,AR519=S.CAL!$BJ$4),10,1)</f>
        <v>1</v>
      </c>
      <c r="DN519" s="16">
        <f t="shared" si="982"/>
        <v>1</v>
      </c>
      <c r="DU519" s="1296" t="str">
        <f t="shared" si="1005"/>
        <v>Fiche infoA646004</v>
      </c>
      <c r="DV519" s="1384">
        <f t="shared" si="983"/>
        <v>0</v>
      </c>
      <c r="DW519" s="1385">
        <f t="shared" si="984"/>
        <v>0</v>
      </c>
      <c r="DX519" s="1385">
        <f t="shared" si="985"/>
        <v>0</v>
      </c>
      <c r="DY519" s="1385">
        <f t="shared" si="986"/>
        <v>0</v>
      </c>
      <c r="DZ519" s="1385">
        <f t="shared" si="987"/>
        <v>0</v>
      </c>
      <c r="EA519" s="1385">
        <f t="shared" si="988"/>
        <v>0</v>
      </c>
      <c r="EB519" s="1385">
        <f t="shared" si="989"/>
        <v>0</v>
      </c>
      <c r="EC519" s="1385">
        <f t="shared" si="990"/>
        <v>0</v>
      </c>
      <c r="ED519" s="1385">
        <f t="shared" si="1006"/>
        <v>0</v>
      </c>
      <c r="EE519" s="1386">
        <f t="shared" si="1007"/>
        <v>0</v>
      </c>
      <c r="EG519" s="16" t="str">
        <f t="shared" si="1008"/>
        <v>502025</v>
      </c>
      <c r="EH519" s="16" t="str">
        <f t="shared" si="991"/>
        <v>Fiche infoA6</v>
      </c>
      <c r="EI519" s="16" t="str">
        <f t="shared" si="992"/>
        <v/>
      </c>
    </row>
    <row r="520" spans="1:139" x14ac:dyDescent="0.2">
      <c r="A520" s="1395" t="str">
        <f>Décembre!BJ33</f>
        <v>Fiche infoA7</v>
      </c>
      <c r="B520" s="829">
        <f>Décembre!AB33</f>
        <v>46005</v>
      </c>
      <c r="C520" s="1394"/>
      <c r="D520" s="1001">
        <f t="shared" si="948"/>
        <v>0</v>
      </c>
      <c r="E520" s="452">
        <f t="shared" si="949"/>
        <v>0</v>
      </c>
      <c r="F520" s="452">
        <f t="shared" si="950"/>
        <v>0</v>
      </c>
      <c r="G520" s="452">
        <f t="shared" si="951"/>
        <v>0</v>
      </c>
      <c r="H520" s="452">
        <f t="shared" si="952"/>
        <v>0</v>
      </c>
      <c r="I520" s="452">
        <f t="shared" si="953"/>
        <v>0</v>
      </c>
      <c r="J520" s="452">
        <f t="shared" si="954"/>
        <v>0</v>
      </c>
      <c r="K520" s="452">
        <f t="shared" si="955"/>
        <v>0</v>
      </c>
      <c r="L520" s="452">
        <f t="shared" si="993"/>
        <v>0</v>
      </c>
      <c r="M520" s="1002">
        <f t="shared" si="994"/>
        <v>0</v>
      </c>
      <c r="N520" s="1396"/>
      <c r="O520" s="1001">
        <f t="shared" si="1010"/>
        <v>0</v>
      </c>
      <c r="P520" s="452">
        <f t="shared" si="1011"/>
        <v>0</v>
      </c>
      <c r="Q520" s="452">
        <f t="shared" si="1012"/>
        <v>0</v>
      </c>
      <c r="R520" s="452">
        <f t="shared" si="1013"/>
        <v>0</v>
      </c>
      <c r="S520" s="452">
        <f t="shared" si="1014"/>
        <v>0</v>
      </c>
      <c r="T520" s="452">
        <f t="shared" si="1015"/>
        <v>0</v>
      </c>
      <c r="U520" s="452">
        <f t="shared" si="1016"/>
        <v>0</v>
      </c>
      <c r="V520" s="452">
        <f t="shared" si="1017"/>
        <v>0</v>
      </c>
      <c r="W520" s="452">
        <f t="shared" si="964"/>
        <v>0</v>
      </c>
      <c r="X520" s="1002">
        <f t="shared" si="965"/>
        <v>0</v>
      </c>
      <c r="Y520" s="1397"/>
      <c r="Z520" s="1398">
        <f t="shared" si="966"/>
        <v>0</v>
      </c>
      <c r="AA520" s="1398">
        <f t="shared" si="967"/>
        <v>0</v>
      </c>
      <c r="AB520" s="1398">
        <f t="shared" si="968"/>
        <v>0</v>
      </c>
      <c r="AC520" s="1398">
        <f t="shared" si="969"/>
        <v>0</v>
      </c>
      <c r="AD520" s="1398">
        <f t="shared" si="970"/>
        <v>0</v>
      </c>
      <c r="AE520" s="1398">
        <f t="shared" si="971"/>
        <v>0</v>
      </c>
      <c r="AF520" s="1398">
        <f t="shared" si="972"/>
        <v>0</v>
      </c>
      <c r="AG520" s="1398">
        <f t="shared" si="973"/>
        <v>0</v>
      </c>
      <c r="AH520" s="1396"/>
      <c r="AI520" s="462">
        <f t="shared" si="1018"/>
        <v>0</v>
      </c>
      <c r="AJ520" s="1112"/>
      <c r="AK520" s="1399"/>
      <c r="AL520" s="829">
        <f t="shared" si="975"/>
        <v>46005</v>
      </c>
      <c r="AM520" s="684">
        <f>IFERROR(IF(AND(AT520="",AR520&lt;&gt;S.CAL!$BJ$3,AR520&lt;&gt;S.CAL!$BJ$4,$AR$500="NON"),M520-BD520,IF(AND(AT520="",AR520&lt;&gt;S.CAL!$BJ$3,AR520&lt;&gt;S.CAL!$BJ$4,$AR$500="OUI"),X520-AI520,IF(AT520&lt;&gt;0,AT520,IF(OR(AR520=S.CAL!$BJ$3,AR520=S.CAL!$BJ$4),AR520,"")))),"")</f>
        <v>0</v>
      </c>
      <c r="AN520" s="1115"/>
      <c r="AO520" s="1116"/>
      <c r="AP520" s="684">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400">
        <f t="shared" si="995"/>
        <v>0</v>
      </c>
      <c r="AR520" s="1120"/>
      <c r="AS520" s="1396"/>
      <c r="AT520" s="1123"/>
      <c r="AU520" s="831"/>
      <c r="AV520" s="1392">
        <f t="shared" si="976"/>
        <v>46005</v>
      </c>
      <c r="AW520" s="1396"/>
      <c r="AX520" s="529">
        <f t="shared" si="996"/>
        <v>46005</v>
      </c>
      <c r="AY520" s="541">
        <f t="shared" si="997"/>
        <v>0</v>
      </c>
      <c r="AZ520" s="538" t="s">
        <v>146</v>
      </c>
      <c r="BA520" s="534">
        <f t="shared" si="998"/>
        <v>0</v>
      </c>
      <c r="BB520" s="567" t="str">
        <f t="shared" si="977"/>
        <v/>
      </c>
      <c r="BC520" s="541">
        <f t="shared" si="999"/>
        <v>0</v>
      </c>
      <c r="BD520" s="541">
        <f t="shared" si="1000"/>
        <v>0</v>
      </c>
      <c r="BE520" s="1126"/>
      <c r="BF520" s="532" t="str">
        <f t="shared" si="978"/>
        <v/>
      </c>
      <c r="BG520" s="532" t="str">
        <f t="shared" si="1001"/>
        <v>oui</v>
      </c>
      <c r="BH520" s="395" t="str">
        <f t="shared" si="979"/>
        <v/>
      </c>
      <c r="BI520" s="24" t="str">
        <f t="shared" si="980"/>
        <v/>
      </c>
      <c r="BJ520" s="1404"/>
      <c r="BK520" s="1404"/>
      <c r="BL520" s="1404"/>
      <c r="BM520" s="1404"/>
      <c r="BN520" s="1404"/>
      <c r="BO520" s="1404"/>
      <c r="BP520" s="1404"/>
      <c r="BQ520" s="1404"/>
      <c r="BR520" s="1405"/>
      <c r="BS520" s="1392">
        <f t="shared" si="947"/>
        <v>46005</v>
      </c>
      <c r="BT520" s="1406" t="str">
        <f t="shared" si="1009"/>
        <v/>
      </c>
      <c r="BU520" s="1404"/>
      <c r="BV520" s="1404"/>
      <c r="BW520" s="1404"/>
      <c r="BX520" s="1404"/>
      <c r="BY520" s="1404"/>
      <c r="BZ520" s="1404"/>
      <c r="CA520" s="1404"/>
      <c r="CB520" s="1404"/>
      <c r="CD520" s="1408">
        <f t="shared" si="1002"/>
        <v>0</v>
      </c>
      <c r="DC520" s="16" t="str">
        <f>Décembre!FC33</f>
        <v>non</v>
      </c>
      <c r="DG520" s="333">
        <f t="shared" si="1003"/>
        <v>1</v>
      </c>
      <c r="DH520" s="129">
        <f t="shared" si="981"/>
        <v>10</v>
      </c>
      <c r="DI520" s="129">
        <f t="shared" si="1004"/>
        <v>1</v>
      </c>
      <c r="DK520" s="16">
        <f>+IF(AND(Décembre!$DP$8&lt;&gt;52,AR520=S.CAL!$BJ$4),10,1)</f>
        <v>1</v>
      </c>
      <c r="DN520" s="16">
        <f t="shared" si="982"/>
        <v>1</v>
      </c>
      <c r="DU520" s="1296" t="str">
        <f t="shared" si="1005"/>
        <v>Fiche infoA746005</v>
      </c>
      <c r="DV520" s="1384">
        <f t="shared" si="983"/>
        <v>0</v>
      </c>
      <c r="DW520" s="1385">
        <f t="shared" si="984"/>
        <v>0</v>
      </c>
      <c r="DX520" s="1385">
        <f t="shared" si="985"/>
        <v>0</v>
      </c>
      <c r="DY520" s="1385">
        <f t="shared" si="986"/>
        <v>0</v>
      </c>
      <c r="DZ520" s="1385">
        <f t="shared" si="987"/>
        <v>0</v>
      </c>
      <c r="EA520" s="1385">
        <f t="shared" si="988"/>
        <v>0</v>
      </c>
      <c r="EB520" s="1385">
        <f t="shared" si="989"/>
        <v>0</v>
      </c>
      <c r="EC520" s="1385">
        <f t="shared" si="990"/>
        <v>0</v>
      </c>
      <c r="ED520" s="1385">
        <f t="shared" si="1006"/>
        <v>0</v>
      </c>
      <c r="EE520" s="1386">
        <f t="shared" si="1007"/>
        <v>0</v>
      </c>
      <c r="EG520" s="16" t="str">
        <f t="shared" si="1008"/>
        <v>502025</v>
      </c>
      <c r="EH520" s="16" t="str">
        <f t="shared" si="991"/>
        <v>Fiche infoA7</v>
      </c>
      <c r="EI520" s="16" t="str">
        <f t="shared" si="992"/>
        <v/>
      </c>
    </row>
    <row r="521" spans="1:139" x14ac:dyDescent="0.2">
      <c r="A521" s="24" t="str">
        <f>Décembre!BJ34</f>
        <v>Fiche infoA1</v>
      </c>
      <c r="B521" s="829">
        <f>Décembre!AB34</f>
        <v>46006</v>
      </c>
      <c r="C521" s="1393"/>
      <c r="D521" s="1001">
        <f t="shared" si="948"/>
        <v>0</v>
      </c>
      <c r="E521" s="452">
        <f t="shared" si="949"/>
        <v>0</v>
      </c>
      <c r="F521" s="452">
        <f t="shared" si="950"/>
        <v>0</v>
      </c>
      <c r="G521" s="452">
        <f t="shared" si="951"/>
        <v>0</v>
      </c>
      <c r="H521" s="452">
        <f t="shared" si="952"/>
        <v>0</v>
      </c>
      <c r="I521" s="452">
        <f t="shared" si="953"/>
        <v>0</v>
      </c>
      <c r="J521" s="452">
        <f t="shared" si="954"/>
        <v>0</v>
      </c>
      <c r="K521" s="452">
        <f t="shared" si="955"/>
        <v>0</v>
      </c>
      <c r="L521" s="452">
        <f t="shared" si="993"/>
        <v>0</v>
      </c>
      <c r="M521" s="1002">
        <f t="shared" si="994"/>
        <v>0</v>
      </c>
      <c r="O521" s="1001">
        <f t="shared" si="1010"/>
        <v>0</v>
      </c>
      <c r="P521" s="452">
        <f t="shared" si="1011"/>
        <v>0</v>
      </c>
      <c r="Q521" s="452">
        <f t="shared" si="1012"/>
        <v>0</v>
      </c>
      <c r="R521" s="452">
        <f t="shared" si="1013"/>
        <v>0</v>
      </c>
      <c r="S521" s="452">
        <f t="shared" si="1014"/>
        <v>0</v>
      </c>
      <c r="T521" s="452">
        <f t="shared" si="1015"/>
        <v>0</v>
      </c>
      <c r="U521" s="452">
        <f t="shared" si="1016"/>
        <v>0</v>
      </c>
      <c r="V521" s="452">
        <f t="shared" si="1017"/>
        <v>0</v>
      </c>
      <c r="W521" s="452">
        <f t="shared" si="964"/>
        <v>0</v>
      </c>
      <c r="X521" s="1002">
        <f t="shared" si="965"/>
        <v>0</v>
      </c>
      <c r="Y521" s="459"/>
      <c r="Z521" s="291">
        <f t="shared" si="966"/>
        <v>0</v>
      </c>
      <c r="AA521" s="291">
        <f t="shared" si="967"/>
        <v>0</v>
      </c>
      <c r="AB521" s="291">
        <f t="shared" si="968"/>
        <v>0</v>
      </c>
      <c r="AC521" s="291">
        <f t="shared" si="969"/>
        <v>0</v>
      </c>
      <c r="AD521" s="291">
        <f t="shared" si="970"/>
        <v>0</v>
      </c>
      <c r="AE521" s="291">
        <f t="shared" si="971"/>
        <v>0</v>
      </c>
      <c r="AF521" s="291">
        <f t="shared" si="972"/>
        <v>0</v>
      </c>
      <c r="AG521" s="291">
        <f t="shared" si="973"/>
        <v>0</v>
      </c>
      <c r="AI521" s="462">
        <f t="shared" si="1018"/>
        <v>0</v>
      </c>
      <c r="AJ521" s="1112"/>
      <c r="AK521" s="507"/>
      <c r="AL521" s="829">
        <f t="shared" si="975"/>
        <v>46006</v>
      </c>
      <c r="AM521" s="684">
        <f>IFERROR(IF(AND(AT521="",AR521&lt;&gt;S.CAL!$BJ$3,AR521&lt;&gt;S.CAL!$BJ$4,$AR$500="NON"),M521-BD521,IF(AND(AT521="",AR521&lt;&gt;S.CAL!$BJ$3,AR521&lt;&gt;S.CAL!$BJ$4,$AR$500="OUI"),X521-AI521,IF(AT521&lt;&gt;0,AT521,IF(OR(AR521=S.CAL!$BJ$3,AR521=S.CAL!$BJ$4),AR521,"")))),"")</f>
        <v>0</v>
      </c>
      <c r="AN521" s="1115"/>
      <c r="AO521" s="1116"/>
      <c r="AP521" s="684">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516">
        <f t="shared" si="995"/>
        <v>0</v>
      </c>
      <c r="AR521" s="1120"/>
      <c r="AT521" s="1123"/>
      <c r="AU521" s="831"/>
      <c r="AV521" s="1392">
        <f t="shared" si="976"/>
        <v>46006</v>
      </c>
      <c r="AX521" s="529">
        <f t="shared" si="996"/>
        <v>46006</v>
      </c>
      <c r="AY521" s="541">
        <f t="shared" si="997"/>
        <v>0</v>
      </c>
      <c r="AZ521" s="538" t="s">
        <v>146</v>
      </c>
      <c r="BA521" s="534">
        <f t="shared" si="998"/>
        <v>0</v>
      </c>
      <c r="BB521" s="567" t="str">
        <f t="shared" si="977"/>
        <v/>
      </c>
      <c r="BC521" s="541">
        <f t="shared" si="999"/>
        <v>0</v>
      </c>
      <c r="BD521" s="541">
        <f t="shared" si="1000"/>
        <v>0</v>
      </c>
      <c r="BE521" s="1126"/>
      <c r="BF521" s="532" t="str">
        <f t="shared" si="978"/>
        <v/>
      </c>
      <c r="BG521" s="532" t="str">
        <f t="shared" si="1001"/>
        <v>oui</v>
      </c>
      <c r="BH521" s="395" t="str">
        <f t="shared" si="979"/>
        <v/>
      </c>
      <c r="BI521" s="24" t="str">
        <f t="shared" si="980"/>
        <v/>
      </c>
      <c r="BJ521" s="1403"/>
      <c r="BK521" s="1403"/>
      <c r="BL521" s="1403"/>
      <c r="BM521" s="1403"/>
      <c r="BN521" s="1403"/>
      <c r="BO521" s="1403"/>
      <c r="BP521" s="1403"/>
      <c r="BQ521" s="1403"/>
      <c r="BS521" s="1392">
        <f t="shared" si="947"/>
        <v>46006</v>
      </c>
      <c r="BT521" s="27">
        <f t="shared" si="1009"/>
        <v>51</v>
      </c>
      <c r="BU521" s="1402"/>
      <c r="BV521" s="1402"/>
      <c r="BW521" s="1402"/>
      <c r="BX521" s="1402"/>
      <c r="BY521" s="1402"/>
      <c r="BZ521" s="1402"/>
      <c r="CA521" s="1402"/>
      <c r="CB521" s="1402"/>
      <c r="CD521" s="1408">
        <f t="shared" si="1002"/>
        <v>0</v>
      </c>
      <c r="DC521" s="16" t="str">
        <f>Décembre!FC34</f>
        <v>non</v>
      </c>
      <c r="DG521" s="333">
        <f t="shared" si="1003"/>
        <v>1</v>
      </c>
      <c r="DH521" s="129">
        <f t="shared" si="981"/>
        <v>10</v>
      </c>
      <c r="DI521" s="129">
        <f t="shared" si="1004"/>
        <v>1</v>
      </c>
      <c r="DK521" s="16">
        <f>+IF(AND(Décembre!$DP$8&lt;&gt;52,AR521=S.CAL!$BJ$4),10,1)</f>
        <v>1</v>
      </c>
      <c r="DN521" s="16">
        <f t="shared" si="982"/>
        <v>1</v>
      </c>
      <c r="DU521" s="1296" t="str">
        <f t="shared" si="1005"/>
        <v>Fiche infoA146006</v>
      </c>
      <c r="DV521" s="1384">
        <f t="shared" si="983"/>
        <v>0</v>
      </c>
      <c r="DW521" s="1385">
        <f t="shared" si="984"/>
        <v>0</v>
      </c>
      <c r="DX521" s="1385">
        <f t="shared" si="985"/>
        <v>0</v>
      </c>
      <c r="DY521" s="1385">
        <f t="shared" si="986"/>
        <v>0</v>
      </c>
      <c r="DZ521" s="1385">
        <f t="shared" si="987"/>
        <v>0</v>
      </c>
      <c r="EA521" s="1385">
        <f t="shared" si="988"/>
        <v>0</v>
      </c>
      <c r="EB521" s="1385">
        <f t="shared" si="989"/>
        <v>0</v>
      </c>
      <c r="EC521" s="1385">
        <f t="shared" si="990"/>
        <v>0</v>
      </c>
      <c r="ED521" s="1385">
        <f t="shared" si="1006"/>
        <v>0</v>
      </c>
      <c r="EE521" s="1386">
        <f t="shared" si="1007"/>
        <v>0</v>
      </c>
      <c r="EG521" s="16" t="str">
        <f t="shared" si="1008"/>
        <v>512025</v>
      </c>
      <c r="EH521" s="16" t="str">
        <f t="shared" si="991"/>
        <v>Fiche infoA1</v>
      </c>
      <c r="EI521" s="16" t="str">
        <f t="shared" si="992"/>
        <v/>
      </c>
    </row>
    <row r="522" spans="1:139" x14ac:dyDescent="0.2">
      <c r="A522" s="1395" t="str">
        <f>Décembre!BJ35</f>
        <v>Fiche infoA2</v>
      </c>
      <c r="B522" s="829">
        <f>Décembre!AB35</f>
        <v>46007</v>
      </c>
      <c r="C522" s="1394"/>
      <c r="D522" s="1001">
        <f t="shared" si="948"/>
        <v>0</v>
      </c>
      <c r="E522" s="452">
        <f t="shared" si="949"/>
        <v>0</v>
      </c>
      <c r="F522" s="452">
        <f t="shared" si="950"/>
        <v>0</v>
      </c>
      <c r="G522" s="452">
        <f t="shared" si="951"/>
        <v>0</v>
      </c>
      <c r="H522" s="452">
        <f t="shared" si="952"/>
        <v>0</v>
      </c>
      <c r="I522" s="452">
        <f t="shared" si="953"/>
        <v>0</v>
      </c>
      <c r="J522" s="452">
        <f t="shared" si="954"/>
        <v>0</v>
      </c>
      <c r="K522" s="452">
        <f t="shared" si="955"/>
        <v>0</v>
      </c>
      <c r="L522" s="452">
        <f t="shared" si="993"/>
        <v>0</v>
      </c>
      <c r="M522" s="1002">
        <f t="shared" si="994"/>
        <v>0</v>
      </c>
      <c r="N522" s="1396"/>
      <c r="O522" s="1001">
        <f t="shared" si="1010"/>
        <v>0</v>
      </c>
      <c r="P522" s="452">
        <f t="shared" si="1011"/>
        <v>0</v>
      </c>
      <c r="Q522" s="452">
        <f t="shared" si="1012"/>
        <v>0</v>
      </c>
      <c r="R522" s="452">
        <f t="shared" si="1013"/>
        <v>0</v>
      </c>
      <c r="S522" s="452">
        <f t="shared" si="1014"/>
        <v>0</v>
      </c>
      <c r="T522" s="452">
        <f t="shared" si="1015"/>
        <v>0</v>
      </c>
      <c r="U522" s="452">
        <f t="shared" si="1016"/>
        <v>0</v>
      </c>
      <c r="V522" s="452">
        <f t="shared" si="1017"/>
        <v>0</v>
      </c>
      <c r="W522" s="452">
        <f t="shared" si="964"/>
        <v>0</v>
      </c>
      <c r="X522" s="1002">
        <f t="shared" si="965"/>
        <v>0</v>
      </c>
      <c r="Y522" s="1397"/>
      <c r="Z522" s="1398">
        <f t="shared" si="966"/>
        <v>0</v>
      </c>
      <c r="AA522" s="1398">
        <f t="shared" si="967"/>
        <v>0</v>
      </c>
      <c r="AB522" s="1398">
        <f t="shared" si="968"/>
        <v>0</v>
      </c>
      <c r="AC522" s="1398">
        <f t="shared" si="969"/>
        <v>0</v>
      </c>
      <c r="AD522" s="1398">
        <f t="shared" si="970"/>
        <v>0</v>
      </c>
      <c r="AE522" s="1398">
        <f t="shared" si="971"/>
        <v>0</v>
      </c>
      <c r="AF522" s="1398">
        <f t="shared" si="972"/>
        <v>0</v>
      </c>
      <c r="AG522" s="1398">
        <f t="shared" si="973"/>
        <v>0</v>
      </c>
      <c r="AH522" s="1396"/>
      <c r="AI522" s="462">
        <f t="shared" si="1018"/>
        <v>0</v>
      </c>
      <c r="AJ522" s="1112"/>
      <c r="AK522" s="1399"/>
      <c r="AL522" s="829">
        <f t="shared" si="975"/>
        <v>46007</v>
      </c>
      <c r="AM522" s="684">
        <f>IFERROR(IF(AND(AT522="",AR522&lt;&gt;S.CAL!$BJ$3,AR522&lt;&gt;S.CAL!$BJ$4,$AR$500="NON"),M522-BD522,IF(AND(AT522="",AR522&lt;&gt;S.CAL!$BJ$3,AR522&lt;&gt;S.CAL!$BJ$4,$AR$500="OUI"),X522-AI522,IF(AT522&lt;&gt;0,AT522,IF(OR(AR522=S.CAL!$BJ$3,AR522=S.CAL!$BJ$4),AR522,"")))),"")</f>
        <v>0</v>
      </c>
      <c r="AN522" s="1115"/>
      <c r="AO522" s="1116"/>
      <c r="AP522" s="684">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400">
        <f t="shared" si="995"/>
        <v>0</v>
      </c>
      <c r="AR522" s="1120"/>
      <c r="AS522" s="1396"/>
      <c r="AT522" s="1123"/>
      <c r="AU522" s="831"/>
      <c r="AV522" s="1392">
        <f t="shared" si="976"/>
        <v>46007</v>
      </c>
      <c r="AW522" s="1396"/>
      <c r="AX522" s="529">
        <f t="shared" si="996"/>
        <v>46007</v>
      </c>
      <c r="AY522" s="541">
        <f t="shared" si="997"/>
        <v>0</v>
      </c>
      <c r="AZ522" s="538" t="s">
        <v>146</v>
      </c>
      <c r="BA522" s="534">
        <f t="shared" si="998"/>
        <v>0</v>
      </c>
      <c r="BB522" s="567" t="str">
        <f t="shared" si="977"/>
        <v/>
      </c>
      <c r="BC522" s="541">
        <f t="shared" si="999"/>
        <v>0</v>
      </c>
      <c r="BD522" s="541">
        <f t="shared" si="1000"/>
        <v>0</v>
      </c>
      <c r="BE522" s="1126"/>
      <c r="BF522" s="532" t="str">
        <f t="shared" si="978"/>
        <v/>
      </c>
      <c r="BG522" s="532" t="str">
        <f t="shared" si="1001"/>
        <v>oui</v>
      </c>
      <c r="BH522" s="395" t="str">
        <f t="shared" si="979"/>
        <v/>
      </c>
      <c r="BI522" s="24" t="str">
        <f t="shared" si="980"/>
        <v/>
      </c>
      <c r="BJ522" s="1404"/>
      <c r="BK522" s="1404"/>
      <c r="BL522" s="1404"/>
      <c r="BM522" s="1404"/>
      <c r="BN522" s="1404"/>
      <c r="BO522" s="1404"/>
      <c r="BP522" s="1404"/>
      <c r="BQ522" s="1404"/>
      <c r="BR522" s="1405"/>
      <c r="BS522" s="1392">
        <f t="shared" si="947"/>
        <v>46007</v>
      </c>
      <c r="BT522" s="1406" t="str">
        <f t="shared" si="1009"/>
        <v/>
      </c>
      <c r="BU522" s="1404"/>
      <c r="BV522" s="1404"/>
      <c r="BW522" s="1404"/>
      <c r="BX522" s="1404"/>
      <c r="BY522" s="1404"/>
      <c r="BZ522" s="1404"/>
      <c r="CA522" s="1404"/>
      <c r="CB522" s="1404"/>
      <c r="CD522" s="1408">
        <f t="shared" si="1002"/>
        <v>0</v>
      </c>
      <c r="DC522" s="16" t="str">
        <f>Décembre!FC35</f>
        <v>non</v>
      </c>
      <c r="DG522" s="333">
        <f t="shared" si="1003"/>
        <v>1</v>
      </c>
      <c r="DH522" s="129">
        <f t="shared" si="981"/>
        <v>10</v>
      </c>
      <c r="DI522" s="129">
        <f t="shared" si="1004"/>
        <v>1</v>
      </c>
      <c r="DK522" s="16">
        <f>+IF(AND(Décembre!$DP$8&lt;&gt;52,AR522=S.CAL!$BJ$4),10,1)</f>
        <v>1</v>
      </c>
      <c r="DN522" s="16">
        <f t="shared" si="982"/>
        <v>1</v>
      </c>
      <c r="DU522" s="1296" t="str">
        <f t="shared" si="1005"/>
        <v>Fiche infoA246007</v>
      </c>
      <c r="DV522" s="1384">
        <f t="shared" si="983"/>
        <v>0</v>
      </c>
      <c r="DW522" s="1385">
        <f t="shared" si="984"/>
        <v>0</v>
      </c>
      <c r="DX522" s="1385">
        <f t="shared" si="985"/>
        <v>0</v>
      </c>
      <c r="DY522" s="1385">
        <f t="shared" si="986"/>
        <v>0</v>
      </c>
      <c r="DZ522" s="1385">
        <f t="shared" si="987"/>
        <v>0</v>
      </c>
      <c r="EA522" s="1385">
        <f t="shared" si="988"/>
        <v>0</v>
      </c>
      <c r="EB522" s="1385">
        <f t="shared" si="989"/>
        <v>0</v>
      </c>
      <c r="EC522" s="1385">
        <f t="shared" si="990"/>
        <v>0</v>
      </c>
      <c r="ED522" s="1385">
        <f t="shared" si="1006"/>
        <v>0</v>
      </c>
      <c r="EE522" s="1386">
        <f t="shared" si="1007"/>
        <v>0</v>
      </c>
      <c r="EG522" s="16" t="str">
        <f t="shared" si="1008"/>
        <v>512025</v>
      </c>
      <c r="EH522" s="16" t="str">
        <f t="shared" si="991"/>
        <v>Fiche infoA2</v>
      </c>
      <c r="EI522" s="16" t="str">
        <f t="shared" si="992"/>
        <v/>
      </c>
    </row>
    <row r="523" spans="1:139" x14ac:dyDescent="0.2">
      <c r="A523" s="24" t="str">
        <f>Décembre!BJ36</f>
        <v>Fiche infoA3</v>
      </c>
      <c r="B523" s="829">
        <f>Décembre!AB36</f>
        <v>46008</v>
      </c>
      <c r="C523" s="1393"/>
      <c r="D523" s="1001">
        <f t="shared" si="948"/>
        <v>0</v>
      </c>
      <c r="E523" s="452">
        <f t="shared" si="949"/>
        <v>0</v>
      </c>
      <c r="F523" s="452">
        <f t="shared" si="950"/>
        <v>0</v>
      </c>
      <c r="G523" s="452">
        <f t="shared" si="951"/>
        <v>0</v>
      </c>
      <c r="H523" s="452">
        <f t="shared" si="952"/>
        <v>0</v>
      </c>
      <c r="I523" s="452">
        <f t="shared" si="953"/>
        <v>0</v>
      </c>
      <c r="J523" s="452">
        <f t="shared" si="954"/>
        <v>0</v>
      </c>
      <c r="K523" s="452">
        <f t="shared" si="955"/>
        <v>0</v>
      </c>
      <c r="L523" s="452">
        <f t="shared" si="993"/>
        <v>0</v>
      </c>
      <c r="M523" s="1002">
        <f t="shared" si="994"/>
        <v>0</v>
      </c>
      <c r="O523" s="1001">
        <f t="shared" si="1010"/>
        <v>0</v>
      </c>
      <c r="P523" s="452">
        <f t="shared" si="1011"/>
        <v>0</v>
      </c>
      <c r="Q523" s="452">
        <f t="shared" si="1012"/>
        <v>0</v>
      </c>
      <c r="R523" s="452">
        <f t="shared" si="1013"/>
        <v>0</v>
      </c>
      <c r="S523" s="452">
        <f t="shared" si="1014"/>
        <v>0</v>
      </c>
      <c r="T523" s="452">
        <f t="shared" si="1015"/>
        <v>0</v>
      </c>
      <c r="U523" s="452">
        <f t="shared" si="1016"/>
        <v>0</v>
      </c>
      <c r="V523" s="452">
        <f t="shared" si="1017"/>
        <v>0</v>
      </c>
      <c r="W523" s="452">
        <f t="shared" si="964"/>
        <v>0</v>
      </c>
      <c r="X523" s="1002">
        <f t="shared" si="965"/>
        <v>0</v>
      </c>
      <c r="Y523" s="459"/>
      <c r="Z523" s="291">
        <f t="shared" si="966"/>
        <v>0</v>
      </c>
      <c r="AA523" s="291">
        <f t="shared" si="967"/>
        <v>0</v>
      </c>
      <c r="AB523" s="291">
        <f t="shared" si="968"/>
        <v>0</v>
      </c>
      <c r="AC523" s="291">
        <f t="shared" si="969"/>
        <v>0</v>
      </c>
      <c r="AD523" s="291">
        <f t="shared" si="970"/>
        <v>0</v>
      </c>
      <c r="AE523" s="291">
        <f t="shared" si="971"/>
        <v>0</v>
      </c>
      <c r="AF523" s="291">
        <f t="shared" si="972"/>
        <v>0</v>
      </c>
      <c r="AG523" s="291">
        <f t="shared" si="973"/>
        <v>0</v>
      </c>
      <c r="AI523" s="462">
        <f t="shared" si="1018"/>
        <v>0</v>
      </c>
      <c r="AJ523" s="1112"/>
      <c r="AK523" s="507"/>
      <c r="AL523" s="829">
        <f t="shared" si="975"/>
        <v>46008</v>
      </c>
      <c r="AM523" s="684">
        <f>IFERROR(IF(AND(AT523="",AR523&lt;&gt;S.CAL!$BJ$3,AR523&lt;&gt;S.CAL!$BJ$4,$AR$500="NON"),M523-BD523,IF(AND(AT523="",AR523&lt;&gt;S.CAL!$BJ$3,AR523&lt;&gt;S.CAL!$BJ$4,$AR$500="OUI"),X523-AI523,IF(AT523&lt;&gt;0,AT523,IF(OR(AR523=S.CAL!$BJ$3,AR523=S.CAL!$BJ$4),AR523,"")))),"")</f>
        <v>0</v>
      </c>
      <c r="AN523" s="1115"/>
      <c r="AO523" s="1116"/>
      <c r="AP523" s="684">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516">
        <f t="shared" si="995"/>
        <v>0</v>
      </c>
      <c r="AR523" s="1120"/>
      <c r="AT523" s="1123"/>
      <c r="AU523" s="831"/>
      <c r="AV523" s="1392">
        <f t="shared" si="976"/>
        <v>46008</v>
      </c>
      <c r="AX523" s="529">
        <f t="shared" si="996"/>
        <v>46008</v>
      </c>
      <c r="AY523" s="541">
        <f t="shared" si="997"/>
        <v>0</v>
      </c>
      <c r="AZ523" s="538" t="s">
        <v>146</v>
      </c>
      <c r="BA523" s="534">
        <f t="shared" si="998"/>
        <v>0</v>
      </c>
      <c r="BB523" s="567" t="str">
        <f t="shared" si="977"/>
        <v/>
      </c>
      <c r="BC523" s="541">
        <f t="shared" si="999"/>
        <v>0</v>
      </c>
      <c r="BD523" s="541">
        <f t="shared" si="1000"/>
        <v>0</v>
      </c>
      <c r="BE523" s="1126"/>
      <c r="BF523" s="532" t="str">
        <f t="shared" si="978"/>
        <v/>
      </c>
      <c r="BG523" s="532" t="str">
        <f t="shared" si="1001"/>
        <v>oui</v>
      </c>
      <c r="BH523" s="395" t="str">
        <f t="shared" si="979"/>
        <v/>
      </c>
      <c r="BI523" s="24" t="str">
        <f t="shared" si="980"/>
        <v/>
      </c>
      <c r="BJ523" s="1403"/>
      <c r="BK523" s="1403"/>
      <c r="BL523" s="1403"/>
      <c r="BM523" s="1403"/>
      <c r="BN523" s="1403"/>
      <c r="BO523" s="1403"/>
      <c r="BP523" s="1403"/>
      <c r="BQ523" s="1403"/>
      <c r="BS523" s="1392">
        <f t="shared" si="947"/>
        <v>46008</v>
      </c>
      <c r="BT523" s="27" t="str">
        <f t="shared" si="1009"/>
        <v/>
      </c>
      <c r="BU523" s="1402"/>
      <c r="BV523" s="1402"/>
      <c r="BW523" s="1402"/>
      <c r="BX523" s="1402"/>
      <c r="BY523" s="1402"/>
      <c r="BZ523" s="1402"/>
      <c r="CA523" s="1402"/>
      <c r="CB523" s="1402"/>
      <c r="CD523" s="1408">
        <f t="shared" si="1002"/>
        <v>0</v>
      </c>
      <c r="DC523" s="16" t="str">
        <f>Décembre!FC36</f>
        <v>non</v>
      </c>
      <c r="DG523" s="333">
        <f t="shared" si="1003"/>
        <v>1</v>
      </c>
      <c r="DH523" s="129">
        <f t="shared" si="981"/>
        <v>10</v>
      </c>
      <c r="DI523" s="129">
        <f t="shared" si="1004"/>
        <v>1</v>
      </c>
      <c r="DK523" s="16">
        <f>+IF(AND(Décembre!$DP$8&lt;&gt;52,AR523=S.CAL!$BJ$4),10,1)</f>
        <v>1</v>
      </c>
      <c r="DN523" s="16">
        <f t="shared" si="982"/>
        <v>1</v>
      </c>
      <c r="DU523" s="1296" t="str">
        <f t="shared" si="1005"/>
        <v>Fiche infoA346008</v>
      </c>
      <c r="DV523" s="1384">
        <f t="shared" si="983"/>
        <v>0</v>
      </c>
      <c r="DW523" s="1385">
        <f t="shared" si="984"/>
        <v>0</v>
      </c>
      <c r="DX523" s="1385">
        <f t="shared" si="985"/>
        <v>0</v>
      </c>
      <c r="DY523" s="1385">
        <f t="shared" si="986"/>
        <v>0</v>
      </c>
      <c r="DZ523" s="1385">
        <f t="shared" si="987"/>
        <v>0</v>
      </c>
      <c r="EA523" s="1385">
        <f t="shared" si="988"/>
        <v>0</v>
      </c>
      <c r="EB523" s="1385">
        <f t="shared" si="989"/>
        <v>0</v>
      </c>
      <c r="EC523" s="1385">
        <f t="shared" si="990"/>
        <v>0</v>
      </c>
      <c r="ED523" s="1385">
        <f t="shared" si="1006"/>
        <v>0</v>
      </c>
      <c r="EE523" s="1386">
        <f t="shared" si="1007"/>
        <v>0</v>
      </c>
      <c r="EG523" s="16" t="str">
        <f t="shared" si="1008"/>
        <v>512025</v>
      </c>
      <c r="EH523" s="16" t="str">
        <f t="shared" si="991"/>
        <v>Fiche infoA3</v>
      </c>
      <c r="EI523" s="16" t="str">
        <f t="shared" si="992"/>
        <v/>
      </c>
    </row>
    <row r="524" spans="1:139" x14ac:dyDescent="0.2">
      <c r="A524" s="1395" t="str">
        <f>Décembre!BJ37</f>
        <v>Fiche infoA4</v>
      </c>
      <c r="B524" s="829">
        <f>Décembre!AB37</f>
        <v>46009</v>
      </c>
      <c r="C524" s="1394"/>
      <c r="D524" s="1001">
        <f t="shared" si="948"/>
        <v>0</v>
      </c>
      <c r="E524" s="452">
        <f t="shared" si="949"/>
        <v>0</v>
      </c>
      <c r="F524" s="452">
        <f t="shared" si="950"/>
        <v>0</v>
      </c>
      <c r="G524" s="452">
        <f t="shared" si="951"/>
        <v>0</v>
      </c>
      <c r="H524" s="452">
        <f t="shared" si="952"/>
        <v>0</v>
      </c>
      <c r="I524" s="452">
        <f t="shared" si="953"/>
        <v>0</v>
      </c>
      <c r="J524" s="452">
        <f t="shared" si="954"/>
        <v>0</v>
      </c>
      <c r="K524" s="452">
        <f t="shared" si="955"/>
        <v>0</v>
      </c>
      <c r="L524" s="452">
        <f t="shared" si="993"/>
        <v>0</v>
      </c>
      <c r="M524" s="1002">
        <f t="shared" si="994"/>
        <v>0</v>
      </c>
      <c r="N524" s="1396"/>
      <c r="O524" s="1001">
        <f t="shared" si="1010"/>
        <v>0</v>
      </c>
      <c r="P524" s="452">
        <f t="shared" si="1011"/>
        <v>0</v>
      </c>
      <c r="Q524" s="452">
        <f t="shared" si="1012"/>
        <v>0</v>
      </c>
      <c r="R524" s="452">
        <f t="shared" si="1013"/>
        <v>0</v>
      </c>
      <c r="S524" s="452">
        <f t="shared" si="1014"/>
        <v>0</v>
      </c>
      <c r="T524" s="452">
        <f t="shared" si="1015"/>
        <v>0</v>
      </c>
      <c r="U524" s="452">
        <f t="shared" si="1016"/>
        <v>0</v>
      </c>
      <c r="V524" s="452">
        <f t="shared" si="1017"/>
        <v>0</v>
      </c>
      <c r="W524" s="452">
        <f t="shared" si="964"/>
        <v>0</v>
      </c>
      <c r="X524" s="1002">
        <f t="shared" si="965"/>
        <v>0</v>
      </c>
      <c r="Y524" s="1397"/>
      <c r="Z524" s="1398">
        <f t="shared" si="966"/>
        <v>0</v>
      </c>
      <c r="AA524" s="1398">
        <f t="shared" si="967"/>
        <v>0</v>
      </c>
      <c r="AB524" s="1398">
        <f t="shared" si="968"/>
        <v>0</v>
      </c>
      <c r="AC524" s="1398">
        <f t="shared" si="969"/>
        <v>0</v>
      </c>
      <c r="AD524" s="1398">
        <f t="shared" si="970"/>
        <v>0</v>
      </c>
      <c r="AE524" s="1398">
        <f t="shared" si="971"/>
        <v>0</v>
      </c>
      <c r="AF524" s="1398">
        <f t="shared" si="972"/>
        <v>0</v>
      </c>
      <c r="AG524" s="1398">
        <f t="shared" si="973"/>
        <v>0</v>
      </c>
      <c r="AH524" s="1396"/>
      <c r="AI524" s="462">
        <f t="shared" si="1018"/>
        <v>0</v>
      </c>
      <c r="AJ524" s="1112"/>
      <c r="AK524" s="1399"/>
      <c r="AL524" s="829">
        <f t="shared" si="975"/>
        <v>46009</v>
      </c>
      <c r="AM524" s="684">
        <f>IFERROR(IF(AND(AT524="",AR524&lt;&gt;S.CAL!$BJ$3,AR524&lt;&gt;S.CAL!$BJ$4,$AR$500="NON"),M524-BD524,IF(AND(AT524="",AR524&lt;&gt;S.CAL!$BJ$3,AR524&lt;&gt;S.CAL!$BJ$4,$AR$500="OUI"),X524-AI524,IF(AT524&lt;&gt;0,AT524,IF(OR(AR524=S.CAL!$BJ$3,AR524=S.CAL!$BJ$4),AR524,"")))),"")</f>
        <v>0</v>
      </c>
      <c r="AN524" s="1115"/>
      <c r="AO524" s="1116"/>
      <c r="AP524" s="684">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400">
        <f t="shared" si="995"/>
        <v>0</v>
      </c>
      <c r="AR524" s="1120"/>
      <c r="AS524" s="1396"/>
      <c r="AT524" s="1123"/>
      <c r="AU524" s="831"/>
      <c r="AV524" s="1392">
        <f t="shared" si="976"/>
        <v>46009</v>
      </c>
      <c r="AW524" s="1396"/>
      <c r="AX524" s="529">
        <f t="shared" si="996"/>
        <v>46009</v>
      </c>
      <c r="AY524" s="541">
        <f t="shared" si="997"/>
        <v>0</v>
      </c>
      <c r="AZ524" s="538" t="s">
        <v>146</v>
      </c>
      <c r="BA524" s="534">
        <f t="shared" si="998"/>
        <v>0</v>
      </c>
      <c r="BB524" s="567" t="str">
        <f t="shared" si="977"/>
        <v/>
      </c>
      <c r="BC524" s="541">
        <f t="shared" si="999"/>
        <v>0</v>
      </c>
      <c r="BD524" s="541">
        <f t="shared" si="1000"/>
        <v>0</v>
      </c>
      <c r="BE524" s="1126"/>
      <c r="BF524" s="532" t="str">
        <f t="shared" si="978"/>
        <v/>
      </c>
      <c r="BG524" s="532" t="str">
        <f t="shared" si="1001"/>
        <v>oui</v>
      </c>
      <c r="BH524" s="395" t="str">
        <f t="shared" si="979"/>
        <v/>
      </c>
      <c r="BI524" s="24" t="str">
        <f t="shared" si="980"/>
        <v/>
      </c>
      <c r="BJ524" s="1404"/>
      <c r="BK524" s="1404"/>
      <c r="BL524" s="1404"/>
      <c r="BM524" s="1404"/>
      <c r="BN524" s="1404"/>
      <c r="BO524" s="1404"/>
      <c r="BP524" s="1404"/>
      <c r="BQ524" s="1404"/>
      <c r="BR524" s="1405"/>
      <c r="BS524" s="1392">
        <f t="shared" si="947"/>
        <v>46009</v>
      </c>
      <c r="BT524" s="1406" t="str">
        <f t="shared" si="1009"/>
        <v/>
      </c>
      <c r="BU524" s="1404"/>
      <c r="BV524" s="1404"/>
      <c r="BW524" s="1404"/>
      <c r="BX524" s="1404"/>
      <c r="BY524" s="1404"/>
      <c r="BZ524" s="1404"/>
      <c r="CA524" s="1404"/>
      <c r="CB524" s="1404"/>
      <c r="CD524" s="1408">
        <f t="shared" si="1002"/>
        <v>0</v>
      </c>
      <c r="DC524" s="16" t="str">
        <f>Décembre!FC37</f>
        <v>non</v>
      </c>
      <c r="DG524" s="333">
        <f t="shared" si="1003"/>
        <v>1</v>
      </c>
      <c r="DH524" s="129">
        <f t="shared" si="981"/>
        <v>10</v>
      </c>
      <c r="DI524" s="129">
        <f t="shared" si="1004"/>
        <v>1</v>
      </c>
      <c r="DK524" s="16">
        <f>+IF(AND(Décembre!$DP$8&lt;&gt;52,AR524=S.CAL!$BJ$4),10,1)</f>
        <v>1</v>
      </c>
      <c r="DN524" s="16">
        <f t="shared" si="982"/>
        <v>1</v>
      </c>
      <c r="DU524" s="1296" t="str">
        <f t="shared" si="1005"/>
        <v>Fiche infoA446009</v>
      </c>
      <c r="DV524" s="1384">
        <f t="shared" si="983"/>
        <v>0</v>
      </c>
      <c r="DW524" s="1385">
        <f t="shared" si="984"/>
        <v>0</v>
      </c>
      <c r="DX524" s="1385">
        <f t="shared" si="985"/>
        <v>0</v>
      </c>
      <c r="DY524" s="1385">
        <f t="shared" si="986"/>
        <v>0</v>
      </c>
      <c r="DZ524" s="1385">
        <f t="shared" si="987"/>
        <v>0</v>
      </c>
      <c r="EA524" s="1385">
        <f t="shared" si="988"/>
        <v>0</v>
      </c>
      <c r="EB524" s="1385">
        <f t="shared" si="989"/>
        <v>0</v>
      </c>
      <c r="EC524" s="1385">
        <f t="shared" si="990"/>
        <v>0</v>
      </c>
      <c r="ED524" s="1385">
        <f t="shared" si="1006"/>
        <v>0</v>
      </c>
      <c r="EE524" s="1386">
        <f t="shared" si="1007"/>
        <v>0</v>
      </c>
      <c r="EG524" s="16" t="str">
        <f t="shared" si="1008"/>
        <v>512025</v>
      </c>
      <c r="EH524" s="16" t="str">
        <f t="shared" si="991"/>
        <v>Fiche infoA4</v>
      </c>
      <c r="EI524" s="16" t="str">
        <f t="shared" si="992"/>
        <v/>
      </c>
    </row>
    <row r="525" spans="1:139" x14ac:dyDescent="0.2">
      <c r="A525" s="24" t="str">
        <f>Décembre!BJ38</f>
        <v>Fiche infoA5</v>
      </c>
      <c r="B525" s="829">
        <f>Décembre!AB38</f>
        <v>46010</v>
      </c>
      <c r="C525" s="1393"/>
      <c r="D525" s="1001">
        <f t="shared" si="948"/>
        <v>0</v>
      </c>
      <c r="E525" s="452">
        <f t="shared" si="949"/>
        <v>0</v>
      </c>
      <c r="F525" s="452">
        <f t="shared" si="950"/>
        <v>0</v>
      </c>
      <c r="G525" s="452">
        <f t="shared" si="951"/>
        <v>0</v>
      </c>
      <c r="H525" s="452">
        <f t="shared" si="952"/>
        <v>0</v>
      </c>
      <c r="I525" s="452">
        <f t="shared" si="953"/>
        <v>0</v>
      </c>
      <c r="J525" s="452">
        <f t="shared" si="954"/>
        <v>0</v>
      </c>
      <c r="K525" s="452">
        <f t="shared" si="955"/>
        <v>0</v>
      </c>
      <c r="L525" s="452">
        <f t="shared" si="993"/>
        <v>0</v>
      </c>
      <c r="M525" s="1002">
        <f t="shared" si="994"/>
        <v>0</v>
      </c>
      <c r="O525" s="1001">
        <f t="shared" si="1010"/>
        <v>0</v>
      </c>
      <c r="P525" s="452">
        <f t="shared" si="1011"/>
        <v>0</v>
      </c>
      <c r="Q525" s="452">
        <f t="shared" si="1012"/>
        <v>0</v>
      </c>
      <c r="R525" s="452">
        <f t="shared" si="1013"/>
        <v>0</v>
      </c>
      <c r="S525" s="452">
        <f t="shared" si="1014"/>
        <v>0</v>
      </c>
      <c r="T525" s="452">
        <f t="shared" si="1015"/>
        <v>0</v>
      </c>
      <c r="U525" s="452">
        <f t="shared" si="1016"/>
        <v>0</v>
      </c>
      <c r="V525" s="452">
        <f t="shared" si="1017"/>
        <v>0</v>
      </c>
      <c r="W525" s="452">
        <f t="shared" si="964"/>
        <v>0</v>
      </c>
      <c r="X525" s="1002">
        <f t="shared" si="965"/>
        <v>0</v>
      </c>
      <c r="Y525" s="459"/>
      <c r="Z525" s="291">
        <f t="shared" si="966"/>
        <v>0</v>
      </c>
      <c r="AA525" s="291">
        <f t="shared" si="967"/>
        <v>0</v>
      </c>
      <c r="AB525" s="291">
        <f t="shared" si="968"/>
        <v>0</v>
      </c>
      <c r="AC525" s="291">
        <f t="shared" si="969"/>
        <v>0</v>
      </c>
      <c r="AD525" s="291">
        <f t="shared" si="970"/>
        <v>0</v>
      </c>
      <c r="AE525" s="291">
        <f t="shared" si="971"/>
        <v>0</v>
      </c>
      <c r="AF525" s="291">
        <f t="shared" si="972"/>
        <v>0</v>
      </c>
      <c r="AG525" s="291">
        <f t="shared" si="973"/>
        <v>0</v>
      </c>
      <c r="AI525" s="462">
        <f t="shared" si="1018"/>
        <v>0</v>
      </c>
      <c r="AJ525" s="1112"/>
      <c r="AK525" s="507"/>
      <c r="AL525" s="829">
        <f t="shared" si="975"/>
        <v>46010</v>
      </c>
      <c r="AM525" s="684">
        <f>IFERROR(IF(AND(AT525="",AR525&lt;&gt;S.CAL!$BJ$3,AR525&lt;&gt;S.CAL!$BJ$4,$AR$500="NON"),M525-BD525,IF(AND(AT525="",AR525&lt;&gt;S.CAL!$BJ$3,AR525&lt;&gt;S.CAL!$BJ$4,$AR$500="OUI"),X525-AI525,IF(AT525&lt;&gt;0,AT525,IF(OR(AR525=S.CAL!$BJ$3,AR525=S.CAL!$BJ$4),AR525,"")))),"")</f>
        <v>0</v>
      </c>
      <c r="AN525" s="1115"/>
      <c r="AO525" s="1116"/>
      <c r="AP525" s="684">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516">
        <f t="shared" si="995"/>
        <v>0</v>
      </c>
      <c r="AR525" s="1120"/>
      <c r="AT525" s="1123"/>
      <c r="AU525" s="831"/>
      <c r="AV525" s="1392">
        <f t="shared" si="976"/>
        <v>46010</v>
      </c>
      <c r="AX525" s="529">
        <f t="shared" si="996"/>
        <v>46010</v>
      </c>
      <c r="AY525" s="541">
        <f t="shared" si="997"/>
        <v>0</v>
      </c>
      <c r="AZ525" s="538" t="s">
        <v>146</v>
      </c>
      <c r="BA525" s="534">
        <f t="shared" si="998"/>
        <v>0</v>
      </c>
      <c r="BB525" s="567" t="str">
        <f t="shared" si="977"/>
        <v/>
      </c>
      <c r="BC525" s="541">
        <f t="shared" si="999"/>
        <v>0</v>
      </c>
      <c r="BD525" s="541">
        <f t="shared" si="1000"/>
        <v>0</v>
      </c>
      <c r="BE525" s="1126"/>
      <c r="BF525" s="532" t="str">
        <f t="shared" si="978"/>
        <v/>
      </c>
      <c r="BG525" s="532" t="str">
        <f t="shared" si="1001"/>
        <v>oui</v>
      </c>
      <c r="BH525" s="395" t="str">
        <f t="shared" si="979"/>
        <v/>
      </c>
      <c r="BI525" s="24" t="str">
        <f t="shared" si="980"/>
        <v/>
      </c>
      <c r="BJ525" s="1403"/>
      <c r="BK525" s="1403"/>
      <c r="BL525" s="1403"/>
      <c r="BM525" s="1403"/>
      <c r="BN525" s="1403"/>
      <c r="BO525" s="1403"/>
      <c r="BP525" s="1403"/>
      <c r="BQ525" s="1403"/>
      <c r="BS525" s="1392">
        <f t="shared" si="947"/>
        <v>46010</v>
      </c>
      <c r="BT525" s="27" t="str">
        <f t="shared" si="1009"/>
        <v/>
      </c>
      <c r="BU525" s="1402"/>
      <c r="BV525" s="1402"/>
      <c r="BW525" s="1402"/>
      <c r="BX525" s="1402"/>
      <c r="BY525" s="1402"/>
      <c r="BZ525" s="1402"/>
      <c r="CA525" s="1402"/>
      <c r="CB525" s="1402"/>
      <c r="CD525" s="1408">
        <f t="shared" si="1002"/>
        <v>0</v>
      </c>
      <c r="DC525" s="16" t="str">
        <f>Décembre!FC38</f>
        <v>non</v>
      </c>
      <c r="DG525" s="333">
        <f t="shared" si="1003"/>
        <v>1</v>
      </c>
      <c r="DH525" s="129">
        <f t="shared" si="981"/>
        <v>10</v>
      </c>
      <c r="DI525" s="129">
        <f t="shared" si="1004"/>
        <v>1</v>
      </c>
      <c r="DK525" s="16">
        <f>+IF(AND(Décembre!$DP$8&lt;&gt;52,AR525=S.CAL!$BJ$4),10,1)</f>
        <v>1</v>
      </c>
      <c r="DN525" s="16">
        <f t="shared" si="982"/>
        <v>1</v>
      </c>
      <c r="DU525" s="1296" t="str">
        <f t="shared" si="1005"/>
        <v>Fiche infoA546010</v>
      </c>
      <c r="DV525" s="1384">
        <f t="shared" si="983"/>
        <v>0</v>
      </c>
      <c r="DW525" s="1385">
        <f t="shared" si="984"/>
        <v>0</v>
      </c>
      <c r="DX525" s="1385">
        <f t="shared" si="985"/>
        <v>0</v>
      </c>
      <c r="DY525" s="1385">
        <f t="shared" si="986"/>
        <v>0</v>
      </c>
      <c r="DZ525" s="1385">
        <f t="shared" si="987"/>
        <v>0</v>
      </c>
      <c r="EA525" s="1385">
        <f t="shared" si="988"/>
        <v>0</v>
      </c>
      <c r="EB525" s="1385">
        <f t="shared" si="989"/>
        <v>0</v>
      </c>
      <c r="EC525" s="1385">
        <f t="shared" si="990"/>
        <v>0</v>
      </c>
      <c r="ED525" s="1385">
        <f t="shared" si="1006"/>
        <v>0</v>
      </c>
      <c r="EE525" s="1386">
        <f t="shared" si="1007"/>
        <v>0</v>
      </c>
      <c r="EG525" s="16" t="str">
        <f t="shared" si="1008"/>
        <v>512025</v>
      </c>
      <c r="EH525" s="16" t="str">
        <f t="shared" si="991"/>
        <v>Fiche infoA5</v>
      </c>
      <c r="EI525" s="16" t="str">
        <f t="shared" si="992"/>
        <v/>
      </c>
    </row>
    <row r="526" spans="1:139" x14ac:dyDescent="0.2">
      <c r="A526" s="1395" t="str">
        <f>Décembre!BJ39</f>
        <v>Fiche infoA6</v>
      </c>
      <c r="B526" s="829">
        <f>Décembre!AB39</f>
        <v>46011</v>
      </c>
      <c r="C526" s="1394"/>
      <c r="D526" s="1001">
        <f t="shared" si="948"/>
        <v>0</v>
      </c>
      <c r="E526" s="452">
        <f t="shared" si="949"/>
        <v>0</v>
      </c>
      <c r="F526" s="452">
        <f t="shared" si="950"/>
        <v>0</v>
      </c>
      <c r="G526" s="452">
        <f t="shared" si="951"/>
        <v>0</v>
      </c>
      <c r="H526" s="452">
        <f t="shared" si="952"/>
        <v>0</v>
      </c>
      <c r="I526" s="452">
        <f t="shared" si="953"/>
        <v>0</v>
      </c>
      <c r="J526" s="452">
        <f t="shared" si="954"/>
        <v>0</v>
      </c>
      <c r="K526" s="452">
        <f t="shared" si="955"/>
        <v>0</v>
      </c>
      <c r="L526" s="452">
        <f t="shared" si="993"/>
        <v>0</v>
      </c>
      <c r="M526" s="1002">
        <f t="shared" si="994"/>
        <v>0</v>
      </c>
      <c r="N526" s="1396"/>
      <c r="O526" s="1001">
        <f t="shared" si="1010"/>
        <v>0</v>
      </c>
      <c r="P526" s="452">
        <f t="shared" si="1011"/>
        <v>0</v>
      </c>
      <c r="Q526" s="452">
        <f t="shared" si="1012"/>
        <v>0</v>
      </c>
      <c r="R526" s="452">
        <f t="shared" si="1013"/>
        <v>0</v>
      </c>
      <c r="S526" s="452">
        <f t="shared" si="1014"/>
        <v>0</v>
      </c>
      <c r="T526" s="452">
        <f t="shared" si="1015"/>
        <v>0</v>
      </c>
      <c r="U526" s="452">
        <f t="shared" si="1016"/>
        <v>0</v>
      </c>
      <c r="V526" s="452">
        <f t="shared" si="1017"/>
        <v>0</v>
      </c>
      <c r="W526" s="452">
        <f t="shared" si="964"/>
        <v>0</v>
      </c>
      <c r="X526" s="1002">
        <f t="shared" si="965"/>
        <v>0</v>
      </c>
      <c r="Y526" s="1397"/>
      <c r="Z526" s="1398">
        <f t="shared" si="966"/>
        <v>0</v>
      </c>
      <c r="AA526" s="1398">
        <f t="shared" si="967"/>
        <v>0</v>
      </c>
      <c r="AB526" s="1398">
        <f t="shared" si="968"/>
        <v>0</v>
      </c>
      <c r="AC526" s="1398">
        <f t="shared" si="969"/>
        <v>0</v>
      </c>
      <c r="AD526" s="1398">
        <f t="shared" si="970"/>
        <v>0</v>
      </c>
      <c r="AE526" s="1398">
        <f t="shared" si="971"/>
        <v>0</v>
      </c>
      <c r="AF526" s="1398">
        <f t="shared" si="972"/>
        <v>0</v>
      </c>
      <c r="AG526" s="1398">
        <f t="shared" si="973"/>
        <v>0</v>
      </c>
      <c r="AH526" s="1396"/>
      <c r="AI526" s="462">
        <f t="shared" si="1018"/>
        <v>0</v>
      </c>
      <c r="AJ526" s="1112"/>
      <c r="AK526" s="1399"/>
      <c r="AL526" s="829">
        <f t="shared" si="975"/>
        <v>46011</v>
      </c>
      <c r="AM526" s="684">
        <f>IFERROR(IF(AND(AT526="",AR526&lt;&gt;S.CAL!$BJ$3,AR526&lt;&gt;S.CAL!$BJ$4,$AR$500="NON"),M526-BD526,IF(AND(AT526="",AR526&lt;&gt;S.CAL!$BJ$3,AR526&lt;&gt;S.CAL!$BJ$4,$AR$500="OUI"),X526-AI526,IF(AT526&lt;&gt;0,AT526,IF(OR(AR526=S.CAL!$BJ$3,AR526=S.CAL!$BJ$4),AR526,"")))),"")</f>
        <v>0</v>
      </c>
      <c r="AN526" s="1115"/>
      <c r="AO526" s="1116"/>
      <c r="AP526" s="684">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400">
        <f t="shared" si="995"/>
        <v>0</v>
      </c>
      <c r="AR526" s="1120"/>
      <c r="AS526" s="1396"/>
      <c r="AT526" s="1123"/>
      <c r="AU526" s="831"/>
      <c r="AV526" s="1392">
        <f t="shared" si="976"/>
        <v>46011</v>
      </c>
      <c r="AW526" s="1396"/>
      <c r="AX526" s="529">
        <f t="shared" si="996"/>
        <v>46011</v>
      </c>
      <c r="AY526" s="541">
        <f t="shared" si="997"/>
        <v>0</v>
      </c>
      <c r="AZ526" s="538" t="s">
        <v>146</v>
      </c>
      <c r="BA526" s="534">
        <f t="shared" si="998"/>
        <v>0</v>
      </c>
      <c r="BB526" s="567" t="str">
        <f t="shared" si="977"/>
        <v/>
      </c>
      <c r="BC526" s="541">
        <f t="shared" si="999"/>
        <v>0</v>
      </c>
      <c r="BD526" s="541">
        <f t="shared" si="1000"/>
        <v>0</v>
      </c>
      <c r="BE526" s="1126"/>
      <c r="BF526" s="532" t="str">
        <f t="shared" si="978"/>
        <v/>
      </c>
      <c r="BG526" s="532" t="str">
        <f t="shared" si="1001"/>
        <v>oui</v>
      </c>
      <c r="BH526" s="395" t="str">
        <f t="shared" si="979"/>
        <v/>
      </c>
      <c r="BI526" s="24" t="str">
        <f t="shared" si="980"/>
        <v/>
      </c>
      <c r="BJ526" s="1404"/>
      <c r="BK526" s="1404"/>
      <c r="BL526" s="1404"/>
      <c r="BM526" s="1404"/>
      <c r="BN526" s="1404"/>
      <c r="BO526" s="1404"/>
      <c r="BP526" s="1404"/>
      <c r="BQ526" s="1404"/>
      <c r="BR526" s="1405"/>
      <c r="BS526" s="1392">
        <f t="shared" si="947"/>
        <v>46011</v>
      </c>
      <c r="BT526" s="1406" t="str">
        <f t="shared" si="1009"/>
        <v/>
      </c>
      <c r="BU526" s="1404"/>
      <c r="BV526" s="1404"/>
      <c r="BW526" s="1404"/>
      <c r="BX526" s="1404"/>
      <c r="BY526" s="1404"/>
      <c r="BZ526" s="1404"/>
      <c r="CA526" s="1404"/>
      <c r="CB526" s="1404"/>
      <c r="CD526" s="1408">
        <f t="shared" si="1002"/>
        <v>0</v>
      </c>
      <c r="DC526" s="16" t="str">
        <f>Décembre!FC39</f>
        <v>non</v>
      </c>
      <c r="DG526" s="333">
        <f t="shared" si="1003"/>
        <v>1</v>
      </c>
      <c r="DH526" s="129">
        <f t="shared" si="981"/>
        <v>10</v>
      </c>
      <c r="DI526" s="129">
        <f t="shared" si="1004"/>
        <v>1</v>
      </c>
      <c r="DK526" s="16">
        <f>+IF(AND(Décembre!$DP$8&lt;&gt;52,AR526=S.CAL!$BJ$4),10,1)</f>
        <v>1</v>
      </c>
      <c r="DN526" s="16">
        <f t="shared" si="982"/>
        <v>1</v>
      </c>
      <c r="DU526" s="1296" t="str">
        <f t="shared" si="1005"/>
        <v>Fiche infoA646011</v>
      </c>
      <c r="DV526" s="1384">
        <f t="shared" si="983"/>
        <v>0</v>
      </c>
      <c r="DW526" s="1385">
        <f t="shared" si="984"/>
        <v>0</v>
      </c>
      <c r="DX526" s="1385">
        <f t="shared" si="985"/>
        <v>0</v>
      </c>
      <c r="DY526" s="1385">
        <f t="shared" si="986"/>
        <v>0</v>
      </c>
      <c r="DZ526" s="1385">
        <f t="shared" si="987"/>
        <v>0</v>
      </c>
      <c r="EA526" s="1385">
        <f t="shared" si="988"/>
        <v>0</v>
      </c>
      <c r="EB526" s="1385">
        <f t="shared" si="989"/>
        <v>0</v>
      </c>
      <c r="EC526" s="1385">
        <f t="shared" si="990"/>
        <v>0</v>
      </c>
      <c r="ED526" s="1385">
        <f t="shared" si="1006"/>
        <v>0</v>
      </c>
      <c r="EE526" s="1386">
        <f t="shared" si="1007"/>
        <v>0</v>
      </c>
      <c r="EG526" s="16" t="str">
        <f t="shared" si="1008"/>
        <v>512025</v>
      </c>
      <c r="EH526" s="16" t="str">
        <f t="shared" si="991"/>
        <v>Fiche infoA6</v>
      </c>
      <c r="EI526" s="16" t="str">
        <f t="shared" si="992"/>
        <v/>
      </c>
    </row>
    <row r="527" spans="1:139" x14ac:dyDescent="0.2">
      <c r="A527" s="24" t="str">
        <f>Décembre!BJ40</f>
        <v>Fiche infoA7</v>
      </c>
      <c r="B527" s="829">
        <f>Décembre!AB40</f>
        <v>46012</v>
      </c>
      <c r="C527" s="1393"/>
      <c r="D527" s="1001">
        <f t="shared" si="948"/>
        <v>0</v>
      </c>
      <c r="E527" s="452">
        <f t="shared" si="949"/>
        <v>0</v>
      </c>
      <c r="F527" s="452">
        <f t="shared" si="950"/>
        <v>0</v>
      </c>
      <c r="G527" s="452">
        <f t="shared" si="951"/>
        <v>0</v>
      </c>
      <c r="H527" s="452">
        <f t="shared" si="952"/>
        <v>0</v>
      </c>
      <c r="I527" s="452">
        <f t="shared" si="953"/>
        <v>0</v>
      </c>
      <c r="J527" s="452">
        <f t="shared" si="954"/>
        <v>0</v>
      </c>
      <c r="K527" s="452">
        <f t="shared" si="955"/>
        <v>0</v>
      </c>
      <c r="L527" s="452">
        <f t="shared" si="993"/>
        <v>0</v>
      </c>
      <c r="M527" s="1002">
        <f t="shared" si="994"/>
        <v>0</v>
      </c>
      <c r="O527" s="1001">
        <f t="shared" si="1010"/>
        <v>0</v>
      </c>
      <c r="P527" s="452">
        <f t="shared" si="1011"/>
        <v>0</v>
      </c>
      <c r="Q527" s="452">
        <f t="shared" si="1012"/>
        <v>0</v>
      </c>
      <c r="R527" s="452">
        <f t="shared" si="1013"/>
        <v>0</v>
      </c>
      <c r="S527" s="452">
        <f t="shared" si="1014"/>
        <v>0</v>
      </c>
      <c r="T527" s="452">
        <f t="shared" si="1015"/>
        <v>0</v>
      </c>
      <c r="U527" s="452">
        <f t="shared" si="1016"/>
        <v>0</v>
      </c>
      <c r="V527" s="452">
        <f t="shared" si="1017"/>
        <v>0</v>
      </c>
      <c r="W527" s="452">
        <f t="shared" si="964"/>
        <v>0</v>
      </c>
      <c r="X527" s="1002">
        <f t="shared" si="965"/>
        <v>0</v>
      </c>
      <c r="Y527" s="459"/>
      <c r="Z527" s="291">
        <f t="shared" si="966"/>
        <v>0</v>
      </c>
      <c r="AA527" s="291">
        <f t="shared" si="967"/>
        <v>0</v>
      </c>
      <c r="AB527" s="291">
        <f t="shared" si="968"/>
        <v>0</v>
      </c>
      <c r="AC527" s="291">
        <f t="shared" si="969"/>
        <v>0</v>
      </c>
      <c r="AD527" s="291">
        <f t="shared" si="970"/>
        <v>0</v>
      </c>
      <c r="AE527" s="291">
        <f t="shared" si="971"/>
        <v>0</v>
      </c>
      <c r="AF527" s="291">
        <f t="shared" si="972"/>
        <v>0</v>
      </c>
      <c r="AG527" s="291">
        <f t="shared" si="973"/>
        <v>0</v>
      </c>
      <c r="AI527" s="462">
        <f t="shared" si="1018"/>
        <v>0</v>
      </c>
      <c r="AJ527" s="1112"/>
      <c r="AK527" s="507"/>
      <c r="AL527" s="829">
        <f t="shared" si="975"/>
        <v>46012</v>
      </c>
      <c r="AM527" s="684">
        <f>IFERROR(IF(AND(AT527="",AR527&lt;&gt;S.CAL!$BJ$3,AR527&lt;&gt;S.CAL!$BJ$4,$AR$500="NON"),M527-BD527,IF(AND(AT527="",AR527&lt;&gt;S.CAL!$BJ$3,AR527&lt;&gt;S.CAL!$BJ$4,$AR$500="OUI"),X527-AI527,IF(AT527&lt;&gt;0,AT527,IF(OR(AR527=S.CAL!$BJ$3,AR527=S.CAL!$BJ$4),AR527,"")))),"")</f>
        <v>0</v>
      </c>
      <c r="AN527" s="1115"/>
      <c r="AO527" s="1116"/>
      <c r="AP527" s="684">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516">
        <f t="shared" si="995"/>
        <v>0</v>
      </c>
      <c r="AR527" s="1120"/>
      <c r="AT527" s="1123"/>
      <c r="AU527" s="831"/>
      <c r="AV527" s="1392">
        <f t="shared" si="976"/>
        <v>46012</v>
      </c>
      <c r="AX527" s="529">
        <f t="shared" si="996"/>
        <v>46012</v>
      </c>
      <c r="AY527" s="541">
        <f t="shared" si="997"/>
        <v>0</v>
      </c>
      <c r="AZ527" s="538" t="s">
        <v>146</v>
      </c>
      <c r="BA527" s="534">
        <f t="shared" si="998"/>
        <v>0</v>
      </c>
      <c r="BB527" s="567" t="str">
        <f t="shared" si="977"/>
        <v/>
      </c>
      <c r="BC527" s="541">
        <f t="shared" si="999"/>
        <v>0</v>
      </c>
      <c r="BD527" s="541">
        <f t="shared" si="1000"/>
        <v>0</v>
      </c>
      <c r="BE527" s="1126"/>
      <c r="BF527" s="532" t="str">
        <f t="shared" si="978"/>
        <v/>
      </c>
      <c r="BG527" s="532" t="str">
        <f t="shared" si="1001"/>
        <v>oui</v>
      </c>
      <c r="BH527" s="395" t="str">
        <f t="shared" si="979"/>
        <v/>
      </c>
      <c r="BI527" s="24" t="str">
        <f t="shared" si="980"/>
        <v/>
      </c>
      <c r="BJ527" s="1403"/>
      <c r="BK527" s="1403"/>
      <c r="BL527" s="1403"/>
      <c r="BM527" s="1403"/>
      <c r="BN527" s="1403"/>
      <c r="BO527" s="1403"/>
      <c r="BP527" s="1403"/>
      <c r="BQ527" s="1403"/>
      <c r="BS527" s="1392">
        <f t="shared" si="947"/>
        <v>46012</v>
      </c>
      <c r="BT527" s="27" t="str">
        <f t="shared" si="1009"/>
        <v/>
      </c>
      <c r="BU527" s="1402"/>
      <c r="BV527" s="1402"/>
      <c r="BW527" s="1402"/>
      <c r="BX527" s="1402"/>
      <c r="BY527" s="1402"/>
      <c r="BZ527" s="1402"/>
      <c r="CA527" s="1402"/>
      <c r="CB527" s="1402"/>
      <c r="CD527" s="1408">
        <f t="shared" si="1002"/>
        <v>0</v>
      </c>
      <c r="DC527" s="16" t="str">
        <f>Décembre!FC40</f>
        <v>non</v>
      </c>
      <c r="DG527" s="333">
        <f t="shared" si="1003"/>
        <v>1</v>
      </c>
      <c r="DH527" s="129">
        <f t="shared" si="981"/>
        <v>10</v>
      </c>
      <c r="DI527" s="129">
        <f t="shared" si="1004"/>
        <v>1</v>
      </c>
      <c r="DK527" s="16">
        <f>+IF(AND(Décembre!$DP$8&lt;&gt;52,AR527=S.CAL!$BJ$4),10,1)</f>
        <v>1</v>
      </c>
      <c r="DN527" s="16">
        <f t="shared" si="982"/>
        <v>1</v>
      </c>
      <c r="DU527" s="1296" t="str">
        <f t="shared" si="1005"/>
        <v>Fiche infoA746012</v>
      </c>
      <c r="DV527" s="1384">
        <f t="shared" si="983"/>
        <v>0</v>
      </c>
      <c r="DW527" s="1385">
        <f t="shared" si="984"/>
        <v>0</v>
      </c>
      <c r="DX527" s="1385">
        <f t="shared" si="985"/>
        <v>0</v>
      </c>
      <c r="DY527" s="1385">
        <f t="shared" si="986"/>
        <v>0</v>
      </c>
      <c r="DZ527" s="1385">
        <f t="shared" si="987"/>
        <v>0</v>
      </c>
      <c r="EA527" s="1385">
        <f t="shared" si="988"/>
        <v>0</v>
      </c>
      <c r="EB527" s="1385">
        <f t="shared" si="989"/>
        <v>0</v>
      </c>
      <c r="EC527" s="1385">
        <f t="shared" si="990"/>
        <v>0</v>
      </c>
      <c r="ED527" s="1385">
        <f t="shared" si="1006"/>
        <v>0</v>
      </c>
      <c r="EE527" s="1386">
        <f t="shared" si="1007"/>
        <v>0</v>
      </c>
      <c r="EG527" s="16" t="str">
        <f t="shared" si="1008"/>
        <v>512025</v>
      </c>
      <c r="EH527" s="16" t="str">
        <f t="shared" si="991"/>
        <v>Fiche infoA7</v>
      </c>
      <c r="EI527" s="16" t="str">
        <f t="shared" si="992"/>
        <v/>
      </c>
    </row>
    <row r="528" spans="1:139" x14ac:dyDescent="0.2">
      <c r="A528" s="1395" t="str">
        <f>Décembre!BJ41</f>
        <v>Fiche infoA1</v>
      </c>
      <c r="B528" s="829">
        <f>Décembre!AB41</f>
        <v>46013</v>
      </c>
      <c r="C528" s="1394"/>
      <c r="D528" s="1001">
        <f t="shared" si="948"/>
        <v>0</v>
      </c>
      <c r="E528" s="452">
        <f t="shared" si="949"/>
        <v>0</v>
      </c>
      <c r="F528" s="452">
        <f t="shared" si="950"/>
        <v>0</v>
      </c>
      <c r="G528" s="452">
        <f t="shared" si="951"/>
        <v>0</v>
      </c>
      <c r="H528" s="452">
        <f t="shared" si="952"/>
        <v>0</v>
      </c>
      <c r="I528" s="452">
        <f t="shared" si="953"/>
        <v>0</v>
      </c>
      <c r="J528" s="452">
        <f t="shared" si="954"/>
        <v>0</v>
      </c>
      <c r="K528" s="452">
        <f t="shared" si="955"/>
        <v>0</v>
      </c>
      <c r="L528" s="452">
        <f t="shared" si="993"/>
        <v>0</v>
      </c>
      <c r="M528" s="1002">
        <f t="shared" si="994"/>
        <v>0</v>
      </c>
      <c r="N528" s="1396"/>
      <c r="O528" s="1001">
        <f t="shared" si="1010"/>
        <v>0</v>
      </c>
      <c r="P528" s="452">
        <f t="shared" si="1011"/>
        <v>0</v>
      </c>
      <c r="Q528" s="452">
        <f t="shared" si="1012"/>
        <v>0</v>
      </c>
      <c r="R528" s="452">
        <f t="shared" si="1013"/>
        <v>0</v>
      </c>
      <c r="S528" s="452">
        <f t="shared" si="1014"/>
        <v>0</v>
      </c>
      <c r="T528" s="452">
        <f t="shared" si="1015"/>
        <v>0</v>
      </c>
      <c r="U528" s="452">
        <f t="shared" si="1016"/>
        <v>0</v>
      </c>
      <c r="V528" s="452">
        <f t="shared" si="1017"/>
        <v>0</v>
      </c>
      <c r="W528" s="452">
        <f t="shared" si="964"/>
        <v>0</v>
      </c>
      <c r="X528" s="1002">
        <f t="shared" si="965"/>
        <v>0</v>
      </c>
      <c r="Y528" s="1397"/>
      <c r="Z528" s="1398">
        <f t="shared" si="966"/>
        <v>0</v>
      </c>
      <c r="AA528" s="1398">
        <f t="shared" si="967"/>
        <v>0</v>
      </c>
      <c r="AB528" s="1398">
        <f t="shared" si="968"/>
        <v>0</v>
      </c>
      <c r="AC528" s="1398">
        <f t="shared" si="969"/>
        <v>0</v>
      </c>
      <c r="AD528" s="1398">
        <f t="shared" si="970"/>
        <v>0</v>
      </c>
      <c r="AE528" s="1398">
        <f t="shared" si="971"/>
        <v>0</v>
      </c>
      <c r="AF528" s="1398">
        <f t="shared" si="972"/>
        <v>0</v>
      </c>
      <c r="AG528" s="1398">
        <f t="shared" si="973"/>
        <v>0</v>
      </c>
      <c r="AH528" s="1396"/>
      <c r="AI528" s="462">
        <f t="shared" si="1018"/>
        <v>0</v>
      </c>
      <c r="AJ528" s="1112"/>
      <c r="AK528" s="1399"/>
      <c r="AL528" s="829">
        <f t="shared" si="975"/>
        <v>46013</v>
      </c>
      <c r="AM528" s="684">
        <f>IFERROR(IF(AND(AT528="",AR528&lt;&gt;S.CAL!$BJ$3,AR528&lt;&gt;S.CAL!$BJ$4,$AR$500="NON"),M528-BD528,IF(AND(AT528="",AR528&lt;&gt;S.CAL!$BJ$3,AR528&lt;&gt;S.CAL!$BJ$4,$AR$500="OUI"),X528-AI528,IF(AT528&lt;&gt;0,AT528,IF(OR(AR528=S.CAL!$BJ$3,AR528=S.CAL!$BJ$4),AR528,"")))),"")</f>
        <v>0</v>
      </c>
      <c r="AN528" s="1115"/>
      <c r="AO528" s="1116"/>
      <c r="AP528" s="684">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400">
        <f t="shared" si="995"/>
        <v>0</v>
      </c>
      <c r="AR528" s="1120"/>
      <c r="AS528" s="1396"/>
      <c r="AT528" s="1123"/>
      <c r="AU528" s="831"/>
      <c r="AV528" s="1392">
        <f t="shared" si="976"/>
        <v>46013</v>
      </c>
      <c r="AW528" s="1396"/>
      <c r="AX528" s="529">
        <f t="shared" si="996"/>
        <v>46013</v>
      </c>
      <c r="AY528" s="541">
        <f t="shared" si="997"/>
        <v>0</v>
      </c>
      <c r="AZ528" s="538" t="s">
        <v>146</v>
      </c>
      <c r="BA528" s="534">
        <f t="shared" si="998"/>
        <v>0</v>
      </c>
      <c r="BB528" s="567" t="str">
        <f t="shared" si="977"/>
        <v/>
      </c>
      <c r="BC528" s="541">
        <f t="shared" si="999"/>
        <v>0</v>
      </c>
      <c r="BD528" s="541">
        <f t="shared" si="1000"/>
        <v>0</v>
      </c>
      <c r="BE528" s="1126"/>
      <c r="BF528" s="532" t="str">
        <f t="shared" si="978"/>
        <v/>
      </c>
      <c r="BG528" s="532" t="str">
        <f t="shared" si="1001"/>
        <v>oui</v>
      </c>
      <c r="BH528" s="395" t="str">
        <f t="shared" si="979"/>
        <v/>
      </c>
      <c r="BI528" s="24" t="str">
        <f t="shared" si="980"/>
        <v/>
      </c>
      <c r="BJ528" s="1404"/>
      <c r="BK528" s="1404"/>
      <c r="BL528" s="1404"/>
      <c r="BM528" s="1404"/>
      <c r="BN528" s="1404"/>
      <c r="BO528" s="1404"/>
      <c r="BP528" s="1404"/>
      <c r="BQ528" s="1404"/>
      <c r="BR528" s="1405"/>
      <c r="BS528" s="1392">
        <f t="shared" si="947"/>
        <v>46013</v>
      </c>
      <c r="BT528" s="1406">
        <f t="shared" si="1009"/>
        <v>52</v>
      </c>
      <c r="BU528" s="1404"/>
      <c r="BV528" s="1404"/>
      <c r="BW528" s="1404"/>
      <c r="BX528" s="1404"/>
      <c r="BY528" s="1404"/>
      <c r="BZ528" s="1404"/>
      <c r="CA528" s="1404"/>
      <c r="CB528" s="1404"/>
      <c r="CD528" s="1408">
        <f t="shared" si="1002"/>
        <v>0</v>
      </c>
      <c r="DC528" s="16" t="str">
        <f>Décembre!FC41</f>
        <v>non</v>
      </c>
      <c r="DG528" s="333">
        <f t="shared" si="1003"/>
        <v>1</v>
      </c>
      <c r="DH528" s="129">
        <f t="shared" si="981"/>
        <v>10</v>
      </c>
      <c r="DI528" s="129">
        <f t="shared" si="1004"/>
        <v>1</v>
      </c>
      <c r="DK528" s="16">
        <f>+IF(AND(Décembre!$DP$8&lt;&gt;52,AR528=S.CAL!$BJ$4),10,1)</f>
        <v>1</v>
      </c>
      <c r="DN528" s="16">
        <f t="shared" si="982"/>
        <v>1</v>
      </c>
      <c r="DU528" s="1296" t="str">
        <f t="shared" si="1005"/>
        <v>Fiche infoA146013</v>
      </c>
      <c r="DV528" s="1384">
        <f t="shared" si="983"/>
        <v>0</v>
      </c>
      <c r="DW528" s="1385">
        <f t="shared" si="984"/>
        <v>0</v>
      </c>
      <c r="DX528" s="1385">
        <f t="shared" si="985"/>
        <v>0</v>
      </c>
      <c r="DY528" s="1385">
        <f t="shared" si="986"/>
        <v>0</v>
      </c>
      <c r="DZ528" s="1385">
        <f t="shared" si="987"/>
        <v>0</v>
      </c>
      <c r="EA528" s="1385">
        <f t="shared" si="988"/>
        <v>0</v>
      </c>
      <c r="EB528" s="1385">
        <f t="shared" si="989"/>
        <v>0</v>
      </c>
      <c r="EC528" s="1385">
        <f t="shared" si="990"/>
        <v>0</v>
      </c>
      <c r="ED528" s="1385">
        <f t="shared" si="1006"/>
        <v>0</v>
      </c>
      <c r="EE528" s="1386">
        <f t="shared" si="1007"/>
        <v>0</v>
      </c>
      <c r="EG528" s="16" t="str">
        <f t="shared" si="1008"/>
        <v>522025</v>
      </c>
      <c r="EH528" s="16" t="str">
        <f t="shared" si="991"/>
        <v>Fiche infoA1</v>
      </c>
      <c r="EI528" s="16" t="str">
        <f t="shared" si="992"/>
        <v/>
      </c>
    </row>
    <row r="529" spans="1:139" x14ac:dyDescent="0.2">
      <c r="A529" s="24" t="str">
        <f>Décembre!BJ42</f>
        <v>Fiche infoA2</v>
      </c>
      <c r="B529" s="829">
        <f>Décembre!AB42</f>
        <v>46014</v>
      </c>
      <c r="C529" s="1393"/>
      <c r="D529" s="1001">
        <f t="shared" si="948"/>
        <v>0</v>
      </c>
      <c r="E529" s="452">
        <f t="shared" si="949"/>
        <v>0</v>
      </c>
      <c r="F529" s="452">
        <f t="shared" si="950"/>
        <v>0</v>
      </c>
      <c r="G529" s="452">
        <f t="shared" si="951"/>
        <v>0</v>
      </c>
      <c r="H529" s="452">
        <f t="shared" si="952"/>
        <v>0</v>
      </c>
      <c r="I529" s="452">
        <f t="shared" si="953"/>
        <v>0</v>
      </c>
      <c r="J529" s="452">
        <f t="shared" si="954"/>
        <v>0</v>
      </c>
      <c r="K529" s="452">
        <f t="shared" si="955"/>
        <v>0</v>
      </c>
      <c r="L529" s="452">
        <f t="shared" si="993"/>
        <v>0</v>
      </c>
      <c r="M529" s="1002">
        <f t="shared" si="994"/>
        <v>0</v>
      </c>
      <c r="O529" s="1001">
        <f t="shared" si="1010"/>
        <v>0</v>
      </c>
      <c r="P529" s="452">
        <f t="shared" si="1011"/>
        <v>0</v>
      </c>
      <c r="Q529" s="452">
        <f t="shared" si="1012"/>
        <v>0</v>
      </c>
      <c r="R529" s="452">
        <f t="shared" si="1013"/>
        <v>0</v>
      </c>
      <c r="S529" s="452">
        <f t="shared" si="1014"/>
        <v>0</v>
      </c>
      <c r="T529" s="452">
        <f t="shared" si="1015"/>
        <v>0</v>
      </c>
      <c r="U529" s="452">
        <f t="shared" si="1016"/>
        <v>0</v>
      </c>
      <c r="V529" s="452">
        <f t="shared" si="1017"/>
        <v>0</v>
      </c>
      <c r="W529" s="452">
        <f t="shared" si="964"/>
        <v>0</v>
      </c>
      <c r="X529" s="1002">
        <f t="shared" si="965"/>
        <v>0</v>
      </c>
      <c r="Y529" s="459"/>
      <c r="Z529" s="291">
        <f t="shared" si="966"/>
        <v>0</v>
      </c>
      <c r="AA529" s="291">
        <f t="shared" si="967"/>
        <v>0</v>
      </c>
      <c r="AB529" s="291">
        <f t="shared" si="968"/>
        <v>0</v>
      </c>
      <c r="AC529" s="291">
        <f t="shared" si="969"/>
        <v>0</v>
      </c>
      <c r="AD529" s="291">
        <f t="shared" si="970"/>
        <v>0</v>
      </c>
      <c r="AE529" s="291">
        <f t="shared" si="971"/>
        <v>0</v>
      </c>
      <c r="AF529" s="291">
        <f t="shared" si="972"/>
        <v>0</v>
      </c>
      <c r="AG529" s="291">
        <f t="shared" si="973"/>
        <v>0</v>
      </c>
      <c r="AI529" s="462">
        <f t="shared" si="1018"/>
        <v>0</v>
      </c>
      <c r="AJ529" s="1112"/>
      <c r="AK529" s="507"/>
      <c r="AL529" s="829">
        <f t="shared" si="975"/>
        <v>46014</v>
      </c>
      <c r="AM529" s="684">
        <f>IFERROR(IF(AND(AT529="",AR529&lt;&gt;S.CAL!$BJ$3,AR529&lt;&gt;S.CAL!$BJ$4,$AR$500="NON"),M529-BD529,IF(AND(AT529="",AR529&lt;&gt;S.CAL!$BJ$3,AR529&lt;&gt;S.CAL!$BJ$4,$AR$500="OUI"),X529-AI529,IF(AT529&lt;&gt;0,AT529,IF(OR(AR529=S.CAL!$BJ$3,AR529=S.CAL!$BJ$4),AR529,"")))),"")</f>
        <v>0</v>
      </c>
      <c r="AN529" s="1115"/>
      <c r="AO529" s="1116"/>
      <c r="AP529" s="684">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516">
        <f t="shared" si="995"/>
        <v>0</v>
      </c>
      <c r="AR529" s="1120"/>
      <c r="AT529" s="1123"/>
      <c r="AU529" s="831"/>
      <c r="AV529" s="1392">
        <f t="shared" si="976"/>
        <v>46014</v>
      </c>
      <c r="AX529" s="529">
        <f t="shared" si="996"/>
        <v>46014</v>
      </c>
      <c r="AY529" s="541">
        <f t="shared" si="997"/>
        <v>0</v>
      </c>
      <c r="AZ529" s="538" t="s">
        <v>146</v>
      </c>
      <c r="BA529" s="534">
        <f t="shared" si="998"/>
        <v>0</v>
      </c>
      <c r="BB529" s="567" t="str">
        <f t="shared" si="977"/>
        <v/>
      </c>
      <c r="BC529" s="541">
        <f t="shared" si="999"/>
        <v>0</v>
      </c>
      <c r="BD529" s="541">
        <f t="shared" si="1000"/>
        <v>0</v>
      </c>
      <c r="BE529" s="1126"/>
      <c r="BF529" s="532" t="str">
        <f t="shared" si="978"/>
        <v/>
      </c>
      <c r="BG529" s="532" t="str">
        <f t="shared" si="1001"/>
        <v>oui</v>
      </c>
      <c r="BH529" s="395" t="str">
        <f t="shared" si="979"/>
        <v/>
      </c>
      <c r="BI529" s="24" t="str">
        <f t="shared" si="980"/>
        <v/>
      </c>
      <c r="BJ529" s="1403"/>
      <c r="BK529" s="1403"/>
      <c r="BL529" s="1403"/>
      <c r="BM529" s="1403"/>
      <c r="BN529" s="1403"/>
      <c r="BO529" s="1403"/>
      <c r="BP529" s="1403"/>
      <c r="BQ529" s="1403"/>
      <c r="BS529" s="1392">
        <f t="shared" si="947"/>
        <v>46014</v>
      </c>
      <c r="BT529" s="27" t="str">
        <f t="shared" si="1009"/>
        <v/>
      </c>
      <c r="BU529" s="1402"/>
      <c r="BV529" s="1402"/>
      <c r="BW529" s="1402"/>
      <c r="BX529" s="1402"/>
      <c r="BY529" s="1402"/>
      <c r="BZ529" s="1402"/>
      <c r="CA529" s="1402"/>
      <c r="CB529" s="1402"/>
      <c r="CD529" s="1408">
        <f t="shared" si="1002"/>
        <v>0</v>
      </c>
      <c r="DC529" s="16" t="str">
        <f>Décembre!FC42</f>
        <v>non</v>
      </c>
      <c r="DG529" s="333">
        <f t="shared" si="1003"/>
        <v>1</v>
      </c>
      <c r="DH529" s="129">
        <f t="shared" si="981"/>
        <v>10</v>
      </c>
      <c r="DI529" s="129">
        <f t="shared" si="1004"/>
        <v>1</v>
      </c>
      <c r="DK529" s="16">
        <f>+IF(AND(Décembre!$DP$8&lt;&gt;52,AR529=S.CAL!$BJ$4),10,1)</f>
        <v>1</v>
      </c>
      <c r="DN529" s="16">
        <f t="shared" si="982"/>
        <v>1</v>
      </c>
      <c r="DU529" s="1296" t="str">
        <f t="shared" si="1005"/>
        <v>Fiche infoA246014</v>
      </c>
      <c r="DV529" s="1384">
        <f t="shared" si="983"/>
        <v>0</v>
      </c>
      <c r="DW529" s="1385">
        <f t="shared" si="984"/>
        <v>0</v>
      </c>
      <c r="DX529" s="1385">
        <f t="shared" si="985"/>
        <v>0</v>
      </c>
      <c r="DY529" s="1385">
        <f t="shared" si="986"/>
        <v>0</v>
      </c>
      <c r="DZ529" s="1385">
        <f t="shared" si="987"/>
        <v>0</v>
      </c>
      <c r="EA529" s="1385">
        <f t="shared" si="988"/>
        <v>0</v>
      </c>
      <c r="EB529" s="1385">
        <f t="shared" si="989"/>
        <v>0</v>
      </c>
      <c r="EC529" s="1385">
        <f t="shared" si="990"/>
        <v>0</v>
      </c>
      <c r="ED529" s="1385">
        <f t="shared" si="1006"/>
        <v>0</v>
      </c>
      <c r="EE529" s="1386">
        <f t="shared" si="1007"/>
        <v>0</v>
      </c>
      <c r="EG529" s="16" t="str">
        <f t="shared" si="1008"/>
        <v>522025</v>
      </c>
      <c r="EH529" s="16" t="str">
        <f t="shared" si="991"/>
        <v>Fiche infoA2</v>
      </c>
      <c r="EI529" s="16" t="str">
        <f t="shared" si="992"/>
        <v/>
      </c>
    </row>
    <row r="530" spans="1:139" x14ac:dyDescent="0.2">
      <c r="A530" s="1395" t="str">
        <f>Décembre!BJ43</f>
        <v>Fiche infoA3</v>
      </c>
      <c r="B530" s="829">
        <f>Décembre!AB43</f>
        <v>46015</v>
      </c>
      <c r="C530" s="1394"/>
      <c r="D530" s="1001">
        <f t="shared" si="948"/>
        <v>0</v>
      </c>
      <c r="E530" s="452">
        <f t="shared" si="949"/>
        <v>0</v>
      </c>
      <c r="F530" s="452">
        <f t="shared" si="950"/>
        <v>0</v>
      </c>
      <c r="G530" s="452">
        <f t="shared" si="951"/>
        <v>0</v>
      </c>
      <c r="H530" s="452">
        <f t="shared" si="952"/>
        <v>0</v>
      </c>
      <c r="I530" s="452">
        <f t="shared" si="953"/>
        <v>0</v>
      </c>
      <c r="J530" s="452">
        <f t="shared" si="954"/>
        <v>0</v>
      </c>
      <c r="K530" s="452">
        <f t="shared" si="955"/>
        <v>0</v>
      </c>
      <c r="L530" s="452">
        <f t="shared" si="993"/>
        <v>0</v>
      </c>
      <c r="M530" s="1002">
        <f t="shared" si="994"/>
        <v>0</v>
      </c>
      <c r="N530" s="1396"/>
      <c r="O530" s="1001">
        <f t="shared" si="1010"/>
        <v>0</v>
      </c>
      <c r="P530" s="452">
        <f t="shared" si="1011"/>
        <v>0</v>
      </c>
      <c r="Q530" s="452">
        <f t="shared" si="1012"/>
        <v>0</v>
      </c>
      <c r="R530" s="452">
        <f t="shared" si="1013"/>
        <v>0</v>
      </c>
      <c r="S530" s="452">
        <f t="shared" si="1014"/>
        <v>0</v>
      </c>
      <c r="T530" s="452">
        <f t="shared" si="1015"/>
        <v>0</v>
      </c>
      <c r="U530" s="452">
        <f t="shared" si="1016"/>
        <v>0</v>
      </c>
      <c r="V530" s="452">
        <f t="shared" si="1017"/>
        <v>0</v>
      </c>
      <c r="W530" s="452">
        <f t="shared" si="964"/>
        <v>0</v>
      </c>
      <c r="X530" s="1002">
        <f t="shared" si="965"/>
        <v>0</v>
      </c>
      <c r="Y530" s="1397"/>
      <c r="Z530" s="1398">
        <f t="shared" si="966"/>
        <v>0</v>
      </c>
      <c r="AA530" s="1398">
        <f t="shared" si="967"/>
        <v>0</v>
      </c>
      <c r="AB530" s="1398">
        <f t="shared" si="968"/>
        <v>0</v>
      </c>
      <c r="AC530" s="1398">
        <f t="shared" si="969"/>
        <v>0</v>
      </c>
      <c r="AD530" s="1398">
        <f t="shared" si="970"/>
        <v>0</v>
      </c>
      <c r="AE530" s="1398">
        <f t="shared" si="971"/>
        <v>0</v>
      </c>
      <c r="AF530" s="1398">
        <f t="shared" si="972"/>
        <v>0</v>
      </c>
      <c r="AG530" s="1398">
        <f t="shared" si="973"/>
        <v>0</v>
      </c>
      <c r="AH530" s="1396"/>
      <c r="AI530" s="462">
        <f t="shared" si="1018"/>
        <v>0</v>
      </c>
      <c r="AJ530" s="1112"/>
      <c r="AK530" s="1399"/>
      <c r="AL530" s="829">
        <f t="shared" si="975"/>
        <v>46015</v>
      </c>
      <c r="AM530" s="684">
        <f>IFERROR(IF(AND(AT530="",AR530&lt;&gt;S.CAL!$BJ$3,AR530&lt;&gt;S.CAL!$BJ$4,$AR$500="NON"),M530-BD530,IF(AND(AT530="",AR530&lt;&gt;S.CAL!$BJ$3,AR530&lt;&gt;S.CAL!$BJ$4,$AR$500="OUI"),X530-AI530,IF(AT530&lt;&gt;0,AT530,IF(OR(AR530=S.CAL!$BJ$3,AR530=S.CAL!$BJ$4),AR530,"")))),"")</f>
        <v>0</v>
      </c>
      <c r="AN530" s="1115"/>
      <c r="AO530" s="1116"/>
      <c r="AP530" s="684">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400">
        <f t="shared" si="995"/>
        <v>0</v>
      </c>
      <c r="AR530" s="1120"/>
      <c r="AS530" s="1396"/>
      <c r="AT530" s="1123"/>
      <c r="AU530" s="831"/>
      <c r="AV530" s="1392">
        <f t="shared" si="976"/>
        <v>46015</v>
      </c>
      <c r="AW530" s="1396"/>
      <c r="AX530" s="529">
        <f t="shared" si="996"/>
        <v>46015</v>
      </c>
      <c r="AY530" s="541">
        <f t="shared" si="997"/>
        <v>0</v>
      </c>
      <c r="AZ530" s="538" t="s">
        <v>146</v>
      </c>
      <c r="BA530" s="534">
        <f t="shared" si="998"/>
        <v>0</v>
      </c>
      <c r="BB530" s="567" t="str">
        <f t="shared" si="977"/>
        <v/>
      </c>
      <c r="BC530" s="541">
        <f t="shared" si="999"/>
        <v>0</v>
      </c>
      <c r="BD530" s="541">
        <f t="shared" si="1000"/>
        <v>0</v>
      </c>
      <c r="BE530" s="1126"/>
      <c r="BF530" s="532" t="str">
        <f t="shared" si="978"/>
        <v/>
      </c>
      <c r="BG530" s="532" t="str">
        <f t="shared" si="1001"/>
        <v>oui</v>
      </c>
      <c r="BH530" s="395" t="str">
        <f t="shared" si="979"/>
        <v/>
      </c>
      <c r="BI530" s="24" t="str">
        <f t="shared" si="980"/>
        <v/>
      </c>
      <c r="BJ530" s="1404"/>
      <c r="BK530" s="1404"/>
      <c r="BL530" s="1404"/>
      <c r="BM530" s="1404"/>
      <c r="BN530" s="1404"/>
      <c r="BO530" s="1404"/>
      <c r="BP530" s="1404"/>
      <c r="BQ530" s="1404"/>
      <c r="BR530" s="1405"/>
      <c r="BS530" s="1392">
        <f t="shared" si="947"/>
        <v>46015</v>
      </c>
      <c r="BT530" s="1406" t="str">
        <f t="shared" si="1009"/>
        <v/>
      </c>
      <c r="BU530" s="1404"/>
      <c r="BV530" s="1404"/>
      <c r="BW530" s="1404"/>
      <c r="BX530" s="1404"/>
      <c r="BY530" s="1404"/>
      <c r="BZ530" s="1404"/>
      <c r="CA530" s="1404"/>
      <c r="CB530" s="1404"/>
      <c r="CD530" s="1408">
        <f t="shared" si="1002"/>
        <v>0</v>
      </c>
      <c r="DC530" s="16" t="str">
        <f>Décembre!FC43</f>
        <v>non</v>
      </c>
      <c r="DG530" s="333">
        <f t="shared" si="1003"/>
        <v>1</v>
      </c>
      <c r="DH530" s="129">
        <f t="shared" si="981"/>
        <v>10</v>
      </c>
      <c r="DI530" s="129">
        <f t="shared" si="1004"/>
        <v>1</v>
      </c>
      <c r="DK530" s="16">
        <f>+IF(AND(Décembre!$DP$8&lt;&gt;52,AR530=S.CAL!$BJ$4),10,1)</f>
        <v>1</v>
      </c>
      <c r="DN530" s="16">
        <f t="shared" si="982"/>
        <v>1</v>
      </c>
      <c r="DU530" s="1296" t="str">
        <f t="shared" si="1005"/>
        <v>Fiche infoA346015</v>
      </c>
      <c r="DV530" s="1384">
        <f t="shared" si="983"/>
        <v>0</v>
      </c>
      <c r="DW530" s="1385">
        <f t="shared" si="984"/>
        <v>0</v>
      </c>
      <c r="DX530" s="1385">
        <f t="shared" si="985"/>
        <v>0</v>
      </c>
      <c r="DY530" s="1385">
        <f t="shared" si="986"/>
        <v>0</v>
      </c>
      <c r="DZ530" s="1385">
        <f t="shared" si="987"/>
        <v>0</v>
      </c>
      <c r="EA530" s="1385">
        <f t="shared" si="988"/>
        <v>0</v>
      </c>
      <c r="EB530" s="1385">
        <f t="shared" si="989"/>
        <v>0</v>
      </c>
      <c r="EC530" s="1385">
        <f t="shared" si="990"/>
        <v>0</v>
      </c>
      <c r="ED530" s="1385">
        <f t="shared" si="1006"/>
        <v>0</v>
      </c>
      <c r="EE530" s="1386">
        <f t="shared" si="1007"/>
        <v>0</v>
      </c>
      <c r="EG530" s="16" t="str">
        <f t="shared" si="1008"/>
        <v>522025</v>
      </c>
      <c r="EH530" s="16" t="str">
        <f t="shared" si="991"/>
        <v>Fiche infoA3</v>
      </c>
      <c r="EI530" s="16" t="str">
        <f t="shared" si="992"/>
        <v/>
      </c>
    </row>
    <row r="531" spans="1:139" x14ac:dyDescent="0.2">
      <c r="A531" s="24" t="str">
        <f>Décembre!BJ44</f>
        <v>Fiche infoA4</v>
      </c>
      <c r="B531" s="829">
        <f>Décembre!AB44</f>
        <v>46016</v>
      </c>
      <c r="C531" s="1393"/>
      <c r="D531" s="1001">
        <f t="shared" si="948"/>
        <v>0</v>
      </c>
      <c r="E531" s="452">
        <f t="shared" si="949"/>
        <v>0</v>
      </c>
      <c r="F531" s="452">
        <f t="shared" si="950"/>
        <v>0</v>
      </c>
      <c r="G531" s="452">
        <f t="shared" si="951"/>
        <v>0</v>
      </c>
      <c r="H531" s="452">
        <f t="shared" si="952"/>
        <v>0</v>
      </c>
      <c r="I531" s="452">
        <f t="shared" si="953"/>
        <v>0</v>
      </c>
      <c r="J531" s="452">
        <f t="shared" si="954"/>
        <v>0</v>
      </c>
      <c r="K531" s="452">
        <f t="shared" si="955"/>
        <v>0</v>
      </c>
      <c r="L531" s="452">
        <f t="shared" si="993"/>
        <v>0</v>
      </c>
      <c r="M531" s="1002">
        <f t="shared" si="994"/>
        <v>0</v>
      </c>
      <c r="O531" s="1001">
        <f t="shared" si="1010"/>
        <v>0</v>
      </c>
      <c r="P531" s="452">
        <f t="shared" si="1011"/>
        <v>0</v>
      </c>
      <c r="Q531" s="452">
        <f t="shared" si="1012"/>
        <v>0</v>
      </c>
      <c r="R531" s="452">
        <f t="shared" si="1013"/>
        <v>0</v>
      </c>
      <c r="S531" s="452">
        <f t="shared" si="1014"/>
        <v>0</v>
      </c>
      <c r="T531" s="452">
        <f t="shared" si="1015"/>
        <v>0</v>
      </c>
      <c r="U531" s="452">
        <f t="shared" si="1016"/>
        <v>0</v>
      </c>
      <c r="V531" s="452">
        <f t="shared" si="1017"/>
        <v>0</v>
      </c>
      <c r="W531" s="452">
        <f t="shared" si="964"/>
        <v>0</v>
      </c>
      <c r="X531" s="1002">
        <f t="shared" si="965"/>
        <v>0</v>
      </c>
      <c r="Y531" s="459"/>
      <c r="Z531" s="291">
        <f t="shared" si="966"/>
        <v>0</v>
      </c>
      <c r="AA531" s="291">
        <f t="shared" si="967"/>
        <v>0</v>
      </c>
      <c r="AB531" s="291">
        <f t="shared" si="968"/>
        <v>0</v>
      </c>
      <c r="AC531" s="291">
        <f t="shared" si="969"/>
        <v>0</v>
      </c>
      <c r="AD531" s="291">
        <f t="shared" si="970"/>
        <v>0</v>
      </c>
      <c r="AE531" s="291">
        <f t="shared" si="971"/>
        <v>0</v>
      </c>
      <c r="AF531" s="291">
        <f t="shared" si="972"/>
        <v>0</v>
      </c>
      <c r="AG531" s="291">
        <f t="shared" si="973"/>
        <v>0</v>
      </c>
      <c r="AI531" s="462">
        <f t="shared" si="1018"/>
        <v>0</v>
      </c>
      <c r="AJ531" s="1112"/>
      <c r="AK531" s="507"/>
      <c r="AL531" s="829">
        <f t="shared" si="975"/>
        <v>46016</v>
      </c>
      <c r="AM531" s="684">
        <f>IFERROR(IF(AND(AT531="",AR531&lt;&gt;S.CAL!$BJ$3,AR531&lt;&gt;S.CAL!$BJ$4,$AR$500="NON"),M531-BD531,IF(AND(AT531="",AR531&lt;&gt;S.CAL!$BJ$3,AR531&lt;&gt;S.CAL!$BJ$4,$AR$500="OUI"),X531-AI531,IF(AT531&lt;&gt;0,AT531,IF(OR(AR531=S.CAL!$BJ$3,AR531=S.CAL!$BJ$4),AR531,"")))),"")</f>
        <v>0</v>
      </c>
      <c r="AN531" s="1115"/>
      <c r="AO531" s="1116"/>
      <c r="AP531" s="684">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516">
        <f t="shared" si="995"/>
        <v>0</v>
      </c>
      <c r="AR531" s="1120"/>
      <c r="AT531" s="1123"/>
      <c r="AU531" s="831"/>
      <c r="AV531" s="1392">
        <f t="shared" si="976"/>
        <v>46016</v>
      </c>
      <c r="AX531" s="529">
        <f t="shared" si="996"/>
        <v>46016</v>
      </c>
      <c r="AY531" s="541">
        <f t="shared" si="997"/>
        <v>0</v>
      </c>
      <c r="AZ531" s="538" t="s">
        <v>146</v>
      </c>
      <c r="BA531" s="534">
        <f t="shared" si="998"/>
        <v>0</v>
      </c>
      <c r="BB531" s="567" t="str">
        <f t="shared" si="977"/>
        <v/>
      </c>
      <c r="BC531" s="541">
        <f t="shared" si="999"/>
        <v>0</v>
      </c>
      <c r="BD531" s="541">
        <f t="shared" si="1000"/>
        <v>0</v>
      </c>
      <c r="BE531" s="1126"/>
      <c r="BF531" s="532" t="str">
        <f t="shared" si="978"/>
        <v/>
      </c>
      <c r="BG531" s="532" t="str">
        <f t="shared" si="1001"/>
        <v>oui</v>
      </c>
      <c r="BH531" s="395" t="str">
        <f t="shared" si="979"/>
        <v/>
      </c>
      <c r="BI531" s="24" t="str">
        <f t="shared" si="980"/>
        <v/>
      </c>
      <c r="BJ531" s="1403"/>
      <c r="BK531" s="1403"/>
      <c r="BL531" s="1403"/>
      <c r="BM531" s="1403"/>
      <c r="BN531" s="1403"/>
      <c r="BO531" s="1403"/>
      <c r="BP531" s="1403"/>
      <c r="BQ531" s="1403"/>
      <c r="BS531" s="1392">
        <f t="shared" si="947"/>
        <v>46016</v>
      </c>
      <c r="BT531" s="27" t="str">
        <f t="shared" si="1009"/>
        <v/>
      </c>
      <c r="BU531" s="1402"/>
      <c r="BV531" s="1402"/>
      <c r="BW531" s="1402"/>
      <c r="BX531" s="1402"/>
      <c r="BY531" s="1402"/>
      <c r="BZ531" s="1402"/>
      <c r="CA531" s="1402"/>
      <c r="CB531" s="1402"/>
      <c r="CD531" s="1408">
        <f t="shared" si="1002"/>
        <v>0</v>
      </c>
      <c r="DC531" s="16" t="str">
        <f>Décembre!FC44</f>
        <v>non</v>
      </c>
      <c r="DG531" s="333">
        <f t="shared" si="1003"/>
        <v>1</v>
      </c>
      <c r="DH531" s="129">
        <f t="shared" si="981"/>
        <v>10</v>
      </c>
      <c r="DI531" s="129">
        <f t="shared" si="1004"/>
        <v>1</v>
      </c>
      <c r="DK531" s="16">
        <f>+IF(AND(Décembre!$DP$8&lt;&gt;52,AR531=S.CAL!$BJ$4),10,1)</f>
        <v>1</v>
      </c>
      <c r="DN531" s="16">
        <f t="shared" si="982"/>
        <v>1</v>
      </c>
      <c r="DU531" s="1296" t="str">
        <f t="shared" si="1005"/>
        <v>Fiche infoA446016</v>
      </c>
      <c r="DV531" s="1384">
        <f t="shared" si="983"/>
        <v>0</v>
      </c>
      <c r="DW531" s="1385">
        <f t="shared" si="984"/>
        <v>0</v>
      </c>
      <c r="DX531" s="1385">
        <f t="shared" si="985"/>
        <v>0</v>
      </c>
      <c r="DY531" s="1385">
        <f t="shared" si="986"/>
        <v>0</v>
      </c>
      <c r="DZ531" s="1385">
        <f t="shared" si="987"/>
        <v>0</v>
      </c>
      <c r="EA531" s="1385">
        <f t="shared" si="988"/>
        <v>0</v>
      </c>
      <c r="EB531" s="1385">
        <f t="shared" si="989"/>
        <v>0</v>
      </c>
      <c r="EC531" s="1385">
        <f t="shared" si="990"/>
        <v>0</v>
      </c>
      <c r="ED531" s="1385">
        <f t="shared" si="1006"/>
        <v>0</v>
      </c>
      <c r="EE531" s="1386">
        <f t="shared" si="1007"/>
        <v>0</v>
      </c>
      <c r="EG531" s="16" t="str">
        <f t="shared" si="1008"/>
        <v>522025</v>
      </c>
      <c r="EH531" s="16" t="str">
        <f t="shared" si="991"/>
        <v>Fiche infoA4</v>
      </c>
      <c r="EI531" s="16" t="str">
        <f t="shared" si="992"/>
        <v/>
      </c>
    </row>
    <row r="532" spans="1:139" x14ac:dyDescent="0.2">
      <c r="A532" s="1395" t="str">
        <f>Décembre!BJ45</f>
        <v>Fiche infoA5</v>
      </c>
      <c r="B532" s="829">
        <f>Décembre!AB45</f>
        <v>46017</v>
      </c>
      <c r="C532" s="1394"/>
      <c r="D532" s="1001">
        <f t="shared" si="948"/>
        <v>0</v>
      </c>
      <c r="E532" s="452">
        <f t="shared" si="949"/>
        <v>0</v>
      </c>
      <c r="F532" s="452">
        <f t="shared" si="950"/>
        <v>0</v>
      </c>
      <c r="G532" s="452">
        <f t="shared" si="951"/>
        <v>0</v>
      </c>
      <c r="H532" s="452">
        <f t="shared" si="952"/>
        <v>0</v>
      </c>
      <c r="I532" s="452">
        <f t="shared" si="953"/>
        <v>0</v>
      </c>
      <c r="J532" s="452">
        <f t="shared" si="954"/>
        <v>0</v>
      </c>
      <c r="K532" s="452">
        <f t="shared" si="955"/>
        <v>0</v>
      </c>
      <c r="L532" s="452">
        <f t="shared" si="993"/>
        <v>0</v>
      </c>
      <c r="M532" s="1002">
        <f t="shared" si="994"/>
        <v>0</v>
      </c>
      <c r="N532" s="1396"/>
      <c r="O532" s="1001">
        <f t="shared" si="1010"/>
        <v>0</v>
      </c>
      <c r="P532" s="452">
        <f t="shared" si="1011"/>
        <v>0</v>
      </c>
      <c r="Q532" s="452">
        <f t="shared" si="1012"/>
        <v>0</v>
      </c>
      <c r="R532" s="452">
        <f t="shared" si="1013"/>
        <v>0</v>
      </c>
      <c r="S532" s="452">
        <f t="shared" si="1014"/>
        <v>0</v>
      </c>
      <c r="T532" s="452">
        <f t="shared" si="1015"/>
        <v>0</v>
      </c>
      <c r="U532" s="452">
        <f t="shared" si="1016"/>
        <v>0</v>
      </c>
      <c r="V532" s="452">
        <f t="shared" si="1017"/>
        <v>0</v>
      </c>
      <c r="W532" s="452">
        <f t="shared" si="964"/>
        <v>0</v>
      </c>
      <c r="X532" s="1002">
        <f t="shared" si="965"/>
        <v>0</v>
      </c>
      <c r="Y532" s="1397"/>
      <c r="Z532" s="1398">
        <f t="shared" si="966"/>
        <v>0</v>
      </c>
      <c r="AA532" s="1398">
        <f t="shared" si="967"/>
        <v>0</v>
      </c>
      <c r="AB532" s="1398">
        <f t="shared" si="968"/>
        <v>0</v>
      </c>
      <c r="AC532" s="1398">
        <f t="shared" si="969"/>
        <v>0</v>
      </c>
      <c r="AD532" s="1398">
        <f t="shared" si="970"/>
        <v>0</v>
      </c>
      <c r="AE532" s="1398">
        <f t="shared" si="971"/>
        <v>0</v>
      </c>
      <c r="AF532" s="1398">
        <f t="shared" si="972"/>
        <v>0</v>
      </c>
      <c r="AG532" s="1398">
        <f t="shared" si="973"/>
        <v>0</v>
      </c>
      <c r="AH532" s="1396"/>
      <c r="AI532" s="462">
        <f t="shared" si="1018"/>
        <v>0</v>
      </c>
      <c r="AJ532" s="1112"/>
      <c r="AK532" s="1399"/>
      <c r="AL532" s="829">
        <f t="shared" si="975"/>
        <v>46017</v>
      </c>
      <c r="AM532" s="684">
        <f>IFERROR(IF(AND(AT532="",AR532&lt;&gt;S.CAL!$BJ$3,AR532&lt;&gt;S.CAL!$BJ$4,$AR$500="NON"),M532-BD532,IF(AND(AT532="",AR532&lt;&gt;S.CAL!$BJ$3,AR532&lt;&gt;S.CAL!$BJ$4,$AR$500="OUI"),X532-AI532,IF(AT532&lt;&gt;0,AT532,IF(OR(AR532=S.CAL!$BJ$3,AR532=S.CAL!$BJ$4),AR532,"")))),"")</f>
        <v>0</v>
      </c>
      <c r="AN532" s="1115"/>
      <c r="AO532" s="1116"/>
      <c r="AP532" s="684">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400">
        <f t="shared" si="995"/>
        <v>0</v>
      </c>
      <c r="AR532" s="1120"/>
      <c r="AS532" s="1396"/>
      <c r="AT532" s="1123"/>
      <c r="AU532" s="831"/>
      <c r="AV532" s="1392">
        <f t="shared" si="976"/>
        <v>46017</v>
      </c>
      <c r="AW532" s="1396"/>
      <c r="AX532" s="529">
        <f t="shared" si="996"/>
        <v>46017</v>
      </c>
      <c r="AY532" s="541">
        <f t="shared" si="997"/>
        <v>0</v>
      </c>
      <c r="AZ532" s="538" t="s">
        <v>146</v>
      </c>
      <c r="BA532" s="534">
        <f t="shared" si="998"/>
        <v>0</v>
      </c>
      <c r="BB532" s="567" t="str">
        <f t="shared" si="977"/>
        <v/>
      </c>
      <c r="BC532" s="541">
        <f t="shared" si="999"/>
        <v>0</v>
      </c>
      <c r="BD532" s="541">
        <f t="shared" si="1000"/>
        <v>0</v>
      </c>
      <c r="BE532" s="1126"/>
      <c r="BF532" s="532" t="str">
        <f t="shared" si="978"/>
        <v/>
      </c>
      <c r="BG532" s="532" t="str">
        <f t="shared" si="1001"/>
        <v>oui</v>
      </c>
      <c r="BH532" s="395" t="str">
        <f t="shared" si="979"/>
        <v/>
      </c>
      <c r="BI532" s="24" t="str">
        <f t="shared" si="980"/>
        <v/>
      </c>
      <c r="BJ532" s="1404"/>
      <c r="BK532" s="1404"/>
      <c r="BL532" s="1404"/>
      <c r="BM532" s="1404"/>
      <c r="BN532" s="1404"/>
      <c r="BO532" s="1404"/>
      <c r="BP532" s="1404"/>
      <c r="BQ532" s="1404"/>
      <c r="BR532" s="1405"/>
      <c r="BS532" s="1392">
        <f t="shared" si="947"/>
        <v>46017</v>
      </c>
      <c r="BT532" s="1406" t="str">
        <f t="shared" si="1009"/>
        <v/>
      </c>
      <c r="BU532" s="1404"/>
      <c r="BV532" s="1404"/>
      <c r="BW532" s="1404"/>
      <c r="BX532" s="1404"/>
      <c r="BY532" s="1404"/>
      <c r="BZ532" s="1404"/>
      <c r="CA532" s="1404"/>
      <c r="CB532" s="1404"/>
      <c r="CD532" s="1408">
        <f t="shared" si="1002"/>
        <v>0</v>
      </c>
      <c r="DC532" s="16" t="str">
        <f>Décembre!FC45</f>
        <v>non</v>
      </c>
      <c r="DG532" s="333">
        <f t="shared" si="1003"/>
        <v>1</v>
      </c>
      <c r="DH532" s="129">
        <f t="shared" si="981"/>
        <v>10</v>
      </c>
      <c r="DI532" s="129">
        <f t="shared" si="1004"/>
        <v>1</v>
      </c>
      <c r="DK532" s="16">
        <f>+IF(AND(Décembre!$DP$8&lt;&gt;52,AR532=S.CAL!$BJ$4),10,1)</f>
        <v>1</v>
      </c>
      <c r="DN532" s="16">
        <f t="shared" si="982"/>
        <v>1</v>
      </c>
      <c r="DU532" s="1296" t="str">
        <f t="shared" si="1005"/>
        <v>Fiche infoA546017</v>
      </c>
      <c r="DV532" s="1384">
        <f t="shared" si="983"/>
        <v>0</v>
      </c>
      <c r="DW532" s="1385">
        <f t="shared" si="984"/>
        <v>0</v>
      </c>
      <c r="DX532" s="1385">
        <f t="shared" si="985"/>
        <v>0</v>
      </c>
      <c r="DY532" s="1385">
        <f t="shared" si="986"/>
        <v>0</v>
      </c>
      <c r="DZ532" s="1385">
        <f t="shared" si="987"/>
        <v>0</v>
      </c>
      <c r="EA532" s="1385">
        <f t="shared" si="988"/>
        <v>0</v>
      </c>
      <c r="EB532" s="1385">
        <f t="shared" si="989"/>
        <v>0</v>
      </c>
      <c r="EC532" s="1385">
        <f t="shared" si="990"/>
        <v>0</v>
      </c>
      <c r="ED532" s="1385">
        <f t="shared" si="1006"/>
        <v>0</v>
      </c>
      <c r="EE532" s="1386">
        <f t="shared" si="1007"/>
        <v>0</v>
      </c>
      <c r="EG532" s="16" t="str">
        <f t="shared" si="1008"/>
        <v>522025</v>
      </c>
      <c r="EH532" s="16" t="str">
        <f t="shared" si="991"/>
        <v>Fiche infoA5</v>
      </c>
      <c r="EI532" s="16" t="str">
        <f t="shared" si="992"/>
        <v/>
      </c>
    </row>
    <row r="533" spans="1:139" x14ac:dyDescent="0.2">
      <c r="A533" s="24" t="str">
        <f>Décembre!BJ46</f>
        <v>Fiche infoA6</v>
      </c>
      <c r="B533" s="829">
        <f>Décembre!AB46</f>
        <v>46018</v>
      </c>
      <c r="C533" s="1393"/>
      <c r="D533" s="1001">
        <f t="shared" si="948"/>
        <v>0</v>
      </c>
      <c r="E533" s="452">
        <f t="shared" si="949"/>
        <v>0</v>
      </c>
      <c r="F533" s="452">
        <f t="shared" si="950"/>
        <v>0</v>
      </c>
      <c r="G533" s="452">
        <f t="shared" si="951"/>
        <v>0</v>
      </c>
      <c r="H533" s="452">
        <f t="shared" si="952"/>
        <v>0</v>
      </c>
      <c r="I533" s="452">
        <f t="shared" si="953"/>
        <v>0</v>
      </c>
      <c r="J533" s="452">
        <f t="shared" si="954"/>
        <v>0</v>
      </c>
      <c r="K533" s="452">
        <f t="shared" si="955"/>
        <v>0</v>
      </c>
      <c r="L533" s="452">
        <f t="shared" si="993"/>
        <v>0</v>
      </c>
      <c r="M533" s="1002">
        <f t="shared" si="994"/>
        <v>0</v>
      </c>
      <c r="O533" s="1001">
        <f t="shared" si="1010"/>
        <v>0</v>
      </c>
      <c r="P533" s="452">
        <f t="shared" si="1011"/>
        <v>0</v>
      </c>
      <c r="Q533" s="452">
        <f t="shared" si="1012"/>
        <v>0</v>
      </c>
      <c r="R533" s="452">
        <f t="shared" si="1013"/>
        <v>0</v>
      </c>
      <c r="S533" s="452">
        <f t="shared" si="1014"/>
        <v>0</v>
      </c>
      <c r="T533" s="452">
        <f t="shared" si="1015"/>
        <v>0</v>
      </c>
      <c r="U533" s="452">
        <f t="shared" si="1016"/>
        <v>0</v>
      </c>
      <c r="V533" s="452">
        <f t="shared" si="1017"/>
        <v>0</v>
      </c>
      <c r="W533" s="452">
        <f t="shared" si="964"/>
        <v>0</v>
      </c>
      <c r="X533" s="1002">
        <f t="shared" si="965"/>
        <v>0</v>
      </c>
      <c r="Y533" s="459"/>
      <c r="Z533" s="291">
        <f t="shared" si="966"/>
        <v>0</v>
      </c>
      <c r="AA533" s="291">
        <f t="shared" si="967"/>
        <v>0</v>
      </c>
      <c r="AB533" s="291">
        <f t="shared" si="968"/>
        <v>0</v>
      </c>
      <c r="AC533" s="291">
        <f t="shared" si="969"/>
        <v>0</v>
      </c>
      <c r="AD533" s="291">
        <f t="shared" si="970"/>
        <v>0</v>
      </c>
      <c r="AE533" s="291">
        <f t="shared" si="971"/>
        <v>0</v>
      </c>
      <c r="AF533" s="291">
        <f t="shared" si="972"/>
        <v>0</v>
      </c>
      <c r="AG533" s="291">
        <f t="shared" si="973"/>
        <v>0</v>
      </c>
      <c r="AI533" s="462">
        <f t="shared" si="1018"/>
        <v>0</v>
      </c>
      <c r="AJ533" s="1112"/>
      <c r="AK533" s="507"/>
      <c r="AL533" s="829">
        <f t="shared" si="975"/>
        <v>46018</v>
      </c>
      <c r="AM533" s="684">
        <f>IFERROR(IF(AND(AT533="",AR533&lt;&gt;S.CAL!$BJ$3,AR533&lt;&gt;S.CAL!$BJ$4,$AR$500="NON"),M533-BD533,IF(AND(AT533="",AR533&lt;&gt;S.CAL!$BJ$3,AR533&lt;&gt;S.CAL!$BJ$4,$AR$500="OUI"),X533-AI533,IF(AT533&lt;&gt;0,AT533,IF(OR(AR533=S.CAL!$BJ$3,AR533=S.CAL!$BJ$4),AR533,"")))),"")</f>
        <v>0</v>
      </c>
      <c r="AN533" s="1115"/>
      <c r="AO533" s="1116"/>
      <c r="AP533" s="684">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516">
        <f t="shared" si="995"/>
        <v>0</v>
      </c>
      <c r="AR533" s="1120"/>
      <c r="AT533" s="1123"/>
      <c r="AU533" s="831"/>
      <c r="AV533" s="1392">
        <f t="shared" si="976"/>
        <v>46018</v>
      </c>
      <c r="AX533" s="529">
        <f t="shared" si="996"/>
        <v>46018</v>
      </c>
      <c r="AY533" s="541">
        <f t="shared" si="997"/>
        <v>0</v>
      </c>
      <c r="AZ533" s="538" t="s">
        <v>146</v>
      </c>
      <c r="BA533" s="534">
        <f t="shared" si="998"/>
        <v>0</v>
      </c>
      <c r="BB533" s="567" t="str">
        <f t="shared" si="977"/>
        <v/>
      </c>
      <c r="BC533" s="541">
        <f t="shared" si="999"/>
        <v>0</v>
      </c>
      <c r="BD533" s="541">
        <f t="shared" si="1000"/>
        <v>0</v>
      </c>
      <c r="BE533" s="1126"/>
      <c r="BF533" s="532" t="str">
        <f t="shared" si="978"/>
        <v/>
      </c>
      <c r="BG533" s="532" t="str">
        <f t="shared" si="1001"/>
        <v>oui</v>
      </c>
      <c r="BH533" s="395" t="str">
        <f t="shared" si="979"/>
        <v/>
      </c>
      <c r="BI533" s="24" t="str">
        <f t="shared" si="980"/>
        <v/>
      </c>
      <c r="BJ533" s="1403"/>
      <c r="BK533" s="1403"/>
      <c r="BL533" s="1403"/>
      <c r="BM533" s="1403"/>
      <c r="BN533" s="1403"/>
      <c r="BO533" s="1403"/>
      <c r="BP533" s="1403"/>
      <c r="BQ533" s="1403"/>
      <c r="BS533" s="1392">
        <f t="shared" si="947"/>
        <v>46018</v>
      </c>
      <c r="BT533" s="27" t="str">
        <f t="shared" si="1009"/>
        <v/>
      </c>
      <c r="BU533" s="1402"/>
      <c r="BV533" s="1402"/>
      <c r="BW533" s="1402"/>
      <c r="BX533" s="1402"/>
      <c r="BY533" s="1402"/>
      <c r="BZ533" s="1402"/>
      <c r="CA533" s="1402"/>
      <c r="CB533" s="1402"/>
      <c r="CD533" s="1408">
        <f t="shared" si="1002"/>
        <v>0</v>
      </c>
      <c r="DC533" s="16" t="str">
        <f>Décembre!FC46</f>
        <v>non</v>
      </c>
      <c r="DG533" s="333">
        <f t="shared" si="1003"/>
        <v>1</v>
      </c>
      <c r="DH533" s="129">
        <f t="shared" si="981"/>
        <v>10</v>
      </c>
      <c r="DI533" s="129">
        <f t="shared" si="1004"/>
        <v>1</v>
      </c>
      <c r="DK533" s="16">
        <f>+IF(AND(Décembre!$DP$8&lt;&gt;52,AR533=S.CAL!$BJ$4),10,1)</f>
        <v>1</v>
      </c>
      <c r="DN533" s="16">
        <f t="shared" si="982"/>
        <v>1</v>
      </c>
      <c r="DU533" s="1296" t="str">
        <f t="shared" si="1005"/>
        <v>Fiche infoA646018</v>
      </c>
      <c r="DV533" s="1384">
        <f t="shared" si="983"/>
        <v>0</v>
      </c>
      <c r="DW533" s="1385">
        <f t="shared" si="984"/>
        <v>0</v>
      </c>
      <c r="DX533" s="1385">
        <f t="shared" si="985"/>
        <v>0</v>
      </c>
      <c r="DY533" s="1385">
        <f t="shared" si="986"/>
        <v>0</v>
      </c>
      <c r="DZ533" s="1385">
        <f t="shared" si="987"/>
        <v>0</v>
      </c>
      <c r="EA533" s="1385">
        <f t="shared" si="988"/>
        <v>0</v>
      </c>
      <c r="EB533" s="1385">
        <f t="shared" si="989"/>
        <v>0</v>
      </c>
      <c r="EC533" s="1385">
        <f t="shared" si="990"/>
        <v>0</v>
      </c>
      <c r="ED533" s="1385">
        <f t="shared" si="1006"/>
        <v>0</v>
      </c>
      <c r="EE533" s="1386">
        <f t="shared" si="1007"/>
        <v>0</v>
      </c>
      <c r="EG533" s="16" t="str">
        <f t="shared" si="1008"/>
        <v>522025</v>
      </c>
      <c r="EH533" s="16" t="str">
        <f t="shared" si="991"/>
        <v>Fiche infoA6</v>
      </c>
      <c r="EI533" s="16" t="str">
        <f t="shared" si="992"/>
        <v/>
      </c>
    </row>
    <row r="534" spans="1:139" x14ac:dyDescent="0.2">
      <c r="A534" s="1395" t="str">
        <f>Décembre!BJ47</f>
        <v>Fiche infoA7</v>
      </c>
      <c r="B534" s="829">
        <f>Décembre!AB47</f>
        <v>46019</v>
      </c>
      <c r="C534" s="1394"/>
      <c r="D534" s="1001">
        <f t="shared" si="948"/>
        <v>0</v>
      </c>
      <c r="E534" s="452">
        <f t="shared" si="949"/>
        <v>0</v>
      </c>
      <c r="F534" s="452">
        <f t="shared" si="950"/>
        <v>0</v>
      </c>
      <c r="G534" s="452">
        <f t="shared" si="951"/>
        <v>0</v>
      </c>
      <c r="H534" s="452">
        <f t="shared" si="952"/>
        <v>0</v>
      </c>
      <c r="I534" s="452">
        <f t="shared" si="953"/>
        <v>0</v>
      </c>
      <c r="J534" s="452">
        <f t="shared" si="954"/>
        <v>0</v>
      </c>
      <c r="K534" s="452">
        <f t="shared" si="955"/>
        <v>0</v>
      </c>
      <c r="L534" s="452">
        <f t="shared" si="993"/>
        <v>0</v>
      </c>
      <c r="M534" s="1002">
        <f t="shared" si="994"/>
        <v>0</v>
      </c>
      <c r="N534" s="1396"/>
      <c r="O534" s="1001">
        <f t="shared" si="1010"/>
        <v>0</v>
      </c>
      <c r="P534" s="452">
        <f t="shared" si="1011"/>
        <v>0</v>
      </c>
      <c r="Q534" s="452">
        <f t="shared" si="1012"/>
        <v>0</v>
      </c>
      <c r="R534" s="452">
        <f t="shared" si="1013"/>
        <v>0</v>
      </c>
      <c r="S534" s="452">
        <f t="shared" si="1014"/>
        <v>0</v>
      </c>
      <c r="T534" s="452">
        <f t="shared" si="1015"/>
        <v>0</v>
      </c>
      <c r="U534" s="452">
        <f t="shared" si="1016"/>
        <v>0</v>
      </c>
      <c r="V534" s="452">
        <f t="shared" si="1017"/>
        <v>0</v>
      </c>
      <c r="W534" s="452">
        <f t="shared" si="964"/>
        <v>0</v>
      </c>
      <c r="X534" s="1002">
        <f t="shared" si="965"/>
        <v>0</v>
      </c>
      <c r="Y534" s="1397"/>
      <c r="Z534" s="1398">
        <f t="shared" si="966"/>
        <v>0</v>
      </c>
      <c r="AA534" s="1398">
        <f t="shared" si="967"/>
        <v>0</v>
      </c>
      <c r="AB534" s="1398">
        <f t="shared" si="968"/>
        <v>0</v>
      </c>
      <c r="AC534" s="1398">
        <f t="shared" si="969"/>
        <v>0</v>
      </c>
      <c r="AD534" s="1398">
        <f t="shared" si="970"/>
        <v>0</v>
      </c>
      <c r="AE534" s="1398">
        <f t="shared" si="971"/>
        <v>0</v>
      </c>
      <c r="AF534" s="1398">
        <f t="shared" si="972"/>
        <v>0</v>
      </c>
      <c r="AG534" s="1398">
        <f t="shared" si="973"/>
        <v>0</v>
      </c>
      <c r="AH534" s="1396"/>
      <c r="AI534" s="462">
        <f t="shared" si="1018"/>
        <v>0</v>
      </c>
      <c r="AJ534" s="1112"/>
      <c r="AK534" s="1399"/>
      <c r="AL534" s="829">
        <f t="shared" si="975"/>
        <v>46019</v>
      </c>
      <c r="AM534" s="684">
        <f>IFERROR(IF(AND(AT534="",AR534&lt;&gt;S.CAL!$BJ$3,AR534&lt;&gt;S.CAL!$BJ$4,$AR$500="NON"),M534-BD534,IF(AND(AT534="",AR534&lt;&gt;S.CAL!$BJ$3,AR534&lt;&gt;S.CAL!$BJ$4,$AR$500="OUI"),X534-AI534,IF(AT534&lt;&gt;0,AT534,IF(OR(AR534=S.CAL!$BJ$3,AR534=S.CAL!$BJ$4),AR534,"")))),"")</f>
        <v>0</v>
      </c>
      <c r="AN534" s="1115"/>
      <c r="AO534" s="1116"/>
      <c r="AP534" s="684">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400">
        <f t="shared" si="995"/>
        <v>0</v>
      </c>
      <c r="AR534" s="1120"/>
      <c r="AS534" s="1396"/>
      <c r="AT534" s="1123"/>
      <c r="AU534" s="831"/>
      <c r="AV534" s="1392">
        <f t="shared" si="976"/>
        <v>46019</v>
      </c>
      <c r="AW534" s="1396"/>
      <c r="AX534" s="529">
        <f t="shared" si="996"/>
        <v>46019</v>
      </c>
      <c r="AY534" s="541">
        <f t="shared" si="997"/>
        <v>0</v>
      </c>
      <c r="AZ534" s="538" t="s">
        <v>146</v>
      </c>
      <c r="BA534" s="534">
        <f t="shared" si="998"/>
        <v>0</v>
      </c>
      <c r="BB534" s="567" t="str">
        <f t="shared" si="977"/>
        <v/>
      </c>
      <c r="BC534" s="541">
        <f t="shared" si="999"/>
        <v>0</v>
      </c>
      <c r="BD534" s="541">
        <f t="shared" si="1000"/>
        <v>0</v>
      </c>
      <c r="BE534" s="1126"/>
      <c r="BF534" s="532" t="str">
        <f t="shared" si="978"/>
        <v/>
      </c>
      <c r="BG534" s="532" t="str">
        <f t="shared" si="1001"/>
        <v>oui</v>
      </c>
      <c r="BH534" s="395" t="str">
        <f t="shared" si="979"/>
        <v/>
      </c>
      <c r="BI534" s="24" t="str">
        <f t="shared" si="980"/>
        <v/>
      </c>
      <c r="BJ534" s="1404"/>
      <c r="BK534" s="1404"/>
      <c r="BL534" s="1404"/>
      <c r="BM534" s="1404"/>
      <c r="BN534" s="1404"/>
      <c r="BO534" s="1404"/>
      <c r="BP534" s="1404"/>
      <c r="BQ534" s="1404"/>
      <c r="BR534" s="1405"/>
      <c r="BS534" s="1392">
        <f t="shared" si="947"/>
        <v>46019</v>
      </c>
      <c r="BT534" s="1406" t="str">
        <f t="shared" si="1009"/>
        <v/>
      </c>
      <c r="BU534" s="1404"/>
      <c r="BV534" s="1404"/>
      <c r="BW534" s="1404"/>
      <c r="BX534" s="1404"/>
      <c r="BY534" s="1404"/>
      <c r="BZ534" s="1404"/>
      <c r="CA534" s="1404"/>
      <c r="CB534" s="1404"/>
      <c r="CD534" s="1408">
        <f t="shared" si="1002"/>
        <v>0</v>
      </c>
      <c r="DC534" s="16" t="str">
        <f>Décembre!FC47</f>
        <v>non</v>
      </c>
      <c r="DG534" s="333">
        <f t="shared" si="1003"/>
        <v>1</v>
      </c>
      <c r="DH534" s="129">
        <f t="shared" si="981"/>
        <v>10</v>
      </c>
      <c r="DI534" s="129">
        <f t="shared" si="1004"/>
        <v>1</v>
      </c>
      <c r="DK534" s="16">
        <f>+IF(AND(Décembre!$DP$8&lt;&gt;52,AR534=S.CAL!$BJ$4),10,1)</f>
        <v>1</v>
      </c>
      <c r="DN534" s="16">
        <f t="shared" si="982"/>
        <v>1</v>
      </c>
      <c r="DU534" s="1296" t="str">
        <f t="shared" si="1005"/>
        <v>Fiche infoA746019</v>
      </c>
      <c r="DV534" s="1384">
        <f t="shared" si="983"/>
        <v>0</v>
      </c>
      <c r="DW534" s="1385">
        <f t="shared" si="984"/>
        <v>0</v>
      </c>
      <c r="DX534" s="1385">
        <f t="shared" si="985"/>
        <v>0</v>
      </c>
      <c r="DY534" s="1385">
        <f t="shared" si="986"/>
        <v>0</v>
      </c>
      <c r="DZ534" s="1385">
        <f t="shared" si="987"/>
        <v>0</v>
      </c>
      <c r="EA534" s="1385">
        <f t="shared" si="988"/>
        <v>0</v>
      </c>
      <c r="EB534" s="1385">
        <f t="shared" si="989"/>
        <v>0</v>
      </c>
      <c r="EC534" s="1385">
        <f t="shared" si="990"/>
        <v>0</v>
      </c>
      <c r="ED534" s="1385">
        <f t="shared" si="1006"/>
        <v>0</v>
      </c>
      <c r="EE534" s="1386">
        <f t="shared" si="1007"/>
        <v>0</v>
      </c>
      <c r="EG534" s="16" t="str">
        <f t="shared" si="1008"/>
        <v>522025</v>
      </c>
      <c r="EH534" s="16" t="str">
        <f t="shared" si="991"/>
        <v>Fiche infoA7</v>
      </c>
      <c r="EI534" s="16" t="str">
        <f t="shared" si="992"/>
        <v/>
      </c>
    </row>
    <row r="535" spans="1:139" x14ac:dyDescent="0.2">
      <c r="A535" s="24" t="str">
        <f>Décembre!BJ48</f>
        <v>Fiche infoA1</v>
      </c>
      <c r="B535" s="829">
        <f>Décembre!AB48</f>
        <v>46020</v>
      </c>
      <c r="C535" s="1393"/>
      <c r="D535" s="1001">
        <f t="shared" si="948"/>
        <v>0</v>
      </c>
      <c r="E535" s="452">
        <f t="shared" si="949"/>
        <v>0</v>
      </c>
      <c r="F535" s="452">
        <f t="shared" si="950"/>
        <v>0</v>
      </c>
      <c r="G535" s="452">
        <f t="shared" si="951"/>
        <v>0</v>
      </c>
      <c r="H535" s="452">
        <f t="shared" si="952"/>
        <v>0</v>
      </c>
      <c r="I535" s="452">
        <f t="shared" si="953"/>
        <v>0</v>
      </c>
      <c r="J535" s="452">
        <f t="shared" si="954"/>
        <v>0</v>
      </c>
      <c r="K535" s="452">
        <f t="shared" si="955"/>
        <v>0</v>
      </c>
      <c r="L535" s="452">
        <f t="shared" si="993"/>
        <v>0</v>
      </c>
      <c r="M535" s="1002">
        <f t="shared" si="994"/>
        <v>0</v>
      </c>
      <c r="O535" s="1001">
        <f t="shared" si="1010"/>
        <v>0</v>
      </c>
      <c r="P535" s="452">
        <f t="shared" si="1011"/>
        <v>0</v>
      </c>
      <c r="Q535" s="452">
        <f t="shared" si="1012"/>
        <v>0</v>
      </c>
      <c r="R535" s="452">
        <f t="shared" si="1013"/>
        <v>0</v>
      </c>
      <c r="S535" s="452">
        <f t="shared" si="1014"/>
        <v>0</v>
      </c>
      <c r="T535" s="452">
        <f t="shared" si="1015"/>
        <v>0</v>
      </c>
      <c r="U535" s="452">
        <f t="shared" si="1016"/>
        <v>0</v>
      </c>
      <c r="V535" s="452">
        <f t="shared" si="1017"/>
        <v>0</v>
      </c>
      <c r="W535" s="452">
        <f t="shared" si="964"/>
        <v>0</v>
      </c>
      <c r="X535" s="1002">
        <f t="shared" si="965"/>
        <v>0</v>
      </c>
      <c r="Y535" s="459"/>
      <c r="Z535" s="291">
        <f t="shared" si="966"/>
        <v>0</v>
      </c>
      <c r="AA535" s="291">
        <f t="shared" si="967"/>
        <v>0</v>
      </c>
      <c r="AB535" s="291">
        <f t="shared" si="968"/>
        <v>0</v>
      </c>
      <c r="AC535" s="291">
        <f t="shared" si="969"/>
        <v>0</v>
      </c>
      <c r="AD535" s="291">
        <f t="shared" si="970"/>
        <v>0</v>
      </c>
      <c r="AE535" s="291">
        <f t="shared" si="971"/>
        <v>0</v>
      </c>
      <c r="AF535" s="291">
        <f t="shared" si="972"/>
        <v>0</v>
      </c>
      <c r="AG535" s="291">
        <f t="shared" si="973"/>
        <v>0</v>
      </c>
      <c r="AI535" s="462">
        <f t="shared" si="1018"/>
        <v>0</v>
      </c>
      <c r="AJ535" s="1112"/>
      <c r="AK535" s="507"/>
      <c r="AL535" s="829">
        <f t="shared" si="975"/>
        <v>46020</v>
      </c>
      <c r="AM535" s="684">
        <f>IFERROR(IF(AND(AT535="",AR535&lt;&gt;S.CAL!$BJ$3,AR535&lt;&gt;S.CAL!$BJ$4,$AR$500="NON"),M535-BD535,IF(AND(AT535="",AR535&lt;&gt;S.CAL!$BJ$3,AR535&lt;&gt;S.CAL!$BJ$4,$AR$500="OUI"),X535-AI535,IF(AT535&lt;&gt;0,AT535,IF(OR(AR535=S.CAL!$BJ$3,AR535=S.CAL!$BJ$4),AR535,"")))),"")</f>
        <v>0</v>
      </c>
      <c r="AN535" s="1115"/>
      <c r="AO535" s="1116"/>
      <c r="AP535" s="684">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516">
        <f t="shared" si="995"/>
        <v>0</v>
      </c>
      <c r="AR535" s="1120"/>
      <c r="AT535" s="1123"/>
      <c r="AU535" s="831"/>
      <c r="AV535" s="1392">
        <f t="shared" si="976"/>
        <v>46020</v>
      </c>
      <c r="AX535" s="529">
        <f t="shared" si="996"/>
        <v>46020</v>
      </c>
      <c r="AY535" s="541">
        <f t="shared" si="997"/>
        <v>0</v>
      </c>
      <c r="AZ535" s="538" t="s">
        <v>146</v>
      </c>
      <c r="BA535" s="534">
        <f t="shared" si="998"/>
        <v>0</v>
      </c>
      <c r="BB535" s="567" t="str">
        <f t="shared" si="977"/>
        <v/>
      </c>
      <c r="BC535" s="541">
        <f t="shared" si="999"/>
        <v>0</v>
      </c>
      <c r="BD535" s="541">
        <f t="shared" si="1000"/>
        <v>0</v>
      </c>
      <c r="BE535" s="1126"/>
      <c r="BF535" s="532" t="str">
        <f t="shared" si="978"/>
        <v/>
      </c>
      <c r="BG535" s="532" t="str">
        <f t="shared" si="1001"/>
        <v>oui</v>
      </c>
      <c r="BH535" s="395" t="str">
        <f t="shared" si="979"/>
        <v/>
      </c>
      <c r="BI535" s="24" t="str">
        <f t="shared" si="980"/>
        <v/>
      </c>
      <c r="BJ535" s="1403"/>
      <c r="BK535" s="1403"/>
      <c r="BL535" s="1403"/>
      <c r="BM535" s="1403"/>
      <c r="BN535" s="1403"/>
      <c r="BO535" s="1403"/>
      <c r="BP535" s="1403"/>
      <c r="BQ535" s="1403"/>
      <c r="BS535" s="1392">
        <f t="shared" si="947"/>
        <v>46020</v>
      </c>
      <c r="BT535" s="27">
        <f t="shared" si="1009"/>
        <v>1</v>
      </c>
      <c r="BU535" s="1402"/>
      <c r="BV535" s="1402"/>
      <c r="BW535" s="1402"/>
      <c r="BX535" s="1402"/>
      <c r="BY535" s="1402"/>
      <c r="BZ535" s="1402"/>
      <c r="CA535" s="1402"/>
      <c r="CB535" s="1402"/>
      <c r="CD535" s="1408">
        <f t="shared" si="1002"/>
        <v>0</v>
      </c>
      <c r="DC535" s="16" t="str">
        <f>Décembre!FC48</f>
        <v>non</v>
      </c>
      <c r="DG535" s="333">
        <f t="shared" si="1003"/>
        <v>1</v>
      </c>
      <c r="DH535" s="129">
        <f t="shared" si="981"/>
        <v>10</v>
      </c>
      <c r="DI535" s="129">
        <f t="shared" si="1004"/>
        <v>1</v>
      </c>
      <c r="DK535" s="16">
        <f>+IF(AND(Décembre!$DP$8&lt;&gt;52,AR535=S.CAL!$BJ$4),10,1)</f>
        <v>1</v>
      </c>
      <c r="DN535" s="16">
        <f t="shared" si="982"/>
        <v>1</v>
      </c>
      <c r="DU535" s="1296" t="str">
        <f t="shared" si="1005"/>
        <v>Fiche infoA146020</v>
      </c>
      <c r="DV535" s="1384">
        <f t="shared" si="983"/>
        <v>0</v>
      </c>
      <c r="DW535" s="1385">
        <f t="shared" si="984"/>
        <v>0</v>
      </c>
      <c r="DX535" s="1385">
        <f t="shared" si="985"/>
        <v>0</v>
      </c>
      <c r="DY535" s="1385">
        <f t="shared" si="986"/>
        <v>0</v>
      </c>
      <c r="DZ535" s="1385">
        <f t="shared" si="987"/>
        <v>0</v>
      </c>
      <c r="EA535" s="1385">
        <f t="shared" si="988"/>
        <v>0</v>
      </c>
      <c r="EB535" s="1385">
        <f t="shared" si="989"/>
        <v>0</v>
      </c>
      <c r="EC535" s="1385">
        <f t="shared" si="990"/>
        <v>0</v>
      </c>
      <c r="ED535" s="1385">
        <f t="shared" si="1006"/>
        <v>0</v>
      </c>
      <c r="EE535" s="1386">
        <f t="shared" si="1007"/>
        <v>0</v>
      </c>
      <c r="EG535" s="16" t="str">
        <f t="shared" si="1008"/>
        <v>12025</v>
      </c>
      <c r="EH535" s="16" t="str">
        <f t="shared" si="991"/>
        <v>Fiche infoA1</v>
      </c>
      <c r="EI535" s="16" t="str">
        <f t="shared" si="992"/>
        <v/>
      </c>
    </row>
    <row r="536" spans="1:139" x14ac:dyDescent="0.2">
      <c r="A536" s="1395" t="str">
        <f>Décembre!BJ49</f>
        <v>Fiche infoA2</v>
      </c>
      <c r="B536" s="829">
        <f>Décembre!AB49</f>
        <v>46021</v>
      </c>
      <c r="C536" s="1394"/>
      <c r="D536" s="1001">
        <f t="shared" si="948"/>
        <v>0</v>
      </c>
      <c r="E536" s="452">
        <f t="shared" si="949"/>
        <v>0</v>
      </c>
      <c r="F536" s="452">
        <f t="shared" si="950"/>
        <v>0</v>
      </c>
      <c r="G536" s="452">
        <f t="shared" si="951"/>
        <v>0</v>
      </c>
      <c r="H536" s="452">
        <f t="shared" si="952"/>
        <v>0</v>
      </c>
      <c r="I536" s="452">
        <f t="shared" si="953"/>
        <v>0</v>
      </c>
      <c r="J536" s="452">
        <f t="shared" si="954"/>
        <v>0</v>
      </c>
      <c r="K536" s="452">
        <f t="shared" si="955"/>
        <v>0</v>
      </c>
      <c r="L536" s="452">
        <f t="shared" si="993"/>
        <v>0</v>
      </c>
      <c r="M536" s="1002">
        <f t="shared" si="994"/>
        <v>0</v>
      </c>
      <c r="N536" s="1396"/>
      <c r="O536" s="1001">
        <f t="shared" si="1010"/>
        <v>0</v>
      </c>
      <c r="P536" s="452">
        <f t="shared" si="1011"/>
        <v>0</v>
      </c>
      <c r="Q536" s="452">
        <f t="shared" si="1012"/>
        <v>0</v>
      </c>
      <c r="R536" s="452">
        <f t="shared" si="1013"/>
        <v>0</v>
      </c>
      <c r="S536" s="452">
        <f t="shared" si="1014"/>
        <v>0</v>
      </c>
      <c r="T536" s="452">
        <f t="shared" si="1015"/>
        <v>0</v>
      </c>
      <c r="U536" s="452">
        <f t="shared" si="1016"/>
        <v>0</v>
      </c>
      <c r="V536" s="452">
        <f t="shared" si="1017"/>
        <v>0</v>
      </c>
      <c r="W536" s="452">
        <f t="shared" si="964"/>
        <v>0</v>
      </c>
      <c r="X536" s="1002">
        <f t="shared" si="965"/>
        <v>0</v>
      </c>
      <c r="Y536" s="1397"/>
      <c r="Z536" s="1398">
        <f t="shared" si="966"/>
        <v>0</v>
      </c>
      <c r="AA536" s="1398">
        <f t="shared" si="967"/>
        <v>0</v>
      </c>
      <c r="AB536" s="1398">
        <f t="shared" si="968"/>
        <v>0</v>
      </c>
      <c r="AC536" s="1398">
        <f t="shared" si="969"/>
        <v>0</v>
      </c>
      <c r="AD536" s="1398">
        <f t="shared" si="970"/>
        <v>0</v>
      </c>
      <c r="AE536" s="1398">
        <f t="shared" si="971"/>
        <v>0</v>
      </c>
      <c r="AF536" s="1398">
        <f t="shared" si="972"/>
        <v>0</v>
      </c>
      <c r="AG536" s="1398">
        <f t="shared" si="973"/>
        <v>0</v>
      </c>
      <c r="AH536" s="1396"/>
      <c r="AI536" s="462">
        <f t="shared" si="1018"/>
        <v>0</v>
      </c>
      <c r="AJ536" s="1112"/>
      <c r="AK536" s="1399"/>
      <c r="AL536" s="829">
        <f t="shared" si="975"/>
        <v>46021</v>
      </c>
      <c r="AM536" s="684">
        <f>IFERROR(IF(AND(AT536="",AR536&lt;&gt;S.CAL!$BJ$3,AR536&lt;&gt;S.CAL!$BJ$4,$AR$500="NON"),M536-BD536,IF(AND(AT536="",AR536&lt;&gt;S.CAL!$BJ$3,AR536&lt;&gt;S.CAL!$BJ$4,$AR$500="OUI"),X536-AI536,IF(AT536&lt;&gt;0,AT536,IF(OR(AR536=S.CAL!$BJ$3,AR536=S.CAL!$BJ$4),AR536,"")))),"")</f>
        <v>0</v>
      </c>
      <c r="AN536" s="1115"/>
      <c r="AO536" s="1116"/>
      <c r="AP536" s="684">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400">
        <f t="shared" si="995"/>
        <v>0</v>
      </c>
      <c r="AR536" s="1120"/>
      <c r="AS536" s="1396"/>
      <c r="AT536" s="1123"/>
      <c r="AU536" s="831"/>
      <c r="AV536" s="1392">
        <f t="shared" si="976"/>
        <v>46021</v>
      </c>
      <c r="AW536" s="1396"/>
      <c r="AX536" s="529">
        <f t="shared" si="996"/>
        <v>46021</v>
      </c>
      <c r="AY536" s="541">
        <f t="shared" si="997"/>
        <v>0</v>
      </c>
      <c r="AZ536" s="538" t="s">
        <v>146</v>
      </c>
      <c r="BA536" s="534">
        <f t="shared" si="998"/>
        <v>0</v>
      </c>
      <c r="BB536" s="567" t="str">
        <f t="shared" si="977"/>
        <v/>
      </c>
      <c r="BC536" s="541">
        <f t="shared" si="999"/>
        <v>0</v>
      </c>
      <c r="BD536" s="541">
        <f t="shared" si="1000"/>
        <v>0</v>
      </c>
      <c r="BE536" s="1126"/>
      <c r="BF536" s="532" t="str">
        <f t="shared" si="978"/>
        <v/>
      </c>
      <c r="BG536" s="532" t="str">
        <f t="shared" si="1001"/>
        <v>oui</v>
      </c>
      <c r="BH536" s="395" t="str">
        <f t="shared" si="979"/>
        <v/>
      </c>
      <c r="BI536" s="24" t="str">
        <f t="shared" si="980"/>
        <v/>
      </c>
      <c r="BJ536" s="1404"/>
      <c r="BK536" s="1404"/>
      <c r="BL536" s="1404"/>
      <c r="BM536" s="1404"/>
      <c r="BN536" s="1404"/>
      <c r="BO536" s="1404"/>
      <c r="BP536" s="1404"/>
      <c r="BQ536" s="1404"/>
      <c r="BR536" s="1405"/>
      <c r="BS536" s="1392">
        <f t="shared" si="947"/>
        <v>46021</v>
      </c>
      <c r="BT536" s="1406" t="str">
        <f t="shared" si="1009"/>
        <v/>
      </c>
      <c r="BU536" s="1404"/>
      <c r="BV536" s="1404"/>
      <c r="BW536" s="1404"/>
      <c r="BX536" s="1404"/>
      <c r="BY536" s="1404"/>
      <c r="BZ536" s="1404"/>
      <c r="CA536" s="1404"/>
      <c r="CB536" s="1404"/>
      <c r="CD536" s="1408">
        <f t="shared" si="1002"/>
        <v>0</v>
      </c>
      <c r="DC536" s="16" t="str">
        <f>Décembre!FC49</f>
        <v>non</v>
      </c>
      <c r="DG536" s="333">
        <f t="shared" si="1003"/>
        <v>1</v>
      </c>
      <c r="DH536" s="129">
        <f t="shared" si="981"/>
        <v>10</v>
      </c>
      <c r="DI536" s="129">
        <f t="shared" si="1004"/>
        <v>1</v>
      </c>
      <c r="DK536" s="16">
        <f>+IF(AND(Décembre!$DP$8&lt;&gt;52,AR536=S.CAL!$BJ$4),10,1)</f>
        <v>1</v>
      </c>
      <c r="DN536" s="16">
        <f t="shared" si="982"/>
        <v>1</v>
      </c>
      <c r="DU536" s="1296" t="str">
        <f t="shared" si="1005"/>
        <v>Fiche infoA246021</v>
      </c>
      <c r="DV536" s="1384">
        <f t="shared" si="983"/>
        <v>0</v>
      </c>
      <c r="DW536" s="1385">
        <f t="shared" si="984"/>
        <v>0</v>
      </c>
      <c r="DX536" s="1385">
        <f t="shared" si="985"/>
        <v>0</v>
      </c>
      <c r="DY536" s="1385">
        <f t="shared" si="986"/>
        <v>0</v>
      </c>
      <c r="DZ536" s="1385">
        <f t="shared" si="987"/>
        <v>0</v>
      </c>
      <c r="EA536" s="1385">
        <f t="shared" si="988"/>
        <v>0</v>
      </c>
      <c r="EB536" s="1385">
        <f t="shared" si="989"/>
        <v>0</v>
      </c>
      <c r="EC536" s="1385">
        <f t="shared" si="990"/>
        <v>0</v>
      </c>
      <c r="ED536" s="1385">
        <f t="shared" si="1006"/>
        <v>0</v>
      </c>
      <c r="EE536" s="1386">
        <f t="shared" si="1007"/>
        <v>0</v>
      </c>
      <c r="EG536" s="16" t="str">
        <f t="shared" si="1008"/>
        <v>12025</v>
      </c>
      <c r="EH536" s="16" t="str">
        <f t="shared" si="991"/>
        <v>Fiche infoA2</v>
      </c>
      <c r="EI536" s="16" t="str">
        <f t="shared" si="992"/>
        <v/>
      </c>
    </row>
    <row r="537" spans="1:139" x14ac:dyDescent="0.2">
      <c r="A537" s="24" t="str">
        <f>Décembre!BJ50</f>
        <v>Fiche infoA3</v>
      </c>
      <c r="B537" s="830">
        <f>Décembre!AB50</f>
        <v>46022</v>
      </c>
      <c r="C537" s="1393"/>
      <c r="D537" s="1003">
        <f t="shared" si="948"/>
        <v>0</v>
      </c>
      <c r="E537" s="1004">
        <f t="shared" si="949"/>
        <v>0</v>
      </c>
      <c r="F537" s="1004">
        <f t="shared" si="950"/>
        <v>0</v>
      </c>
      <c r="G537" s="1004">
        <f t="shared" si="951"/>
        <v>0</v>
      </c>
      <c r="H537" s="1004">
        <f t="shared" si="952"/>
        <v>0</v>
      </c>
      <c r="I537" s="1004">
        <f t="shared" si="953"/>
        <v>0</v>
      </c>
      <c r="J537" s="1004">
        <f t="shared" si="954"/>
        <v>0</v>
      </c>
      <c r="K537" s="1004">
        <f t="shared" si="955"/>
        <v>0</v>
      </c>
      <c r="L537" s="1004">
        <f t="shared" si="993"/>
        <v>0</v>
      </c>
      <c r="M537" s="1005">
        <f t="shared" si="994"/>
        <v>0</v>
      </c>
      <c r="O537" s="1003">
        <f t="shared" si="1010"/>
        <v>0</v>
      </c>
      <c r="P537" s="1004">
        <f t="shared" si="1011"/>
        <v>0</v>
      </c>
      <c r="Q537" s="1004">
        <f t="shared" si="1012"/>
        <v>0</v>
      </c>
      <c r="R537" s="1004">
        <f t="shared" si="1013"/>
        <v>0</v>
      </c>
      <c r="S537" s="1004">
        <f t="shared" si="1014"/>
        <v>0</v>
      </c>
      <c r="T537" s="1004">
        <f t="shared" si="1015"/>
        <v>0</v>
      </c>
      <c r="U537" s="1004">
        <f t="shared" si="1016"/>
        <v>0</v>
      </c>
      <c r="V537" s="1004">
        <f t="shared" si="1017"/>
        <v>0</v>
      </c>
      <c r="W537" s="1004">
        <f t="shared" si="964"/>
        <v>0</v>
      </c>
      <c r="X537" s="1005">
        <f t="shared" si="965"/>
        <v>0</v>
      </c>
      <c r="Y537" s="459"/>
      <c r="Z537" s="291">
        <f t="shared" si="966"/>
        <v>0</v>
      </c>
      <c r="AA537" s="291">
        <f t="shared" si="967"/>
        <v>0</v>
      </c>
      <c r="AB537" s="291">
        <f t="shared" si="968"/>
        <v>0</v>
      </c>
      <c r="AC537" s="291">
        <f t="shared" si="969"/>
        <v>0</v>
      </c>
      <c r="AD537" s="291">
        <f t="shared" si="970"/>
        <v>0</v>
      </c>
      <c r="AE537" s="291">
        <f t="shared" si="971"/>
        <v>0</v>
      </c>
      <c r="AF537" s="291">
        <f t="shared" si="972"/>
        <v>0</v>
      </c>
      <c r="AG537" s="291">
        <f t="shared" si="973"/>
        <v>0</v>
      </c>
      <c r="AI537" s="462">
        <f t="shared" si="1018"/>
        <v>0</v>
      </c>
      <c r="AJ537" s="1112"/>
      <c r="AK537" s="507"/>
      <c r="AL537" s="830">
        <f t="shared" si="975"/>
        <v>46022</v>
      </c>
      <c r="AM537" s="517">
        <f>IFERROR(IF(AND(AT537="",AR537&lt;&gt;S.CAL!$BJ$3,AR537&lt;&gt;S.CAL!$BJ$4,$AR$500="NON"),M537-BD537,IF(AND(AT537="",AR537&lt;&gt;S.CAL!$BJ$3,AR537&lt;&gt;S.CAL!$BJ$4,$AR$500="OUI"),X537-AI537,IF(AT537&lt;&gt;0,AT537,IF(OR(AR537=S.CAL!$BJ$3,AR537=S.CAL!$BJ$4),AR537,"")))),"")</f>
        <v>0</v>
      </c>
      <c r="AN537" s="1117"/>
      <c r="AO537" s="1118"/>
      <c r="AP537" s="517">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516">
        <f t="shared" si="995"/>
        <v>0</v>
      </c>
      <c r="AR537" s="1121"/>
      <c r="AT537" s="1124"/>
      <c r="AU537" s="832"/>
      <c r="AV537" s="830">
        <f t="shared" si="976"/>
        <v>46022</v>
      </c>
      <c r="AX537" s="529">
        <f t="shared" si="996"/>
        <v>46022</v>
      </c>
      <c r="AY537" s="542">
        <f t="shared" si="997"/>
        <v>0</v>
      </c>
      <c r="AZ537" s="539" t="s">
        <v>146</v>
      </c>
      <c r="BA537" s="552">
        <f t="shared" si="998"/>
        <v>0</v>
      </c>
      <c r="BB537" s="540" t="str">
        <f t="shared" si="977"/>
        <v/>
      </c>
      <c r="BC537" s="542">
        <f t="shared" si="999"/>
        <v>0</v>
      </c>
      <c r="BD537" s="542">
        <f t="shared" si="1000"/>
        <v>0</v>
      </c>
      <c r="BE537" s="1127"/>
      <c r="BF537" s="532" t="str">
        <f t="shared" si="978"/>
        <v/>
      </c>
      <c r="BG537" s="532" t="str">
        <f t="shared" si="1001"/>
        <v>oui</v>
      </c>
      <c r="BH537" s="395" t="str">
        <f t="shared" si="979"/>
        <v/>
      </c>
      <c r="BI537" s="24" t="str">
        <f t="shared" si="980"/>
        <v/>
      </c>
      <c r="BJ537" s="1403"/>
      <c r="BK537" s="1403"/>
      <c r="BL537" s="1403"/>
      <c r="BM537" s="1403"/>
      <c r="BN537" s="1403"/>
      <c r="BO537" s="1403"/>
      <c r="BP537" s="1403"/>
      <c r="BQ537" s="1403"/>
      <c r="BS537" s="830">
        <f t="shared" si="947"/>
        <v>46022</v>
      </c>
      <c r="BT537" s="27" t="str">
        <f t="shared" si="1009"/>
        <v/>
      </c>
      <c r="BU537" s="1402"/>
      <c r="BV537" s="1402"/>
      <c r="BW537" s="1402"/>
      <c r="BX537" s="1402"/>
      <c r="BY537" s="1402"/>
      <c r="BZ537" s="1402"/>
      <c r="CA537" s="1402"/>
      <c r="CB537" s="1402"/>
      <c r="CD537" s="1409">
        <f t="shared" si="1002"/>
        <v>0</v>
      </c>
      <c r="DC537" s="16" t="str">
        <f>Décembre!FC50</f>
        <v>non</v>
      </c>
      <c r="DG537" s="333">
        <f t="shared" si="1003"/>
        <v>1</v>
      </c>
      <c r="DH537" s="129">
        <f t="shared" si="981"/>
        <v>10</v>
      </c>
      <c r="DI537" s="129">
        <f t="shared" si="1004"/>
        <v>1</v>
      </c>
      <c r="DK537" s="16">
        <f>+IF(AND(Décembre!$DP$8&lt;&gt;52,AR537=S.CAL!$BJ$4),10,1)</f>
        <v>1</v>
      </c>
      <c r="DN537" s="16">
        <f t="shared" si="982"/>
        <v>1</v>
      </c>
      <c r="DU537" s="1296" t="str">
        <f t="shared" si="1005"/>
        <v>Fiche infoA346022</v>
      </c>
      <c r="DV537" s="1384">
        <f t="shared" si="983"/>
        <v>0</v>
      </c>
      <c r="DW537" s="1385">
        <f t="shared" si="984"/>
        <v>0</v>
      </c>
      <c r="DX537" s="1385">
        <f t="shared" si="985"/>
        <v>0</v>
      </c>
      <c r="DY537" s="1385">
        <f t="shared" si="986"/>
        <v>0</v>
      </c>
      <c r="DZ537" s="1385">
        <f t="shared" si="987"/>
        <v>0</v>
      </c>
      <c r="EA537" s="1385">
        <f t="shared" si="988"/>
        <v>0</v>
      </c>
      <c r="EB537" s="1385">
        <f t="shared" si="989"/>
        <v>0</v>
      </c>
      <c r="EC537" s="1385">
        <f t="shared" si="990"/>
        <v>0</v>
      </c>
      <c r="ED537" s="1385">
        <f t="shared" si="1006"/>
        <v>0</v>
      </c>
      <c r="EE537" s="1386">
        <f t="shared" si="1007"/>
        <v>0</v>
      </c>
      <c r="EG537" s="16" t="str">
        <f t="shared" si="1008"/>
        <v>12025</v>
      </c>
      <c r="EH537" s="16" t="str">
        <f t="shared" si="991"/>
        <v>Fiche infoA3</v>
      </c>
      <c r="EI537" s="16" t="str">
        <f t="shared" si="992"/>
        <v/>
      </c>
    </row>
    <row r="538" spans="1:139" x14ac:dyDescent="0.2">
      <c r="AM538" s="554">
        <f>SUM(AM507:AM537)</f>
        <v>0</v>
      </c>
      <c r="AN538" s="518">
        <f>SUM(AN507:AN537)</f>
        <v>0</v>
      </c>
      <c r="AO538" s="518">
        <f>SUM(AO507:AO537)</f>
        <v>0</v>
      </c>
      <c r="AP538" s="519">
        <f>SUM(AP507:AP537)</f>
        <v>0</v>
      </c>
      <c r="BD538" s="555">
        <f>SUM(BD507:BD537)</f>
        <v>0</v>
      </c>
      <c r="EE538" s="1386"/>
    </row>
    <row r="539" spans="1:139" x14ac:dyDescent="0.2">
      <c r="X539" s="29" t="s">
        <v>450</v>
      </c>
      <c r="Y539" s="29"/>
      <c r="Z539" s="29"/>
      <c r="AA539" s="29"/>
      <c r="AB539" s="29"/>
      <c r="AC539" s="29"/>
      <c r="AD539" s="29"/>
      <c r="AE539" s="29"/>
      <c r="AF539" s="29"/>
      <c r="AG539" s="29"/>
      <c r="AI539" s="463">
        <f>SUM(AI507:AI537)</f>
        <v>0</v>
      </c>
      <c r="AJ539" s="19"/>
      <c r="AK539" s="19"/>
      <c r="AL539" s="19"/>
      <c r="AM539" s="19"/>
      <c r="AN539" s="19"/>
      <c r="AO539" s="19"/>
      <c r="AP539" s="19"/>
      <c r="AQ539" s="512"/>
    </row>
  </sheetData>
  <sheetProtection algorithmName="SHA-512" hashValue="/XuHJCt8o2SeR3irZGIWaOs8GpBIuv/RmN4Z73+1qIZ2NTlfoOnNS83n4ag9IXParQYeg06Hy1RoKtkv9fPCdQ==" saltValue="1KC6IO/Km37Ubq1oCw2J8w==" spinCount="100000" sheet="1" objects="1" scenarios="1" formatCells="0" formatColumns="0" formatRows="0" insertColumns="0" insertRows="0" insertHyperlinks="0" sort="0" autoFilter="0" pivotTables="0"/>
  <mergeCells count="180">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365:E365"/>
    <mergeCell ref="D368:E368"/>
    <mergeCell ref="D278:E278"/>
    <mergeCell ref="D318:G318"/>
    <mergeCell ref="D320:E320"/>
    <mergeCell ref="D323:E323"/>
    <mergeCell ref="AL369:AP369"/>
    <mergeCell ref="AT369:AV369"/>
    <mergeCell ref="AL414:AP414"/>
    <mergeCell ref="AT414:AV414"/>
    <mergeCell ref="AT459:AV459"/>
    <mergeCell ref="AT324:AV324"/>
    <mergeCell ref="AT279:AV279"/>
    <mergeCell ref="AR272:AT274"/>
    <mergeCell ref="BK455:BL455"/>
    <mergeCell ref="BK500:BL500"/>
    <mergeCell ref="BK230:BL230"/>
    <mergeCell ref="BK275:BL275"/>
    <mergeCell ref="BK320:BL320"/>
    <mergeCell ref="BK365:BL365"/>
    <mergeCell ref="BK410:BL410"/>
    <mergeCell ref="BK6:BL6"/>
    <mergeCell ref="BK50:BL50"/>
    <mergeCell ref="BK95:BL95"/>
    <mergeCell ref="BK140:BL140"/>
    <mergeCell ref="BK185:BL185"/>
    <mergeCell ref="AR137:AT139"/>
    <mergeCell ref="AR182:AT184"/>
    <mergeCell ref="AR227:AT229"/>
    <mergeCell ref="AT144:AV144"/>
    <mergeCell ref="BW2:BX2"/>
    <mergeCell ref="BW3:BX3"/>
    <mergeCell ref="BW4:BX4"/>
    <mergeCell ref="BW5:BX5"/>
    <mergeCell ref="BW6:BX6"/>
    <mergeCell ref="BW7:BX7"/>
    <mergeCell ref="BW47:BX47"/>
    <mergeCell ref="BW48:BX48"/>
    <mergeCell ref="BW49:BX49"/>
    <mergeCell ref="BW50:BX50"/>
    <mergeCell ref="BW51:BX51"/>
    <mergeCell ref="BW52:BX52"/>
    <mergeCell ref="BW92:BX92"/>
    <mergeCell ref="BW93:BX93"/>
    <mergeCell ref="BW94:BX94"/>
    <mergeCell ref="BW95:BX95"/>
    <mergeCell ref="BW96:BX96"/>
    <mergeCell ref="BW97:BX97"/>
    <mergeCell ref="BW137:BX137"/>
    <mergeCell ref="BW138:BX138"/>
    <mergeCell ref="BW139:BX139"/>
    <mergeCell ref="BW140:BX140"/>
    <mergeCell ref="BW141:BX141"/>
    <mergeCell ref="BW142:BX142"/>
    <mergeCell ref="BW182:BX182"/>
    <mergeCell ref="BW183:BX183"/>
    <mergeCell ref="BW184:BX184"/>
    <mergeCell ref="BW185:BX185"/>
    <mergeCell ref="BW186:BX186"/>
    <mergeCell ref="BW187:BX187"/>
    <mergeCell ref="BW227:BX227"/>
    <mergeCell ref="BW228:BX228"/>
    <mergeCell ref="BW229:BX229"/>
    <mergeCell ref="BW230:BX230"/>
    <mergeCell ref="BW231:BX231"/>
    <mergeCell ref="BW232:BX232"/>
    <mergeCell ref="BW272:BX272"/>
    <mergeCell ref="BW273:BX273"/>
    <mergeCell ref="BW274:BX274"/>
    <mergeCell ref="BW275:BX275"/>
    <mergeCell ref="BW276:BX276"/>
    <mergeCell ref="BW277:BX277"/>
    <mergeCell ref="BW317:BX317"/>
    <mergeCell ref="BW318:BX318"/>
    <mergeCell ref="BW319:BX319"/>
    <mergeCell ref="BW320:BX320"/>
    <mergeCell ref="BW321:BX321"/>
    <mergeCell ref="BW322:BX322"/>
    <mergeCell ref="BW362:BX362"/>
    <mergeCell ref="BW363:BX363"/>
    <mergeCell ref="BW364:BX364"/>
    <mergeCell ref="BW365:BX365"/>
    <mergeCell ref="BW366:BX366"/>
    <mergeCell ref="BW367:BX367"/>
    <mergeCell ref="BW407:BX407"/>
    <mergeCell ref="BW408:BX408"/>
    <mergeCell ref="BW409:BX409"/>
    <mergeCell ref="BW410:BX410"/>
    <mergeCell ref="BW411:BX411"/>
    <mergeCell ref="BW412:BX412"/>
    <mergeCell ref="BW452:BX452"/>
    <mergeCell ref="BW453:BX453"/>
    <mergeCell ref="BW454:BX454"/>
    <mergeCell ref="BW455:BX455"/>
    <mergeCell ref="BW456:BX456"/>
    <mergeCell ref="BW457:BX457"/>
    <mergeCell ref="BW497:BX497"/>
    <mergeCell ref="BW498:BX498"/>
    <mergeCell ref="BW499:BX499"/>
    <mergeCell ref="BW500:BX500"/>
    <mergeCell ref="BW501:BX501"/>
    <mergeCell ref="BW502:BX502"/>
  </mergeCells>
  <conditionalFormatting sqref="B12:B42">
    <cfRule type="expression" dxfId="646" priority="1269">
      <formula>VLOOKUP(B12,base_feries,1,FALSE)</formula>
    </cfRule>
    <cfRule type="expression" dxfId="645" priority="1268">
      <formula>OR(WEEKDAY(B12,2)=6,WEEKDAY(B12,2)=7)</formula>
    </cfRule>
    <cfRule type="expression" dxfId="644" priority="1267">
      <formula>WEEKDAY(B12,2)=7</formula>
    </cfRule>
  </conditionalFormatting>
  <conditionalFormatting sqref="B57:B87">
    <cfRule type="expression" dxfId="643" priority="379">
      <formula>VLOOKUP(B57,base_feries,1,FALSE)</formula>
    </cfRule>
    <cfRule type="expression" dxfId="642" priority="378">
      <formula>OR(WEEKDAY(B57,2)=6,WEEKDAY(B57,2)=7)</formula>
    </cfRule>
    <cfRule type="expression" dxfId="641" priority="377">
      <formula>WEEKDAY(B57,2)=7</formula>
    </cfRule>
  </conditionalFormatting>
  <conditionalFormatting sqref="B102:B132">
    <cfRule type="expression" dxfId="640" priority="376">
      <formula>VLOOKUP(B102,base_feries,1,FALSE)</formula>
    </cfRule>
    <cfRule type="expression" dxfId="639" priority="375">
      <formula>OR(WEEKDAY(B102,2)=6,WEEKDAY(B102,2)=7)</formula>
    </cfRule>
    <cfRule type="expression" dxfId="638" priority="374">
      <formula>WEEKDAY(B102,2)=7</formula>
    </cfRule>
  </conditionalFormatting>
  <conditionalFormatting sqref="B147:B177">
    <cfRule type="expression" dxfId="637" priority="371">
      <formula>WEEKDAY(B147,2)=7</formula>
    </cfRule>
    <cfRule type="expression" dxfId="636" priority="373">
      <formula>VLOOKUP(B147,base_feries,1,FALSE)</formula>
    </cfRule>
    <cfRule type="expression" dxfId="635" priority="372">
      <formula>OR(WEEKDAY(B147,2)=6,WEEKDAY(B147,2)=7)</formula>
    </cfRule>
  </conditionalFormatting>
  <conditionalFormatting sqref="B192:B222">
    <cfRule type="expression" dxfId="634" priority="368">
      <formula>WEEKDAY(B192,2)=7</formula>
    </cfRule>
    <cfRule type="expression" dxfId="633" priority="369">
      <formula>OR(WEEKDAY(B192,2)=6,WEEKDAY(B192,2)=7)</formula>
    </cfRule>
    <cfRule type="expression" dxfId="632" priority="370">
      <formula>VLOOKUP(B192,base_feries,1,FALSE)</formula>
    </cfRule>
  </conditionalFormatting>
  <conditionalFormatting sqref="B237:B267">
    <cfRule type="expression" dxfId="631" priority="366">
      <formula>OR(WEEKDAY(B237,2)=6,WEEKDAY(B237,2)=7)</formula>
    </cfRule>
    <cfRule type="expression" dxfId="630" priority="365">
      <formula>WEEKDAY(B237,2)=7</formula>
    </cfRule>
    <cfRule type="expression" dxfId="629" priority="367">
      <formula>VLOOKUP(B237,base_feries,1,FALSE)</formula>
    </cfRule>
  </conditionalFormatting>
  <conditionalFormatting sqref="B282:B312">
    <cfRule type="expression" dxfId="628" priority="362">
      <formula>WEEKDAY(B282,2)=7</formula>
    </cfRule>
    <cfRule type="expression" dxfId="627" priority="363">
      <formula>OR(WEEKDAY(B282,2)=6,WEEKDAY(B282,2)=7)</formula>
    </cfRule>
    <cfRule type="expression" dxfId="626" priority="364">
      <formula>VLOOKUP(B282,base_feries,1,FALSE)</formula>
    </cfRule>
  </conditionalFormatting>
  <conditionalFormatting sqref="B327:B357">
    <cfRule type="expression" dxfId="625" priority="359">
      <formula>WEEKDAY(B327,2)=7</formula>
    </cfRule>
    <cfRule type="expression" dxfId="624" priority="360">
      <formula>OR(WEEKDAY(B327,2)=6,WEEKDAY(B327,2)=7)</formula>
    </cfRule>
    <cfRule type="expression" dxfId="623" priority="361">
      <formula>VLOOKUP(B327,base_feries,1,FALSE)</formula>
    </cfRule>
  </conditionalFormatting>
  <conditionalFormatting sqref="B372:B402">
    <cfRule type="expression" dxfId="622" priority="358">
      <formula>VLOOKUP(B372,base_feries,1,FALSE)</formula>
    </cfRule>
    <cfRule type="expression" dxfId="621" priority="357">
      <formula>OR(WEEKDAY(B372,2)=6,WEEKDAY(B372,2)=7)</formula>
    </cfRule>
    <cfRule type="expression" dxfId="620" priority="356">
      <formula>WEEKDAY(B372,2)=7</formula>
    </cfRule>
  </conditionalFormatting>
  <conditionalFormatting sqref="B417:B447">
    <cfRule type="expression" dxfId="619" priority="353">
      <formula>WEEKDAY(B417,2)=7</formula>
    </cfRule>
    <cfRule type="expression" dxfId="618" priority="355">
      <formula>VLOOKUP(B417,base_feries,1,FALSE)</formula>
    </cfRule>
    <cfRule type="expression" dxfId="617" priority="354">
      <formula>OR(WEEKDAY(B417,2)=6,WEEKDAY(B417,2)=7)</formula>
    </cfRule>
  </conditionalFormatting>
  <conditionalFormatting sqref="B462:B492">
    <cfRule type="expression" dxfId="616" priority="351">
      <formula>OR(WEEKDAY(B462,2)=6,WEEKDAY(B462,2)=7)</formula>
    </cfRule>
    <cfRule type="expression" dxfId="615" priority="350">
      <formula>WEEKDAY(B462,2)=7</formula>
    </cfRule>
    <cfRule type="expression" dxfId="614" priority="352">
      <formula>VLOOKUP(B462,base_feries,1,FALSE)</formula>
    </cfRule>
  </conditionalFormatting>
  <conditionalFormatting sqref="B507:B537">
    <cfRule type="expression" dxfId="613" priority="349">
      <formula>VLOOKUP(B507,base_feries,1,FALSE)</formula>
    </cfRule>
    <cfRule type="expression" dxfId="612" priority="348">
      <formula>OR(WEEKDAY(B507,2)=6,WEEKDAY(B507,2)=7)</formula>
    </cfRule>
    <cfRule type="expression" dxfId="611" priority="347">
      <formula>WEEKDAY(B507,2)=7</formula>
    </cfRule>
  </conditionalFormatting>
  <conditionalFormatting sqref="D12:M42">
    <cfRule type="expression" dxfId="610" priority="1126">
      <formula>$DC12="oui"</formula>
    </cfRule>
    <cfRule type="cellIs" dxfId="609" priority="1127" operator="equal">
      <formula>0</formula>
    </cfRule>
  </conditionalFormatting>
  <conditionalFormatting sqref="D57:M57">
    <cfRule type="expression" dxfId="608" priority="1093">
      <formula>$DC57="oui"</formula>
    </cfRule>
  </conditionalFormatting>
  <conditionalFormatting sqref="D57:M87">
    <cfRule type="expression" dxfId="607" priority="1082">
      <formula>$DC57="oui"</formula>
    </cfRule>
    <cfRule type="cellIs" dxfId="606" priority="1083" operator="equal">
      <formula>0</formula>
    </cfRule>
  </conditionalFormatting>
  <conditionalFormatting sqref="D102:M102">
    <cfRule type="expression" dxfId="605" priority="1049">
      <formula>$DC102="oui"</formula>
    </cfRule>
  </conditionalFormatting>
  <conditionalFormatting sqref="D102:M132">
    <cfRule type="cellIs" dxfId="604" priority="1039" operator="equal">
      <formula>0</formula>
    </cfRule>
    <cfRule type="expression" dxfId="603" priority="1038">
      <formula>$DC102="oui"</formula>
    </cfRule>
  </conditionalFormatting>
  <conditionalFormatting sqref="D147:M147">
    <cfRule type="expression" dxfId="602" priority="1005">
      <formula>$DC147="oui"</formula>
    </cfRule>
  </conditionalFormatting>
  <conditionalFormatting sqref="D147:M177">
    <cfRule type="expression" dxfId="601" priority="994">
      <formula>$DC147="oui"</formula>
    </cfRule>
    <cfRule type="cellIs" dxfId="600" priority="995" operator="equal">
      <formula>0</formula>
    </cfRule>
  </conditionalFormatting>
  <conditionalFormatting sqref="D192:M192">
    <cfRule type="expression" dxfId="599" priority="961">
      <formula>$DC192="oui"</formula>
    </cfRule>
  </conditionalFormatting>
  <conditionalFormatting sqref="D192:M222">
    <cfRule type="cellIs" dxfId="598" priority="951" operator="equal">
      <formula>0</formula>
    </cfRule>
    <cfRule type="expression" dxfId="597" priority="950">
      <formula>$DC192="oui"</formula>
    </cfRule>
  </conditionalFormatting>
  <conditionalFormatting sqref="D237:M237">
    <cfRule type="expression" dxfId="596" priority="917">
      <formula>$DC237="oui"</formula>
    </cfRule>
  </conditionalFormatting>
  <conditionalFormatting sqref="D237:M267">
    <cfRule type="expression" dxfId="595" priority="906">
      <formula>$DC237="oui"</formula>
    </cfRule>
    <cfRule type="cellIs" dxfId="594" priority="907" operator="equal">
      <formula>0</formula>
    </cfRule>
  </conditionalFormatting>
  <conditionalFormatting sqref="D282:M282">
    <cfRule type="expression" dxfId="593" priority="873">
      <formula>$DC282="oui"</formula>
    </cfRule>
  </conditionalFormatting>
  <conditionalFormatting sqref="D282:M312">
    <cfRule type="expression" dxfId="592" priority="862">
      <formula>$DC282="oui"</formula>
    </cfRule>
    <cfRule type="cellIs" dxfId="591" priority="863" operator="equal">
      <formula>0</formula>
    </cfRule>
  </conditionalFormatting>
  <conditionalFormatting sqref="D327:M327">
    <cfRule type="expression" dxfId="590" priority="829">
      <formula>$DC327="oui"</formula>
    </cfRule>
  </conditionalFormatting>
  <conditionalFormatting sqref="D327:M357">
    <cfRule type="expression" dxfId="589" priority="818">
      <formula>$DC327="oui"</formula>
    </cfRule>
    <cfRule type="cellIs" dxfId="588" priority="819" operator="equal">
      <formula>0</formula>
    </cfRule>
  </conditionalFormatting>
  <conditionalFormatting sqref="D372:M372">
    <cfRule type="expression" dxfId="587" priority="785">
      <formula>$DC372="oui"</formula>
    </cfRule>
  </conditionalFormatting>
  <conditionalFormatting sqref="D372:M402">
    <cfRule type="cellIs" dxfId="586" priority="775" operator="equal">
      <formula>0</formula>
    </cfRule>
    <cfRule type="expression" dxfId="585" priority="774">
      <formula>$DC372="oui"</formula>
    </cfRule>
  </conditionalFormatting>
  <conditionalFormatting sqref="D417:M417">
    <cfRule type="expression" dxfId="584" priority="741">
      <formula>$DC417="oui"</formula>
    </cfRule>
  </conditionalFormatting>
  <conditionalFormatting sqref="D417:M447">
    <cfRule type="expression" dxfId="583" priority="730">
      <formula>$DC417="oui"</formula>
    </cfRule>
    <cfRule type="cellIs" dxfId="582" priority="731" operator="equal">
      <formula>0</formula>
    </cfRule>
  </conditionalFormatting>
  <conditionalFormatting sqref="D462:M462">
    <cfRule type="expression" dxfId="581" priority="697">
      <formula>$DC462="oui"</formula>
    </cfRule>
  </conditionalFormatting>
  <conditionalFormatting sqref="D462:M492">
    <cfRule type="cellIs" dxfId="580" priority="687" operator="equal">
      <formula>0</formula>
    </cfRule>
    <cfRule type="expression" dxfId="579" priority="686">
      <formula>$DC462="oui"</formula>
    </cfRule>
  </conditionalFormatting>
  <conditionalFormatting sqref="D507:M507">
    <cfRule type="expression" dxfId="578" priority="653">
      <formula>$DC507="oui"</formula>
    </cfRule>
  </conditionalFormatting>
  <conditionalFormatting sqref="D507:M537">
    <cfRule type="cellIs" dxfId="577" priority="643" operator="equal">
      <formula>0</formula>
    </cfRule>
    <cfRule type="expression" dxfId="576" priority="642">
      <formula>$DC507="oui"</formula>
    </cfRule>
  </conditionalFormatting>
  <conditionalFormatting sqref="O12:X42">
    <cfRule type="expression" dxfId="575" priority="1104">
      <formula>$DC12="oui"</formula>
    </cfRule>
    <cfRule type="cellIs" dxfId="574" priority="1105" operator="equal">
      <formula>0</formula>
    </cfRule>
  </conditionalFormatting>
  <conditionalFormatting sqref="O57:X87">
    <cfRule type="cellIs" dxfId="573" priority="1061" operator="equal">
      <formula>0</formula>
    </cfRule>
    <cfRule type="expression" dxfId="572" priority="1060">
      <formula>$DC57="oui"</formula>
    </cfRule>
  </conditionalFormatting>
  <conditionalFormatting sqref="O102:X132">
    <cfRule type="cellIs" dxfId="571" priority="1017" operator="equal">
      <formula>0</formula>
    </cfRule>
    <cfRule type="expression" dxfId="570" priority="1016">
      <formula>$DC102="oui"</formula>
    </cfRule>
  </conditionalFormatting>
  <conditionalFormatting sqref="O147:X177">
    <cfRule type="expression" dxfId="569" priority="972">
      <formula>$DC147="oui"</formula>
    </cfRule>
    <cfRule type="cellIs" dxfId="568" priority="973" operator="equal">
      <formula>0</formula>
    </cfRule>
  </conditionalFormatting>
  <conditionalFormatting sqref="O192:X222">
    <cfRule type="expression" dxfId="567" priority="928">
      <formula>$DC192="oui"</formula>
    </cfRule>
    <cfRule type="cellIs" dxfId="566" priority="929" operator="equal">
      <formula>0</formula>
    </cfRule>
  </conditionalFormatting>
  <conditionalFormatting sqref="O237:X267">
    <cfRule type="cellIs" dxfId="565" priority="885" operator="equal">
      <formula>0</formula>
    </cfRule>
    <cfRule type="expression" dxfId="564" priority="884">
      <formula>$DC237="oui"</formula>
    </cfRule>
  </conditionalFormatting>
  <conditionalFormatting sqref="O282:X312">
    <cfRule type="cellIs" dxfId="563" priority="841" operator="equal">
      <formula>0</formula>
    </cfRule>
    <cfRule type="expression" dxfId="562" priority="840">
      <formula>$DC282="oui"</formula>
    </cfRule>
  </conditionalFormatting>
  <conditionalFormatting sqref="O327:X357">
    <cfRule type="expression" dxfId="561" priority="796">
      <formula>$DC327="oui"</formula>
    </cfRule>
    <cfRule type="cellIs" dxfId="560" priority="797" operator="equal">
      <formula>0</formula>
    </cfRule>
  </conditionalFormatting>
  <conditionalFormatting sqref="O372:X402">
    <cfRule type="cellIs" dxfId="559" priority="753" operator="equal">
      <formula>0</formula>
    </cfRule>
    <cfRule type="expression" dxfId="558" priority="752">
      <formula>$DC372="oui"</formula>
    </cfRule>
  </conditionalFormatting>
  <conditionalFormatting sqref="O417:X447">
    <cfRule type="cellIs" dxfId="557" priority="709" operator="equal">
      <formula>0</formula>
    </cfRule>
    <cfRule type="expression" dxfId="556" priority="708">
      <formula>$DC417="oui"</formula>
    </cfRule>
  </conditionalFormatting>
  <conditionalFormatting sqref="O462:X492">
    <cfRule type="cellIs" dxfId="555" priority="665" operator="equal">
      <formula>0</formula>
    </cfRule>
    <cfRule type="expression" dxfId="554" priority="664">
      <formula>$DC462="oui"</formula>
    </cfRule>
  </conditionalFormatting>
  <conditionalFormatting sqref="O507:X537">
    <cfRule type="cellIs" dxfId="553" priority="621" operator="equal">
      <formula>0</formula>
    </cfRule>
    <cfRule type="expression" dxfId="552" priority="620">
      <formula>$DC507="oui"</formula>
    </cfRule>
  </conditionalFormatting>
  <conditionalFormatting sqref="Y12:AG42">
    <cfRule type="cellIs" dxfId="551" priority="346" operator="equal">
      <formula>0</formula>
    </cfRule>
  </conditionalFormatting>
  <conditionalFormatting sqref="Y57:AG87">
    <cfRule type="cellIs" dxfId="550" priority="344" operator="equal">
      <formula>0</formula>
    </cfRule>
  </conditionalFormatting>
  <conditionalFormatting sqref="Y102:AG132">
    <cfRule type="cellIs" dxfId="549" priority="342" operator="equal">
      <formula>0</formula>
    </cfRule>
  </conditionalFormatting>
  <conditionalFormatting sqref="Y147:AG177">
    <cfRule type="cellIs" dxfId="548" priority="340" operator="equal">
      <formula>0</formula>
    </cfRule>
  </conditionalFormatting>
  <conditionalFormatting sqref="Y192:AG222">
    <cfRule type="cellIs" dxfId="547" priority="338" operator="equal">
      <formula>0</formula>
    </cfRule>
  </conditionalFormatting>
  <conditionalFormatting sqref="Y237:AG267">
    <cfRule type="cellIs" dxfId="546" priority="336" operator="equal">
      <formula>0</formula>
    </cfRule>
  </conditionalFormatting>
  <conditionalFormatting sqref="Y282:AG312">
    <cfRule type="cellIs" dxfId="545" priority="334" operator="equal">
      <formula>0</formula>
    </cfRule>
  </conditionalFormatting>
  <conditionalFormatting sqref="Y327:AG357">
    <cfRule type="cellIs" dxfId="544" priority="332" operator="equal">
      <formula>0</formula>
    </cfRule>
  </conditionalFormatting>
  <conditionalFormatting sqref="Y372:AG402">
    <cfRule type="cellIs" dxfId="543" priority="330" operator="equal">
      <formula>0</formula>
    </cfRule>
  </conditionalFormatting>
  <conditionalFormatting sqref="Y417:AG447">
    <cfRule type="cellIs" dxfId="542" priority="328" operator="equal">
      <formula>0</formula>
    </cfRule>
  </conditionalFormatting>
  <conditionalFormatting sqref="Y462:AG492">
    <cfRule type="cellIs" dxfId="541" priority="326" operator="equal">
      <formula>0</formula>
    </cfRule>
  </conditionalFormatting>
  <conditionalFormatting sqref="Y507:AG537">
    <cfRule type="cellIs" dxfId="540" priority="324" operator="equal">
      <formula>0</formula>
    </cfRule>
  </conditionalFormatting>
  <conditionalFormatting sqref="AI12:AI42">
    <cfRule type="cellIs" dxfId="539" priority="4187" operator="equal">
      <formula>0</formula>
    </cfRule>
  </conditionalFormatting>
  <conditionalFormatting sqref="AI57:AI87">
    <cfRule type="cellIs" dxfId="538" priority="3462" operator="equal">
      <formula>0</formula>
    </cfRule>
  </conditionalFormatting>
  <conditionalFormatting sqref="AI102:AI132">
    <cfRule type="cellIs" dxfId="537" priority="3460" operator="equal">
      <formula>0</formula>
    </cfRule>
  </conditionalFormatting>
  <conditionalFormatting sqref="AI147:AI177">
    <cfRule type="cellIs" dxfId="536" priority="3458" operator="equal">
      <formula>0</formula>
    </cfRule>
  </conditionalFormatting>
  <conditionalFormatting sqref="AI192:AI222">
    <cfRule type="cellIs" dxfId="535" priority="3456" operator="equal">
      <formula>0</formula>
    </cfRule>
  </conditionalFormatting>
  <conditionalFormatting sqref="AI237:AI267">
    <cfRule type="cellIs" dxfId="534" priority="3454" operator="equal">
      <formula>0</formula>
    </cfRule>
  </conditionalFormatting>
  <conditionalFormatting sqref="AI282:AI312">
    <cfRule type="cellIs" dxfId="533" priority="3452" operator="equal">
      <formula>0</formula>
    </cfRule>
  </conditionalFormatting>
  <conditionalFormatting sqref="AI327:AI357">
    <cfRule type="cellIs" dxfId="532" priority="3450" operator="equal">
      <formula>0</formula>
    </cfRule>
  </conditionalFormatting>
  <conditionalFormatting sqref="AI372:AI402">
    <cfRule type="cellIs" dxfId="531" priority="3448" operator="equal">
      <formula>0</formula>
    </cfRule>
  </conditionalFormatting>
  <conditionalFormatting sqref="AI417:AI447">
    <cfRule type="cellIs" dxfId="530" priority="3446" operator="equal">
      <formula>0</formula>
    </cfRule>
  </conditionalFormatting>
  <conditionalFormatting sqref="AI462:AI492">
    <cfRule type="cellIs" dxfId="529" priority="3444" operator="equal">
      <formula>0</formula>
    </cfRule>
  </conditionalFormatting>
  <conditionalFormatting sqref="AI507:AI537">
    <cfRule type="cellIs" dxfId="528" priority="3442" operator="equal">
      <formula>0</formula>
    </cfRule>
  </conditionalFormatting>
  <conditionalFormatting sqref="AI44:AQ44">
    <cfRule type="cellIs" dxfId="527" priority="3429" operator="equal">
      <formula>0</formula>
    </cfRule>
  </conditionalFormatting>
  <conditionalFormatting sqref="AI89:AQ89">
    <cfRule type="cellIs" dxfId="526" priority="3428" operator="equal">
      <formula>0</formula>
    </cfRule>
  </conditionalFormatting>
  <conditionalFormatting sqref="AI134:AQ134">
    <cfRule type="cellIs" dxfId="525" priority="3427" operator="equal">
      <formula>0</formula>
    </cfRule>
  </conditionalFormatting>
  <conditionalFormatting sqref="AI179:AQ179">
    <cfRule type="cellIs" dxfId="524" priority="3426" operator="equal">
      <formula>0</formula>
    </cfRule>
  </conditionalFormatting>
  <conditionalFormatting sqref="AI224:AQ224">
    <cfRule type="cellIs" dxfId="523" priority="3425" operator="equal">
      <formula>0</formula>
    </cfRule>
  </conditionalFormatting>
  <conditionalFormatting sqref="AI269:AQ269">
    <cfRule type="cellIs" dxfId="522" priority="3424" operator="equal">
      <formula>0</formula>
    </cfRule>
  </conditionalFormatting>
  <conditionalFormatting sqref="AI314:AQ314">
    <cfRule type="cellIs" dxfId="521" priority="3423" operator="equal">
      <formula>0</formula>
    </cfRule>
  </conditionalFormatting>
  <conditionalFormatting sqref="AI359:AQ359">
    <cfRule type="cellIs" dxfId="520" priority="3422" operator="equal">
      <formula>0</formula>
    </cfRule>
  </conditionalFormatting>
  <conditionalFormatting sqref="AI404:AQ404">
    <cfRule type="cellIs" dxfId="519" priority="3421" operator="equal">
      <formula>0</formula>
    </cfRule>
  </conditionalFormatting>
  <conditionalFormatting sqref="AI449:AQ449">
    <cfRule type="cellIs" dxfId="518" priority="3420" operator="equal">
      <formula>0</formula>
    </cfRule>
  </conditionalFormatting>
  <conditionalFormatting sqref="AI494:AQ494">
    <cfRule type="cellIs" dxfId="517" priority="3419" operator="equal">
      <formula>0</formula>
    </cfRule>
  </conditionalFormatting>
  <conditionalFormatting sqref="AI539:AQ539">
    <cfRule type="cellIs" dxfId="516" priority="3418" operator="equal">
      <formula>0</formula>
    </cfRule>
  </conditionalFormatting>
  <conditionalFormatting sqref="AJ14:AJ42">
    <cfRule type="cellIs" dxfId="515" priority="2481" operator="equal">
      <formula>0</formula>
    </cfRule>
  </conditionalFormatting>
  <conditionalFormatting sqref="AJ40:AJ42">
    <cfRule type="expression" dxfId="514" priority="2480">
      <formula>AL40=""</formula>
    </cfRule>
  </conditionalFormatting>
  <conditionalFormatting sqref="AJ58:AJ87">
    <cfRule type="cellIs" dxfId="513" priority="2412" operator="equal">
      <formula>0</formula>
    </cfRule>
  </conditionalFormatting>
  <conditionalFormatting sqref="AJ85:AJ87">
    <cfRule type="expression" dxfId="512" priority="2411">
      <formula>AL85=""</formula>
    </cfRule>
  </conditionalFormatting>
  <conditionalFormatting sqref="AJ103:AJ132">
    <cfRule type="cellIs" dxfId="511" priority="2341" operator="equal">
      <formula>0</formula>
    </cfRule>
  </conditionalFormatting>
  <conditionalFormatting sqref="AJ130:AJ132">
    <cfRule type="expression" dxfId="510" priority="2340">
      <formula>AL130=""</formula>
    </cfRule>
  </conditionalFormatting>
  <conditionalFormatting sqref="AJ148:AJ177">
    <cfRule type="cellIs" dxfId="509" priority="2270" operator="equal">
      <formula>0</formula>
    </cfRule>
  </conditionalFormatting>
  <conditionalFormatting sqref="AJ175:AJ177">
    <cfRule type="expression" dxfId="508" priority="2269">
      <formula>AL175=""</formula>
    </cfRule>
  </conditionalFormatting>
  <conditionalFormatting sqref="AJ193:AJ222">
    <cfRule type="cellIs" dxfId="507" priority="2199" operator="equal">
      <formula>0</formula>
    </cfRule>
  </conditionalFormatting>
  <conditionalFormatting sqref="AJ220:AJ222">
    <cfRule type="expression" dxfId="506" priority="2198">
      <formula>AL220=""</formula>
    </cfRule>
  </conditionalFormatting>
  <conditionalFormatting sqref="AJ238:AJ267">
    <cfRule type="cellIs" dxfId="505" priority="2128" operator="equal">
      <formula>0</formula>
    </cfRule>
  </conditionalFormatting>
  <conditionalFormatting sqref="AJ265:AJ267">
    <cfRule type="expression" dxfId="504" priority="2127">
      <formula>AL265=""</formula>
    </cfRule>
  </conditionalFormatting>
  <conditionalFormatting sqref="AJ283:AJ312">
    <cfRule type="cellIs" dxfId="503" priority="2057" operator="equal">
      <formula>0</formula>
    </cfRule>
  </conditionalFormatting>
  <conditionalFormatting sqref="AJ310:AJ312">
    <cfRule type="expression" dxfId="502" priority="2056">
      <formula>AL310=""</formula>
    </cfRule>
  </conditionalFormatting>
  <conditionalFormatting sqref="AJ328:AJ357">
    <cfRule type="cellIs" dxfId="501" priority="1986" operator="equal">
      <formula>0</formula>
    </cfRule>
  </conditionalFormatting>
  <conditionalFormatting sqref="AJ355:AJ357">
    <cfRule type="expression" dxfId="500" priority="1985">
      <formula>AL355=""</formula>
    </cfRule>
  </conditionalFormatting>
  <conditionalFormatting sqref="AJ373:AJ402">
    <cfRule type="cellIs" dxfId="499" priority="1915" operator="equal">
      <formula>0</formula>
    </cfRule>
  </conditionalFormatting>
  <conditionalFormatting sqref="AJ400:AJ402">
    <cfRule type="expression" dxfId="498" priority="1914">
      <formula>AL400=""</formula>
    </cfRule>
  </conditionalFormatting>
  <conditionalFormatting sqref="AJ418:AJ447">
    <cfRule type="cellIs" dxfId="497" priority="1844" operator="equal">
      <formula>0</formula>
    </cfRule>
  </conditionalFormatting>
  <conditionalFormatting sqref="AJ445:AJ447">
    <cfRule type="expression" dxfId="496" priority="1843">
      <formula>AL445=""</formula>
    </cfRule>
  </conditionalFormatting>
  <conditionalFormatting sqref="AJ463:AJ492">
    <cfRule type="cellIs" dxfId="495" priority="1773" operator="equal">
      <formula>0</formula>
    </cfRule>
  </conditionalFormatting>
  <conditionalFormatting sqref="AJ490:AJ492">
    <cfRule type="expression" dxfId="494" priority="1772">
      <formula>AL490=""</formula>
    </cfRule>
  </conditionalFormatting>
  <conditionalFormatting sqref="AJ508:AJ537">
    <cfRule type="cellIs" dxfId="493" priority="1702" operator="equal">
      <formula>0</formula>
    </cfRule>
  </conditionalFormatting>
  <conditionalFormatting sqref="AJ535:AJ537">
    <cfRule type="expression" dxfId="492" priority="1701">
      <formula>AL535=""</formula>
    </cfRule>
  </conditionalFormatting>
  <conditionalFormatting sqref="AJ13:AK13 AK15 AK17 AK19 AK21 AK23 AK25 AK27 AK29 AK31 AK33 AK35 AK37 AK39 AK41">
    <cfRule type="cellIs" dxfId="491" priority="3500" operator="equal">
      <formula>0</formula>
    </cfRule>
  </conditionalFormatting>
  <conditionalFormatting sqref="AK58 AK60 AK62 AK64 AK66 AK68 AK70 AK72 AK74 AK76 AK78 AK80 AK82 AK84 AK86">
    <cfRule type="cellIs" dxfId="490" priority="323" operator="equal">
      <formula>0</formula>
    </cfRule>
  </conditionalFormatting>
  <conditionalFormatting sqref="AK103 AK105 AK107 AK109 AK111 AK113 AK115 AK117 AK119 AK121 AK123 AK125 AK127 AK129 AK131">
    <cfRule type="cellIs" dxfId="489" priority="322" operator="equal">
      <formula>0</formula>
    </cfRule>
  </conditionalFormatting>
  <conditionalFormatting sqref="AK148 AK150 AK152 AK154 AK156 AK158 AK160 AK162 AK164 AK166 AK168 AK170 AK172 AK174 AK176">
    <cfRule type="cellIs" dxfId="488" priority="321" operator="equal">
      <formula>0</formula>
    </cfRule>
  </conditionalFormatting>
  <conditionalFormatting sqref="AK193 AK195 AK197 AK199 AK201 AK203 AK205 AK207 AK209 AK211 AK213 AK215 AK217 AK219 AK221">
    <cfRule type="cellIs" dxfId="487" priority="320" operator="equal">
      <formula>0</formula>
    </cfRule>
  </conditionalFormatting>
  <conditionalFormatting sqref="AK238 AK240 AK242 AK244 AK246 AK248 AK250 AK252 AK254 AK256 AK258 AK260 AK262 AK264 AK266">
    <cfRule type="cellIs" dxfId="486" priority="319" operator="equal">
      <formula>0</formula>
    </cfRule>
  </conditionalFormatting>
  <conditionalFormatting sqref="AK283 AK285 AK287 AK289 AK291 AK293 AK295 AK297 AK299 AK301 AK303 AK305 AK307 AK309 AK311">
    <cfRule type="cellIs" dxfId="485" priority="318" operator="equal">
      <formula>0</formula>
    </cfRule>
  </conditionalFormatting>
  <conditionalFormatting sqref="AK328 AK330 AK332 AK334 AK336 AK338 AK340 AK342 AK344 AK346 AK348 AK350 AK352 AK354 AK356">
    <cfRule type="cellIs" dxfId="484" priority="317" operator="equal">
      <formula>0</formula>
    </cfRule>
  </conditionalFormatting>
  <conditionalFormatting sqref="AK373 AK375 AK377 AK379 AK381 AK383 AK385 AK387 AK389 AK391 AK393 AK395 AK397 AK399 AK401">
    <cfRule type="cellIs" dxfId="483" priority="316" operator="equal">
      <formula>0</formula>
    </cfRule>
  </conditionalFormatting>
  <conditionalFormatting sqref="AK418 AK420 AK422 AK424 AK426 AK428 AK430 AK432 AK434 AK436 AK438 AK440 AK442 AK444 AK446">
    <cfRule type="cellIs" dxfId="482" priority="315" operator="equal">
      <formula>0</formula>
    </cfRule>
  </conditionalFormatting>
  <conditionalFormatting sqref="AK463 AK465 AK467 AK469 AK471 AK473 AK475 AK477 AK479 AK481 AK483 AK485 AK487 AK489 AK491">
    <cfRule type="cellIs" dxfId="481" priority="314" operator="equal">
      <formula>0</formula>
    </cfRule>
  </conditionalFormatting>
  <conditionalFormatting sqref="AK508 AK510 AK512 AK514 AK516 AK518 AK520 AK522 AK524 AK526 AK528 AK530 AK532 AK534 AK536">
    <cfRule type="cellIs" dxfId="480" priority="313" operator="equal">
      <formula>0</formula>
    </cfRule>
  </conditionalFormatting>
  <conditionalFormatting sqref="AL12:AL42">
    <cfRule type="expression" dxfId="479" priority="2618">
      <formula>OR(WEEKDAY(AL12,2)=6,WEEKDAY(AL12,2)=7)</formula>
    </cfRule>
    <cfRule type="expression" dxfId="478" priority="2617">
      <formula>WEEKDAY(AL12,2)=7</formula>
    </cfRule>
    <cfRule type="expression" dxfId="477" priority="2619">
      <formula>VLOOKUP(AL12,base_feries,1,FALSE)</formula>
    </cfRule>
  </conditionalFormatting>
  <conditionalFormatting sqref="AL57:AL87">
    <cfRule type="expression" dxfId="476" priority="2468">
      <formula>VLOOKUP(AL57,base_feries,1,FALSE)</formula>
    </cfRule>
    <cfRule type="expression" dxfId="475" priority="2467">
      <formula>OR(WEEKDAY(AL57,2)=6,WEEKDAY(AL57,2)=7)</formula>
    </cfRule>
    <cfRule type="expression" dxfId="474" priority="2466">
      <formula>WEEKDAY(AL57,2)=7</formula>
    </cfRule>
  </conditionalFormatting>
  <conditionalFormatting sqref="AL102:AL132">
    <cfRule type="expression" dxfId="473" priority="2397">
      <formula>VLOOKUP(AL102,base_feries,1,FALSE)</formula>
    </cfRule>
    <cfRule type="expression" dxfId="472" priority="2396">
      <formula>OR(WEEKDAY(AL102,2)=6,WEEKDAY(AL102,2)=7)</formula>
    </cfRule>
    <cfRule type="expression" dxfId="471" priority="2395">
      <formula>WEEKDAY(AL102,2)=7</formula>
    </cfRule>
  </conditionalFormatting>
  <conditionalFormatting sqref="AL147:AL177">
    <cfRule type="expression" dxfId="470" priority="2324">
      <formula>WEEKDAY(AL147,2)=7</formula>
    </cfRule>
    <cfRule type="expression" dxfId="469" priority="2326">
      <formula>VLOOKUP(AL147,base_feries,1,FALSE)</formula>
    </cfRule>
    <cfRule type="expression" dxfId="468" priority="2325">
      <formula>OR(WEEKDAY(AL147,2)=6,WEEKDAY(AL147,2)=7)</formula>
    </cfRule>
  </conditionalFormatting>
  <conditionalFormatting sqref="AL192:AL222">
    <cfRule type="expression" dxfId="467" priority="2255">
      <formula>VLOOKUP(AL192,base_feries,1,FALSE)</formula>
    </cfRule>
    <cfRule type="expression" dxfId="466" priority="2254">
      <formula>OR(WEEKDAY(AL192,2)=6,WEEKDAY(AL192,2)=7)</formula>
    </cfRule>
    <cfRule type="expression" dxfId="465" priority="2253">
      <formula>WEEKDAY(AL192,2)=7</formula>
    </cfRule>
  </conditionalFormatting>
  <conditionalFormatting sqref="AL237:AL267">
    <cfRule type="expression" dxfId="464" priority="2183">
      <formula>OR(WEEKDAY(AL237,2)=6,WEEKDAY(AL237,2)=7)</formula>
    </cfRule>
    <cfRule type="expression" dxfId="463" priority="2184">
      <formula>VLOOKUP(AL237,base_feries,1,FALSE)</formula>
    </cfRule>
    <cfRule type="expression" dxfId="462" priority="2182">
      <formula>WEEKDAY(AL237,2)=7</formula>
    </cfRule>
  </conditionalFormatting>
  <conditionalFormatting sqref="AL282:AL312">
    <cfRule type="expression" dxfId="461" priority="2113">
      <formula>VLOOKUP(AL282,base_feries,1,FALSE)</formula>
    </cfRule>
    <cfRule type="expression" dxfId="460" priority="2112">
      <formula>OR(WEEKDAY(AL282,2)=6,WEEKDAY(AL282,2)=7)</formula>
    </cfRule>
    <cfRule type="expression" dxfId="459" priority="2111">
      <formula>WEEKDAY(AL282,2)=7</formula>
    </cfRule>
  </conditionalFormatting>
  <conditionalFormatting sqref="AL327:AL357">
    <cfRule type="expression" dxfId="458" priority="2040">
      <formula>WEEKDAY(AL327,2)=7</formula>
    </cfRule>
    <cfRule type="expression" dxfId="457" priority="2042">
      <formula>VLOOKUP(AL327,base_feries,1,FALSE)</formula>
    </cfRule>
    <cfRule type="expression" dxfId="456" priority="2041">
      <formula>OR(WEEKDAY(AL327,2)=6,WEEKDAY(AL327,2)=7)</formula>
    </cfRule>
  </conditionalFormatting>
  <conditionalFormatting sqref="AL372:AL402">
    <cfRule type="expression" dxfId="455" priority="1970">
      <formula>OR(WEEKDAY(AL372,2)=6,WEEKDAY(AL372,2)=7)</formula>
    </cfRule>
    <cfRule type="expression" dxfId="454" priority="1969">
      <formula>WEEKDAY(AL372,2)=7</formula>
    </cfRule>
    <cfRule type="expression" dxfId="453" priority="1971">
      <formula>VLOOKUP(AL372,base_feries,1,FALSE)</formula>
    </cfRule>
  </conditionalFormatting>
  <conditionalFormatting sqref="AL417:AL447">
    <cfRule type="expression" dxfId="452" priority="1900">
      <formula>VLOOKUP(AL417,base_feries,1,FALSE)</formula>
    </cfRule>
    <cfRule type="expression" dxfId="451" priority="1899">
      <formula>OR(WEEKDAY(AL417,2)=6,WEEKDAY(AL417,2)=7)</formula>
    </cfRule>
    <cfRule type="expression" dxfId="450" priority="1898">
      <formula>WEEKDAY(AL417,2)=7</formula>
    </cfRule>
  </conditionalFormatting>
  <conditionalFormatting sqref="AL462:AL492">
    <cfRule type="expression" dxfId="449" priority="1827">
      <formula>WEEKDAY(AL462,2)=7</formula>
    </cfRule>
    <cfRule type="expression" dxfId="448" priority="1829">
      <formula>VLOOKUP(AL462,base_feries,1,FALSE)</formula>
    </cfRule>
    <cfRule type="expression" dxfId="447" priority="1828">
      <formula>OR(WEEKDAY(AL462,2)=6,WEEKDAY(AL462,2)=7)</formula>
    </cfRule>
  </conditionalFormatting>
  <conditionalFormatting sqref="AL507:AL537">
    <cfRule type="expression" dxfId="446" priority="1757">
      <formula>OR(WEEKDAY(AL507,2)=6,WEEKDAY(AL507,2)=7)</formula>
    </cfRule>
    <cfRule type="expression" dxfId="445" priority="1756">
      <formula>WEEKDAY(AL507,2)=7</formula>
    </cfRule>
    <cfRule type="expression" dxfId="444" priority="1758">
      <formula>VLOOKUP(AL507,base_feries,1,FALSE)</formula>
    </cfRule>
  </conditionalFormatting>
  <conditionalFormatting sqref="AM12:AM42">
    <cfRule type="expression" dxfId="443" priority="2498">
      <formula>DC12="oui"</formula>
    </cfRule>
    <cfRule type="cellIs" dxfId="442" priority="2499" operator="equal">
      <formula>0</formula>
    </cfRule>
  </conditionalFormatting>
  <conditionalFormatting sqref="AM57:AM87">
    <cfRule type="cellIs" dxfId="441" priority="1661" operator="equal">
      <formula>0</formula>
    </cfRule>
    <cfRule type="expression" dxfId="440" priority="1660">
      <formula>DC57="oui"</formula>
    </cfRule>
  </conditionalFormatting>
  <conditionalFormatting sqref="AM102:AM132">
    <cfRule type="cellIs" dxfId="439" priority="1622" operator="equal">
      <formula>0</formula>
    </cfRule>
    <cfRule type="expression" dxfId="438" priority="1621">
      <formula>DC102="oui"</formula>
    </cfRule>
  </conditionalFormatting>
  <conditionalFormatting sqref="AM147:AM177">
    <cfRule type="cellIs" dxfId="437" priority="1583" operator="equal">
      <formula>0</formula>
    </cfRule>
    <cfRule type="expression" dxfId="436" priority="1582">
      <formula>DC147="oui"</formula>
    </cfRule>
  </conditionalFormatting>
  <conditionalFormatting sqref="AM192:AM222">
    <cfRule type="expression" dxfId="435" priority="1543">
      <formula>DC192="oui"</formula>
    </cfRule>
    <cfRule type="cellIs" dxfId="434" priority="1544" operator="equal">
      <formula>0</formula>
    </cfRule>
  </conditionalFormatting>
  <conditionalFormatting sqref="AM237:AM267">
    <cfRule type="expression" dxfId="433" priority="1504">
      <formula>DC237="oui"</formula>
    </cfRule>
    <cfRule type="cellIs" dxfId="432" priority="1505" operator="equal">
      <formula>0</formula>
    </cfRule>
  </conditionalFormatting>
  <conditionalFormatting sqref="AM282:AM312">
    <cfRule type="cellIs" dxfId="431" priority="1466" operator="equal">
      <formula>0</formula>
    </cfRule>
    <cfRule type="expression" dxfId="430" priority="1465">
      <formula>DC282="oui"</formula>
    </cfRule>
  </conditionalFormatting>
  <conditionalFormatting sqref="AM327:AM357">
    <cfRule type="expression" dxfId="429" priority="1426">
      <formula>DC327="oui"</formula>
    </cfRule>
    <cfRule type="cellIs" dxfId="428" priority="1427" operator="equal">
      <formula>0</formula>
    </cfRule>
  </conditionalFormatting>
  <conditionalFormatting sqref="AM372:AM402">
    <cfRule type="cellIs" dxfId="427" priority="1388" operator="equal">
      <formula>0</formula>
    </cfRule>
    <cfRule type="expression" dxfId="426" priority="1387">
      <formula>DC372="oui"</formula>
    </cfRule>
  </conditionalFormatting>
  <conditionalFormatting sqref="AM417:AM447">
    <cfRule type="cellIs" dxfId="425" priority="1349" operator="equal">
      <formula>0</formula>
    </cfRule>
    <cfRule type="expression" dxfId="424" priority="1348">
      <formula>DC417="oui"</formula>
    </cfRule>
  </conditionalFormatting>
  <conditionalFormatting sqref="AM462:AM492">
    <cfRule type="expression" dxfId="423" priority="1309">
      <formula>DC462="oui"</formula>
    </cfRule>
    <cfRule type="cellIs" dxfId="422" priority="1310" operator="equal">
      <formula>0</formula>
    </cfRule>
  </conditionalFormatting>
  <conditionalFormatting sqref="AM507:AM537">
    <cfRule type="cellIs" dxfId="421" priority="1271" operator="equal">
      <formula>0</formula>
    </cfRule>
    <cfRule type="expression" dxfId="420" priority="1270">
      <formula>DC507="oui"</formula>
    </cfRule>
  </conditionalFormatting>
  <conditionalFormatting sqref="AN12:AN42">
    <cfRule type="expression" dxfId="419" priority="2504">
      <formula>AL12=""</formula>
    </cfRule>
    <cfRule type="expression" dxfId="418" priority="2509">
      <formula>AQ12&lt;&gt;0</formula>
    </cfRule>
    <cfRule type="expression" dxfId="417" priority="2506">
      <formula>DC12="oui"</formula>
    </cfRule>
  </conditionalFormatting>
  <conditionalFormatting sqref="AN57:AN87">
    <cfRule type="expression" dxfId="416" priority="1671">
      <formula>AQ57&lt;&gt;0</formula>
    </cfRule>
    <cfRule type="expression" dxfId="415" priority="1666">
      <formula>AL57=""</formula>
    </cfRule>
    <cfRule type="expression" dxfId="414" priority="1668">
      <formula>DC57="oui"</formula>
    </cfRule>
  </conditionalFormatting>
  <conditionalFormatting sqref="AN102:AN132">
    <cfRule type="expression" dxfId="413" priority="1627">
      <formula>AL102=""</formula>
    </cfRule>
    <cfRule type="expression" dxfId="412" priority="1632">
      <formula>AQ102&lt;&gt;0</formula>
    </cfRule>
    <cfRule type="expression" dxfId="411" priority="1629">
      <formula>DC102="oui"</formula>
    </cfRule>
  </conditionalFormatting>
  <conditionalFormatting sqref="AN147:AN177">
    <cfRule type="expression" dxfId="410" priority="1588">
      <formula>AL147=""</formula>
    </cfRule>
    <cfRule type="expression" dxfId="409" priority="1590">
      <formula>DC147="oui"</formula>
    </cfRule>
    <cfRule type="expression" dxfId="408" priority="1593">
      <formula>AQ147&lt;&gt;0</formula>
    </cfRule>
  </conditionalFormatting>
  <conditionalFormatting sqref="AN192:AN222">
    <cfRule type="expression" dxfId="407" priority="1554">
      <formula>AQ192&lt;&gt;0</formula>
    </cfRule>
    <cfRule type="expression" dxfId="406" priority="1551">
      <formula>DC192="oui"</formula>
    </cfRule>
    <cfRule type="expression" dxfId="405" priority="1549">
      <formula>AL192=""</formula>
    </cfRule>
  </conditionalFormatting>
  <conditionalFormatting sqref="AN237:AN267">
    <cfRule type="expression" dxfId="404" priority="1510">
      <formula>AL237=""</formula>
    </cfRule>
    <cfRule type="expression" dxfId="403" priority="1512">
      <formula>DC237="oui"</formula>
    </cfRule>
    <cfRule type="expression" dxfId="402" priority="1515">
      <formula>AQ237&lt;&gt;0</formula>
    </cfRule>
  </conditionalFormatting>
  <conditionalFormatting sqref="AN282:AN312">
    <cfRule type="expression" dxfId="401" priority="1476">
      <formula>AQ282&lt;&gt;0</formula>
    </cfRule>
    <cfRule type="expression" dxfId="400" priority="1471">
      <formula>AL282=""</formula>
    </cfRule>
    <cfRule type="expression" dxfId="399" priority="1473">
      <formula>DC282="oui"</formula>
    </cfRule>
  </conditionalFormatting>
  <conditionalFormatting sqref="AN327:AN357">
    <cfRule type="expression" dxfId="398" priority="1437">
      <formula>AQ327&lt;&gt;0</formula>
    </cfRule>
    <cfRule type="expression" dxfId="397" priority="1434">
      <formula>DC327="oui"</formula>
    </cfRule>
    <cfRule type="expression" dxfId="396" priority="1432">
      <formula>AL327=""</formula>
    </cfRule>
  </conditionalFormatting>
  <conditionalFormatting sqref="AN372:AN402">
    <cfRule type="expression" dxfId="395" priority="1398">
      <formula>AQ372&lt;&gt;0</formula>
    </cfRule>
    <cfRule type="expression" dxfId="394" priority="1393">
      <formula>AL372=""</formula>
    </cfRule>
    <cfRule type="expression" dxfId="393" priority="1395">
      <formula>DC372="oui"</formula>
    </cfRule>
  </conditionalFormatting>
  <conditionalFormatting sqref="AN417:AN447">
    <cfRule type="expression" dxfId="392" priority="1359">
      <formula>AQ417&lt;&gt;0</formula>
    </cfRule>
    <cfRule type="expression" dxfId="391" priority="1354">
      <formula>AL417=""</formula>
    </cfRule>
    <cfRule type="expression" dxfId="390" priority="1356">
      <formula>DC417="oui"</formula>
    </cfRule>
  </conditionalFormatting>
  <conditionalFormatting sqref="AN462:AN492">
    <cfRule type="expression" dxfId="389" priority="1317">
      <formula>DC462="oui"</formula>
    </cfRule>
    <cfRule type="expression" dxfId="388" priority="1315">
      <formula>AL462=""</formula>
    </cfRule>
    <cfRule type="expression" dxfId="387" priority="1320">
      <formula>AQ462&lt;&gt;0</formula>
    </cfRule>
  </conditionalFormatting>
  <conditionalFormatting sqref="AN507:AN537">
    <cfRule type="expression" dxfId="386" priority="1281">
      <formula>AQ507&lt;&gt;0</formula>
    </cfRule>
    <cfRule type="expression" dxfId="385" priority="1276">
      <formula>AL507=""</formula>
    </cfRule>
    <cfRule type="expression" dxfId="384" priority="1278">
      <formula>DC507="oui"</formula>
    </cfRule>
  </conditionalFormatting>
  <conditionalFormatting sqref="AN12:AO42">
    <cfRule type="cellIs" dxfId="383" priority="2510" operator="equal">
      <formula>0</formula>
    </cfRule>
  </conditionalFormatting>
  <conditionalFormatting sqref="AN57:AO87">
    <cfRule type="cellIs" dxfId="382" priority="1672" operator="equal">
      <formula>0</formula>
    </cfRule>
  </conditionalFormatting>
  <conditionalFormatting sqref="AN102:AO132">
    <cfRule type="cellIs" dxfId="381" priority="1633" operator="equal">
      <formula>0</formula>
    </cfRule>
  </conditionalFormatting>
  <conditionalFormatting sqref="AN147:AO177">
    <cfRule type="cellIs" dxfId="380" priority="1594" operator="equal">
      <formula>0</formula>
    </cfRule>
  </conditionalFormatting>
  <conditionalFormatting sqref="AN192:AO222">
    <cfRule type="cellIs" dxfId="379" priority="1555" operator="equal">
      <formula>0</formula>
    </cfRule>
  </conditionalFormatting>
  <conditionalFormatting sqref="AN237:AO267">
    <cfRule type="cellIs" dxfId="378" priority="1516" operator="equal">
      <formula>0</formula>
    </cfRule>
  </conditionalFormatting>
  <conditionalFormatting sqref="AN282:AO312">
    <cfRule type="cellIs" dxfId="377" priority="1477" operator="equal">
      <formula>0</formula>
    </cfRule>
  </conditionalFormatting>
  <conditionalFormatting sqref="AN327:AO357">
    <cfRule type="cellIs" dxfId="376" priority="1438" operator="equal">
      <formula>0</formula>
    </cfRule>
  </conditionalFormatting>
  <conditionalFormatting sqref="AN372:AO402">
    <cfRule type="cellIs" dxfId="375" priority="1399" operator="equal">
      <formula>0</formula>
    </cfRule>
  </conditionalFormatting>
  <conditionalFormatting sqref="AN417:AO447">
    <cfRule type="cellIs" dxfId="374" priority="1360" operator="equal">
      <formula>0</formula>
    </cfRule>
  </conditionalFormatting>
  <conditionalFormatting sqref="AN462:AO492">
    <cfRule type="cellIs" dxfId="373" priority="1321" operator="equal">
      <formula>0</formula>
    </cfRule>
  </conditionalFormatting>
  <conditionalFormatting sqref="AN507:AO537">
    <cfRule type="cellIs" dxfId="372" priority="1282" operator="equal">
      <formula>0</formula>
    </cfRule>
  </conditionalFormatting>
  <conditionalFormatting sqref="AO12:AO42">
    <cfRule type="expression" dxfId="371" priority="2511">
      <formula>AQ12&lt;&gt;0</formula>
    </cfRule>
    <cfRule type="expression" dxfId="370" priority="2505">
      <formula>AL12=""</formula>
    </cfRule>
    <cfRule type="expression" dxfId="369" priority="2503">
      <formula>DC12="oui"</formula>
    </cfRule>
  </conditionalFormatting>
  <conditionalFormatting sqref="AO57:AO87">
    <cfRule type="expression" dxfId="368" priority="1667">
      <formula>AL57=""</formula>
    </cfRule>
    <cfRule type="expression" dxfId="367" priority="1673">
      <formula>AQ57&lt;&gt;0</formula>
    </cfRule>
    <cfRule type="expression" dxfId="366" priority="1665">
      <formula>DC57="oui"</formula>
    </cfRule>
  </conditionalFormatting>
  <conditionalFormatting sqref="AO102:AO132">
    <cfRule type="expression" dxfId="365" priority="1626">
      <formula>DC102="oui"</formula>
    </cfRule>
    <cfRule type="expression" dxfId="364" priority="1628">
      <formula>AL102=""</formula>
    </cfRule>
    <cfRule type="expression" dxfId="363" priority="1634">
      <formula>AQ102&lt;&gt;0</formula>
    </cfRule>
  </conditionalFormatting>
  <conditionalFormatting sqref="AO147:AO177">
    <cfRule type="expression" dxfId="362" priority="1587">
      <formula>DC147="oui"</formula>
    </cfRule>
    <cfRule type="expression" dxfId="361" priority="1589">
      <formula>AL147=""</formula>
    </cfRule>
    <cfRule type="expression" dxfId="360" priority="1595">
      <formula>AQ147&lt;&gt;0</formula>
    </cfRule>
  </conditionalFormatting>
  <conditionalFormatting sqref="AO192:AO222">
    <cfRule type="expression" dxfId="359" priority="1548">
      <formula>DC192="oui"</formula>
    </cfRule>
    <cfRule type="expression" dxfId="358" priority="1556">
      <formula>AQ192&lt;&gt;0</formula>
    </cfRule>
    <cfRule type="expression" dxfId="357" priority="1550">
      <formula>AL192=""</formula>
    </cfRule>
  </conditionalFormatting>
  <conditionalFormatting sqref="AO237:AO267">
    <cfRule type="expression" dxfId="356" priority="1517">
      <formula>AQ237&lt;&gt;0</formula>
    </cfRule>
    <cfRule type="expression" dxfId="355" priority="1511">
      <formula>AL237=""</formula>
    </cfRule>
    <cfRule type="expression" dxfId="354" priority="1509">
      <formula>DC237="oui"</formula>
    </cfRule>
  </conditionalFormatting>
  <conditionalFormatting sqref="AO282:AO312">
    <cfRule type="expression" dxfId="353" priority="1472">
      <formula>AL282=""</formula>
    </cfRule>
    <cfRule type="expression" dxfId="352" priority="1470">
      <formula>DC282="oui"</formula>
    </cfRule>
    <cfRule type="expression" dxfId="351" priority="1478">
      <formula>AQ282&lt;&gt;0</formula>
    </cfRule>
  </conditionalFormatting>
  <conditionalFormatting sqref="AO327:AO357">
    <cfRule type="expression" dxfId="350" priority="1431">
      <formula>DC327="oui"</formula>
    </cfRule>
    <cfRule type="expression" dxfId="349" priority="1433">
      <formula>AL327=""</formula>
    </cfRule>
    <cfRule type="expression" dxfId="348" priority="1439">
      <formula>AQ327&lt;&gt;0</formula>
    </cfRule>
  </conditionalFormatting>
  <conditionalFormatting sqref="AO372:AO402">
    <cfRule type="expression" dxfId="347" priority="1394">
      <formula>AL372=""</formula>
    </cfRule>
    <cfRule type="expression" dxfId="346" priority="1400">
      <formula>AQ372&lt;&gt;0</formula>
    </cfRule>
    <cfRule type="expression" dxfId="345" priority="1392">
      <formula>DC372="oui"</formula>
    </cfRule>
  </conditionalFormatting>
  <conditionalFormatting sqref="AO417:AO447">
    <cfRule type="expression" dxfId="344" priority="1353">
      <formula>DC417="oui"</formula>
    </cfRule>
    <cfRule type="expression" dxfId="343" priority="1355">
      <formula>AL417=""</formula>
    </cfRule>
    <cfRule type="expression" dxfId="342" priority="1361">
      <formula>AQ417&lt;&gt;0</formula>
    </cfRule>
  </conditionalFormatting>
  <conditionalFormatting sqref="AO462:AO492">
    <cfRule type="expression" dxfId="341" priority="1314">
      <formula>DC462="oui"</formula>
    </cfRule>
    <cfRule type="expression" dxfId="340" priority="1316">
      <formula>AL462=""</formula>
    </cfRule>
    <cfRule type="expression" dxfId="339" priority="1322">
      <formula>AQ462&lt;&gt;0</formula>
    </cfRule>
  </conditionalFormatting>
  <conditionalFormatting sqref="AO507:AO537">
    <cfRule type="expression" dxfId="338" priority="1283">
      <formula>AQ507&lt;&gt;0</formula>
    </cfRule>
    <cfRule type="expression" dxfId="337" priority="1277">
      <formula>AL507=""</formula>
    </cfRule>
    <cfRule type="expression" dxfId="336" priority="1275">
      <formula>DC507="oui"</formula>
    </cfRule>
  </conditionalFormatting>
  <conditionalFormatting sqref="AP12:AP42">
    <cfRule type="expression" dxfId="335" priority="2502">
      <formula>DC12="oui"</formula>
    </cfRule>
    <cfRule type="cellIs" dxfId="334" priority="2507" operator="equal">
      <formula>"ERREUR"</formula>
    </cfRule>
    <cfRule type="cellIs" dxfId="333" priority="2508" operator="equal">
      <formula>0</formula>
    </cfRule>
  </conditionalFormatting>
  <conditionalFormatting sqref="AP57:AP87">
    <cfRule type="expression" dxfId="332" priority="103">
      <formula>DC57="oui"</formula>
    </cfRule>
    <cfRule type="cellIs" dxfId="331" priority="105" operator="equal">
      <formula>0</formula>
    </cfRule>
    <cfRule type="cellIs" dxfId="330" priority="104" operator="equal">
      <formula>"ERREUR"</formula>
    </cfRule>
  </conditionalFormatting>
  <conditionalFormatting sqref="AP102:AP132">
    <cfRule type="cellIs" dxfId="329" priority="96" operator="equal">
      <formula>0</formula>
    </cfRule>
    <cfRule type="cellIs" dxfId="328" priority="95" operator="equal">
      <formula>"ERREUR"</formula>
    </cfRule>
    <cfRule type="expression" dxfId="327" priority="94">
      <formula>DC102="oui"</formula>
    </cfRule>
  </conditionalFormatting>
  <conditionalFormatting sqref="AP147:AP177">
    <cfRule type="expression" dxfId="326" priority="85">
      <formula>DC147="oui"</formula>
    </cfRule>
    <cfRule type="cellIs" dxfId="325" priority="87" operator="equal">
      <formula>0</formula>
    </cfRule>
    <cfRule type="cellIs" dxfId="324" priority="86" operator="equal">
      <formula>"ERREUR"</formula>
    </cfRule>
  </conditionalFormatting>
  <conditionalFormatting sqref="AP192:AP222">
    <cfRule type="cellIs" dxfId="323" priority="78" operator="equal">
      <formula>0</formula>
    </cfRule>
    <cfRule type="cellIs" dxfId="322" priority="77" operator="equal">
      <formula>"ERREUR"</formula>
    </cfRule>
    <cfRule type="expression" dxfId="321" priority="76">
      <formula>DC192="oui"</formula>
    </cfRule>
  </conditionalFormatting>
  <conditionalFormatting sqref="AP237:AP267">
    <cfRule type="expression" dxfId="320" priority="67">
      <formula>DC237="oui"</formula>
    </cfRule>
    <cfRule type="cellIs" dxfId="319" priority="69" operator="equal">
      <formula>0</formula>
    </cfRule>
    <cfRule type="cellIs" dxfId="318" priority="68" operator="equal">
      <formula>"ERREUR"</formula>
    </cfRule>
  </conditionalFormatting>
  <conditionalFormatting sqref="AP282:AP312">
    <cfRule type="cellIs" dxfId="317" priority="59" operator="equal">
      <formula>"ERREUR"</formula>
    </cfRule>
    <cfRule type="expression" dxfId="316" priority="58">
      <formula>DC282="oui"</formula>
    </cfRule>
    <cfRule type="cellIs" dxfId="315" priority="60" operator="equal">
      <formula>0</formula>
    </cfRule>
  </conditionalFormatting>
  <conditionalFormatting sqref="AP327:AP357">
    <cfRule type="cellIs" dxfId="314" priority="51" operator="equal">
      <formula>0</formula>
    </cfRule>
    <cfRule type="cellIs" dxfId="313" priority="50" operator="equal">
      <formula>"ERREUR"</formula>
    </cfRule>
    <cfRule type="expression" dxfId="312" priority="49">
      <formula>DC327="oui"</formula>
    </cfRule>
  </conditionalFormatting>
  <conditionalFormatting sqref="AP372:AP402">
    <cfRule type="cellIs" dxfId="311" priority="42" operator="equal">
      <formula>0</formula>
    </cfRule>
    <cfRule type="cellIs" dxfId="310" priority="41" operator="equal">
      <formula>"ERREUR"</formula>
    </cfRule>
    <cfRule type="expression" dxfId="309" priority="40">
      <formula>DC372="oui"</formula>
    </cfRule>
  </conditionalFormatting>
  <conditionalFormatting sqref="AP417:AP447">
    <cfRule type="cellIs" dxfId="308" priority="32" operator="equal">
      <formula>"ERREUR"</formula>
    </cfRule>
    <cfRule type="cellIs" dxfId="307" priority="33" operator="equal">
      <formula>0</formula>
    </cfRule>
    <cfRule type="expression" dxfId="306" priority="31">
      <formula>DC417="oui"</formula>
    </cfRule>
  </conditionalFormatting>
  <conditionalFormatting sqref="AP462:AP492">
    <cfRule type="expression" dxfId="305" priority="22">
      <formula>DC462="oui"</formula>
    </cfRule>
    <cfRule type="cellIs" dxfId="304" priority="23" operator="equal">
      <formula>"ERREUR"</formula>
    </cfRule>
    <cfRule type="cellIs" dxfId="303" priority="24" operator="equal">
      <formula>0</formula>
    </cfRule>
  </conditionalFormatting>
  <conditionalFormatting sqref="AP507:AP537">
    <cfRule type="expression" dxfId="302" priority="13">
      <formula>DC507="oui"</formula>
    </cfRule>
    <cfRule type="cellIs" dxfId="301" priority="14" operator="equal">
      <formula>"ERREUR"</formula>
    </cfRule>
    <cfRule type="cellIs" dxfId="300" priority="15" operator="equal">
      <formula>0</formula>
    </cfRule>
  </conditionalFormatting>
  <conditionalFormatting sqref="AR12:AR42">
    <cfRule type="expression" dxfId="299" priority="618">
      <formula>AND(AR12&lt;&gt;"",AT12&lt;&gt;"")</formula>
    </cfRule>
    <cfRule type="expression" dxfId="298" priority="617">
      <formula>DK12=10</formula>
    </cfRule>
  </conditionalFormatting>
  <conditionalFormatting sqref="AR57:AR87">
    <cfRule type="expression" dxfId="297" priority="613">
      <formula>DK57=10</formula>
    </cfRule>
    <cfRule type="expression" dxfId="296" priority="614">
      <formula>AND(AR57&lt;&gt;"",AT57&lt;&gt;"")</formula>
    </cfRule>
  </conditionalFormatting>
  <conditionalFormatting sqref="AR102:AR132">
    <cfRule type="expression" dxfId="295" priority="609">
      <formula>DK102=10</formula>
    </cfRule>
    <cfRule type="expression" dxfId="294" priority="610">
      <formula>AND(AR102&lt;&gt;"",AT102&lt;&gt;"")</formula>
    </cfRule>
  </conditionalFormatting>
  <conditionalFormatting sqref="AR147:AR177">
    <cfRule type="expression" dxfId="293" priority="605">
      <formula>DK147=10</formula>
    </cfRule>
    <cfRule type="expression" dxfId="292" priority="606">
      <formula>AND(AR147&lt;&gt;"",AT147&lt;&gt;"")</formula>
    </cfRule>
  </conditionalFormatting>
  <conditionalFormatting sqref="AR192:AR222">
    <cfRule type="expression" dxfId="291" priority="601">
      <formula>DK192=10</formula>
    </cfRule>
    <cfRule type="expression" dxfId="290" priority="602">
      <formula>AND(AR192&lt;&gt;"",AT192&lt;&gt;"")</formula>
    </cfRule>
  </conditionalFormatting>
  <conditionalFormatting sqref="AR237:AR267">
    <cfRule type="expression" dxfId="289" priority="597">
      <formula>DK237=10</formula>
    </cfRule>
    <cfRule type="expression" dxfId="288" priority="598">
      <formula>AND(AR237&lt;&gt;"",AT237&lt;&gt;"")</formula>
    </cfRule>
  </conditionalFormatting>
  <conditionalFormatting sqref="AR282:AR312">
    <cfRule type="expression" dxfId="287" priority="594">
      <formula>AND(AR282&lt;&gt;"",AT282&lt;&gt;"")</formula>
    </cfRule>
    <cfRule type="expression" dxfId="286" priority="593">
      <formula>DK282=10</formula>
    </cfRule>
  </conditionalFormatting>
  <conditionalFormatting sqref="AR327:AR357">
    <cfRule type="expression" dxfId="285" priority="590">
      <formula>AND(AR327&lt;&gt;"",AT327&lt;&gt;"")</formula>
    </cfRule>
    <cfRule type="expression" dxfId="284" priority="589">
      <formula>DK327=10</formula>
    </cfRule>
  </conditionalFormatting>
  <conditionalFormatting sqref="AR372:AR402">
    <cfRule type="expression" dxfId="283" priority="586">
      <formula>AND(AR372&lt;&gt;"",AT372&lt;&gt;"")</formula>
    </cfRule>
    <cfRule type="expression" dxfId="282" priority="585">
      <formula>DK372=10</formula>
    </cfRule>
  </conditionalFormatting>
  <conditionalFormatting sqref="AR417:AR447">
    <cfRule type="expression" dxfId="281" priority="582">
      <formula>AND(AR417&lt;&gt;"",AT417&lt;&gt;"")</formula>
    </cfRule>
    <cfRule type="expression" dxfId="280" priority="581">
      <formula>DK417=10</formula>
    </cfRule>
  </conditionalFormatting>
  <conditionalFormatting sqref="AR462:AR492">
    <cfRule type="expression" dxfId="279" priority="578">
      <formula>AND(AR462&lt;&gt;"",AT462&lt;&gt;"")</formula>
    </cfRule>
    <cfRule type="expression" dxfId="278" priority="577">
      <formula>DK462=10</formula>
    </cfRule>
  </conditionalFormatting>
  <conditionalFormatting sqref="AR507:AR537">
    <cfRule type="expression" dxfId="277" priority="574">
      <formula>AND(AR507&lt;&gt;"",AT507&lt;&gt;"")</formula>
    </cfRule>
    <cfRule type="expression" dxfId="276" priority="573">
      <formula>DK507=10</formula>
    </cfRule>
  </conditionalFormatting>
  <conditionalFormatting sqref="AT12:AT42">
    <cfRule type="expression" dxfId="275" priority="1198">
      <formula>DI12=10</formula>
    </cfRule>
    <cfRule type="expression" dxfId="274" priority="1199">
      <formula>AND(AR12&lt;&gt;"",AT12&lt;&gt;"")</formula>
    </cfRule>
  </conditionalFormatting>
  <conditionalFormatting sqref="AT57:AT87">
    <cfRule type="expression" dxfId="273" priority="1195">
      <formula>AND(AR57&lt;&gt;"",AT57&lt;&gt;"")</formula>
    </cfRule>
    <cfRule type="expression" dxfId="272" priority="1194">
      <formula>DI57=10</formula>
    </cfRule>
  </conditionalFormatting>
  <conditionalFormatting sqref="AT85:AT87">
    <cfRule type="expression" dxfId="271" priority="1148">
      <formula>AL85=""</formula>
    </cfRule>
  </conditionalFormatting>
  <conditionalFormatting sqref="AT102:AT132">
    <cfRule type="expression" dxfId="270" priority="1190">
      <formula>DI102=10</formula>
    </cfRule>
    <cfRule type="expression" dxfId="269" priority="1191">
      <formula>AND(AR102&lt;&gt;"",AT102&lt;&gt;"")</formula>
    </cfRule>
  </conditionalFormatting>
  <conditionalFormatting sqref="AT147:AT177">
    <cfRule type="expression" dxfId="268" priority="1183">
      <formula>AND(AR147&lt;&gt;"",AT147&lt;&gt;"")</formula>
    </cfRule>
    <cfRule type="expression" dxfId="267" priority="1182">
      <formula>DI147=10</formula>
    </cfRule>
  </conditionalFormatting>
  <conditionalFormatting sqref="AT192:AT222">
    <cfRule type="expression" dxfId="266" priority="1179">
      <formula>AND(AR192&lt;&gt;"",AT192&lt;&gt;"")</formula>
    </cfRule>
    <cfRule type="expression" dxfId="265" priority="1178">
      <formula>DI192=10</formula>
    </cfRule>
  </conditionalFormatting>
  <conditionalFormatting sqref="AT237:AT267">
    <cfRule type="expression" dxfId="264" priority="1175">
      <formula>AND(AR237&lt;&gt;"",AT237&lt;&gt;"")</formula>
    </cfRule>
    <cfRule type="expression" dxfId="263" priority="1174">
      <formula>DI237=10</formula>
    </cfRule>
  </conditionalFormatting>
  <conditionalFormatting sqref="AT282:AT312">
    <cfRule type="expression" dxfId="262" priority="1171">
      <formula>AND(AR282&lt;&gt;"",AT282&lt;&gt;"")</formula>
    </cfRule>
    <cfRule type="expression" dxfId="261" priority="1170">
      <formula>DI282=10</formula>
    </cfRule>
  </conditionalFormatting>
  <conditionalFormatting sqref="AT327:AT357">
    <cfRule type="expression" dxfId="260" priority="1167">
      <formula>AND(AR327&lt;&gt;"",AT327&lt;&gt;"")</formula>
    </cfRule>
    <cfRule type="expression" dxfId="259" priority="1166">
      <formula>DI327=10</formula>
    </cfRule>
  </conditionalFormatting>
  <conditionalFormatting sqref="AT372:AT402">
    <cfRule type="expression" dxfId="258" priority="1162">
      <formula>DI372=10</formula>
    </cfRule>
    <cfRule type="expression" dxfId="257" priority="1163">
      <formula>AND(AR372&lt;&gt;"",AT372&lt;&gt;"")</formula>
    </cfRule>
  </conditionalFormatting>
  <conditionalFormatting sqref="AT417:AT447">
    <cfRule type="expression" dxfId="256" priority="1158">
      <formula>DI417=10</formula>
    </cfRule>
    <cfRule type="expression" dxfId="255" priority="1159">
      <formula>AND(AR417&lt;&gt;"",AT417&lt;&gt;"")</formula>
    </cfRule>
  </conditionalFormatting>
  <conditionalFormatting sqref="AT462:AT492">
    <cfRule type="expression" dxfId="254" priority="1154">
      <formula>DI462=10</formula>
    </cfRule>
    <cfRule type="expression" dxfId="253" priority="1155">
      <formula>AND(AR462&lt;&gt;"",AT462&lt;&gt;"")</formula>
    </cfRule>
  </conditionalFormatting>
  <conditionalFormatting sqref="AT507:AT537">
    <cfRule type="expression" dxfId="252" priority="1150">
      <formula>DI507=10</formula>
    </cfRule>
    <cfRule type="expression" dxfId="251" priority="1151">
      <formula>AND(AR507&lt;&gt;"",AT507&lt;&gt;"")</formula>
    </cfRule>
  </conditionalFormatting>
  <conditionalFormatting sqref="AU40:AU42">
    <cfRule type="expression" dxfId="250" priority="2489">
      <formula>AM40=""</formula>
    </cfRule>
    <cfRule type="expression" dxfId="249" priority="2491">
      <formula>AND(AS40&lt;&gt;"",AU40&lt;&gt;"")</formula>
    </cfRule>
  </conditionalFormatting>
  <conditionalFormatting sqref="AU85:AU87">
    <cfRule type="expression" dxfId="248" priority="2420">
      <formula>AND(AU85&lt;&gt;"",AW85&lt;&gt;"")</formula>
    </cfRule>
    <cfRule type="expression" dxfId="247" priority="2409">
      <formula>AL85=""</formula>
    </cfRule>
  </conditionalFormatting>
  <conditionalFormatting sqref="AU86:AU87">
    <cfRule type="expression" dxfId="246" priority="2418">
      <formula>AM86=""</formula>
    </cfRule>
  </conditionalFormatting>
  <conditionalFormatting sqref="AU130:AU132">
    <cfRule type="expression" dxfId="245" priority="2338">
      <formula>AL130=""</formula>
    </cfRule>
    <cfRule type="expression" dxfId="244" priority="2349">
      <formula>AND(AU130&lt;&gt;"",AW130&lt;&gt;"")</formula>
    </cfRule>
  </conditionalFormatting>
  <conditionalFormatting sqref="AU131:AU132">
    <cfRule type="expression" dxfId="243" priority="2347">
      <formula>AM131=""</formula>
    </cfRule>
  </conditionalFormatting>
  <conditionalFormatting sqref="AU175:AU177">
    <cfRule type="expression" dxfId="242" priority="2267">
      <formula>AL175=""</formula>
    </cfRule>
    <cfRule type="expression" dxfId="241" priority="2278">
      <formula>AND(AU175&lt;&gt;"",AW175&lt;&gt;"")</formula>
    </cfRule>
  </conditionalFormatting>
  <conditionalFormatting sqref="AU176:AU177">
    <cfRule type="expression" dxfId="240" priority="2276">
      <formula>AM176=""</formula>
    </cfRule>
  </conditionalFormatting>
  <conditionalFormatting sqref="AU220:AU222">
    <cfRule type="expression" dxfId="239" priority="2196">
      <formula>AL220=""</formula>
    </cfRule>
    <cfRule type="expression" dxfId="238" priority="2207">
      <formula>AND(AU220&lt;&gt;"",AW220&lt;&gt;"")</formula>
    </cfRule>
  </conditionalFormatting>
  <conditionalFormatting sqref="AU221:AU222">
    <cfRule type="expression" dxfId="237" priority="2205">
      <formula>AM221=""</formula>
    </cfRule>
  </conditionalFormatting>
  <conditionalFormatting sqref="AU265:AU267">
    <cfRule type="expression" dxfId="236" priority="2136">
      <formula>AND(AU265&lt;&gt;"",AW265&lt;&gt;"")</formula>
    </cfRule>
    <cfRule type="expression" dxfId="235" priority="2125">
      <formula>AL265=""</formula>
    </cfRule>
  </conditionalFormatting>
  <conditionalFormatting sqref="AU266:AU267">
    <cfRule type="expression" dxfId="234" priority="2134">
      <formula>AM266=""</formula>
    </cfRule>
  </conditionalFormatting>
  <conditionalFormatting sqref="AU310:AU312">
    <cfRule type="expression" dxfId="233" priority="2065">
      <formula>AND(AU310&lt;&gt;"",AW310&lt;&gt;"")</formula>
    </cfRule>
    <cfRule type="expression" dxfId="232" priority="2054">
      <formula>AL310=""</formula>
    </cfRule>
  </conditionalFormatting>
  <conditionalFormatting sqref="AU311:AU312">
    <cfRule type="expression" dxfId="231" priority="2063">
      <formula>AM311=""</formula>
    </cfRule>
  </conditionalFormatting>
  <conditionalFormatting sqref="AU355:AU357">
    <cfRule type="expression" dxfId="230" priority="1994">
      <formula>AND(AU355&lt;&gt;"",AW355&lt;&gt;"")</formula>
    </cfRule>
    <cfRule type="expression" dxfId="229" priority="1983">
      <formula>AL355=""</formula>
    </cfRule>
  </conditionalFormatting>
  <conditionalFormatting sqref="AU356:AU357">
    <cfRule type="expression" dxfId="228" priority="1992">
      <formula>AM356=""</formula>
    </cfRule>
  </conditionalFormatting>
  <conditionalFormatting sqref="AU400:AU402">
    <cfRule type="expression" dxfId="227" priority="1912">
      <formula>AL400=""</formula>
    </cfRule>
    <cfRule type="expression" dxfId="226" priority="1923">
      <formula>AND(AU400&lt;&gt;"",AW400&lt;&gt;"")</formula>
    </cfRule>
  </conditionalFormatting>
  <conditionalFormatting sqref="AU401:AU402">
    <cfRule type="expression" dxfId="225" priority="1921">
      <formula>AM401=""</formula>
    </cfRule>
  </conditionalFormatting>
  <conditionalFormatting sqref="AU445:AU447">
    <cfRule type="expression" dxfId="224" priority="1852">
      <formula>AND(AU445&lt;&gt;"",AW445&lt;&gt;"")</formula>
    </cfRule>
    <cfRule type="expression" dxfId="223" priority="1841">
      <formula>AL445=""</formula>
    </cfRule>
  </conditionalFormatting>
  <conditionalFormatting sqref="AU446:AU447">
    <cfRule type="expression" dxfId="222" priority="1850">
      <formula>AM446=""</formula>
    </cfRule>
  </conditionalFormatting>
  <conditionalFormatting sqref="AU490:AU492">
    <cfRule type="expression" dxfId="221" priority="1770">
      <formula>AL490=""</formula>
    </cfRule>
    <cfRule type="expression" dxfId="220" priority="1781">
      <formula>AND(AU490&lt;&gt;"",AW490&lt;&gt;"")</formula>
    </cfRule>
  </conditionalFormatting>
  <conditionalFormatting sqref="AU491:AU492">
    <cfRule type="expression" dxfId="219" priority="1779">
      <formula>AM491=""</formula>
    </cfRule>
  </conditionalFormatting>
  <conditionalFormatting sqref="AU535:AU537">
    <cfRule type="expression" dxfId="218" priority="1699">
      <formula>AL535=""</formula>
    </cfRule>
    <cfRule type="expression" dxfId="217" priority="1710">
      <formula>AND(AU535&lt;&gt;"",AW535&lt;&gt;"")</formula>
    </cfRule>
  </conditionalFormatting>
  <conditionalFormatting sqref="AU536:AU537">
    <cfRule type="expression" dxfId="216" priority="1708">
      <formula>AM536=""</formula>
    </cfRule>
  </conditionalFormatting>
  <conditionalFormatting sqref="AV12:AV42">
    <cfRule type="expression" dxfId="215" priority="415">
      <formula>VLOOKUP(AV12,base_feries,1,FALSE)</formula>
    </cfRule>
    <cfRule type="expression" dxfId="214" priority="414">
      <formula>OR(WEEKDAY(AV12,2)=6,WEEKDAY(AV12,2)=7)</formula>
    </cfRule>
    <cfRule type="expression" dxfId="213" priority="413">
      <formula>WEEKDAY(AV12,2)=7</formula>
    </cfRule>
  </conditionalFormatting>
  <conditionalFormatting sqref="AV57:AV87">
    <cfRule type="expression" dxfId="212" priority="410">
      <formula>WEEKDAY(AV57,2)=7</formula>
    </cfRule>
    <cfRule type="expression" dxfId="211" priority="411">
      <formula>OR(WEEKDAY(AV57,2)=6,WEEKDAY(AV57,2)=7)</formula>
    </cfRule>
    <cfRule type="expression" dxfId="210" priority="412">
      <formula>VLOOKUP(AV57,base_feries,1,FALSE)</formula>
    </cfRule>
  </conditionalFormatting>
  <conditionalFormatting sqref="AV102:AV132">
    <cfRule type="expression" dxfId="209" priority="408">
      <formula>OR(WEEKDAY(AV102,2)=6,WEEKDAY(AV102,2)=7)</formula>
    </cfRule>
    <cfRule type="expression" dxfId="208" priority="409">
      <formula>VLOOKUP(AV102,base_feries,1,FALSE)</formula>
    </cfRule>
    <cfRule type="expression" dxfId="207" priority="407">
      <formula>WEEKDAY(AV102,2)=7</formula>
    </cfRule>
  </conditionalFormatting>
  <conditionalFormatting sqref="AV147:AV177">
    <cfRule type="expression" dxfId="206" priority="406">
      <formula>VLOOKUP(AV147,base_feries,1,FALSE)</formula>
    </cfRule>
    <cfRule type="expression" dxfId="205" priority="405">
      <formula>OR(WEEKDAY(AV147,2)=6,WEEKDAY(AV147,2)=7)</formula>
    </cfRule>
    <cfRule type="expression" dxfId="204" priority="404">
      <formula>WEEKDAY(AV147,2)=7</formula>
    </cfRule>
  </conditionalFormatting>
  <conditionalFormatting sqref="AV192:AV222">
    <cfRule type="expression" dxfId="203" priority="403">
      <formula>VLOOKUP(AV192,base_feries,1,FALSE)</formula>
    </cfRule>
    <cfRule type="expression" dxfId="202" priority="402">
      <formula>OR(WEEKDAY(AV192,2)=6,WEEKDAY(AV192,2)=7)</formula>
    </cfRule>
    <cfRule type="expression" dxfId="201" priority="401">
      <formula>WEEKDAY(AV192,2)=7</formula>
    </cfRule>
  </conditionalFormatting>
  <conditionalFormatting sqref="AV237:AV267">
    <cfRule type="expression" dxfId="200" priority="398">
      <formula>WEEKDAY(AV237,2)=7</formula>
    </cfRule>
    <cfRule type="expression" dxfId="199" priority="400">
      <formula>VLOOKUP(AV237,base_feries,1,FALSE)</formula>
    </cfRule>
    <cfRule type="expression" dxfId="198" priority="399">
      <formula>OR(WEEKDAY(AV237,2)=6,WEEKDAY(AV237,2)=7)</formula>
    </cfRule>
  </conditionalFormatting>
  <conditionalFormatting sqref="AV282:AV312">
    <cfRule type="expression" dxfId="197" priority="397">
      <formula>VLOOKUP(AV282,base_feries,1,FALSE)</formula>
    </cfRule>
    <cfRule type="expression" dxfId="196" priority="395">
      <formula>WEEKDAY(AV282,2)=7</formula>
    </cfRule>
    <cfRule type="expression" dxfId="195" priority="396">
      <formula>OR(WEEKDAY(AV282,2)=6,WEEKDAY(AV282,2)=7)</formula>
    </cfRule>
  </conditionalFormatting>
  <conditionalFormatting sqref="AV327:AV357">
    <cfRule type="expression" dxfId="194" priority="394">
      <formula>VLOOKUP(AV327,base_feries,1,FALSE)</formula>
    </cfRule>
    <cfRule type="expression" dxfId="193" priority="392">
      <formula>WEEKDAY(AV327,2)=7</formula>
    </cfRule>
    <cfRule type="expression" dxfId="192" priority="393">
      <formula>OR(WEEKDAY(AV327,2)=6,WEEKDAY(AV327,2)=7)</formula>
    </cfRule>
  </conditionalFormatting>
  <conditionalFormatting sqref="AV372:AV402">
    <cfRule type="expression" dxfId="191" priority="389">
      <formula>WEEKDAY(AV372,2)=7</formula>
    </cfRule>
    <cfRule type="expression" dxfId="190" priority="390">
      <formula>OR(WEEKDAY(AV372,2)=6,WEEKDAY(AV372,2)=7)</formula>
    </cfRule>
    <cfRule type="expression" dxfId="189" priority="391">
      <formula>VLOOKUP(AV372,base_feries,1,FALSE)</formula>
    </cfRule>
  </conditionalFormatting>
  <conditionalFormatting sqref="AV417:AV447">
    <cfRule type="expression" dxfId="188" priority="386">
      <formula>WEEKDAY(AV417,2)=7</formula>
    </cfRule>
    <cfRule type="expression" dxfId="187" priority="387">
      <formula>OR(WEEKDAY(AV417,2)=6,WEEKDAY(AV417,2)=7)</formula>
    </cfRule>
    <cfRule type="expression" dxfId="186" priority="388">
      <formula>VLOOKUP(AV417,base_feries,1,FALSE)</formula>
    </cfRule>
  </conditionalFormatting>
  <conditionalFormatting sqref="AV462:AV492">
    <cfRule type="expression" dxfId="185" priority="384">
      <formula>OR(WEEKDAY(AV462,2)=6,WEEKDAY(AV462,2)=7)</formula>
    </cfRule>
    <cfRule type="expression" dxfId="184" priority="385">
      <formula>VLOOKUP(AV462,base_feries,1,FALSE)</formula>
    </cfRule>
    <cfRule type="expression" dxfId="183" priority="383">
      <formula>WEEKDAY(AV462,2)=7</formula>
    </cfRule>
  </conditionalFormatting>
  <conditionalFormatting sqref="AV507:AV537">
    <cfRule type="expression" dxfId="182" priority="380">
      <formula>WEEKDAY(AV507,2)=7</formula>
    </cfRule>
    <cfRule type="expression" dxfId="181" priority="381">
      <formula>OR(WEEKDAY(AV507,2)=6,WEEKDAY(AV507,2)=7)</formula>
    </cfRule>
    <cfRule type="expression" dxfId="180" priority="382">
      <formula>VLOOKUP(AV507,base_feries,1,FALSE)</formula>
    </cfRule>
  </conditionalFormatting>
  <conditionalFormatting sqref="AY12:AY42">
    <cfRule type="expression" dxfId="179" priority="3056">
      <formula>BG12="oui"</formula>
    </cfRule>
  </conditionalFormatting>
  <conditionalFormatting sqref="AY57:AY87">
    <cfRule type="expression" dxfId="178" priority="2472">
      <formula>BG57="oui"</formula>
    </cfRule>
  </conditionalFormatting>
  <conditionalFormatting sqref="AY102:AY132">
    <cfRule type="expression" dxfId="177" priority="2401">
      <formula>BG102="oui"</formula>
    </cfRule>
  </conditionalFormatting>
  <conditionalFormatting sqref="AY147:AY177">
    <cfRule type="expression" dxfId="176" priority="2330">
      <formula>BG147="oui"</formula>
    </cfRule>
  </conditionalFormatting>
  <conditionalFormatting sqref="AY192:AY222">
    <cfRule type="expression" dxfId="175" priority="2259">
      <formula>BG192="oui"</formula>
    </cfRule>
  </conditionalFormatting>
  <conditionalFormatting sqref="AY237:AY267">
    <cfRule type="expression" dxfId="174" priority="2188">
      <formula>BG237="oui"</formula>
    </cfRule>
  </conditionalFormatting>
  <conditionalFormatting sqref="AY282:AY312">
    <cfRule type="expression" dxfId="173" priority="2117">
      <formula>BG282="oui"</formula>
    </cfRule>
  </conditionalFormatting>
  <conditionalFormatting sqref="AY327:AY357">
    <cfRule type="expression" dxfId="172" priority="2046">
      <formula>BG327="oui"</formula>
    </cfRule>
  </conditionalFormatting>
  <conditionalFormatting sqref="AY372:AY402">
    <cfRule type="expression" dxfId="171" priority="1975">
      <formula>BG372="oui"</formula>
    </cfRule>
  </conditionalFormatting>
  <conditionalFormatting sqref="AY417:AY447">
    <cfRule type="expression" dxfId="170" priority="1904">
      <formula>BG417="oui"</formula>
    </cfRule>
  </conditionalFormatting>
  <conditionalFormatting sqref="AY462:AY492">
    <cfRule type="expression" dxfId="169" priority="1833">
      <formula>BG462="oui"</formula>
    </cfRule>
  </conditionalFormatting>
  <conditionalFormatting sqref="AY507:AY537">
    <cfRule type="expression" dxfId="168" priority="1762">
      <formula>BG507="oui"</formula>
    </cfRule>
  </conditionalFormatting>
  <conditionalFormatting sqref="AZ12:AZ42">
    <cfRule type="expression" dxfId="167" priority="3057">
      <formula>BF12="ERREUR"</formula>
    </cfRule>
    <cfRule type="expression" dxfId="166" priority="3055">
      <formula>BG12="oui"</formula>
    </cfRule>
    <cfRule type="cellIs" dxfId="165" priority="3058" operator="equal">
      <formula>"OUI"</formula>
    </cfRule>
  </conditionalFormatting>
  <conditionalFormatting sqref="AZ57:AZ87">
    <cfRule type="cellIs" dxfId="164" priority="2474" operator="equal">
      <formula>"OUI"</formula>
    </cfRule>
    <cfRule type="expression" dxfId="163" priority="2473">
      <formula>BF57="ERREUR"</formula>
    </cfRule>
    <cfRule type="expression" dxfId="162" priority="2471">
      <formula>BG57="oui"</formula>
    </cfRule>
  </conditionalFormatting>
  <conditionalFormatting sqref="AZ102:AZ132">
    <cfRule type="cellIs" dxfId="161" priority="2403" operator="equal">
      <formula>"OUI"</formula>
    </cfRule>
    <cfRule type="expression" dxfId="160" priority="2402">
      <formula>BF102="ERREUR"</formula>
    </cfRule>
    <cfRule type="expression" dxfId="159" priority="2400">
      <formula>BG102="oui"</formula>
    </cfRule>
  </conditionalFormatting>
  <conditionalFormatting sqref="AZ147:AZ177">
    <cfRule type="expression" dxfId="158" priority="2329">
      <formula>BG147="oui"</formula>
    </cfRule>
    <cfRule type="expression" dxfId="157" priority="2331">
      <formula>BF147="ERREUR"</formula>
    </cfRule>
    <cfRule type="cellIs" dxfId="156" priority="2332" operator="equal">
      <formula>"OUI"</formula>
    </cfRule>
  </conditionalFormatting>
  <conditionalFormatting sqref="AZ192:AZ222">
    <cfRule type="expression" dxfId="155" priority="2258">
      <formula>BG192="oui"</formula>
    </cfRule>
    <cfRule type="cellIs" dxfId="154" priority="2261" operator="equal">
      <formula>"OUI"</formula>
    </cfRule>
    <cfRule type="expression" dxfId="153" priority="2260">
      <formula>BF192="ERREUR"</formula>
    </cfRule>
  </conditionalFormatting>
  <conditionalFormatting sqref="AZ237:AZ267">
    <cfRule type="expression" dxfId="152" priority="2189">
      <formula>BF237="ERREUR"</formula>
    </cfRule>
    <cfRule type="cellIs" dxfId="151" priority="2190" operator="equal">
      <formula>"OUI"</formula>
    </cfRule>
    <cfRule type="expression" dxfId="150" priority="2187">
      <formula>BG237="oui"</formula>
    </cfRule>
  </conditionalFormatting>
  <conditionalFormatting sqref="AZ282:AZ312">
    <cfRule type="expression" dxfId="149" priority="2116">
      <formula>BG282="oui"</formula>
    </cfRule>
    <cfRule type="expression" dxfId="148" priority="2118">
      <formula>BF282="ERREUR"</formula>
    </cfRule>
    <cfRule type="cellIs" dxfId="147" priority="2119" operator="equal">
      <formula>"OUI"</formula>
    </cfRule>
  </conditionalFormatting>
  <conditionalFormatting sqref="AZ327:AZ357">
    <cfRule type="expression" dxfId="146" priority="2045">
      <formula>BG327="oui"</formula>
    </cfRule>
    <cfRule type="expression" dxfId="145" priority="2047">
      <formula>BF327="ERREUR"</formula>
    </cfRule>
    <cfRule type="cellIs" dxfId="144" priority="2048" operator="equal">
      <formula>"OUI"</formula>
    </cfRule>
  </conditionalFormatting>
  <conditionalFormatting sqref="AZ372:AZ402">
    <cfRule type="cellIs" dxfId="143" priority="1977" operator="equal">
      <formula>"OUI"</formula>
    </cfRule>
    <cfRule type="expression" dxfId="142" priority="1976">
      <formula>BF372="ERREUR"</formula>
    </cfRule>
    <cfRule type="expression" dxfId="141" priority="1974">
      <formula>BG372="oui"</formula>
    </cfRule>
  </conditionalFormatting>
  <conditionalFormatting sqref="AZ417:AZ447">
    <cfRule type="expression" dxfId="140" priority="1903">
      <formula>BG417="oui"</formula>
    </cfRule>
    <cfRule type="cellIs" dxfId="139" priority="1906" operator="equal">
      <formula>"OUI"</formula>
    </cfRule>
    <cfRule type="expression" dxfId="138" priority="1905">
      <formula>BF417="ERREUR"</formula>
    </cfRule>
  </conditionalFormatting>
  <conditionalFormatting sqref="AZ462:AZ492">
    <cfRule type="expression" dxfId="137" priority="1834">
      <formula>BF462="ERREUR"</formula>
    </cfRule>
    <cfRule type="cellIs" dxfId="136" priority="1835" operator="equal">
      <formula>"OUI"</formula>
    </cfRule>
    <cfRule type="expression" dxfId="135" priority="1832">
      <formula>BG462="oui"</formula>
    </cfRule>
  </conditionalFormatting>
  <conditionalFormatting sqref="AZ507:AZ537">
    <cfRule type="expression" dxfId="134" priority="1763">
      <formula>BF507="ERREUR"</formula>
    </cfRule>
    <cfRule type="cellIs" dxfId="133" priority="1764" operator="equal">
      <formula>"OUI"</formula>
    </cfRule>
    <cfRule type="expression" dxfId="132" priority="1761">
      <formula>BG507="oui"</formula>
    </cfRule>
  </conditionalFormatting>
  <conditionalFormatting sqref="BB12:BB42">
    <cfRule type="expression" dxfId="131" priority="2882">
      <formula>BG12="oui"</formula>
    </cfRule>
  </conditionalFormatting>
  <conditionalFormatting sqref="BB57:BB87">
    <cfRule type="expression" dxfId="130" priority="2470">
      <formula>BG57="oui"</formula>
    </cfRule>
  </conditionalFormatting>
  <conditionalFormatting sqref="BB102:BB132">
    <cfRule type="expression" dxfId="129" priority="2399">
      <formula>BG102="oui"</formula>
    </cfRule>
  </conditionalFormatting>
  <conditionalFormatting sqref="BB147:BB177">
    <cfRule type="expression" dxfId="128" priority="2328">
      <formula>BG147="oui"</formula>
    </cfRule>
  </conditionalFormatting>
  <conditionalFormatting sqref="BB192:BB222">
    <cfRule type="expression" dxfId="127" priority="2257">
      <formula>BG192="oui"</formula>
    </cfRule>
  </conditionalFormatting>
  <conditionalFormatting sqref="BB237:BB267">
    <cfRule type="expression" dxfId="126" priority="2186">
      <formula>BG237="oui"</formula>
    </cfRule>
  </conditionalFormatting>
  <conditionalFormatting sqref="BB282:BB312">
    <cfRule type="expression" dxfId="125" priority="2115">
      <formula>BG282="oui"</formula>
    </cfRule>
  </conditionalFormatting>
  <conditionalFormatting sqref="BB327:BB357">
    <cfRule type="expression" dxfId="124" priority="2044">
      <formula>BG327="oui"</formula>
    </cfRule>
  </conditionalFormatting>
  <conditionalFormatting sqref="BB372:BB402">
    <cfRule type="expression" dxfId="123" priority="1973">
      <formula>BG372="oui"</formula>
    </cfRule>
  </conditionalFormatting>
  <conditionalFormatting sqref="BB417:BB447">
    <cfRule type="expression" dxfId="122" priority="1902">
      <formula>BG417="oui"</formula>
    </cfRule>
  </conditionalFormatting>
  <conditionalFormatting sqref="BB462:BB492">
    <cfRule type="expression" dxfId="121" priority="1831">
      <formula>BG462="oui"</formula>
    </cfRule>
  </conditionalFormatting>
  <conditionalFormatting sqref="BB507:BB537">
    <cfRule type="expression" dxfId="120" priority="1760">
      <formula>BG507="oui"</formula>
    </cfRule>
  </conditionalFormatting>
  <conditionalFormatting sqref="BD12:BD43">
    <cfRule type="expression" dxfId="119" priority="2881">
      <formula>BG12="oui"</formula>
    </cfRule>
  </conditionalFormatting>
  <conditionalFormatting sqref="BD57:BD88">
    <cfRule type="expression" dxfId="118" priority="2469">
      <formula>BG57="oui"</formula>
    </cfRule>
  </conditionalFormatting>
  <conditionalFormatting sqref="BD102:BD133">
    <cfRule type="expression" dxfId="117" priority="2398">
      <formula>BG102="oui"</formula>
    </cfRule>
  </conditionalFormatting>
  <conditionalFormatting sqref="BD147:BD178">
    <cfRule type="expression" dxfId="116" priority="2327">
      <formula>BG147="oui"</formula>
    </cfRule>
  </conditionalFormatting>
  <conditionalFormatting sqref="BD192:BD223">
    <cfRule type="expression" dxfId="115" priority="2256">
      <formula>BG192="oui"</formula>
    </cfRule>
  </conditionalFormatting>
  <conditionalFormatting sqref="BD237:BD268">
    <cfRule type="expression" dxfId="114" priority="2185">
      <formula>BG237="oui"</formula>
    </cfRule>
  </conditionalFormatting>
  <conditionalFormatting sqref="BD282:BD313">
    <cfRule type="expression" dxfId="113" priority="2114">
      <formula>BG282="oui"</formula>
    </cfRule>
  </conditionalFormatting>
  <conditionalFormatting sqref="BD327:BD358">
    <cfRule type="expression" dxfId="112" priority="2043">
      <formula>BG327="oui"</formula>
    </cfRule>
  </conditionalFormatting>
  <conditionalFormatting sqref="BD372:BD403">
    <cfRule type="expression" dxfId="111" priority="1972">
      <formula>BG372="oui"</formula>
    </cfRule>
  </conditionalFormatting>
  <conditionalFormatting sqref="BD417:BD448">
    <cfRule type="expression" dxfId="110" priority="1901">
      <formula>BG417="oui"</formula>
    </cfRule>
  </conditionalFormatting>
  <conditionalFormatting sqref="BD462:BD493">
    <cfRule type="expression" dxfId="109" priority="1830">
      <formula>BG462="oui"</formula>
    </cfRule>
  </conditionalFormatting>
  <conditionalFormatting sqref="BD507:BD538">
    <cfRule type="expression" dxfId="108" priority="1759">
      <formula>BG507="oui"</formula>
    </cfRule>
  </conditionalFormatting>
  <conditionalFormatting sqref="BE12:BE42">
    <cfRule type="expression" dxfId="107" priority="2486">
      <formula>AL12=""</formula>
    </cfRule>
  </conditionalFormatting>
  <conditionalFormatting sqref="BE57:BE87">
    <cfRule type="expression" dxfId="106" priority="2415">
      <formula>AL57=""</formula>
    </cfRule>
  </conditionalFormatting>
  <conditionalFormatting sqref="BE102:BE132">
    <cfRule type="expression" dxfId="105" priority="2344">
      <formula>AL102=""</formula>
    </cfRule>
  </conditionalFormatting>
  <conditionalFormatting sqref="BE147:BE177">
    <cfRule type="expression" dxfId="104" priority="2273">
      <formula>AL147=""</formula>
    </cfRule>
  </conditionalFormatting>
  <conditionalFormatting sqref="BE192:BE222">
    <cfRule type="expression" dxfId="103" priority="2202">
      <formula>AL192=""</formula>
    </cfRule>
  </conditionalFormatting>
  <conditionalFormatting sqref="BE237:BE267">
    <cfRule type="expression" dxfId="102" priority="2131">
      <formula>AL237=""</formula>
    </cfRule>
  </conditionalFormatting>
  <conditionalFormatting sqref="BE282:BE312">
    <cfRule type="expression" dxfId="101" priority="2060">
      <formula>AL282=""</formula>
    </cfRule>
  </conditionalFormatting>
  <conditionalFormatting sqref="BE327:BE357">
    <cfRule type="expression" dxfId="100" priority="1989">
      <formula>AL327=""</formula>
    </cfRule>
  </conditionalFormatting>
  <conditionalFormatting sqref="BE372:BE402">
    <cfRule type="expression" dxfId="99" priority="1918">
      <formula>AL372=""</formula>
    </cfRule>
  </conditionalFormatting>
  <conditionalFormatting sqref="BE417:BE447">
    <cfRule type="expression" dxfId="98" priority="1847">
      <formula>AL417=""</formula>
    </cfRule>
  </conditionalFormatting>
  <conditionalFormatting sqref="BE462:BE492">
    <cfRule type="expression" dxfId="97" priority="1776">
      <formula>AL462=""</formula>
    </cfRule>
  </conditionalFormatting>
  <conditionalFormatting sqref="BE507:BE537">
    <cfRule type="expression" dxfId="96" priority="1705">
      <formula>AL507=""</formula>
    </cfRule>
  </conditionalFormatting>
  <conditionalFormatting sqref="BS12:BS42">
    <cfRule type="expression" dxfId="95" priority="449">
      <formula>WEEKDAY(BS12,2)=7</formula>
    </cfRule>
    <cfRule type="expression" dxfId="94" priority="450">
      <formula>OR(WEEKDAY(BS12,2)=6,WEEKDAY(BS12,2)=7)</formula>
    </cfRule>
    <cfRule type="expression" dxfId="93" priority="451">
      <formula>VLOOKUP(BS12,base_feries,1,FALSE)</formula>
    </cfRule>
  </conditionalFormatting>
  <conditionalFormatting sqref="BS57:BS87">
    <cfRule type="expression" dxfId="92" priority="310">
      <formula>WEEKDAY(BS57,2)=7</formula>
    </cfRule>
    <cfRule type="expression" dxfId="91" priority="311">
      <formula>OR(WEEKDAY(BS57,2)=6,WEEKDAY(BS57,2)=7)</formula>
    </cfRule>
    <cfRule type="expression" dxfId="90" priority="312">
      <formula>VLOOKUP(BS57,base_feries,1,FALSE)</formula>
    </cfRule>
  </conditionalFormatting>
  <conditionalFormatting sqref="BS102:BS132">
    <cfRule type="expression" dxfId="89" priority="309">
      <formula>VLOOKUP(BS102,base_feries,1,FALSE)</formula>
    </cfRule>
    <cfRule type="expression" dxfId="88" priority="308">
      <formula>OR(WEEKDAY(BS102,2)=6,WEEKDAY(BS102,2)=7)</formula>
    </cfRule>
    <cfRule type="expression" dxfId="87" priority="307">
      <formula>WEEKDAY(BS102,2)=7</formula>
    </cfRule>
  </conditionalFormatting>
  <conditionalFormatting sqref="BS147:BS177">
    <cfRule type="expression" dxfId="86" priority="305">
      <formula>OR(WEEKDAY(BS147,2)=6,WEEKDAY(BS147,2)=7)</formula>
    </cfRule>
    <cfRule type="expression" dxfId="85" priority="304">
      <formula>WEEKDAY(BS147,2)=7</formula>
    </cfRule>
    <cfRule type="expression" dxfId="84" priority="306">
      <formula>VLOOKUP(BS147,base_feries,1,FALSE)</formula>
    </cfRule>
  </conditionalFormatting>
  <conditionalFormatting sqref="BS192:BS222">
    <cfRule type="expression" dxfId="83" priority="301">
      <formula>WEEKDAY(BS192,2)=7</formula>
    </cfRule>
    <cfRule type="expression" dxfId="82" priority="302">
      <formula>OR(WEEKDAY(BS192,2)=6,WEEKDAY(BS192,2)=7)</formula>
    </cfRule>
    <cfRule type="expression" dxfId="81" priority="303">
      <formula>VLOOKUP(BS192,base_feries,1,FALSE)</formula>
    </cfRule>
  </conditionalFormatting>
  <conditionalFormatting sqref="BS237:BS267">
    <cfRule type="expression" dxfId="80" priority="298">
      <formula>WEEKDAY(BS237,2)=7</formula>
    </cfRule>
    <cfRule type="expression" dxfId="79" priority="299">
      <formula>OR(WEEKDAY(BS237,2)=6,WEEKDAY(BS237,2)=7)</formula>
    </cfRule>
    <cfRule type="expression" dxfId="78" priority="300">
      <formula>VLOOKUP(BS237,base_feries,1,FALSE)</formula>
    </cfRule>
  </conditionalFormatting>
  <conditionalFormatting sqref="BS282:BS312">
    <cfRule type="expression" dxfId="77" priority="297">
      <formula>VLOOKUP(BS282,base_feries,1,FALSE)</formula>
    </cfRule>
    <cfRule type="expression" dxfId="76" priority="296">
      <formula>OR(WEEKDAY(BS282,2)=6,WEEKDAY(BS282,2)=7)</formula>
    </cfRule>
    <cfRule type="expression" dxfId="75" priority="295">
      <formula>WEEKDAY(BS282,2)=7</formula>
    </cfRule>
  </conditionalFormatting>
  <conditionalFormatting sqref="BS327:BS357">
    <cfRule type="expression" dxfId="74" priority="293">
      <formula>OR(WEEKDAY(BS327,2)=6,WEEKDAY(BS327,2)=7)</formula>
    </cfRule>
    <cfRule type="expression" dxfId="73" priority="294">
      <formula>VLOOKUP(BS327,base_feries,1,FALSE)</formula>
    </cfRule>
    <cfRule type="expression" dxfId="72" priority="292">
      <formula>WEEKDAY(BS327,2)=7</formula>
    </cfRule>
  </conditionalFormatting>
  <conditionalFormatting sqref="BS372:BS402">
    <cfRule type="expression" dxfId="71" priority="289">
      <formula>WEEKDAY(BS372,2)=7</formula>
    </cfRule>
    <cfRule type="expression" dxfId="70" priority="291">
      <formula>VLOOKUP(BS372,base_feries,1,FALSE)</formula>
    </cfRule>
    <cfRule type="expression" dxfId="69" priority="290">
      <formula>OR(WEEKDAY(BS372,2)=6,WEEKDAY(BS372,2)=7)</formula>
    </cfRule>
  </conditionalFormatting>
  <conditionalFormatting sqref="BS417:BS447">
    <cfRule type="expression" dxfId="68" priority="286">
      <formula>WEEKDAY(BS417,2)=7</formula>
    </cfRule>
    <cfRule type="expression" dxfId="67" priority="288">
      <formula>VLOOKUP(BS417,base_feries,1,FALSE)</formula>
    </cfRule>
    <cfRule type="expression" dxfId="66" priority="287">
      <formula>OR(WEEKDAY(BS417,2)=6,WEEKDAY(BS417,2)=7)</formula>
    </cfRule>
  </conditionalFormatting>
  <conditionalFormatting sqref="BS462:BS492">
    <cfRule type="expression" dxfId="65" priority="283">
      <formula>WEEKDAY(BS462,2)=7</formula>
    </cfRule>
    <cfRule type="expression" dxfId="64" priority="284">
      <formula>OR(WEEKDAY(BS462,2)=6,WEEKDAY(BS462,2)=7)</formula>
    </cfRule>
    <cfRule type="expression" dxfId="63" priority="285">
      <formula>VLOOKUP(BS462,base_feries,1,FALSE)</formula>
    </cfRule>
  </conditionalFormatting>
  <conditionalFormatting sqref="BS507:BS537">
    <cfRule type="expression" dxfId="62" priority="280">
      <formula>WEEKDAY(BS507,2)=7</formula>
    </cfRule>
    <cfRule type="expression" dxfId="61" priority="282">
      <formula>VLOOKUP(BS507,base_feries,1,FALSE)</formula>
    </cfRule>
    <cfRule type="expression" dxfId="60" priority="281">
      <formula>OR(WEEKDAY(BS507,2)=6,WEEKDAY(BS507,2)=7)</formula>
    </cfRule>
  </conditionalFormatting>
  <conditionalFormatting sqref="BV2:BV7">
    <cfRule type="cellIs" dxfId="59" priority="12" operator="equal">
      <formula>"oui"</formula>
    </cfRule>
  </conditionalFormatting>
  <conditionalFormatting sqref="BV47:BV52">
    <cfRule type="cellIs" dxfId="58" priority="11" operator="equal">
      <formula>"oui"</formula>
    </cfRule>
  </conditionalFormatting>
  <conditionalFormatting sqref="BV92:BV97">
    <cfRule type="cellIs" dxfId="57" priority="10" operator="equal">
      <formula>"oui"</formula>
    </cfRule>
  </conditionalFormatting>
  <conditionalFormatting sqref="BV137:BV142">
    <cfRule type="cellIs" dxfId="56" priority="9" operator="equal">
      <formula>"oui"</formula>
    </cfRule>
  </conditionalFormatting>
  <conditionalFormatting sqref="BV182:BV187">
    <cfRule type="cellIs" dxfId="55" priority="8" operator="equal">
      <formula>"oui"</formula>
    </cfRule>
  </conditionalFormatting>
  <conditionalFormatting sqref="BV227:BV232">
    <cfRule type="cellIs" dxfId="54" priority="7" operator="equal">
      <formula>"oui"</formula>
    </cfRule>
  </conditionalFormatting>
  <conditionalFormatting sqref="BV272:BV277">
    <cfRule type="cellIs" dxfId="53" priority="6" operator="equal">
      <formula>"oui"</formula>
    </cfRule>
  </conditionalFormatting>
  <conditionalFormatting sqref="BV317:BV322">
    <cfRule type="cellIs" dxfId="52" priority="5" operator="equal">
      <formula>"oui"</formula>
    </cfRule>
  </conditionalFormatting>
  <conditionalFormatting sqref="BV362:BV367">
    <cfRule type="cellIs" dxfId="51" priority="4" operator="equal">
      <formula>"oui"</formula>
    </cfRule>
  </conditionalFormatting>
  <conditionalFormatting sqref="BV407:BV412">
    <cfRule type="cellIs" dxfId="50" priority="3" operator="equal">
      <formula>"oui"</formula>
    </cfRule>
  </conditionalFormatting>
  <conditionalFormatting sqref="BV452:BV457">
    <cfRule type="cellIs" dxfId="49" priority="2" operator="equal">
      <formula>"oui"</formula>
    </cfRule>
  </conditionalFormatting>
  <conditionalFormatting sqref="BV497:BV502">
    <cfRule type="cellIs" dxfId="48" priority="1" operator="equal">
      <formula>"oui"</formula>
    </cfRule>
  </conditionalFormatting>
  <conditionalFormatting sqref="CD12:CD42">
    <cfRule type="expression" dxfId="47" priority="276">
      <formula>$DC12="oui"</formula>
    </cfRule>
    <cfRule type="cellIs" dxfId="46" priority="277" operator="equal">
      <formula>0</formula>
    </cfRule>
  </conditionalFormatting>
  <conditionalFormatting sqref="CD57:CD87">
    <cfRule type="expression" dxfId="45" priority="272">
      <formula>$DC57="oui"</formula>
    </cfRule>
    <cfRule type="cellIs" dxfId="44" priority="273" operator="equal">
      <formula>0</formula>
    </cfRule>
  </conditionalFormatting>
  <conditionalFormatting sqref="CD102:CD132">
    <cfRule type="expression" dxfId="43" priority="268">
      <formula>$DC102="oui"</formula>
    </cfRule>
    <cfRule type="cellIs" dxfId="42" priority="269" operator="equal">
      <formula>0</formula>
    </cfRule>
  </conditionalFormatting>
  <conditionalFormatting sqref="CD147:CD177">
    <cfRule type="expression" dxfId="41" priority="264">
      <formula>$DC147="oui"</formula>
    </cfRule>
    <cfRule type="cellIs" dxfId="40" priority="265" operator="equal">
      <formula>0</formula>
    </cfRule>
  </conditionalFormatting>
  <conditionalFormatting sqref="CD192:CD222">
    <cfRule type="cellIs" dxfId="39" priority="261" operator="equal">
      <formula>0</formula>
    </cfRule>
    <cfRule type="expression" dxfId="38" priority="260">
      <formula>$DC192="oui"</formula>
    </cfRule>
  </conditionalFormatting>
  <conditionalFormatting sqref="CD237:CD267">
    <cfRule type="cellIs" dxfId="37" priority="257" operator="equal">
      <formula>0</formula>
    </cfRule>
    <cfRule type="expression" dxfId="36" priority="256">
      <formula>$DC237="oui"</formula>
    </cfRule>
  </conditionalFormatting>
  <conditionalFormatting sqref="CD282:CD312">
    <cfRule type="expression" dxfId="35" priority="252">
      <formula>$DC282="oui"</formula>
    </cfRule>
    <cfRule type="cellIs" dxfId="34" priority="253" operator="equal">
      <formula>0</formula>
    </cfRule>
  </conditionalFormatting>
  <conditionalFormatting sqref="CD327:CD357">
    <cfRule type="cellIs" dxfId="33" priority="249" operator="equal">
      <formula>0</formula>
    </cfRule>
    <cfRule type="expression" dxfId="32" priority="248">
      <formula>$DC327="oui"</formula>
    </cfRule>
  </conditionalFormatting>
  <conditionalFormatting sqref="CD372:CD402">
    <cfRule type="cellIs" dxfId="31" priority="245" operator="equal">
      <formula>0</formula>
    </cfRule>
    <cfRule type="expression" dxfId="30" priority="244">
      <formula>$DC372="oui"</formula>
    </cfRule>
  </conditionalFormatting>
  <conditionalFormatting sqref="CD417:CD447">
    <cfRule type="cellIs" dxfId="29" priority="241" operator="equal">
      <formula>0</formula>
    </cfRule>
    <cfRule type="expression" dxfId="28" priority="240">
      <formula>$DC417="oui"</formula>
    </cfRule>
  </conditionalFormatting>
  <conditionalFormatting sqref="CD462:CD492">
    <cfRule type="cellIs" dxfId="27" priority="237" operator="equal">
      <formula>0</formula>
    </cfRule>
    <cfRule type="expression" dxfId="26" priority="236">
      <formula>$DC462="oui"</formula>
    </cfRule>
  </conditionalFormatting>
  <conditionalFormatting sqref="CD507:CD537">
    <cfRule type="cellIs" dxfId="25" priority="233" operator="equal">
      <formula>0</formula>
    </cfRule>
    <cfRule type="expression" dxfId="24" priority="232">
      <formula>$DC507="oui"</formula>
    </cfRule>
  </conditionalFormatting>
  <conditionalFormatting sqref="DV12:ED42">
    <cfRule type="cellIs" dxfId="23" priority="223" operator="equal">
      <formula>0</formula>
    </cfRule>
  </conditionalFormatting>
  <conditionalFormatting sqref="DV57:ED87">
    <cfRule type="cellIs" dxfId="22" priority="213" operator="equal">
      <formula>0</formula>
    </cfRule>
  </conditionalFormatting>
  <conditionalFormatting sqref="DV102:ED132">
    <cfRule type="cellIs" dxfId="21" priority="203" operator="equal">
      <formula>0</formula>
    </cfRule>
  </conditionalFormatting>
  <conditionalFormatting sqref="DV147:ED177">
    <cfRule type="cellIs" dxfId="20" priority="193" operator="equal">
      <formula>0</formula>
    </cfRule>
  </conditionalFormatting>
  <conditionalFormatting sqref="DV192:ED222">
    <cfRule type="cellIs" dxfId="19" priority="183" operator="equal">
      <formula>0</formula>
    </cfRule>
  </conditionalFormatting>
  <conditionalFormatting sqref="DV237:ED267">
    <cfRule type="cellIs" dxfId="18" priority="173" operator="equal">
      <formula>0</formula>
    </cfRule>
  </conditionalFormatting>
  <conditionalFormatting sqref="DV282:ED312">
    <cfRule type="cellIs" dxfId="17" priority="163" operator="equal">
      <formula>0</formula>
    </cfRule>
  </conditionalFormatting>
  <conditionalFormatting sqref="DV327:ED357">
    <cfRule type="cellIs" dxfId="16" priority="153" operator="equal">
      <formula>0</formula>
    </cfRule>
  </conditionalFormatting>
  <conditionalFormatting sqref="DV372:ED402">
    <cfRule type="cellIs" dxfId="15" priority="143" operator="equal">
      <formula>0</formula>
    </cfRule>
  </conditionalFormatting>
  <conditionalFormatting sqref="DV417:ED447">
    <cfRule type="cellIs" dxfId="14" priority="133" operator="equal">
      <formula>0</formula>
    </cfRule>
  </conditionalFormatting>
  <conditionalFormatting sqref="DV462:ED492">
    <cfRule type="cellIs" dxfId="13" priority="123" operator="equal">
      <formula>0</formula>
    </cfRule>
  </conditionalFormatting>
  <conditionalFormatting sqref="DV507:ED537">
    <cfRule type="cellIs" dxfId="12" priority="113" operator="equal">
      <formula>0</formula>
    </cfRule>
  </conditionalFormatting>
  <conditionalFormatting sqref="EE12:EE43">
    <cfRule type="cellIs" dxfId="11" priority="222" operator="equal">
      <formula>0</formula>
    </cfRule>
  </conditionalFormatting>
  <conditionalFormatting sqref="EE57:EE88">
    <cfRule type="cellIs" dxfId="10" priority="212" operator="equal">
      <formula>0</formula>
    </cfRule>
  </conditionalFormatting>
  <conditionalFormatting sqref="EE102:EE133">
    <cfRule type="cellIs" dxfId="9" priority="202" operator="equal">
      <formula>0</formula>
    </cfRule>
  </conditionalFormatting>
  <conditionalFormatting sqref="EE147:EE178">
    <cfRule type="cellIs" dxfId="8" priority="192" operator="equal">
      <formula>0</formula>
    </cfRule>
  </conditionalFormatting>
  <conditionalFormatting sqref="EE192:EE223">
    <cfRule type="cellIs" dxfId="7" priority="182" operator="equal">
      <formula>0</formula>
    </cfRule>
  </conditionalFormatting>
  <conditionalFormatting sqref="EE237:EE268">
    <cfRule type="cellIs" dxfId="6" priority="172" operator="equal">
      <formula>0</formula>
    </cfRule>
  </conditionalFormatting>
  <conditionalFormatting sqref="EE282:EE313">
    <cfRule type="cellIs" dxfId="5" priority="162" operator="equal">
      <formula>0</formula>
    </cfRule>
  </conditionalFormatting>
  <conditionalFormatting sqref="EE327:EE358">
    <cfRule type="cellIs" dxfId="4" priority="152" operator="equal">
      <formula>0</formula>
    </cfRule>
  </conditionalFormatting>
  <conditionalFormatting sqref="EE372:EE403">
    <cfRule type="cellIs" dxfId="3" priority="142" operator="equal">
      <formula>0</formula>
    </cfRule>
  </conditionalFormatting>
  <conditionalFormatting sqref="EE417:EE448">
    <cfRule type="cellIs" dxfId="2" priority="132" operator="equal">
      <formula>0</formula>
    </cfRule>
  </conditionalFormatting>
  <conditionalFormatting sqref="EE462:EE493">
    <cfRule type="cellIs" dxfId="1" priority="122" operator="equal">
      <formula>0</formula>
    </cfRule>
  </conditionalFormatting>
  <conditionalFormatting sqref="EE507:EE538">
    <cfRule type="cellIs" dxfId="0"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1" style="198" customWidth="1"/>
    <col min="61" max="61" width="8.7109375" style="198" customWidth="1"/>
    <col min="62" max="62" width="13.28515625" style="198" hidden="1" customWidth="1"/>
    <col min="63" max="64" width="8.7109375" style="198" hidden="1" customWidth="1"/>
    <col min="65" max="65" width="11.2851562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84"/>
    <col min="84" max="84" width="15.28515625" style="584" customWidth="1"/>
    <col min="85" max="103" width="11.42578125" style="584"/>
    <col min="104" max="104" width="11.42578125" style="584" customWidth="1"/>
    <col min="105" max="108" width="11.42578125" style="584"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11.42578125" style="420" hidden="1" customWidth="1"/>
    <col min="145" max="159" width="11.42578125" style="333" hidden="1" customWidth="1"/>
    <col min="160" max="160" width="13.140625" style="333" hidden="1" customWidth="1"/>
    <col min="161" max="162" width="11.42578125" style="333" hidden="1" customWidth="1"/>
    <col min="163" max="163" width="11.42578125" style="129" hidden="1" customWidth="1"/>
    <col min="164"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584"/>
      <c r="DJ1" s="420" t="s">
        <v>1130</v>
      </c>
      <c r="DK1" s="333" t="s">
        <v>1131</v>
      </c>
      <c r="DL1" s="807">
        <f>+ROUND(INT(DL3),0)</f>
        <v>6</v>
      </c>
      <c r="DO1" s="751" t="s">
        <v>521</v>
      </c>
      <c r="EF1" s="333" t="s">
        <v>963</v>
      </c>
      <c r="EG1" s="752">
        <f ca="1">+T35-T32-T33-T34</f>
        <v>0</v>
      </c>
      <c r="EM1" s="333" t="s">
        <v>658</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56" t="s">
        <v>1097</v>
      </c>
      <c r="CC2" s="131"/>
      <c r="CD2" s="884"/>
      <c r="DK2" s="333" t="s">
        <v>1132</v>
      </c>
      <c r="DL2" s="807">
        <f>+IF(DL4&gt;=10,DL4,"0"&amp;DL4)</f>
        <v>16</v>
      </c>
      <c r="DO2" s="420" t="s">
        <v>932</v>
      </c>
      <c r="DP2" s="333">
        <f>+VLOOKUP(DP4,base_donné_contrat,15,FALSE)</f>
        <v>0</v>
      </c>
      <c r="EF2" s="333" t="s">
        <v>961</v>
      </c>
      <c r="EG2" s="753" t="e">
        <f ca="1">+BZ68+BZ81+BZ84</f>
        <v>#DIV/0!</v>
      </c>
      <c r="EN2" s="420" t="s">
        <v>659</v>
      </c>
      <c r="EO2" s="755">
        <f>+DATE(YEAR(X3)-1,5,31)</f>
        <v>45443</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+Identification!B61</f>
        <v>45658</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129" t="s">
        <v>1099</v>
      </c>
      <c r="AY3" s="2129"/>
      <c r="AZ3" s="2129"/>
      <c r="BJ3" s="129"/>
      <c r="BK3" s="129"/>
      <c r="BL3" s="129"/>
      <c r="BM3" s="129"/>
      <c r="BN3" s="129"/>
      <c r="CA3" s="585"/>
      <c r="CD3" s="131" t="str">
        <f>+IF(BZ8="OUI","Motif de la rupture :","")</f>
        <v/>
      </c>
      <c r="CE3" s="1874"/>
      <c r="CF3" s="1874"/>
      <c r="CG3" s="198">
        <f>+IF(CE3=S.CAL!FO1,S.CAL!FP1,IF(CE3=S.CAL!FO2,S.CAL!FP2,IF(CE3=S.CAL!FO3,S.CAL!FP30,0)))</f>
        <v>0</v>
      </c>
      <c r="DK3" s="420" t="s">
        <v>1133</v>
      </c>
      <c r="DL3" s="808">
        <f>2.65*9/CE49</f>
        <v>6.2763157894736841</v>
      </c>
      <c r="DO3" s="420" t="s">
        <v>933</v>
      </c>
      <c r="DP3" s="333">
        <f>+VLOOKUP(DP4,base_donné_contrat,14,FALSE)</f>
        <v>0</v>
      </c>
      <c r="EF3" s="333" t="s">
        <v>964</v>
      </c>
      <c r="EG3" s="754" t="e">
        <f>+EG7</f>
        <v>#DIV/0!</v>
      </c>
      <c r="EN3" s="420" t="s">
        <v>660</v>
      </c>
      <c r="EO3" s="333" t="str">
        <f>+IF(AND(AH83=0,AJ4&lt;EO2),"OUI","NON")</f>
        <v>OUI</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Identification!$B$28</f>
        <v>0</v>
      </c>
      <c r="AK4" s="1921"/>
      <c r="AL4" s="1921"/>
      <c r="AM4" s="1921"/>
      <c r="AN4" s="1921"/>
      <c r="AO4" s="1922"/>
      <c r="AP4" s="206"/>
      <c r="AQ4" s="335"/>
      <c r="AR4" s="206"/>
      <c r="AS4" s="208"/>
      <c r="AT4" s="319">
        <f t="array" ref="AT4">IFERROR(INDEX($BK$20:$BK$50,MATCH(0,INDEX(COUNTIF($AT$3:AT3,$BK$20:$BK$50),0,0),0)),"")</f>
        <v>1</v>
      </c>
      <c r="AU4" s="1144" t="s">
        <v>235</v>
      </c>
      <c r="AV4" s="208"/>
      <c r="AW4" s="208"/>
      <c r="AX4" s="208"/>
      <c r="AY4" s="208"/>
      <c r="AZ4" s="655" t="s">
        <v>1090</v>
      </c>
      <c r="BJ4" s="206"/>
      <c r="BK4" s="206"/>
      <c r="BL4" s="206"/>
      <c r="BM4" s="206"/>
      <c r="BN4" s="206"/>
      <c r="BO4" s="208"/>
      <c r="BR4" s="1729" t="s">
        <v>15</v>
      </c>
      <c r="BS4" s="1729"/>
      <c r="BT4" s="1729"/>
      <c r="BU4" s="1729"/>
      <c r="BV4" s="1729"/>
      <c r="BW4" s="1729"/>
      <c r="BX4" s="1729"/>
      <c r="BY4" s="489">
        <f>IF(BZ4="",IF(Identification!B66="NON",VLOOKUP(AB20,Identification!A71:B74,2,TRUE),VLOOKUP(AB20,Identification!A78:B81,2,TRUE)),BZ4)</f>
        <v>0.78120000000000001</v>
      </c>
      <c r="BZ4" s="1135"/>
      <c r="CA4" s="584"/>
      <c r="DK4" s="333" t="s">
        <v>1132</v>
      </c>
      <c r="DL4" s="333">
        <f>+ROUNDDOWN((DL3-DL1)*60/100*100,0)</f>
        <v>16</v>
      </c>
      <c r="DO4" s="420" t="s">
        <v>209</v>
      </c>
      <c r="DP4" s="333" t="str">
        <f>+BY2</f>
        <v>Fiche info</v>
      </c>
      <c r="EF4" s="333" t="s">
        <v>1044</v>
      </c>
      <c r="EG4" s="755">
        <f>+Identification!B95</f>
        <v>0</v>
      </c>
      <c r="EN4" s="420" t="s">
        <v>661</v>
      </c>
      <c r="EO4" s="333" t="str">
        <f>+IF(AND(AL83=0,AJ4&lt;X3),"OUI","NON")</f>
        <v>OUI</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45658</v>
      </c>
      <c r="Y5" s="1948"/>
      <c r="Z5" s="1953" t="s">
        <v>460</v>
      </c>
      <c r="AA5" s="1953"/>
      <c r="AB5" s="1948">
        <f>+IF(AND(DATE(YEAR(EG4),MONTH(EG4),DAY(EG4))&gt;=DATE(YEAR(X3),MONTH(X3),DAY(X3)),DATE(YEAR(EG4),MONTH(EG4),DAY(EG4))&lt;=DATE(YEAR(X3),MONTH(X3),DAY(EOMONTH(X3,0)))),EG4,EOMONTH(X3,0))</f>
        <v>45688</v>
      </c>
      <c r="AC5" s="1952"/>
      <c r="AP5" s="211"/>
      <c r="AQ5" s="336"/>
      <c r="AR5" s="211"/>
      <c r="AS5" s="212"/>
      <c r="AT5" s="319">
        <f t="array" ref="AT5">IFERROR(INDEX($BK$20:$BK$50,MATCH(0,INDEX(COUNTIF($AT$3:AT4,$BK$20:$BK$50),0,0),0)),"")</f>
        <v>2</v>
      </c>
      <c r="AU5" s="1144" t="s">
        <v>235</v>
      </c>
      <c r="AV5" s="212"/>
      <c r="AW5" s="212"/>
      <c r="AX5" s="212"/>
      <c r="AY5" s="212"/>
      <c r="BJ5" s="211"/>
      <c r="BK5" s="211"/>
      <c r="BL5" s="211"/>
      <c r="BM5" s="211"/>
      <c r="BN5" s="211"/>
      <c r="BO5" s="212"/>
      <c r="CA5" s="584"/>
      <c r="CD5" s="131" t="str">
        <f>+IF(BZ8="OUI","Date de fin de contrat :","")</f>
        <v/>
      </c>
      <c r="CE5" s="1879"/>
      <c r="CF5" s="1879"/>
      <c r="DO5" s="420" t="s">
        <v>522</v>
      </c>
      <c r="DP5" s="333">
        <f>+VLOOKUP(DP4,base_donné_contrat,2,FALSE)</f>
        <v>0</v>
      </c>
      <c r="EF5" s="333" t="s">
        <v>1233</v>
      </c>
      <c r="EG5" s="755">
        <f>+EOMONTH(X3,0)</f>
        <v>45688</v>
      </c>
      <c r="EN5" s="420" t="s">
        <v>703</v>
      </c>
      <c r="EO5" s="333" t="str">
        <f>+IF(AND(M99=0,AJ4&lt;D99,DP8=52,OR(G99="",G99=0)),"OUI","NON")</f>
        <v>NON</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3</v>
      </c>
      <c r="AU6" s="1144" t="s">
        <v>235</v>
      </c>
      <c r="BJ6" s="129"/>
      <c r="BK6" s="129"/>
      <c r="BL6" s="129"/>
      <c r="BM6" s="129"/>
      <c r="BN6" s="129"/>
      <c r="BQ6" s="596"/>
      <c r="BR6" s="596"/>
      <c r="BS6" s="596"/>
      <c r="BT6" s="596"/>
      <c r="BU6" s="596"/>
      <c r="BV6" s="596"/>
      <c r="BW6" s="596"/>
      <c r="BX6" s="597" t="s">
        <v>520</v>
      </c>
      <c r="BY6" s="598" t="str">
        <f>+BZ6</f>
        <v>Non</v>
      </c>
      <c r="BZ6" s="599" t="s">
        <v>36</v>
      </c>
      <c r="CA6" s="584"/>
      <c r="DO6" s="420" t="s">
        <v>210</v>
      </c>
      <c r="DP6" s="756">
        <f>+IFERROR(VLOOKUP(X3,base_smic,2,TRUE),0)</f>
        <v>11.88</v>
      </c>
      <c r="EF6" s="333" t="s">
        <v>1561</v>
      </c>
      <c r="EG6" s="870">
        <f>+VLOOKUP(X3,Identification!A90:B92,2,TRUE)</f>
        <v>3925</v>
      </c>
      <c r="EN6" s="420" t="s">
        <v>936</v>
      </c>
      <c r="EO6" s="333" t="str">
        <f>+IF(AND(R87=0,R90=0,AE129="NON"),"OUI","")</f>
        <v>OUI</v>
      </c>
    </row>
    <row r="7" spans="1:226" ht="16.5" thickBot="1" x14ac:dyDescent="0.3">
      <c r="A7" s="1804" t="s">
        <v>5</v>
      </c>
      <c r="B7" s="1805"/>
      <c r="C7" s="1805"/>
      <c r="D7" s="1805"/>
      <c r="E7" s="1954">
        <f>Identification!B19</f>
        <v>0</v>
      </c>
      <c r="F7" s="1954"/>
      <c r="G7" s="1954"/>
      <c r="H7" s="1954"/>
      <c r="I7" s="1954"/>
      <c r="J7" s="1954"/>
      <c r="K7" s="1954"/>
      <c r="L7" s="1954"/>
      <c r="M7" s="1954"/>
      <c r="N7" s="1954"/>
      <c r="O7" s="1954"/>
      <c r="P7" s="1954"/>
      <c r="Q7" s="1954"/>
      <c r="R7" s="195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4</v>
      </c>
      <c r="AU7" s="1144" t="s">
        <v>235</v>
      </c>
      <c r="BG7" s="252"/>
      <c r="BH7" s="2139" t="s">
        <v>1559</v>
      </c>
      <c r="BI7" s="2139"/>
      <c r="BJ7" s="129"/>
      <c r="BK7" s="129"/>
      <c r="BL7" s="129"/>
      <c r="BM7" s="129"/>
      <c r="BN7" s="129"/>
      <c r="CA7" s="584"/>
      <c r="CB7" s="1438" t="str">
        <f>+IF(AND(BY8="NON",OR(CE3&lt;&gt;"",CE5&lt;&gt;"",CE8&lt;&gt;"")),"Si vous mettez NON dans la cellule BV8,il faut que les cellules Motifs de la rupture CB3, Date de fin de contrat CB5 , Date de notification soit vide CB8 ","")</f>
        <v/>
      </c>
      <c r="DO7" s="420" t="s">
        <v>920</v>
      </c>
      <c r="DP7" s="333" t="str">
        <f>+VLOOKUP(DP4,base_donné_contrat,4,FALSE)</f>
        <v>NON</v>
      </c>
      <c r="EF7" s="420" t="s">
        <v>964</v>
      </c>
      <c r="EG7" s="1586" t="e">
        <f>(T25/P18+T26/P19)*-1</f>
        <v>#DIV/0!</v>
      </c>
      <c r="EN7" s="420" t="s">
        <v>939</v>
      </c>
      <c r="EO7" s="333" t="str">
        <f>+IF(AND(EO6="",BY8="OUI",R90&lt;&gt;0),"OUI","")</f>
        <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5</v>
      </c>
      <c r="AU8" s="1144" t="s">
        <v>235</v>
      </c>
      <c r="BG8" s="252"/>
      <c r="BH8" s="1462" t="str">
        <f>+AT3</f>
        <v>N° Sem.</v>
      </c>
      <c r="BI8" s="1463" t="s">
        <v>1580</v>
      </c>
      <c r="BJ8" s="129"/>
      <c r="BK8" s="129"/>
      <c r="BL8" s="129"/>
      <c r="BM8" s="129"/>
      <c r="BN8" s="129"/>
      <c r="BQ8" s="2132" t="s">
        <v>219</v>
      </c>
      <c r="BR8" s="2133"/>
      <c r="BS8" s="2133"/>
      <c r="BT8" s="2133"/>
      <c r="BU8" s="2133"/>
      <c r="BV8" s="2133"/>
      <c r="BW8" s="2133"/>
      <c r="BX8" s="2133"/>
      <c r="BY8" s="985" t="str">
        <f>+BZ8</f>
        <v>NON</v>
      </c>
      <c r="BZ8" s="1136" t="s">
        <v>146</v>
      </c>
      <c r="CA8" s="584"/>
      <c r="CD8" s="131" t="str">
        <f>+IF(BZ8="OUI","Date de notification de la rupture ou de la démission :","")</f>
        <v/>
      </c>
      <c r="CE8" s="1880"/>
      <c r="CF8" s="1880"/>
      <c r="CG8" s="1884" t="s">
        <v>1414</v>
      </c>
      <c r="CH8" s="1884"/>
      <c r="CI8" s="1884"/>
      <c r="DO8" s="420" t="s">
        <v>523</v>
      </c>
      <c r="DP8" s="333">
        <f>+VLOOKUP(DP4,base_donné_contrat,5,FALSE)</f>
        <v>0</v>
      </c>
      <c r="EN8" s="420" t="s">
        <v>966</v>
      </c>
      <c r="EO8" s="333" t="str">
        <f>+IF(AND(EO6="",R89=0,R87&gt;0,OR(T30&gt;0,T32&gt;0)),"OUI","")</f>
        <v/>
      </c>
      <c r="FX8" s="129" t="str">
        <f>+IF(AND(CD8="",CE8&lt;&gt;""),"vrai","faux")</f>
        <v>faux</v>
      </c>
    </row>
    <row r="9" spans="1:226" ht="11.2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+BH9&amp;+IF(OR(BH9=52,BH9=53),$X$4-1,$X$4)</f>
        <v>12025</v>
      </c>
      <c r="BH9" s="1464">
        <f>+AT4</f>
        <v>1</v>
      </c>
      <c r="BI9" s="1465">
        <f>IF($AR$13=S.CAL!$CU$2,+SUMIF(S.CAL!$FW$3:$FW$100,BG9,S.CAL!$FX$3:$FX$100),IF($AR$13=S.CAL!$CU$3,SUMIF(Feuilles_de_présence_planning!$EG$12:$EG$100,BG9,Feuilles_de_présence_planning!$EE$12:$EE$100),"err"))</f>
        <v>0</v>
      </c>
      <c r="BJ9" s="129"/>
      <c r="BK9" s="129"/>
      <c r="BL9" s="129"/>
      <c r="BM9" s="129"/>
      <c r="BN9" s="129"/>
      <c r="BQ9" s="584"/>
      <c r="BR9" s="584"/>
      <c r="BS9" s="584"/>
      <c r="BT9" s="584"/>
      <c r="BU9" s="584"/>
      <c r="BV9" s="584"/>
      <c r="BW9" s="584"/>
      <c r="BX9" s="584"/>
      <c r="BY9" s="198" t="str">
        <f>+IF(BY8="OUI","O","")</f>
        <v/>
      </c>
      <c r="BZ9" s="653"/>
      <c r="CA9" s="584"/>
      <c r="CF9" s="889" t="str">
        <f>+IF(BZ8="OUI","Ç","")</f>
        <v/>
      </c>
      <c r="DO9" s="420" t="s">
        <v>40</v>
      </c>
      <c r="DP9" s="333">
        <f>+VLOOKUP(DP4,base_donné_contrat,6,FALSE)</f>
        <v>0</v>
      </c>
      <c r="EN9" s="420" t="s">
        <v>1054</v>
      </c>
      <c r="EO9" s="333" t="str">
        <f>+IF(OR(AND(CE54&lt;=DL3,CE53&gt;=CE47),AND(CE54&gt;DL3,CE53&gt;=CE54*CE47/DL3)),"OUI","NON")</f>
        <v>NON</v>
      </c>
      <c r="EP9" s="333" t="str">
        <f>+IF(OR(AND(CE58&lt;=DL3,CE57&gt;=CE47),AND(CE58&gt;DL3,CE57&gt;=CE58*CE47/DL3)),"OUI","NON")</f>
        <v>NON</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0">+BH10&amp;+IF(OR(BH10=52,BH10=53),$X$4-1,$X$4)</f>
        <v>22025</v>
      </c>
      <c r="BH10" s="1464">
        <f t="shared" ref="BH10:BH14" si="1">+AT5</f>
        <v>2</v>
      </c>
      <c r="BI10" s="1465">
        <f>IF($AR$13=S.CAL!$CU$2,+SUMIF(S.CAL!$FW$3:$FW$374,BG10,S.CAL!$FX$3:$FX$374),IF($AR$13=S.CAL!$CU$3,SUMIF(Feuilles_de_présence_planning!$EG$12:$EG$537,BG10,Feuilles_de_présence_planning!$EE$12:$EE$537),"err"))</f>
        <v>0</v>
      </c>
      <c r="BJ10" s="129"/>
      <c r="BK10" s="129"/>
      <c r="BL10" s="129"/>
      <c r="BM10" s="129"/>
      <c r="BN10" s="129"/>
      <c r="BQ10" s="584"/>
      <c r="BR10" s="584"/>
      <c r="BS10" s="584"/>
      <c r="BT10" s="584"/>
      <c r="BU10" s="584"/>
      <c r="BV10" s="584"/>
      <c r="BW10" s="584"/>
      <c r="BX10" s="584"/>
      <c r="BY10" s="584"/>
      <c r="BZ10" s="654" t="str">
        <f>+IF(BZ8="OUI","Saisir la date de fin du contrat et la date de notification","")</f>
        <v/>
      </c>
      <c r="CA10" s="892" t="str">
        <f>+IF(BZ8="OUI","Æ Æ Æ Æ Æ Æ Æ Æ Æ Æ Æ Æ Æ Æ Æ Æ Æ Æ Æ Æ Æ Æ Æ Æ Æ Æ Ç","")</f>
        <v/>
      </c>
      <c r="DO10" s="420" t="s">
        <v>113</v>
      </c>
      <c r="DP10" s="333">
        <f>+VLOOKUP(DP4,base_donné_contrat,7,FALSE)</f>
        <v>0</v>
      </c>
      <c r="EL10" s="757"/>
      <c r="EM10" s="757"/>
      <c r="EN10" s="420" t="s">
        <v>1055</v>
      </c>
      <c r="EO10" s="333" t="str">
        <f>+IF(OR(AND(CE54&lt;=9,CE53&gt;=CE49),AND(CE54&gt;9,CE53&gt;=CE54*CE49/9)),"OUI","NON")</f>
        <v>NON</v>
      </c>
      <c r="EP10" s="333" t="str">
        <f>+IF(OR(AND(CE58&lt;=DL3,CE57&gt;=CE47),AND(CE58&gt;DL3,CE57&gt;=CE58*CE47/DL3)),"OUI","NON")</f>
        <v>NON</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AT11" s="206"/>
      <c r="AU11" s="129"/>
      <c r="BG11" s="1453" t="str">
        <f t="shared" si="0"/>
        <v>32025</v>
      </c>
      <c r="BH11" s="1464">
        <f t="shared" si="1"/>
        <v>3</v>
      </c>
      <c r="BI11" s="1465">
        <f>IF($AR$13=S.CAL!$CU$2,+SUMIF(S.CAL!$FW$3:$FW$374,BG11,S.CAL!$FX$3:$FX$374),IF($AR$13=S.CAL!$CU$3,SUMIF(Feuilles_de_présence_planning!$EG$12:$EG$537,BG11,Feuilles_de_présence_planning!$EE$12:$EE$537),"err"))</f>
        <v>0</v>
      </c>
      <c r="BJ11" s="129"/>
      <c r="BK11" s="129"/>
      <c r="BL11" s="129"/>
      <c r="BM11" s="129"/>
      <c r="BN11" s="129"/>
      <c r="BQ11" s="584"/>
      <c r="BR11" s="584"/>
      <c r="BS11" s="584"/>
      <c r="BT11" s="584"/>
      <c r="BU11" s="584"/>
      <c r="BV11" s="584"/>
      <c r="BW11" s="584"/>
      <c r="BX11" s="584"/>
      <c r="BY11" s="584"/>
      <c r="BZ11" s="654" t="str">
        <f>+IF(BZ8="OUI","Vérifier le calcul de votre régularisation (Année incomplète ou éventuellement complète)","")</f>
        <v/>
      </c>
      <c r="CA11" s="584"/>
      <c r="DO11" s="420" t="s">
        <v>41</v>
      </c>
      <c r="DP11" s="756">
        <f>+VLOOKUP(DP4,base_donné_contrat,8,FALSE)</f>
        <v>0</v>
      </c>
      <c r="EF11" s="333" t="s">
        <v>705</v>
      </c>
      <c r="EG11" s="333" t="s">
        <v>706</v>
      </c>
      <c r="EH11" s="333" t="s">
        <v>546</v>
      </c>
      <c r="EI11" s="333" t="s">
        <v>707</v>
      </c>
      <c r="EN11" s="420"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0"/>
        <v>42025</v>
      </c>
      <c r="BH12" s="1464">
        <f t="shared" si="1"/>
        <v>4</v>
      </c>
      <c r="BI12" s="1465">
        <f>IF($AR$13=S.CAL!$CU$2,+SUMIF(S.CAL!$FW$3:$FW$374,BG12,S.CAL!$FX$3:$FX$374),IF($AR$13=S.CAL!$CU$3,SUMIF(Feuilles_de_présence_planning!$EG$12:$EG$537,BG12,Feuilles_de_présence_planning!$EE$12:$EE$537),"err"))</f>
        <v>0</v>
      </c>
      <c r="BJ12" s="129"/>
      <c r="BK12" s="129"/>
      <c r="BL12" s="129"/>
      <c r="BM12" s="129"/>
      <c r="BN12" s="129"/>
      <c r="BQ12" s="584"/>
      <c r="BR12" s="584"/>
      <c r="BS12" s="584"/>
      <c r="BT12" s="584"/>
      <c r="BU12" s="584"/>
      <c r="BV12" s="584"/>
      <c r="BW12" s="584"/>
      <c r="BX12" s="584"/>
      <c r="BY12" s="584"/>
      <c r="BZ12" s="654" t="str">
        <f>+IF(BZ8="OUI","Faites le point sur vos congés et vérifier le calcul de l'indemnité compensatrice de CP","")</f>
        <v/>
      </c>
      <c r="CA12" s="584"/>
      <c r="DO12" s="420" t="s">
        <v>232</v>
      </c>
      <c r="DP12" s="333">
        <f>+VLOOKUP(DP4,base_donné_contrat,9,FALSE)</f>
        <v>0.1</v>
      </c>
      <c r="EF12" s="755">
        <f>+IF(AJ4&lt;DATE(YEAR(EI21)-2,6,1),DATE(YEAR(EI21)-2,6,1),DATE(YEAR(AJ4),MONTH(AJ4),1))</f>
        <v>45078</v>
      </c>
      <c r="EG12" s="333">
        <f>IFERROR(+DATEDIF(EF12,DATE(YEAR(EH12),MONTH(EH12),DAY(EH12)),"m"),0)</f>
        <v>12</v>
      </c>
      <c r="EH12" s="755">
        <f>+IF(AJ4&lt;DATE(YEAR(EI21)-1,6,1),DATE(YEAR(EI21)-1,6,1),DATE(YEAR(AJ4),MONTH(AJ4),1))</f>
        <v>45444</v>
      </c>
      <c r="EI12" s="333">
        <f>IFERROR(+DATEDIF(EH12,DATE(YEAR(EI22),MONTH(EI22)+1,1),"m"),0)</f>
        <v>8</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137" t="s">
        <v>977</v>
      </c>
      <c r="AS13" s="2137"/>
      <c r="AT13" s="2137"/>
      <c r="AU13" s="2137"/>
      <c r="AV13" s="2137"/>
      <c r="AW13" s="2137"/>
      <c r="AX13" s="2137"/>
      <c r="AY13" s="2137"/>
      <c r="AZ13" s="2137"/>
      <c r="BA13" s="2130" t="s">
        <v>1101</v>
      </c>
      <c r="BB13" s="2130"/>
      <c r="BC13" s="2130"/>
      <c r="BD13" s="970"/>
      <c r="BE13" s="129"/>
      <c r="BF13" s="129"/>
      <c r="BG13" s="1453" t="str">
        <f t="shared" si="0"/>
        <v>52025</v>
      </c>
      <c r="BH13" s="1464">
        <f t="shared" si="1"/>
        <v>5</v>
      </c>
      <c r="BI13" s="1465">
        <f>IF($AR$13=S.CAL!$CU$2,+SUMIF(S.CAL!$FW$3:$FW$374,BG13,S.CAL!$FX$3:$FX$374),IF($AR$13=S.CAL!$CU$3,SUMIF(Feuilles_de_présence_planning!$EG$12:$EG$537,BG13,Feuilles_de_présence_planning!$EE$12:$EE$537),"err"))</f>
        <v>0</v>
      </c>
      <c r="BJ13" s="129"/>
      <c r="BK13" s="129"/>
      <c r="BL13" s="129"/>
      <c r="BM13" s="129"/>
      <c r="BN13" s="129"/>
      <c r="BQ13" s="584"/>
      <c r="BR13" s="584"/>
      <c r="BS13" s="584"/>
      <c r="BT13" s="584"/>
      <c r="BU13" s="584"/>
      <c r="BV13" s="584"/>
      <c r="BW13" s="584"/>
      <c r="BX13" s="584"/>
      <c r="BY13" s="584"/>
      <c r="BZ13" s="654" t="str">
        <f>+IF(BZ8="OUI","Si nécessaire calculer l'indemnité de préavis et vérifier l'indemnité de rupture","")</f>
        <v/>
      </c>
      <c r="CA13" s="584"/>
      <c r="DO13" s="420" t="s">
        <v>356</v>
      </c>
      <c r="DP13" s="756">
        <f>+VLOOKUP(DP4,base_donné_contrat,12,FALSE)</f>
        <v>0</v>
      </c>
      <c r="EF13" s="333" t="s">
        <v>226</v>
      </c>
      <c r="EH13" s="333" t="s">
        <v>225</v>
      </c>
      <c r="EW13" s="420" t="s">
        <v>979</v>
      </c>
      <c r="EX13" s="333" t="str">
        <f>+IF(AR13=S.CAL!CU3,"oui","non")</f>
        <v>non</v>
      </c>
    </row>
    <row r="14" spans="1:226" ht="12.7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c r="AR14" s="1805"/>
      <c r="AS14" s="1805"/>
      <c r="AT14" s="1805"/>
      <c r="AU14" s="1805"/>
      <c r="AV14" s="1805"/>
      <c r="AW14" s="1805"/>
      <c r="AX14" s="1805"/>
      <c r="AY14" s="1805"/>
      <c r="AZ14" s="1805"/>
      <c r="BA14" s="2130"/>
      <c r="BB14" s="2130"/>
      <c r="BC14" s="2130"/>
      <c r="BD14" s="970"/>
      <c r="BE14" s="129"/>
      <c r="BF14" s="129"/>
      <c r="BG14" s="1453" t="str">
        <f t="shared" si="0"/>
        <v>2025</v>
      </c>
      <c r="BH14" s="1466" t="str">
        <f t="shared" si="1"/>
        <v/>
      </c>
      <c r="BI14" s="1467">
        <f>IF($AR$13=S.CAL!$CU$2,+SUMIF(S.CAL!$FW$3:$FW$374,BG14,S.CAL!$FX$3:$FX$374),IF($AR$13=S.CAL!$CU$3,SUMIF(Feuilles_de_présence_planning!$EG$12:$EG$537,BG14,Feuilles_de_présence_planning!$EE$12:$EE$537),"err"))</f>
        <v>0</v>
      </c>
      <c r="BJ14" s="129"/>
      <c r="BK14" s="129"/>
      <c r="BL14" s="129"/>
      <c r="BM14" s="129"/>
      <c r="BN14" s="129"/>
      <c r="BQ14" s="584"/>
      <c r="BR14" s="584"/>
      <c r="BS14" s="584"/>
      <c r="BT14" s="584"/>
      <c r="BU14" s="584"/>
      <c r="BV14" s="584"/>
      <c r="BW14" s="584"/>
      <c r="BX14" s="584"/>
      <c r="BY14" s="584"/>
      <c r="BZ14" s="584"/>
      <c r="CA14" s="584"/>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1791"/>
      <c r="Y15" s="1836">
        <f>+DP2</f>
        <v>0</v>
      </c>
      <c r="Z15" s="1837"/>
      <c r="AE15" s="1889" t="s">
        <v>42</v>
      </c>
      <c r="AF15" s="1890"/>
      <c r="AG15" s="1890"/>
      <c r="AH15" s="1890"/>
      <c r="AI15" s="1890"/>
      <c r="AJ15" s="1890"/>
      <c r="AK15" s="1891"/>
      <c r="AL15" s="1886">
        <f>ROUND(AL14*BY4,4)</f>
        <v>0</v>
      </c>
      <c r="AM15" s="1887"/>
      <c r="AN15" s="1887"/>
      <c r="AO15" s="1888"/>
      <c r="AP15" s="220"/>
      <c r="AQ15" s="338"/>
      <c r="AR15" s="220"/>
      <c r="AZ15" s="129"/>
      <c r="BA15" s="129"/>
      <c r="BB15" s="129"/>
      <c r="BC15" s="129"/>
      <c r="BD15" s="129"/>
      <c r="BE15" s="129"/>
      <c r="BF15" s="129"/>
      <c r="BG15" s="129"/>
      <c r="BH15" s="129"/>
      <c r="BI15" s="129"/>
      <c r="BJ15" s="129"/>
      <c r="BK15" s="129"/>
      <c r="BL15" s="129"/>
      <c r="BM15" s="129"/>
      <c r="BN15" s="129"/>
      <c r="BQ15" s="2135" t="s">
        <v>1104</v>
      </c>
      <c r="BR15" s="2135"/>
      <c r="BS15" s="2135"/>
      <c r="BT15" s="2135"/>
      <c r="BU15" s="2135"/>
      <c r="BV15" s="2135"/>
      <c r="BW15" s="2135"/>
      <c r="BX15" s="2135"/>
      <c r="BY15" s="2135"/>
      <c r="BZ15" s="2135"/>
      <c r="CA15" s="2135"/>
      <c r="CB15" s="2135"/>
      <c r="CC15" s="2135"/>
      <c r="DO15" s="333" t="s">
        <v>652</v>
      </c>
      <c r="DP15" s="333" t="e">
        <f>+DP13/DP11*12/DP8*DP11/6</f>
        <v>#DIV/0!</v>
      </c>
      <c r="DV15" s="758"/>
      <c r="DW15" s="758"/>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8" t="str">
        <f>+IF(AH92&lt;0,"Erreur vous posez trop de CP Acq","")</f>
        <v/>
      </c>
      <c r="AR16" s="220"/>
      <c r="BC16" s="2136"/>
      <c r="BD16" s="2136"/>
      <c r="BE16" s="2136"/>
      <c r="BQ16" s="2135"/>
      <c r="BR16" s="2135"/>
      <c r="BS16" s="2135"/>
      <c r="BT16" s="2135"/>
      <c r="BU16" s="2135"/>
      <c r="BV16" s="2135"/>
      <c r="BW16" s="2135"/>
      <c r="BX16" s="2135"/>
      <c r="BY16" s="2135"/>
      <c r="BZ16" s="2135"/>
      <c r="CA16" s="2135"/>
      <c r="CB16" s="2135"/>
      <c r="CC16" s="2135"/>
      <c r="DO16" s="420" t="s">
        <v>711</v>
      </c>
      <c r="DP16" s="333" t="str">
        <f>+VLOOKUP(DP4,base_donné_contrat,10,FALSE)</f>
        <v>Méthode 1</v>
      </c>
      <c r="DZ16" s="420"/>
      <c r="EA16" s="420"/>
      <c r="EB16" s="420"/>
      <c r="EC16" s="420"/>
      <c r="ED16" s="420"/>
      <c r="EE16" s="420" t="s">
        <v>224</v>
      </c>
      <c r="EF16" s="759">
        <f>+IF(DP8=52,AH83,(AH83/4))</f>
        <v>0</v>
      </c>
      <c r="EG16" s="759">
        <f>+IF(DP8=52,AH83*4,AH83)</f>
        <v>0</v>
      </c>
      <c r="EH16" s="759">
        <f>+IF(DP8=52,AL83,(AL83/4))</f>
        <v>0</v>
      </c>
      <c r="EI16" s="759">
        <f>+IF(DP8=52,AL83*4,AL83)</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204"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8" t="str">
        <f>+IF(AL92&lt;0,"Erreur vous posez trop de CP Anticipés","")</f>
        <v/>
      </c>
      <c r="AR17" s="220"/>
      <c r="BC17" s="2138" t="s">
        <v>1014</v>
      </c>
      <c r="BD17" s="2138"/>
      <c r="BE17" s="2138"/>
      <c r="BH17" s="2139" t="s">
        <v>1559</v>
      </c>
      <c r="BI17" s="2139"/>
      <c r="BQ17" s="2135"/>
      <c r="BR17" s="2135"/>
      <c r="BS17" s="2135"/>
      <c r="BT17" s="2135"/>
      <c r="BU17" s="2135"/>
      <c r="BV17" s="2135"/>
      <c r="BW17" s="2135"/>
      <c r="BX17" s="2135"/>
      <c r="BY17" s="2135"/>
      <c r="BZ17" s="2135"/>
      <c r="CA17" s="2135"/>
      <c r="CB17" s="2135"/>
      <c r="CC17" s="2135"/>
      <c r="DO17" s="420"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I17" s="218"/>
      <c r="GJ17" s="265"/>
      <c r="GM17" s="1529"/>
      <c r="GN17" s="218"/>
      <c r="GP17" s="2289" t="s">
        <v>1666</v>
      </c>
      <c r="GQ17" s="2289" t="s">
        <v>1585</v>
      </c>
      <c r="GR17" s="218"/>
      <c r="GS17" s="218"/>
      <c r="GT17" s="218"/>
      <c r="GU17" s="218"/>
      <c r="GV17" s="218"/>
    </row>
    <row r="18" spans="1:204"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1"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Q18" s="584"/>
      <c r="BR18" s="584"/>
      <c r="BS18" s="584"/>
      <c r="BT18" s="584"/>
      <c r="BU18" s="584"/>
      <c r="BV18" s="584"/>
      <c r="BW18" s="586"/>
      <c r="BX18" s="586"/>
      <c r="BY18" s="586"/>
      <c r="BZ18" s="584"/>
      <c r="CA18" s="584"/>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I18" s="218"/>
      <c r="GJ18" s="265" t="s">
        <v>1614</v>
      </c>
      <c r="GK18" s="129" t="s">
        <v>1615</v>
      </c>
      <c r="GL18" s="129" t="s">
        <v>1616</v>
      </c>
      <c r="GM18" s="1529" t="s">
        <v>1617</v>
      </c>
      <c r="GN18" s="218"/>
      <c r="GO18" s="1546" t="s">
        <v>1523</v>
      </c>
      <c r="GP18" s="2289"/>
      <c r="GQ18" s="2289"/>
      <c r="GR18" s="218"/>
      <c r="GS18" s="218"/>
      <c r="GT18" s="218"/>
      <c r="GU18" s="218"/>
      <c r="GV18" s="218"/>
    </row>
    <row r="19" spans="1:204"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584"/>
      <c r="BR19" s="584"/>
      <c r="BS19" s="584"/>
      <c r="BT19" s="584"/>
      <c r="BU19" s="584"/>
      <c r="BV19" s="584"/>
      <c r="BW19" s="584"/>
      <c r="BX19" s="584"/>
      <c r="BY19" s="584"/>
      <c r="BZ19" s="584"/>
      <c r="CA19" s="584"/>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333" t="str">
        <f>+"Heures entretien &gt;"&amp;DL1&amp;"h"&amp;DL2</f>
        <v>Heures entretien &gt;6h16</v>
      </c>
      <c r="EA19" s="333" t="s">
        <v>1071</v>
      </c>
      <c r="EB19" s="333" t="s">
        <v>1072</v>
      </c>
      <c r="EE19" s="420" t="s">
        <v>1170</v>
      </c>
      <c r="EF19" s="333">
        <f>IF(DP8&lt;52,(COUNTIF(AM20:AO50,"&gt;0"))+FP57,(COUNTIF(AM20:AO50,"&gt;0"))+FP57)</f>
        <v>0</v>
      </c>
      <c r="EH19" s="333" t="s">
        <v>315</v>
      </c>
      <c r="EI19" s="333">
        <f>COUNTIF('Retenue Janv'!D18:D48,"&gt;0")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129" t="s">
        <v>1287</v>
      </c>
      <c r="FJ19" s="333" t="s">
        <v>1350</v>
      </c>
      <c r="FK19" s="129" t="s">
        <v>1351</v>
      </c>
      <c r="FL19" s="129" t="s">
        <v>1353</v>
      </c>
      <c r="FN19" s="129" t="s">
        <v>1355</v>
      </c>
      <c r="GJ19" s="265"/>
      <c r="GM19" s="1529"/>
    </row>
    <row r="20" spans="1:204"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 ca="1">+IF(AND(DP14=1,OR(DP29="NON",DP29=0)),0,IF(DP29="OUI",0,CA34))</f>
        <v>0</v>
      </c>
      <c r="M20" s="1839"/>
      <c r="N20" s="1839"/>
      <c r="O20" s="1840"/>
      <c r="P20" s="1807">
        <f>+IF(AND(DP14=1,OR(DP29="NON",DP29=0)),0,IF(DP29="OUI",0,AL14*N15))</f>
        <v>0</v>
      </c>
      <c r="Q20" s="1808"/>
      <c r="R20" s="1808"/>
      <c r="S20" s="1967"/>
      <c r="T20" s="1816">
        <f t="shared" ca="1" si="2"/>
        <v>0</v>
      </c>
      <c r="U20" s="1817"/>
      <c r="V20" s="1817"/>
      <c r="W20" s="1933"/>
      <c r="X20" s="223"/>
      <c r="Y20" s="223"/>
      <c r="Z20" s="223"/>
      <c r="AA20" s="903" t="str">
        <f>IF(AND(BE20="OUI",$AR$13=S.CAL!$CU$2),"►",IF(AND(EV20="OUI",$AR$13=S.CAL!$CU$3),"►",""))</f>
        <v/>
      </c>
      <c r="AB20" s="1901">
        <f>+$X$3</f>
        <v>45658</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1</v>
      </c>
      <c r="AQ20" s="340"/>
      <c r="AR20" s="1145"/>
      <c r="AS20" s="332">
        <f t="shared" ref="AS20:AS50" si="3">SUM(AD20:AL20)</f>
        <v>0</v>
      </c>
      <c r="AT20" s="1146"/>
      <c r="AU20" s="1146"/>
      <c r="AV20" s="332"/>
      <c r="AW20" s="1989">
        <f>AB20</f>
        <v>45658</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infoA3</v>
      </c>
      <c r="BK20" s="129">
        <f>IFERROR(WEEKNUM(AB20,21),"")</f>
        <v>1</v>
      </c>
      <c r="BL20" s="129" t="str">
        <f t="shared" ref="BL20:BL50" si="4">+VLOOKUP(BK20,$AT$4:$AU$10,2,)</f>
        <v>A</v>
      </c>
      <c r="BM20" s="129">
        <f t="shared" ref="BM20:BM21" si="5">WEEKDAY(AB20,2)</f>
        <v>3</v>
      </c>
      <c r="BN20" s="225" t="str">
        <f>+DP4</f>
        <v>Fiche info</v>
      </c>
      <c r="BO20" s="225" t="str">
        <f t="shared" ref="BO20:BO21" si="6">IFERROR(+VLOOKUP(AZ20,Liste_motif_formule,5,FALSE),"")</f>
        <v/>
      </c>
      <c r="BP20" s="198" t="str">
        <f t="shared" ref="BP20:BP21" si="7">IFERROR(+VLOOKUP(AZ20,Liste_motif_formule,4,FALSE),"")</f>
        <v/>
      </c>
      <c r="BQ20" s="584"/>
      <c r="BR20" s="584"/>
      <c r="BS20" s="584"/>
      <c r="BT20" s="584"/>
      <c r="BU20" s="584"/>
      <c r="BV20" s="584"/>
      <c r="BW20" s="584"/>
      <c r="BX20" s="584"/>
      <c r="BY20" s="584"/>
      <c r="BZ20" s="584"/>
      <c r="CA20" s="584"/>
      <c r="DO20" s="333" t="s">
        <v>948</v>
      </c>
      <c r="DP20" s="809">
        <f ca="1">+T18+T19+T20+T21+T23+T24+T22+T25+T26+T27+T28+T29+T31+T34+T33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27</v>
      </c>
      <c r="EQ20" s="766">
        <f>+AB20</f>
        <v>45658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45658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129"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v>
      </c>
      <c r="GA20" s="129">
        <f>++IF(OR(FZ20=52,FZ20=53),$X$4-1,$X$4)</f>
        <v>2025</v>
      </c>
      <c r="GB20" s="129" t="str">
        <f>+FZ20&amp;GA20</f>
        <v>12025</v>
      </c>
      <c r="GC20" s="225">
        <f>IF(AND($GD$53=S.CAL!$P$3,$GD$52=FZ20),GE20,IF(BH20="",0,BH20))</f>
        <v>0</v>
      </c>
      <c r="GD20" s="129" t="str">
        <f>IFERROR(+Février!$BY$2&amp;BL20&amp;BM20,0)</f>
        <v>Fiche infoA3</v>
      </c>
      <c r="GE20" s="129" t="str">
        <f t="shared" ref="GE20:GE50" si="19">+IFERROR(VLOOKUP(GD20,Base_heures,6,FALSE),"")</f>
        <v/>
      </c>
      <c r="GF20" s="225" t="str">
        <f>IF(FP20=1,GG20,AM20)</f>
        <v/>
      </c>
      <c r="GG20" s="1469" t="str">
        <f>+'Retenue Janv'!D18</f>
        <v/>
      </c>
      <c r="GH20" s="1469">
        <f>+'Retenue Janv'!BF18</f>
        <v>0</v>
      </c>
      <c r="GI20" s="1469"/>
      <c r="GJ20" s="1530" t="str">
        <f>+AM20</f>
        <v/>
      </c>
      <c r="GK20" s="225" t="str">
        <f>+AG20</f>
        <v/>
      </c>
      <c r="GL20" s="225" t="str">
        <f>+AJ20</f>
        <v/>
      </c>
      <c r="GM20" s="1529">
        <f>+IF(AND(OR(ISNUMBER(GK20),ISNUMBER(GL20)),OR(GJ20="",GJ20=0,ISTEXT(GJ20))),1,0)</f>
        <v>0</v>
      </c>
      <c r="GN20" s="1469"/>
      <c r="GO20" s="1469">
        <f t="shared" ref="GO20:GO50" si="20">+IFERROR(IF(AND(VLOOKUP(EX20,Liste_motif_formule,11,FALSE)="OUI",FB20&gt;0,FB20&lt;&gt;""),1,0),0)+IFERROR(IF(AND(VLOOKUP(ER20,Liste_motif_formule,11,FALSE)="OUI",FB20&gt;0,FB20&lt;&gt;""),1,0),0)</f>
        <v>0</v>
      </c>
      <c r="GP20" s="1469" t="str">
        <f>IF(GO20=1,GG20,"")</f>
        <v/>
      </c>
      <c r="GQ20" s="1469" t="str">
        <f>+GG20</f>
        <v/>
      </c>
      <c r="GR20" s="1469"/>
      <c r="GS20" s="1469"/>
      <c r="GT20" s="1469"/>
      <c r="GU20" s="1469"/>
      <c r="GV20" s="1469"/>
    </row>
    <row r="21" spans="1:204"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si="2"/>
        <v>0</v>
      </c>
      <c r="U21" s="1817"/>
      <c r="V21" s="1817"/>
      <c r="W21" s="1818"/>
      <c r="X21" s="223"/>
      <c r="Y21" s="223"/>
      <c r="Z21" s="223"/>
      <c r="AA21" s="903" t="str">
        <f>IF(AND(BE21="OUI",$AR$13=S.CAL!$CU$2),"►",IF(AND(EV21="OUI",$AR$13=S.CAL!$CU$3),"►",""))</f>
        <v/>
      </c>
      <c r="AB21" s="1877">
        <f>+$X$3+1</f>
        <v>45659</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1">AB21</f>
        <v>45659</v>
      </c>
      <c r="AX21" s="1878"/>
      <c r="AY21" s="332"/>
      <c r="AZ21" s="1126"/>
      <c r="BA21" s="993"/>
      <c r="BB21" s="561"/>
      <c r="BC21" s="566">
        <f t="shared" ref="BC21:BC50" si="22">+IF(AND(BE21="OUI",BD21=""),IFERROR(BH21-AZ21,FS21),IF(AND(BE21="OUI",BD21&lt;&gt;""),BD21,0))</f>
        <v>0</v>
      </c>
      <c r="BD21" s="1126"/>
      <c r="BE21" s="825">
        <f t="shared" ref="BE21:BE50" si="23">+IF(OR(AND(BF21="",BO21="OUI"),AND(BF21="",FC21="oui",BO21=""),AND(BF21="",IFERROR(BH21-AZ21,0)&gt;0,AZ21&lt;&gt;"")),"OUI",BF21)</f>
        <v>0</v>
      </c>
      <c r="BF21" s="1150"/>
      <c r="BG21" s="224"/>
      <c r="BH21" s="566" t="str">
        <f t="shared" ref="BH21:BH50" si="24">IF(BI21="",+FB21,BI21)</f>
        <v/>
      </c>
      <c r="BI21" s="1150"/>
      <c r="BJ21" s="129" t="str">
        <f t="shared" ref="BJ21:BJ47" si="25">+BN21&amp;BL21&amp;BM21</f>
        <v>Fiche infoA4</v>
      </c>
      <c r="BK21" s="129">
        <f t="shared" ref="BK21" si="26">IFERROR(WEEKNUM(AB21,21),"")</f>
        <v>1</v>
      </c>
      <c r="BL21" s="129" t="str">
        <f t="shared" si="4"/>
        <v>A</v>
      </c>
      <c r="BM21" s="129">
        <f t="shared" si="5"/>
        <v>4</v>
      </c>
      <c r="BN21" s="225" t="str">
        <f>+BN20</f>
        <v>Fiche info</v>
      </c>
      <c r="BO21" s="225" t="str">
        <f t="shared" si="6"/>
        <v/>
      </c>
      <c r="BP21" s="198" t="str">
        <f t="shared" si="7"/>
        <v/>
      </c>
      <c r="BQ21" s="584"/>
      <c r="BR21" s="584"/>
      <c r="BS21" s="584"/>
      <c r="BT21" s="584"/>
      <c r="BU21" s="584"/>
      <c r="BV21" s="2143" t="s">
        <v>1654</v>
      </c>
      <c r="BW21" s="2143"/>
      <c r="BX21" s="2143"/>
      <c r="BY21" s="2143"/>
      <c r="BZ21" s="2143"/>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774"/>
      <c r="DF21" s="774"/>
      <c r="DG21" s="774"/>
      <c r="DH21" s="774"/>
      <c r="DI21" s="774"/>
      <c r="DJ21" s="774"/>
      <c r="DK21" s="774"/>
      <c r="DL21" s="774"/>
      <c r="DM21" s="774"/>
      <c r="DN21" s="774"/>
      <c r="DO21" s="775" t="s">
        <v>1128</v>
      </c>
      <c r="DP21" s="810">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45658</v>
      </c>
      <c r="EJ21" s="755"/>
      <c r="EK21" s="755"/>
      <c r="EQ21" s="766">
        <f t="shared" ref="EQ21" si="27">+AB21</f>
        <v>45659</v>
      </c>
      <c r="ER21" s="767">
        <f t="shared" si="10"/>
        <v>0</v>
      </c>
      <c r="ES21" s="768">
        <f t="shared" si="11"/>
        <v>0</v>
      </c>
      <c r="ET21" s="767">
        <f t="shared" si="12"/>
        <v>0</v>
      </c>
      <c r="EU21" s="768">
        <f t="shared" si="13"/>
        <v>0</v>
      </c>
      <c r="EV21" s="767" t="str">
        <f t="shared" si="14"/>
        <v/>
      </c>
      <c r="EW21" s="769">
        <f t="shared" ref="EW21:EW50" si="28">+EQ21</f>
        <v>45659</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129"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1</v>
      </c>
      <c r="GA21" s="129">
        <f t="shared" ref="GA21:GA48" si="38">++IF(OR(FZ21=52,FZ21=53),$X$4-1,$X$4)</f>
        <v>2025</v>
      </c>
      <c r="GB21" s="129" t="str">
        <f t="shared" ref="GB21:GB48" si="39">+FZ21&amp;GA21</f>
        <v>12025</v>
      </c>
      <c r="GC21" s="225">
        <f>IF(AND($GD$53=S.CAL!$P$3,$GD$52=FZ21),GE21,IF(BH21="",0,BH21))</f>
        <v>0</v>
      </c>
      <c r="GD21" s="129" t="str">
        <f>IFERROR(+Février!$BY$2&amp;BL21&amp;BM21,0)</f>
        <v>Fiche infoA4</v>
      </c>
      <c r="GE21" s="129" t="str">
        <f t="shared" si="19"/>
        <v/>
      </c>
      <c r="GF21" s="225" t="str">
        <f t="shared" ref="GF21:GF48" si="40">IF(FP21=1,GG21,AM21)</f>
        <v/>
      </c>
      <c r="GG21" s="1469" t="str">
        <f>+'Retenue Janv'!D19</f>
        <v/>
      </c>
      <c r="GH21" s="1469">
        <f>+'Retenue Janv'!BF19</f>
        <v>0</v>
      </c>
      <c r="GI21" s="1469"/>
      <c r="GJ21" s="1530" t="str">
        <f t="shared" ref="GJ21:GJ50" si="41">+AM21</f>
        <v/>
      </c>
      <c r="GK21" s="225" t="str">
        <f t="shared" ref="GK21:GK50" si="42">+AG21</f>
        <v/>
      </c>
      <c r="GL21" s="225" t="str">
        <f t="shared" ref="GL21:GL50" si="43">+AJ21</f>
        <v/>
      </c>
      <c r="GM21" s="1529">
        <f t="shared" ref="GM21:GM50" si="44">+IF(AND(OR(ISNUMBER(GK21),ISNUMBER(GL21)),OR(GJ21="",GJ21=0,ISTEXT(GJ21))),1,0)</f>
        <v>0</v>
      </c>
      <c r="GN21" s="1469"/>
      <c r="GO21" s="1469">
        <f t="shared" si="20"/>
        <v>0</v>
      </c>
      <c r="GP21" s="1469" t="str">
        <f t="shared" ref="GP21:GP50" si="45">IF(GO21=1,GG21,"")</f>
        <v/>
      </c>
      <c r="GQ21" s="1469" t="str">
        <f t="shared" ref="GQ21:GQ50" si="46">+GG21</f>
        <v/>
      </c>
      <c r="GR21" s="1469"/>
      <c r="GS21" s="1469"/>
      <c r="GT21" s="1469"/>
      <c r="GU21" s="1469"/>
      <c r="GV21" s="1469"/>
    </row>
    <row r="22" spans="1:204"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45660</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7">IFERROR(IF(WEEKDAY(AB22,11)=1,WEEKNUM(AB22,21),""),"")</f>
        <v/>
      </c>
      <c r="AQ22" s="340"/>
      <c r="AR22" s="1126"/>
      <c r="AS22" s="332">
        <f t="shared" si="3"/>
        <v>0</v>
      </c>
      <c r="AT22" s="1147"/>
      <c r="AU22" s="1147"/>
      <c r="AV22" s="332"/>
      <c r="AW22" s="2017">
        <f t="shared" si="21"/>
        <v>45660</v>
      </c>
      <c r="AX22" s="1878"/>
      <c r="AY22" s="332"/>
      <c r="AZ22" s="1126"/>
      <c r="BA22" s="993"/>
      <c r="BB22" s="561"/>
      <c r="BC22" s="566">
        <f t="shared" si="22"/>
        <v>0</v>
      </c>
      <c r="BD22" s="1126"/>
      <c r="BE22" s="825">
        <f t="shared" si="23"/>
        <v>0</v>
      </c>
      <c r="BF22" s="1150"/>
      <c r="BG22" s="224"/>
      <c r="BH22" s="566" t="str">
        <f t="shared" si="24"/>
        <v/>
      </c>
      <c r="BI22" s="1150"/>
      <c r="BJ22" s="129" t="str">
        <f t="shared" si="25"/>
        <v>Fiche infoA5</v>
      </c>
      <c r="BK22" s="129">
        <f t="shared" ref="BK22:BK50" si="48">IFERROR(WEEKNUM(AB22,21),"")</f>
        <v>1</v>
      </c>
      <c r="BL22" s="129" t="str">
        <f t="shared" si="4"/>
        <v>A</v>
      </c>
      <c r="BM22" s="129">
        <f t="shared" ref="BM22:BM47" si="49">WEEKDAY(AB22,2)</f>
        <v>5</v>
      </c>
      <c r="BN22" s="225" t="str">
        <f>+BN21</f>
        <v>Fiche info</v>
      </c>
      <c r="BO22" s="225" t="str">
        <f t="shared" ref="BO22:BO50" si="50">IFERROR(+VLOOKUP(AZ22,Liste_motif_formule,5,FALSE),"")</f>
        <v/>
      </c>
      <c r="BP22" s="198" t="str">
        <f t="shared" ref="BP22:BP50" si="51">IFERROR(+VLOOKUP(AZ22,Liste_motif_formule,4,FALSE),"")</f>
        <v/>
      </c>
      <c r="BQ22" s="584"/>
      <c r="BS22" s="584"/>
      <c r="BT22" s="584"/>
      <c r="BU22" s="584"/>
      <c r="BV22" s="2143"/>
      <c r="BW22" s="2143"/>
      <c r="BX22" s="2143"/>
      <c r="BY22" s="2143"/>
      <c r="BZ22" s="2143"/>
      <c r="CJ22" s="590"/>
      <c r="CK22" s="590"/>
      <c r="CL22" s="590"/>
      <c r="CM22" s="590"/>
      <c r="CN22" s="590"/>
      <c r="CO22" s="590"/>
      <c r="CP22" s="590"/>
      <c r="CQ22" s="590"/>
      <c r="CR22" s="590"/>
      <c r="CS22" s="590"/>
      <c r="CT22" s="590"/>
      <c r="CU22" s="590"/>
      <c r="CV22" s="590"/>
      <c r="CW22" s="590"/>
      <c r="CX22" s="590"/>
      <c r="CY22" s="590"/>
      <c r="CZ22" s="590"/>
      <c r="DA22" s="590"/>
      <c r="DB22" s="590"/>
      <c r="DC22" s="590"/>
      <c r="DD22" s="590"/>
      <c r="DE22" s="774"/>
      <c r="DF22" s="774"/>
      <c r="DG22" s="774"/>
      <c r="DH22" s="774"/>
      <c r="DI22" s="774"/>
      <c r="DJ22" s="774"/>
      <c r="DK22" s="774"/>
      <c r="DL22" s="774"/>
      <c r="DM22" s="774"/>
      <c r="DN22" s="774"/>
      <c r="DO22" s="775" t="s">
        <v>1129</v>
      </c>
      <c r="DP22" s="810">
        <f ca="1">+T19+T20+T26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45688</v>
      </c>
      <c r="EJ22" s="755"/>
      <c r="EK22" s="755"/>
      <c r="EQ22" s="766">
        <f t="shared" ref="EQ22:EQ50" si="52">+AB22</f>
        <v>45660</v>
      </c>
      <c r="ER22" s="767">
        <f t="shared" si="10"/>
        <v>0</v>
      </c>
      <c r="ES22" s="768">
        <f t="shared" si="11"/>
        <v>0</v>
      </c>
      <c r="ET22" s="767">
        <f t="shared" si="12"/>
        <v>0</v>
      </c>
      <c r="EU22" s="768">
        <f t="shared" si="13"/>
        <v>0</v>
      </c>
      <c r="EV22" s="767" t="str">
        <f t="shared" si="14"/>
        <v/>
      </c>
      <c r="EW22" s="769">
        <f t="shared" si="28"/>
        <v>45660</v>
      </c>
      <c r="EX22" s="777" t="str">
        <f>IFERROR(IF(AND(AZ22="",AR22&lt;&gt;S.CAL!$BJ$3,AR22&lt;&gt;S.CAL!$BJ$4),FS22-BC22,IF(AZ22&lt;&gt;0,AZ22,IF(OR(AR22=S.CAL!$BJ$3,AR22=S.CAL!$BJ$4),AR22,0))),"")</f>
        <v/>
      </c>
      <c r="EY22" s="771">
        <f t="shared" ref="EY22:EY50" si="53">+AT22</f>
        <v>0</v>
      </c>
      <c r="EZ22" s="754">
        <f t="shared" ref="EZ22:EZ50" si="54">+AU22</f>
        <v>0</v>
      </c>
      <c r="FA22" s="777" t="str">
        <f t="shared" si="31"/>
        <v/>
      </c>
      <c r="FB22" s="772" t="str">
        <f t="shared" si="15"/>
        <v/>
      </c>
      <c r="FC22" s="333" t="str">
        <f t="shared" ref="FC22:FC50" si="55">IFERROR(+IF(OR(DATE(YEAR(AB22),MONTH(AB22),DAY(AB22))&lt;DATE(YEAR($AJ$4),MONTH($AJ$4),DAY($AJ$4)),DATE(YEAR(AB22),MONTH(AB22),DAY(AB22))&gt;IF(DATE(YEAR($EG$4),MONTH($EG$4),DAY($EG$4))=0,DATE(2100,12,30),DATE(YEAR($EG$4),MONTH($EG$4),DAY($EG$4)))),"oui","non"),"")</f>
        <v>non</v>
      </c>
      <c r="FD22" s="778">
        <f t="shared" si="16"/>
        <v>0</v>
      </c>
      <c r="FG22" s="129" t="str">
        <f t="shared" ref="FG22:FG50" si="56">IF(ISNUMBER(AD22)=TRUE,"",AD22)</f>
        <v/>
      </c>
      <c r="FJ22" s="333">
        <f t="shared" ref="FJ22:FJ50" si="57">IF(OR(ISNUMBER(AZ22)=TRUE,AZ22=""),1,10)</f>
        <v>1</v>
      </c>
      <c r="FK22" s="129">
        <f t="shared" si="17"/>
        <v>10</v>
      </c>
      <c r="FL22" s="129">
        <f t="shared" si="35"/>
        <v>1</v>
      </c>
      <c r="FN22" s="129">
        <f>+IF(AND($DP$8&lt;&gt;52,AR22=S.CAL!$BJ$4),10,1)</f>
        <v>1</v>
      </c>
      <c r="FP22" s="129">
        <f t="shared" si="18"/>
        <v>0</v>
      </c>
      <c r="FS22" s="225" t="str">
        <f t="shared" si="36"/>
        <v/>
      </c>
      <c r="FZ22" s="129">
        <f t="shared" si="37"/>
        <v>1</v>
      </c>
      <c r="GA22" s="129">
        <f t="shared" si="38"/>
        <v>2025</v>
      </c>
      <c r="GB22" s="129" t="str">
        <f t="shared" si="39"/>
        <v>12025</v>
      </c>
      <c r="GC22" s="225">
        <f>IF(AND($GD$53=S.CAL!$P$3,$GD$52=FZ22),GE22,IF(BH22="",0,BH22))</f>
        <v>0</v>
      </c>
      <c r="GD22" s="129" t="str">
        <f>IFERROR(+Février!$BY$2&amp;BL22&amp;BM22,0)</f>
        <v>Fiche infoA5</v>
      </c>
      <c r="GE22" s="129" t="str">
        <f t="shared" si="19"/>
        <v/>
      </c>
      <c r="GF22" s="225" t="str">
        <f t="shared" si="40"/>
        <v/>
      </c>
      <c r="GG22" s="1469" t="str">
        <f>+'Retenue Janv'!D20</f>
        <v/>
      </c>
      <c r="GH22" s="1469">
        <f>+'Retenue Janv'!BF20</f>
        <v>0</v>
      </c>
      <c r="GI22" s="1469"/>
      <c r="GJ22" s="1530" t="str">
        <f t="shared" si="41"/>
        <v/>
      </c>
      <c r="GK22" s="225" t="str">
        <f t="shared" si="42"/>
        <v/>
      </c>
      <c r="GL22" s="225" t="str">
        <f t="shared" si="43"/>
        <v/>
      </c>
      <c r="GM22" s="1529">
        <f t="shared" si="44"/>
        <v>0</v>
      </c>
      <c r="GN22" s="1469"/>
      <c r="GO22" s="1469">
        <f t="shared" si="20"/>
        <v>0</v>
      </c>
      <c r="GP22" s="1469" t="str">
        <f t="shared" si="45"/>
        <v/>
      </c>
      <c r="GQ22" s="1469" t="str">
        <f t="shared" si="46"/>
        <v/>
      </c>
      <c r="GR22" s="1469"/>
      <c r="GS22" s="1469"/>
      <c r="GT22" s="1469"/>
      <c r="GU22" s="1469"/>
      <c r="GV22" s="1469"/>
    </row>
    <row r="23" spans="1:204"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8">+ROUND(P23*L23,2)</f>
        <v>0</v>
      </c>
      <c r="U23" s="1817"/>
      <c r="V23" s="1817"/>
      <c r="W23" s="1818"/>
      <c r="X23" s="223"/>
      <c r="Y23" s="223"/>
      <c r="Z23" s="223"/>
      <c r="AA23" s="903" t="str">
        <f>IF(AND(BE23="OUI",$AR$13=S.CAL!$CU$2),"►",IF(AND(EV23="OUI",$AR$13=S.CAL!$CU$3),"►",""))</f>
        <v/>
      </c>
      <c r="AB23" s="1877">
        <f>+$X$3+3</f>
        <v>45661</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7"/>
        <v/>
      </c>
      <c r="AQ23" s="340"/>
      <c r="AR23" s="1126"/>
      <c r="AS23" s="332">
        <f t="shared" si="3"/>
        <v>0</v>
      </c>
      <c r="AT23" s="1147"/>
      <c r="AU23" s="1147"/>
      <c r="AV23" s="332"/>
      <c r="AW23" s="2017">
        <f t="shared" si="21"/>
        <v>45661</v>
      </c>
      <c r="AX23" s="1878"/>
      <c r="AY23" s="332"/>
      <c r="AZ23" s="1126"/>
      <c r="BA23" s="993"/>
      <c r="BB23" s="561"/>
      <c r="BC23" s="566">
        <f t="shared" si="22"/>
        <v>0</v>
      </c>
      <c r="BD23" s="1126"/>
      <c r="BE23" s="825">
        <f t="shared" si="23"/>
        <v>0</v>
      </c>
      <c r="BF23" s="1150"/>
      <c r="BG23" s="224"/>
      <c r="BH23" s="566" t="str">
        <f t="shared" si="24"/>
        <v/>
      </c>
      <c r="BI23" s="1150"/>
      <c r="BJ23" s="129" t="str">
        <f t="shared" si="25"/>
        <v>Fiche infoA6</v>
      </c>
      <c r="BK23" s="129">
        <f t="shared" si="48"/>
        <v>1</v>
      </c>
      <c r="BL23" s="129" t="str">
        <f t="shared" si="4"/>
        <v>A</v>
      </c>
      <c r="BM23" s="129">
        <f t="shared" si="49"/>
        <v>6</v>
      </c>
      <c r="BN23" s="225" t="str">
        <f t="shared" ref="BN23:BN50" si="59">+BN22</f>
        <v>Fiche info</v>
      </c>
      <c r="BO23" s="332" t="str">
        <f t="shared" si="50"/>
        <v/>
      </c>
      <c r="BP23" s="198" t="str">
        <f t="shared" si="51"/>
        <v/>
      </c>
      <c r="BQ23" s="584"/>
      <c r="BR23" s="584"/>
      <c r="BS23" s="584"/>
      <c r="BT23" s="584"/>
      <c r="BU23" s="584"/>
      <c r="BV23" s="2143"/>
      <c r="BW23" s="2143"/>
      <c r="BX23" s="2143"/>
      <c r="BY23" s="2143"/>
      <c r="BZ23" s="2143"/>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2"/>
        <v>45661</v>
      </c>
      <c r="ER23" s="767">
        <f t="shared" si="10"/>
        <v>0</v>
      </c>
      <c r="ES23" s="768">
        <f t="shared" si="11"/>
        <v>0</v>
      </c>
      <c r="ET23" s="767">
        <f t="shared" si="12"/>
        <v>0</v>
      </c>
      <c r="EU23" s="768">
        <f t="shared" si="13"/>
        <v>0</v>
      </c>
      <c r="EV23" s="767" t="str">
        <f t="shared" si="14"/>
        <v/>
      </c>
      <c r="EW23" s="769">
        <f t="shared" si="28"/>
        <v>45661</v>
      </c>
      <c r="EX23" s="777" t="str">
        <f>IFERROR(IF(AND(AZ23="",AR23&lt;&gt;S.CAL!$BJ$3,AR23&lt;&gt;S.CAL!$BJ$4),FS23-BC23,IF(AZ23&lt;&gt;0,AZ23,IF(OR(AR23=S.CAL!$BJ$3,AR23=S.CAL!$BJ$4),AR23,0))),"")</f>
        <v/>
      </c>
      <c r="EY23" s="771">
        <f t="shared" si="53"/>
        <v>0</v>
      </c>
      <c r="EZ23" s="754">
        <f t="shared" si="54"/>
        <v>0</v>
      </c>
      <c r="FA23" s="777" t="str">
        <f t="shared" si="31"/>
        <v/>
      </c>
      <c r="FB23" s="772" t="str">
        <f t="shared" si="15"/>
        <v/>
      </c>
      <c r="FC23" s="333" t="str">
        <f t="shared" si="55"/>
        <v>non</v>
      </c>
      <c r="FD23" s="778">
        <f t="shared" si="16"/>
        <v>0</v>
      </c>
      <c r="FG23" s="129" t="str">
        <f t="shared" si="56"/>
        <v/>
      </c>
      <c r="FJ23" s="333">
        <f t="shared" si="57"/>
        <v>1</v>
      </c>
      <c r="FK23" s="129">
        <f t="shared" si="17"/>
        <v>10</v>
      </c>
      <c r="FL23" s="129">
        <f t="shared" si="35"/>
        <v>1</v>
      </c>
      <c r="FN23" s="129">
        <f>+IF(AND($DP$8&lt;&gt;52,AR23=S.CAL!$BJ$4),10,1)</f>
        <v>1</v>
      </c>
      <c r="FP23" s="129">
        <f t="shared" si="18"/>
        <v>0</v>
      </c>
      <c r="FS23" s="225" t="str">
        <f t="shared" si="36"/>
        <v/>
      </c>
      <c r="FZ23" s="129">
        <f t="shared" si="37"/>
        <v>1</v>
      </c>
      <c r="GA23" s="129">
        <f t="shared" si="38"/>
        <v>2025</v>
      </c>
      <c r="GB23" s="129" t="str">
        <f t="shared" si="39"/>
        <v>12025</v>
      </c>
      <c r="GC23" s="225">
        <f>IF(AND($GD$53=S.CAL!$P$3,$GD$52=FZ23),GE23,IF(BH23="",0,BH23))</f>
        <v>0</v>
      </c>
      <c r="GD23" s="129" t="str">
        <f>IFERROR(+Février!$BY$2&amp;BL23&amp;BM23,0)</f>
        <v>Fiche infoA6</v>
      </c>
      <c r="GE23" s="129" t="str">
        <f t="shared" si="19"/>
        <v/>
      </c>
      <c r="GF23" s="225" t="str">
        <f t="shared" si="40"/>
        <v/>
      </c>
      <c r="GG23" s="1469" t="str">
        <f>+'Retenue Janv'!D21</f>
        <v/>
      </c>
      <c r="GH23" s="1469">
        <f>+'Retenue Janv'!BF21</f>
        <v>0</v>
      </c>
      <c r="GI23" s="1469"/>
      <c r="GJ23" s="1530" t="str">
        <f t="shared" si="41"/>
        <v/>
      </c>
      <c r="GK23" s="225" t="str">
        <f t="shared" si="42"/>
        <v/>
      </c>
      <c r="GL23" s="225" t="str">
        <f t="shared" si="43"/>
        <v/>
      </c>
      <c r="GM23" s="1529">
        <f t="shared" si="44"/>
        <v>0</v>
      </c>
      <c r="GN23" s="1469"/>
      <c r="GO23" s="1469">
        <f t="shared" si="20"/>
        <v>0</v>
      </c>
      <c r="GP23" s="1469" t="str">
        <f t="shared" si="45"/>
        <v/>
      </c>
      <c r="GQ23" s="1469" t="str">
        <f t="shared" si="46"/>
        <v/>
      </c>
      <c r="GR23" s="1469"/>
      <c r="GS23" s="1469"/>
      <c r="GT23" s="1469"/>
      <c r="GU23" s="1469"/>
      <c r="GV23" s="1469"/>
    </row>
    <row r="24" spans="1:204"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8"/>
        <v>0</v>
      </c>
      <c r="U24" s="1817"/>
      <c r="V24" s="1817"/>
      <c r="W24" s="1818"/>
      <c r="X24" s="223"/>
      <c r="Y24" s="223"/>
      <c r="Z24" s="223"/>
      <c r="AA24" s="903" t="str">
        <f>IF(AND(BE24="OUI",$AR$13=S.CAL!$CU$2),"►",IF(AND(EV24="OUI",$AR$13=S.CAL!$CU$3),"►",""))</f>
        <v/>
      </c>
      <c r="AB24" s="1877">
        <f>+$X$3+4</f>
        <v>45662</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7"/>
        <v/>
      </c>
      <c r="AQ24" s="340"/>
      <c r="AR24" s="1126"/>
      <c r="AS24" s="332">
        <f t="shared" si="3"/>
        <v>0</v>
      </c>
      <c r="AT24" s="1147"/>
      <c r="AU24" s="1147"/>
      <c r="AV24" s="332"/>
      <c r="AW24" s="2017">
        <f t="shared" si="21"/>
        <v>45662</v>
      </c>
      <c r="AX24" s="1878"/>
      <c r="AY24" s="332"/>
      <c r="AZ24" s="1126"/>
      <c r="BA24" s="993"/>
      <c r="BB24" s="561"/>
      <c r="BC24" s="566">
        <f t="shared" si="22"/>
        <v>0</v>
      </c>
      <c r="BD24" s="1126"/>
      <c r="BE24" s="825">
        <f t="shared" si="23"/>
        <v>0</v>
      </c>
      <c r="BF24" s="1150"/>
      <c r="BG24" s="224"/>
      <c r="BH24" s="566" t="str">
        <f t="shared" si="24"/>
        <v/>
      </c>
      <c r="BI24" s="1150"/>
      <c r="BJ24" s="129" t="str">
        <f t="shared" si="25"/>
        <v>Fiche infoA7</v>
      </c>
      <c r="BK24" s="129">
        <f t="shared" si="48"/>
        <v>1</v>
      </c>
      <c r="BL24" s="129" t="str">
        <f t="shared" si="4"/>
        <v>A</v>
      </c>
      <c r="BM24" s="129">
        <f t="shared" si="49"/>
        <v>7</v>
      </c>
      <c r="BN24" s="225" t="str">
        <f t="shared" si="59"/>
        <v>Fiche info</v>
      </c>
      <c r="BO24" s="332" t="str">
        <f t="shared" si="50"/>
        <v/>
      </c>
      <c r="BP24" s="198" t="str">
        <f t="shared" si="51"/>
        <v/>
      </c>
      <c r="BQ24" s="587"/>
      <c r="BV24" s="219" t="s">
        <v>448</v>
      </c>
      <c r="BW24" s="584"/>
      <c r="BX24" s="584"/>
      <c r="BY24" s="584"/>
      <c r="BZ24" s="584"/>
      <c r="DO24" s="420" t="s">
        <v>1432</v>
      </c>
      <c r="DP24" s="810">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2"/>
        <v>45662</v>
      </c>
      <c r="ER24" s="767">
        <f t="shared" si="10"/>
        <v>0</v>
      </c>
      <c r="ES24" s="768">
        <f t="shared" si="11"/>
        <v>0</v>
      </c>
      <c r="ET24" s="767">
        <f t="shared" si="12"/>
        <v>0</v>
      </c>
      <c r="EU24" s="768">
        <f t="shared" si="13"/>
        <v>0</v>
      </c>
      <c r="EV24" s="767" t="str">
        <f t="shared" si="14"/>
        <v/>
      </c>
      <c r="EW24" s="769">
        <f t="shared" si="28"/>
        <v>45662</v>
      </c>
      <c r="EX24" s="777" t="str">
        <f>IFERROR(IF(AND(AZ24="",AR24&lt;&gt;S.CAL!$BJ$3,AR24&lt;&gt;S.CAL!$BJ$4),FS24-BC24,IF(AZ24&lt;&gt;0,AZ24,IF(OR(AR24=S.CAL!$BJ$3,AR24=S.CAL!$BJ$4),AR24,0))),"")</f>
        <v/>
      </c>
      <c r="EY24" s="771">
        <f t="shared" si="53"/>
        <v>0</v>
      </c>
      <c r="EZ24" s="754">
        <f t="shared" si="54"/>
        <v>0</v>
      </c>
      <c r="FA24" s="777" t="str">
        <f t="shared" si="31"/>
        <v/>
      </c>
      <c r="FB24" s="772" t="str">
        <f t="shared" si="15"/>
        <v/>
      </c>
      <c r="FC24" s="333" t="str">
        <f t="shared" si="55"/>
        <v>non</v>
      </c>
      <c r="FD24" s="778">
        <f t="shared" si="16"/>
        <v>0</v>
      </c>
      <c r="FG24" s="129" t="str">
        <f t="shared" si="56"/>
        <v/>
      </c>
      <c r="FJ24" s="333">
        <f t="shared" si="57"/>
        <v>1</v>
      </c>
      <c r="FK24" s="129">
        <f t="shared" si="17"/>
        <v>10</v>
      </c>
      <c r="FL24" s="129">
        <f t="shared" si="35"/>
        <v>1</v>
      </c>
      <c r="FN24" s="129">
        <f>+IF(AND($DP$8&lt;&gt;52,AR24=S.CAL!$BJ$4),10,1)</f>
        <v>1</v>
      </c>
      <c r="FP24" s="129">
        <f t="shared" si="18"/>
        <v>0</v>
      </c>
      <c r="FS24" s="225" t="str">
        <f t="shared" si="36"/>
        <v/>
      </c>
      <c r="FZ24" s="129">
        <f t="shared" si="37"/>
        <v>1</v>
      </c>
      <c r="GA24" s="129">
        <f t="shared" si="38"/>
        <v>2025</v>
      </c>
      <c r="GB24" s="129" t="str">
        <f t="shared" si="39"/>
        <v>12025</v>
      </c>
      <c r="GC24" s="225">
        <f>IF(AND($GD$53=S.CAL!$P$3,$GD$52=FZ24),GE24,IF(BH24="",0,BH24))</f>
        <v>0</v>
      </c>
      <c r="GD24" s="129" t="str">
        <f>IFERROR(+Février!$BY$2&amp;BL24&amp;BM24,0)</f>
        <v>Fiche infoA7</v>
      </c>
      <c r="GE24" s="129" t="str">
        <f t="shared" si="19"/>
        <v/>
      </c>
      <c r="GF24" s="225" t="str">
        <f t="shared" si="40"/>
        <v/>
      </c>
      <c r="GG24" s="1469" t="str">
        <f>+'Retenue Janv'!D22</f>
        <v/>
      </c>
      <c r="GH24" s="1469">
        <f>+'Retenue Janv'!BF22</f>
        <v>0</v>
      </c>
      <c r="GI24" s="1469"/>
      <c r="GJ24" s="1530" t="str">
        <f t="shared" si="41"/>
        <v/>
      </c>
      <c r="GK24" s="225" t="str">
        <f t="shared" si="42"/>
        <v/>
      </c>
      <c r="GL24" s="225" t="str">
        <f t="shared" si="43"/>
        <v/>
      </c>
      <c r="GM24" s="1529">
        <f t="shared" si="44"/>
        <v>0</v>
      </c>
      <c r="GN24" s="1469"/>
      <c r="GO24" s="1469">
        <f t="shared" si="20"/>
        <v>0</v>
      </c>
      <c r="GP24" s="1469" t="str">
        <f t="shared" si="45"/>
        <v/>
      </c>
      <c r="GQ24" s="1469" t="str">
        <f t="shared" si="46"/>
        <v/>
      </c>
      <c r="GR24" s="1469"/>
      <c r="GS24" s="1469"/>
      <c r="GT24" s="1469"/>
      <c r="GU24" s="1469"/>
      <c r="GV24" s="1469"/>
    </row>
    <row r="25" spans="1:204" ht="12.75" customHeight="1" x14ac:dyDescent="0.2">
      <c r="A25" s="1850" t="s">
        <v>52</v>
      </c>
      <c r="B25" s="1865" t="s">
        <v>1253</v>
      </c>
      <c r="C25" s="1866"/>
      <c r="D25" s="1866"/>
      <c r="E25" s="1866"/>
      <c r="F25" s="1866"/>
      <c r="G25" s="1866"/>
      <c r="H25" s="1866"/>
      <c r="I25" s="1866"/>
      <c r="J25" s="1866"/>
      <c r="K25" s="1867"/>
      <c r="L25" s="1810" t="e">
        <f>IF(A18="Salaire heures normales réelles",0,'Retenue Janv'!R48*-1)</f>
        <v>#DIV/0!</v>
      </c>
      <c r="M25" s="1811"/>
      <c r="N25" s="1811"/>
      <c r="O25" s="1812"/>
      <c r="P25" s="1816" t="e">
        <f>+IF(L25,T25/L25,0)</f>
        <v>#DIV/0!</v>
      </c>
      <c r="Q25" s="1817"/>
      <c r="R25" s="1817"/>
      <c r="S25" s="1818"/>
      <c r="T25" s="1913">
        <f>IF(A18="Salaire heures normales réelles",0,'Retenue Janv'!R52*-1)</f>
        <v>0</v>
      </c>
      <c r="U25" s="1914"/>
      <c r="V25" s="1914"/>
      <c r="W25" s="1915"/>
      <c r="X25" s="226"/>
      <c r="Y25" s="226"/>
      <c r="Z25" s="226"/>
      <c r="AA25" s="903" t="str">
        <f>IF(AND(BE25="OUI",$AR$13=S.CAL!$CU$2),"►",IF(AND(EV25="OUI",$AR$13=S.CAL!$CU$3),"►",""))</f>
        <v/>
      </c>
      <c r="AB25" s="1877">
        <f>+$X$3+5</f>
        <v>45663</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f t="shared" si="47"/>
        <v>2</v>
      </c>
      <c r="AQ25" s="340"/>
      <c r="AR25" s="1126"/>
      <c r="AS25" s="332">
        <f t="shared" si="3"/>
        <v>0</v>
      </c>
      <c r="AT25" s="1147"/>
      <c r="AU25" s="1147"/>
      <c r="AV25" s="332"/>
      <c r="AW25" s="2017">
        <f t="shared" si="21"/>
        <v>45663</v>
      </c>
      <c r="AX25" s="1878"/>
      <c r="AY25" s="332"/>
      <c r="AZ25" s="1126"/>
      <c r="BA25" s="993"/>
      <c r="BB25" s="561"/>
      <c r="BC25" s="566">
        <f t="shared" si="22"/>
        <v>0</v>
      </c>
      <c r="BD25" s="1126"/>
      <c r="BE25" s="825">
        <f t="shared" si="23"/>
        <v>0</v>
      </c>
      <c r="BF25" s="1150"/>
      <c r="BG25" s="224"/>
      <c r="BH25" s="566" t="str">
        <f t="shared" si="24"/>
        <v/>
      </c>
      <c r="BI25" s="1150"/>
      <c r="BJ25" s="129" t="str">
        <f t="shared" si="25"/>
        <v>Fiche infoA1</v>
      </c>
      <c r="BK25" s="129">
        <f t="shared" si="48"/>
        <v>2</v>
      </c>
      <c r="BL25" s="129" t="str">
        <f t="shared" si="4"/>
        <v>A</v>
      </c>
      <c r="BM25" s="129">
        <f t="shared" si="49"/>
        <v>1</v>
      </c>
      <c r="BN25" s="225" t="str">
        <f t="shared" si="59"/>
        <v>Fiche info</v>
      </c>
      <c r="BO25" s="332" t="str">
        <f t="shared" si="50"/>
        <v/>
      </c>
      <c r="BP25" s="198" t="str">
        <f t="shared" si="51"/>
        <v/>
      </c>
      <c r="BQ25" s="588"/>
      <c r="BV25" s="584"/>
      <c r="BW25" s="584"/>
      <c r="BX25" s="584"/>
      <c r="BY25" s="584"/>
      <c r="BZ25" s="584"/>
      <c r="DD25" s="588"/>
      <c r="DE25" s="758"/>
      <c r="DF25" s="758"/>
      <c r="DJ25" s="779" t="s">
        <v>164</v>
      </c>
      <c r="DK25" s="756">
        <f ca="1">IF(Identification!B126="Net",(IF(H59&gt;0,(((N62*BY4)-((T32+T33+T34)*BY4*BY4))+(K59*(DK29)*DK26))/(BY4+K59),(N62-((T32+T33+T34)*BY4)))),IF(Identification!B126="Brut",(IF(H59&gt;0,(T35-(T32+T33+T34)),(T35-((T32+T33+T34))))),"erreur"))</f>
        <v>0</v>
      </c>
      <c r="DO25" s="420" t="s">
        <v>1598</v>
      </c>
      <c r="DP25" s="810">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2"/>
        <v>45663</v>
      </c>
      <c r="ER25" s="767">
        <f t="shared" si="10"/>
        <v>0</v>
      </c>
      <c r="ES25" s="768">
        <f t="shared" si="11"/>
        <v>0</v>
      </c>
      <c r="ET25" s="767">
        <f t="shared" si="12"/>
        <v>0</v>
      </c>
      <c r="EU25" s="768">
        <f t="shared" si="13"/>
        <v>0</v>
      </c>
      <c r="EV25" s="767" t="str">
        <f t="shared" si="14"/>
        <v/>
      </c>
      <c r="EW25" s="769">
        <f t="shared" si="28"/>
        <v>45663</v>
      </c>
      <c r="EX25" s="777" t="str">
        <f>IFERROR(IF(AND(AZ25="",AR25&lt;&gt;S.CAL!$BJ$3,AR25&lt;&gt;S.CAL!$BJ$4),FS25-BC25,IF(AZ25&lt;&gt;0,AZ25,IF(OR(AR25=S.CAL!$BJ$3,AR25=S.CAL!$BJ$4),AR25,0))),"")</f>
        <v/>
      </c>
      <c r="EY25" s="771">
        <f t="shared" si="53"/>
        <v>0</v>
      </c>
      <c r="EZ25" s="754">
        <f t="shared" si="54"/>
        <v>0</v>
      </c>
      <c r="FA25" s="777" t="str">
        <f t="shared" si="31"/>
        <v/>
      </c>
      <c r="FB25" s="772" t="str">
        <f t="shared" si="15"/>
        <v/>
      </c>
      <c r="FC25" s="333" t="str">
        <f t="shared" si="55"/>
        <v>non</v>
      </c>
      <c r="FD25" s="778">
        <f t="shared" si="16"/>
        <v>0</v>
      </c>
      <c r="FG25" s="129" t="str">
        <f t="shared" si="56"/>
        <v/>
      </c>
      <c r="FJ25" s="333">
        <f t="shared" si="57"/>
        <v>1</v>
      </c>
      <c r="FK25" s="129">
        <f t="shared" si="17"/>
        <v>10</v>
      </c>
      <c r="FL25" s="129">
        <f t="shared" si="35"/>
        <v>1</v>
      </c>
      <c r="FN25" s="129">
        <f>+IF(AND($DP$8&lt;&gt;52,AR25=S.CAL!$BJ$4),10,1)</f>
        <v>1</v>
      </c>
      <c r="FP25" s="129">
        <f t="shared" si="18"/>
        <v>0</v>
      </c>
      <c r="FS25" s="225" t="str">
        <f t="shared" si="36"/>
        <v/>
      </c>
      <c r="FZ25" s="129">
        <f t="shared" si="37"/>
        <v>2</v>
      </c>
      <c r="GA25" s="129">
        <f t="shared" si="38"/>
        <v>2025</v>
      </c>
      <c r="GB25" s="129" t="str">
        <f t="shared" si="39"/>
        <v>22025</v>
      </c>
      <c r="GC25" s="225">
        <f>IF(AND($GD$53=S.CAL!$P$3,$GD$52=FZ25),GE25,IF(BH25="",0,BH25))</f>
        <v>0</v>
      </c>
      <c r="GD25" s="129" t="str">
        <f>IFERROR(+Février!$BY$2&amp;BL25&amp;BM25,0)</f>
        <v>Fiche infoA1</v>
      </c>
      <c r="GE25" s="129" t="str">
        <f t="shared" si="19"/>
        <v/>
      </c>
      <c r="GF25" s="225" t="str">
        <f t="shared" si="40"/>
        <v/>
      </c>
      <c r="GG25" s="1469" t="str">
        <f>+'Retenue Janv'!D23</f>
        <v/>
      </c>
      <c r="GH25" s="1469">
        <f>+'Retenue Janv'!BF23</f>
        <v>0</v>
      </c>
      <c r="GI25" s="1469"/>
      <c r="GJ25" s="1530" t="str">
        <f t="shared" si="41"/>
        <v/>
      </c>
      <c r="GK25" s="225" t="str">
        <f t="shared" si="42"/>
        <v/>
      </c>
      <c r="GL25" s="225" t="str">
        <f t="shared" si="43"/>
        <v/>
      </c>
      <c r="GM25" s="1529">
        <f t="shared" si="44"/>
        <v>0</v>
      </c>
      <c r="GN25" s="1469"/>
      <c r="GO25" s="1469">
        <f t="shared" si="20"/>
        <v>0</v>
      </c>
      <c r="GP25" s="1469" t="str">
        <f t="shared" si="45"/>
        <v/>
      </c>
      <c r="GQ25" s="1469" t="str">
        <f t="shared" si="46"/>
        <v/>
      </c>
      <c r="GR25" s="1469"/>
      <c r="GS25" s="1469"/>
      <c r="GT25" s="1469"/>
      <c r="GU25" s="1469"/>
      <c r="GV25" s="1469"/>
    </row>
    <row r="26" spans="1:204" ht="12.75" customHeight="1" x14ac:dyDescent="0.2">
      <c r="A26" s="1851"/>
      <c r="B26" s="1868" t="s">
        <v>844</v>
      </c>
      <c r="C26" s="1869"/>
      <c r="D26" s="1869"/>
      <c r="E26" s="1869"/>
      <c r="F26" s="1869"/>
      <c r="G26" s="1869"/>
      <c r="H26" s="1869"/>
      <c r="I26" s="1869"/>
      <c r="J26" s="1869"/>
      <c r="K26" s="1870"/>
      <c r="L26" s="1810" t="e">
        <f>IF(A18="Salaire heures normales réelles",0,'Retenue Janv'!R50*-1)</f>
        <v>#DIV/0!</v>
      </c>
      <c r="M26" s="1811"/>
      <c r="N26" s="1811"/>
      <c r="O26" s="1812"/>
      <c r="P26" s="1816" t="e">
        <f>+IF(L26,T26/L26,0)</f>
        <v>#DIV/0!</v>
      </c>
      <c r="Q26" s="1817"/>
      <c r="R26" s="1817"/>
      <c r="S26" s="1818"/>
      <c r="T26" s="1913">
        <f>IF(A18="Salaire heures normales réelles",0,'Retenue Janv'!R54*-1)</f>
        <v>0</v>
      </c>
      <c r="U26" s="1914"/>
      <c r="V26" s="1914"/>
      <c r="W26" s="1915"/>
      <c r="X26" s="223"/>
      <c r="Y26" s="223"/>
      <c r="Z26" s="223"/>
      <c r="AA26" s="903" t="str">
        <f>IF(AND(BE26="OUI",$AR$13=S.CAL!$CU$2),"►",IF(AND(EV26="OUI",$AR$13=S.CAL!$CU$3),"►",""))</f>
        <v/>
      </c>
      <c r="AB26" s="1877">
        <f>+$X$3+6</f>
        <v>45664</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7"/>
        <v/>
      </c>
      <c r="AQ26" s="340"/>
      <c r="AR26" s="1126"/>
      <c r="AS26" s="332">
        <f t="shared" si="3"/>
        <v>0</v>
      </c>
      <c r="AT26" s="1147"/>
      <c r="AU26" s="1147"/>
      <c r="AV26" s="332"/>
      <c r="AW26" s="2017">
        <f t="shared" si="21"/>
        <v>45664</v>
      </c>
      <c r="AX26" s="1878"/>
      <c r="AY26" s="332"/>
      <c r="AZ26" s="1126"/>
      <c r="BA26" s="993"/>
      <c r="BB26" s="561"/>
      <c r="BC26" s="566">
        <f t="shared" si="22"/>
        <v>0</v>
      </c>
      <c r="BD26" s="1126"/>
      <c r="BE26" s="825">
        <f t="shared" si="23"/>
        <v>0</v>
      </c>
      <c r="BF26" s="1150"/>
      <c r="BG26" s="224"/>
      <c r="BH26" s="566" t="str">
        <f t="shared" si="24"/>
        <v/>
      </c>
      <c r="BI26" s="1150"/>
      <c r="BJ26" s="129" t="str">
        <f t="shared" si="25"/>
        <v>Fiche infoA2</v>
      </c>
      <c r="BK26" s="129">
        <f t="shared" si="48"/>
        <v>2</v>
      </c>
      <c r="BL26" s="129" t="str">
        <f t="shared" si="4"/>
        <v>A</v>
      </c>
      <c r="BM26" s="129">
        <f t="shared" si="49"/>
        <v>2</v>
      </c>
      <c r="BN26" s="225" t="str">
        <f t="shared" si="59"/>
        <v>Fiche info</v>
      </c>
      <c r="BO26" s="332" t="str">
        <f t="shared" si="50"/>
        <v/>
      </c>
      <c r="BP26" s="198" t="str">
        <f t="shared" si="51"/>
        <v/>
      </c>
      <c r="BQ26" s="588"/>
      <c r="BX26" s="595"/>
      <c r="BY26" s="2085" t="s">
        <v>1114</v>
      </c>
      <c r="BZ26" s="2085" t="s">
        <v>449</v>
      </c>
      <c r="CA26" s="2083" t="s">
        <v>1115</v>
      </c>
      <c r="CB26" s="465"/>
      <c r="CC26" s="465"/>
      <c r="CD26" s="465"/>
      <c r="CJ26" s="591"/>
      <c r="CK26" s="591"/>
      <c r="CL26" s="591"/>
      <c r="CM26" s="591"/>
      <c r="CN26" s="591"/>
      <c r="CO26" s="591"/>
      <c r="CP26" s="591"/>
      <c r="CQ26" s="591"/>
      <c r="CR26" s="591"/>
      <c r="CS26" s="591"/>
      <c r="CT26" s="591"/>
      <c r="CU26" s="591"/>
      <c r="CV26" s="591"/>
      <c r="CW26" s="591"/>
      <c r="CX26" s="591"/>
      <c r="CY26" s="591"/>
      <c r="CZ26" s="591"/>
      <c r="DA26" s="591"/>
      <c r="DB26" s="591"/>
      <c r="DC26" s="591"/>
      <c r="DD26" s="58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2"/>
        <v>45664</v>
      </c>
      <c r="ER26" s="767">
        <f t="shared" si="10"/>
        <v>0</v>
      </c>
      <c r="ES26" s="768">
        <f t="shared" si="11"/>
        <v>0</v>
      </c>
      <c r="ET26" s="767">
        <f t="shared" si="12"/>
        <v>0</v>
      </c>
      <c r="EU26" s="768">
        <f t="shared" si="13"/>
        <v>0</v>
      </c>
      <c r="EV26" s="767" t="str">
        <f t="shared" si="14"/>
        <v/>
      </c>
      <c r="EW26" s="769">
        <f t="shared" si="28"/>
        <v>45664</v>
      </c>
      <c r="EX26" s="777" t="str">
        <f>IFERROR(IF(AND(AZ26="",AR26&lt;&gt;S.CAL!$BJ$3,AR26&lt;&gt;S.CAL!$BJ$4),FS26-BC26,IF(AZ26&lt;&gt;0,AZ26,IF(OR(AR26=S.CAL!$BJ$3,AR26=S.CAL!$BJ$4),AR26,0))),"")</f>
        <v/>
      </c>
      <c r="EY26" s="771">
        <f t="shared" si="53"/>
        <v>0</v>
      </c>
      <c r="EZ26" s="754">
        <f t="shared" si="54"/>
        <v>0</v>
      </c>
      <c r="FA26" s="777" t="str">
        <f t="shared" si="31"/>
        <v/>
      </c>
      <c r="FB26" s="772" t="str">
        <f t="shared" si="15"/>
        <v/>
      </c>
      <c r="FC26" s="333" t="str">
        <f t="shared" si="55"/>
        <v>non</v>
      </c>
      <c r="FD26" s="778">
        <f t="shared" si="16"/>
        <v>0</v>
      </c>
      <c r="FG26" s="129" t="str">
        <f t="shared" si="56"/>
        <v/>
      </c>
      <c r="FJ26" s="333">
        <f t="shared" si="57"/>
        <v>1</v>
      </c>
      <c r="FK26" s="129">
        <f t="shared" si="17"/>
        <v>10</v>
      </c>
      <c r="FL26" s="129">
        <f t="shared" si="35"/>
        <v>1</v>
      </c>
      <c r="FN26" s="129">
        <f>+IF(AND($DP$8&lt;&gt;52,AR26=S.CAL!$BJ$4),10,1)</f>
        <v>1</v>
      </c>
      <c r="FP26" s="129">
        <f t="shared" si="18"/>
        <v>0</v>
      </c>
      <c r="FS26" s="225" t="str">
        <f t="shared" si="36"/>
        <v/>
      </c>
      <c r="FZ26" s="129">
        <f t="shared" si="37"/>
        <v>2</v>
      </c>
      <c r="GA26" s="129">
        <f t="shared" si="38"/>
        <v>2025</v>
      </c>
      <c r="GB26" s="129" t="str">
        <f t="shared" si="39"/>
        <v>22025</v>
      </c>
      <c r="GC26" s="225">
        <f>IF(AND($GD$53=S.CAL!$P$3,$GD$52=FZ26),GE26,IF(BH26="",0,BH26))</f>
        <v>0</v>
      </c>
      <c r="GD26" s="129" t="str">
        <f>IFERROR(+Février!$BY$2&amp;BL26&amp;BM26,0)</f>
        <v>Fiche infoA2</v>
      </c>
      <c r="GE26" s="129" t="str">
        <f t="shared" si="19"/>
        <v/>
      </c>
      <c r="GF26" s="225" t="str">
        <f t="shared" si="40"/>
        <v/>
      </c>
      <c r="GG26" s="1469" t="str">
        <f>+'Retenue Janv'!D24</f>
        <v/>
      </c>
      <c r="GH26" s="1469">
        <f>+'Retenue Janv'!BF24</f>
        <v>0</v>
      </c>
      <c r="GI26" s="1469"/>
      <c r="GJ26" s="1530" t="str">
        <f t="shared" si="41"/>
        <v/>
      </c>
      <c r="GK26" s="225" t="str">
        <f t="shared" si="42"/>
        <v/>
      </c>
      <c r="GL26" s="225" t="str">
        <f t="shared" si="43"/>
        <v/>
      </c>
      <c r="GM26" s="1529">
        <f t="shared" si="44"/>
        <v>0</v>
      </c>
      <c r="GN26" s="1469"/>
      <c r="GO26" s="1469">
        <f t="shared" si="20"/>
        <v>0</v>
      </c>
      <c r="GP26" s="1469" t="str">
        <f t="shared" si="45"/>
        <v/>
      </c>
      <c r="GQ26" s="1469" t="str">
        <f t="shared" si="46"/>
        <v/>
      </c>
      <c r="GR26" s="1469"/>
      <c r="GS26" s="1469"/>
      <c r="GT26" s="1469"/>
      <c r="GU26" s="1469"/>
      <c r="GV26" s="1469"/>
    </row>
    <row r="27" spans="1:204"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45665</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7"/>
        <v/>
      </c>
      <c r="AQ27" s="340"/>
      <c r="AR27" s="1126"/>
      <c r="AS27" s="332">
        <f t="shared" si="3"/>
        <v>0</v>
      </c>
      <c r="AT27" s="1147"/>
      <c r="AU27" s="1147"/>
      <c r="AV27" s="332"/>
      <c r="AW27" s="2017">
        <f t="shared" si="21"/>
        <v>45665</v>
      </c>
      <c r="AX27" s="1878"/>
      <c r="AY27" s="332"/>
      <c r="AZ27" s="1126"/>
      <c r="BA27" s="993"/>
      <c r="BB27" s="561"/>
      <c r="BC27" s="566">
        <f t="shared" si="22"/>
        <v>0</v>
      </c>
      <c r="BD27" s="1126"/>
      <c r="BE27" s="825">
        <f t="shared" si="23"/>
        <v>0</v>
      </c>
      <c r="BF27" s="1150"/>
      <c r="BG27" s="224"/>
      <c r="BH27" s="566" t="str">
        <f t="shared" si="24"/>
        <v/>
      </c>
      <c r="BI27" s="1150"/>
      <c r="BJ27" s="129" t="str">
        <f t="shared" si="25"/>
        <v>Fiche infoA3</v>
      </c>
      <c r="BK27" s="129">
        <f t="shared" si="48"/>
        <v>2</v>
      </c>
      <c r="BL27" s="129" t="str">
        <f t="shared" si="4"/>
        <v>A</v>
      </c>
      <c r="BM27" s="129">
        <f t="shared" si="49"/>
        <v>3</v>
      </c>
      <c r="BN27" s="225" t="str">
        <f t="shared" si="59"/>
        <v>Fiche info</v>
      </c>
      <c r="BO27" s="332" t="str">
        <f t="shared" si="50"/>
        <v/>
      </c>
      <c r="BP27" s="198" t="str">
        <f t="shared" si="51"/>
        <v/>
      </c>
      <c r="BQ27" s="588"/>
      <c r="BX27" s="595"/>
      <c r="BY27" s="2086"/>
      <c r="BZ27" s="2145"/>
      <c r="CA27" s="2084"/>
      <c r="CB27" s="198" t="s">
        <v>1111</v>
      </c>
      <c r="CC27" s="198" t="s">
        <v>1112</v>
      </c>
      <c r="CD27" s="198" t="s">
        <v>1113</v>
      </c>
      <c r="CE27" s="198" t="s">
        <v>1248</v>
      </c>
      <c r="CF27" s="198"/>
      <c r="CG27" s="198"/>
      <c r="CH27" s="198"/>
      <c r="CJ27" s="591"/>
      <c r="CK27" s="591"/>
      <c r="CL27" s="591"/>
      <c r="CM27" s="591"/>
      <c r="CN27" s="591"/>
      <c r="CO27" s="591"/>
      <c r="CP27" s="591"/>
      <c r="CQ27" s="591"/>
      <c r="CR27" s="591"/>
      <c r="CS27" s="591"/>
      <c r="CT27" s="591"/>
      <c r="CU27" s="591"/>
      <c r="CV27" s="591"/>
      <c r="CW27" s="591"/>
      <c r="CX27" s="591"/>
      <c r="CY27" s="591"/>
      <c r="CZ27" s="591"/>
      <c r="DA27" s="591"/>
      <c r="DB27" s="591"/>
      <c r="DC27" s="591"/>
      <c r="DD27" s="58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2"/>
        <v>45665</v>
      </c>
      <c r="ER27" s="767">
        <f t="shared" si="10"/>
        <v>0</v>
      </c>
      <c r="ES27" s="768">
        <f t="shared" si="11"/>
        <v>0</v>
      </c>
      <c r="ET27" s="767">
        <f t="shared" si="12"/>
        <v>0</v>
      </c>
      <c r="EU27" s="768">
        <f t="shared" si="13"/>
        <v>0</v>
      </c>
      <c r="EV27" s="767" t="str">
        <f t="shared" si="14"/>
        <v/>
      </c>
      <c r="EW27" s="769">
        <f t="shared" si="28"/>
        <v>45665</v>
      </c>
      <c r="EX27" s="777" t="str">
        <f>IFERROR(IF(AND(AZ27="",AR27&lt;&gt;S.CAL!$BJ$3,AR27&lt;&gt;S.CAL!$BJ$4),FS27-BC27,IF(AZ27&lt;&gt;0,AZ27,IF(OR(AR27=S.CAL!$BJ$3,AR27=S.CAL!$BJ$4),AR27,0))),"")</f>
        <v/>
      </c>
      <c r="EY27" s="771">
        <f t="shared" si="53"/>
        <v>0</v>
      </c>
      <c r="EZ27" s="754">
        <f t="shared" si="54"/>
        <v>0</v>
      </c>
      <c r="FA27" s="777" t="str">
        <f t="shared" si="31"/>
        <v/>
      </c>
      <c r="FB27" s="772" t="str">
        <f t="shared" si="15"/>
        <v/>
      </c>
      <c r="FC27" s="333" t="str">
        <f t="shared" si="55"/>
        <v>non</v>
      </c>
      <c r="FD27" s="778">
        <f t="shared" si="16"/>
        <v>0</v>
      </c>
      <c r="FG27" s="129" t="str">
        <f t="shared" si="56"/>
        <v/>
      </c>
      <c r="FJ27" s="333">
        <f t="shared" si="57"/>
        <v>1</v>
      </c>
      <c r="FK27" s="129">
        <f t="shared" si="17"/>
        <v>10</v>
      </c>
      <c r="FL27" s="129">
        <f t="shared" si="35"/>
        <v>1</v>
      </c>
      <c r="FN27" s="129">
        <f>+IF(AND($DP$8&lt;&gt;52,AR27=S.CAL!$BJ$4),10,1)</f>
        <v>1</v>
      </c>
      <c r="FP27" s="129">
        <f t="shared" si="18"/>
        <v>0</v>
      </c>
      <c r="FS27" s="225" t="str">
        <f t="shared" ref="FS27:FS50" si="60">+BH27</f>
        <v/>
      </c>
      <c r="FZ27" s="129">
        <f t="shared" si="37"/>
        <v>2</v>
      </c>
      <c r="GA27" s="129">
        <f t="shared" si="38"/>
        <v>2025</v>
      </c>
      <c r="GB27" s="129" t="str">
        <f t="shared" si="39"/>
        <v>22025</v>
      </c>
      <c r="GC27" s="225">
        <f>IF(AND($GD$53=S.CAL!$P$3,$GD$52=FZ27),GE27,IF(BH27="",0,BH27))</f>
        <v>0</v>
      </c>
      <c r="GD27" s="129" t="str">
        <f>IFERROR(+Février!$BY$2&amp;BL27&amp;BM27,0)</f>
        <v>Fiche infoA3</v>
      </c>
      <c r="GE27" s="129" t="str">
        <f t="shared" si="19"/>
        <v/>
      </c>
      <c r="GF27" s="225" t="str">
        <f t="shared" si="40"/>
        <v/>
      </c>
      <c r="GG27" s="1469" t="str">
        <f>+'Retenue Janv'!D25</f>
        <v/>
      </c>
      <c r="GH27" s="1469">
        <f>+'Retenue Janv'!BF25</f>
        <v>0</v>
      </c>
      <c r="GI27" s="1469"/>
      <c r="GJ27" s="1530" t="str">
        <f t="shared" si="41"/>
        <v/>
      </c>
      <c r="GK27" s="225" t="str">
        <f t="shared" si="42"/>
        <v/>
      </c>
      <c r="GL27" s="225" t="str">
        <f t="shared" si="43"/>
        <v/>
      </c>
      <c r="GM27" s="1529">
        <f t="shared" si="44"/>
        <v>0</v>
      </c>
      <c r="GN27" s="1469"/>
      <c r="GO27" s="1469">
        <f t="shared" si="20"/>
        <v>0</v>
      </c>
      <c r="GP27" s="1469" t="str">
        <f t="shared" si="45"/>
        <v/>
      </c>
      <c r="GQ27" s="1469" t="str">
        <f t="shared" si="46"/>
        <v/>
      </c>
      <c r="GR27" s="1469"/>
      <c r="GS27" s="1469"/>
      <c r="GT27" s="1469"/>
      <c r="GU27" s="1469"/>
      <c r="GV27" s="1469"/>
    </row>
    <row r="28" spans="1:204"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85"/>
      <c r="Y28" s="285"/>
      <c r="Z28" s="285"/>
      <c r="AA28" s="903" t="str">
        <f>IF(AND(BE28="OUI",$AR$13=S.CAL!$CU$2),"►",IF(AND(EV28="OUI",$AR$13=S.CAL!$CU$3),"►",""))</f>
        <v/>
      </c>
      <c r="AB28" s="1877">
        <f>+$X$3+8</f>
        <v>45666</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7"/>
        <v/>
      </c>
      <c r="AQ28" s="340"/>
      <c r="AR28" s="1126"/>
      <c r="AS28" s="332">
        <f t="shared" si="3"/>
        <v>0</v>
      </c>
      <c r="AT28" s="1147"/>
      <c r="AU28" s="1147"/>
      <c r="AV28" s="332"/>
      <c r="AW28" s="2017">
        <f t="shared" si="21"/>
        <v>45666</v>
      </c>
      <c r="AX28" s="1878"/>
      <c r="AY28" s="332"/>
      <c r="AZ28" s="1126"/>
      <c r="BA28" s="993"/>
      <c r="BB28" s="561"/>
      <c r="BC28" s="566">
        <f t="shared" si="22"/>
        <v>0</v>
      </c>
      <c r="BD28" s="1126"/>
      <c r="BE28" s="825">
        <f t="shared" si="23"/>
        <v>0</v>
      </c>
      <c r="BF28" s="1150"/>
      <c r="BG28" s="224"/>
      <c r="BH28" s="566" t="str">
        <f t="shared" si="24"/>
        <v/>
      </c>
      <c r="BI28" s="1150"/>
      <c r="BJ28" s="129" t="str">
        <f t="shared" si="25"/>
        <v>Fiche infoA4</v>
      </c>
      <c r="BK28" s="129">
        <f t="shared" si="48"/>
        <v>2</v>
      </c>
      <c r="BL28" s="129" t="str">
        <f t="shared" si="4"/>
        <v>A</v>
      </c>
      <c r="BM28" s="129">
        <f t="shared" si="49"/>
        <v>4</v>
      </c>
      <c r="BN28" s="225" t="str">
        <f t="shared" si="59"/>
        <v>Fiche info</v>
      </c>
      <c r="BO28" s="332" t="str">
        <f t="shared" si="50"/>
        <v/>
      </c>
      <c r="BP28" s="198" t="str">
        <f t="shared" si="51"/>
        <v/>
      </c>
      <c r="BQ28" s="584"/>
      <c r="BS28" s="2012" t="str">
        <f>+"Semaine numéro : "&amp;AT4</f>
        <v>Semaine numéro : 1</v>
      </c>
      <c r="BT28" s="2013"/>
      <c r="BU28" s="2013"/>
      <c r="BV28" s="2013"/>
      <c r="BW28" s="2013"/>
      <c r="BX28" s="2014"/>
      <c r="BY28" s="675"/>
      <c r="BZ28" s="674">
        <f ca="1">+IF(BY28="",IF(AND(CC28&gt;0,CB28&gt;0),CC28+CB28,IF(CD28&gt;0,0,CB28)),BY28)</f>
        <v>0</v>
      </c>
      <c r="CA28" s="673">
        <f t="shared" ref="CA28:CA33" ca="1" si="61">IF(BZ28&gt;45,BZ28-45,0)</f>
        <v>0</v>
      </c>
      <c r="CB28" s="198">
        <f t="shared" ref="CB28:CB33" si="62">+SUMIF($BK$20:$BK$50,AT4,$AM$20:$AO$50)</f>
        <v>0</v>
      </c>
      <c r="CC28" s="198">
        <f ca="1">+SUMIF(CE28:CE32,Report!D36,Report!D35)</f>
        <v>0</v>
      </c>
      <c r="CD28" s="198">
        <f>+SUMIF(Février!$BK$20:$BK$50,AT4,Février!$AM$20:$AO$50)</f>
        <v>0</v>
      </c>
      <c r="CE28" s="198">
        <f>+AT4</f>
        <v>1</v>
      </c>
      <c r="CF28" s="198"/>
      <c r="CG28" s="198"/>
      <c r="CH28" s="198"/>
      <c r="CJ28" s="589"/>
      <c r="CK28" s="589"/>
      <c r="CL28" s="589"/>
      <c r="CM28" s="589"/>
      <c r="CN28" s="589"/>
      <c r="CO28" s="589"/>
      <c r="CP28" s="589"/>
      <c r="CQ28" s="589"/>
      <c r="CR28" s="589"/>
      <c r="CS28" s="589"/>
      <c r="CT28" s="589"/>
      <c r="CU28" s="589"/>
      <c r="CV28" s="589"/>
      <c r="CW28" s="589"/>
      <c r="CX28" s="589"/>
      <c r="CY28" s="589"/>
      <c r="CZ28" s="589"/>
      <c r="DA28" s="589"/>
      <c r="DB28" s="589"/>
      <c r="DC28" s="589"/>
      <c r="DD28" s="58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420" t="s">
        <v>1673</v>
      </c>
      <c r="EI28" s="759">
        <f>+GO57</f>
        <v>0</v>
      </c>
      <c r="EQ28" s="766">
        <f t="shared" si="52"/>
        <v>45666</v>
      </c>
      <c r="ER28" s="767">
        <f t="shared" si="10"/>
        <v>0</v>
      </c>
      <c r="ES28" s="768">
        <f t="shared" si="11"/>
        <v>0</v>
      </c>
      <c r="ET28" s="767">
        <f t="shared" si="12"/>
        <v>0</v>
      </c>
      <c r="EU28" s="768">
        <f t="shared" si="13"/>
        <v>0</v>
      </c>
      <c r="EV28" s="767" t="str">
        <f t="shared" si="14"/>
        <v/>
      </c>
      <c r="EW28" s="769">
        <f t="shared" si="28"/>
        <v>45666</v>
      </c>
      <c r="EX28" s="777" t="str">
        <f>IFERROR(IF(AND(AZ28="",AR28&lt;&gt;S.CAL!$BJ$3,AR28&lt;&gt;S.CAL!$BJ$4),FS28-BC28,IF(AZ28&lt;&gt;0,AZ28,IF(OR(AR28=S.CAL!$BJ$3,AR28=S.CAL!$BJ$4),AR28,0))),"")</f>
        <v/>
      </c>
      <c r="EY28" s="771">
        <f t="shared" si="53"/>
        <v>0</v>
      </c>
      <c r="EZ28" s="754">
        <f t="shared" si="54"/>
        <v>0</v>
      </c>
      <c r="FA28" s="777" t="str">
        <f t="shared" si="31"/>
        <v/>
      </c>
      <c r="FB28" s="772" t="str">
        <f t="shared" si="15"/>
        <v/>
      </c>
      <c r="FC28" s="333" t="str">
        <f t="shared" si="55"/>
        <v>non</v>
      </c>
      <c r="FD28" s="778">
        <f t="shared" si="16"/>
        <v>0</v>
      </c>
      <c r="FG28" s="129" t="str">
        <f t="shared" si="56"/>
        <v/>
      </c>
      <c r="FJ28" s="333">
        <f t="shared" si="57"/>
        <v>1</v>
      </c>
      <c r="FK28" s="129">
        <f t="shared" si="17"/>
        <v>10</v>
      </c>
      <c r="FL28" s="129">
        <f t="shared" si="35"/>
        <v>1</v>
      </c>
      <c r="FN28" s="129">
        <f>+IF(AND($DP$8&lt;&gt;52,AR28=S.CAL!$BJ$4),10,1)</f>
        <v>1</v>
      </c>
      <c r="FP28" s="129">
        <f t="shared" si="18"/>
        <v>0</v>
      </c>
      <c r="FS28" s="225" t="str">
        <f t="shared" si="60"/>
        <v/>
      </c>
      <c r="FZ28" s="129">
        <f t="shared" si="37"/>
        <v>2</v>
      </c>
      <c r="GA28" s="129">
        <f t="shared" si="38"/>
        <v>2025</v>
      </c>
      <c r="GB28" s="129" t="str">
        <f t="shared" si="39"/>
        <v>22025</v>
      </c>
      <c r="GC28" s="225">
        <f>IF(AND($GD$53=S.CAL!$P$3,$GD$52=FZ28),GE28,IF(BH28="",0,BH28))</f>
        <v>0</v>
      </c>
      <c r="GD28" s="129" t="str">
        <f>IFERROR(+Février!$BY$2&amp;BL28&amp;BM28,0)</f>
        <v>Fiche infoA4</v>
      </c>
      <c r="GE28" s="129" t="str">
        <f t="shared" si="19"/>
        <v/>
      </c>
      <c r="GF28" s="225" t="str">
        <f t="shared" si="40"/>
        <v/>
      </c>
      <c r="GG28" s="1469" t="str">
        <f>+'Retenue Janv'!D26</f>
        <v/>
      </c>
      <c r="GH28" s="1469">
        <f>+'Retenue Janv'!BF26</f>
        <v>0</v>
      </c>
      <c r="GI28" s="1469"/>
      <c r="GJ28" s="1530" t="str">
        <f t="shared" si="41"/>
        <v/>
      </c>
      <c r="GK28" s="225" t="str">
        <f t="shared" si="42"/>
        <v/>
      </c>
      <c r="GL28" s="225" t="str">
        <f t="shared" si="43"/>
        <v/>
      </c>
      <c r="GM28" s="1529">
        <f t="shared" si="44"/>
        <v>0</v>
      </c>
      <c r="GN28" s="1469"/>
      <c r="GO28" s="1469">
        <f t="shared" si="20"/>
        <v>0</v>
      </c>
      <c r="GP28" s="1469" t="str">
        <f t="shared" si="45"/>
        <v/>
      </c>
      <c r="GQ28" s="1469" t="str">
        <f t="shared" si="46"/>
        <v/>
      </c>
      <c r="GR28" s="1469"/>
      <c r="GS28" s="1469"/>
      <c r="GT28" s="1469"/>
      <c r="GU28" s="1469"/>
      <c r="GV28" s="1469"/>
    </row>
    <row r="29" spans="1:204"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45667</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7"/>
        <v/>
      </c>
      <c r="AQ29" s="340"/>
      <c r="AR29" s="1126"/>
      <c r="AS29" s="332">
        <f t="shared" si="3"/>
        <v>0</v>
      </c>
      <c r="AT29" s="1147"/>
      <c r="AU29" s="1147"/>
      <c r="AV29" s="332"/>
      <c r="AW29" s="2017">
        <f t="shared" si="21"/>
        <v>45667</v>
      </c>
      <c r="AX29" s="1878"/>
      <c r="AY29" s="332"/>
      <c r="AZ29" s="1126"/>
      <c r="BA29" s="993"/>
      <c r="BB29" s="561"/>
      <c r="BC29" s="566">
        <f t="shared" si="22"/>
        <v>0</v>
      </c>
      <c r="BD29" s="1126"/>
      <c r="BE29" s="825">
        <f t="shared" si="23"/>
        <v>0</v>
      </c>
      <c r="BF29" s="1150"/>
      <c r="BG29" s="224"/>
      <c r="BH29" s="566" t="str">
        <f t="shared" si="24"/>
        <v/>
      </c>
      <c r="BI29" s="1150"/>
      <c r="BJ29" s="129" t="str">
        <f t="shared" si="25"/>
        <v>Fiche infoA5</v>
      </c>
      <c r="BK29" s="129">
        <f t="shared" si="48"/>
        <v>2</v>
      </c>
      <c r="BL29" s="129" t="str">
        <f t="shared" si="4"/>
        <v>A</v>
      </c>
      <c r="BM29" s="129">
        <f t="shared" si="49"/>
        <v>5</v>
      </c>
      <c r="BN29" s="225" t="str">
        <f t="shared" si="59"/>
        <v>Fiche info</v>
      </c>
      <c r="BO29" s="332" t="str">
        <f t="shared" si="50"/>
        <v/>
      </c>
      <c r="BP29" s="198" t="str">
        <f t="shared" si="51"/>
        <v/>
      </c>
      <c r="BQ29" s="584"/>
      <c r="BS29" s="2012" t="str">
        <f t="shared" ref="BS29:BS33" si="63">+"Semaine numéro : "&amp;AT5</f>
        <v>Semaine numéro : 2</v>
      </c>
      <c r="BT29" s="2013"/>
      <c r="BU29" s="2013"/>
      <c r="BV29" s="2013"/>
      <c r="BW29" s="2013"/>
      <c r="BX29" s="2014"/>
      <c r="BY29" s="1137"/>
      <c r="BZ29" s="674">
        <f t="shared" ref="BZ29:BZ33" si="64">+IF(BY29="",IF(AND(CC29&gt;0,CB29&gt;0),CC29+CB29,IF(CD29&gt;0,0,CB29)),BY29)</f>
        <v>0</v>
      </c>
      <c r="CA29" s="673">
        <f t="shared" si="61"/>
        <v>0</v>
      </c>
      <c r="CB29" s="198">
        <f t="shared" si="62"/>
        <v>0</v>
      </c>
      <c r="CC29" s="198"/>
      <c r="CD29" s="198">
        <f>+SUMIF(Février!$BK$20:$BK$50,AT5,Février!$AM$20:$AO$50)</f>
        <v>0</v>
      </c>
      <c r="CE29" s="198">
        <f t="shared" ref="CE29:CE33" si="65">+AT5</f>
        <v>2</v>
      </c>
      <c r="CF29" s="198"/>
      <c r="CG29" s="198"/>
      <c r="CH29" s="198"/>
      <c r="CJ29" s="589"/>
      <c r="CK29" s="589"/>
      <c r="CL29" s="589"/>
      <c r="CM29" s="589"/>
      <c r="CN29" s="589"/>
      <c r="CO29" s="589"/>
      <c r="CP29" s="589"/>
      <c r="CQ29" s="589"/>
      <c r="CR29" s="589"/>
      <c r="CS29" s="589"/>
      <c r="CT29" s="589"/>
      <c r="CU29" s="589"/>
      <c r="CV29" s="589"/>
      <c r="CW29" s="589"/>
      <c r="CX29" s="589"/>
      <c r="CY29" s="589"/>
      <c r="CZ29" s="589"/>
      <c r="DA29" s="589"/>
      <c r="DB29" s="589"/>
      <c r="DC29" s="589"/>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2"/>
        <v>45667</v>
      </c>
      <c r="ER29" s="767">
        <f t="shared" si="10"/>
        <v>0</v>
      </c>
      <c r="ES29" s="768">
        <f t="shared" si="11"/>
        <v>0</v>
      </c>
      <c r="ET29" s="767">
        <f t="shared" si="12"/>
        <v>0</v>
      </c>
      <c r="EU29" s="768">
        <f t="shared" si="13"/>
        <v>0</v>
      </c>
      <c r="EV29" s="767" t="str">
        <f t="shared" si="14"/>
        <v/>
      </c>
      <c r="EW29" s="769">
        <f t="shared" si="28"/>
        <v>45667</v>
      </c>
      <c r="EX29" s="777" t="str">
        <f>IFERROR(IF(AND(AZ29="",AR29&lt;&gt;S.CAL!$BJ$3,AR29&lt;&gt;S.CAL!$BJ$4),FS29-BC29,IF(AZ29&lt;&gt;0,AZ29,IF(OR(AR29=S.CAL!$BJ$3,AR29=S.CAL!$BJ$4),AR29,0))),"")</f>
        <v/>
      </c>
      <c r="EY29" s="771">
        <f t="shared" si="53"/>
        <v>0</v>
      </c>
      <c r="EZ29" s="754">
        <f t="shared" si="54"/>
        <v>0</v>
      </c>
      <c r="FA29" s="777" t="str">
        <f t="shared" si="31"/>
        <v/>
      </c>
      <c r="FB29" s="772" t="str">
        <f t="shared" si="15"/>
        <v/>
      </c>
      <c r="FC29" s="333" t="str">
        <f t="shared" si="55"/>
        <v>non</v>
      </c>
      <c r="FD29" s="778">
        <f t="shared" si="16"/>
        <v>0</v>
      </c>
      <c r="FG29" s="129" t="str">
        <f t="shared" si="56"/>
        <v/>
      </c>
      <c r="FJ29" s="333">
        <f t="shared" si="57"/>
        <v>1</v>
      </c>
      <c r="FK29" s="129">
        <f t="shared" si="17"/>
        <v>10</v>
      </c>
      <c r="FL29" s="129">
        <f t="shared" si="35"/>
        <v>1</v>
      </c>
      <c r="FN29" s="129">
        <f>+IF(AND($DP$8&lt;&gt;52,AR29=S.CAL!$BJ$4),10,1)</f>
        <v>1</v>
      </c>
      <c r="FP29" s="129">
        <f t="shared" si="18"/>
        <v>0</v>
      </c>
      <c r="FS29" s="225" t="str">
        <f t="shared" si="60"/>
        <v/>
      </c>
      <c r="FZ29" s="129">
        <f t="shared" si="37"/>
        <v>2</v>
      </c>
      <c r="GA29" s="129">
        <f t="shared" si="38"/>
        <v>2025</v>
      </c>
      <c r="GB29" s="129" t="str">
        <f t="shared" si="39"/>
        <v>22025</v>
      </c>
      <c r="GC29" s="225">
        <f>IF(AND($GD$53=S.CAL!$P$3,$GD$52=FZ29),GE29,IF(BH29="",0,BH29))</f>
        <v>0</v>
      </c>
      <c r="GD29" s="129" t="str">
        <f>IFERROR(+Février!$BY$2&amp;BL29&amp;BM29,0)</f>
        <v>Fiche infoA5</v>
      </c>
      <c r="GE29" s="129" t="str">
        <f t="shared" si="19"/>
        <v/>
      </c>
      <c r="GF29" s="225" t="str">
        <f t="shared" si="40"/>
        <v/>
      </c>
      <c r="GG29" s="1469" t="str">
        <f>+'Retenue Janv'!D27</f>
        <v/>
      </c>
      <c r="GH29" s="1469">
        <f>+'Retenue Janv'!BF27</f>
        <v>0</v>
      </c>
      <c r="GI29" s="1469"/>
      <c r="GJ29" s="1530" t="str">
        <f t="shared" si="41"/>
        <v/>
      </c>
      <c r="GK29" s="225" t="str">
        <f t="shared" si="42"/>
        <v/>
      </c>
      <c r="GL29" s="225" t="str">
        <f t="shared" si="43"/>
        <v/>
      </c>
      <c r="GM29" s="1529">
        <f t="shared" si="44"/>
        <v>0</v>
      </c>
      <c r="GN29" s="1469"/>
      <c r="GO29" s="1469">
        <f t="shared" si="20"/>
        <v>0</v>
      </c>
      <c r="GP29" s="1469" t="str">
        <f t="shared" si="45"/>
        <v/>
      </c>
      <c r="GQ29" s="1469" t="str">
        <f t="shared" si="46"/>
        <v/>
      </c>
      <c r="GR29" s="1469"/>
      <c r="GS29" s="1469"/>
      <c r="GT29" s="1469"/>
      <c r="GU29" s="1469"/>
      <c r="GV29" s="1469"/>
    </row>
    <row r="30" spans="1:204"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85"/>
      <c r="Y30" s="285"/>
      <c r="Z30" s="285"/>
      <c r="AA30" s="903" t="str">
        <f>IF(AND(BE30="OUI",$AR$13=S.CAL!$CU$2),"►",IF(AND(EV30="OUI",$AR$13=S.CAL!$CU$3),"►",""))</f>
        <v/>
      </c>
      <c r="AB30" s="1877">
        <f>+$X$3+10</f>
        <v>45668</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7"/>
        <v/>
      </c>
      <c r="AQ30" s="340"/>
      <c r="AR30" s="1126"/>
      <c r="AS30" s="332">
        <f t="shared" si="3"/>
        <v>0</v>
      </c>
      <c r="AT30" s="1147"/>
      <c r="AU30" s="1147"/>
      <c r="AV30" s="332"/>
      <c r="AW30" s="2017">
        <f t="shared" si="21"/>
        <v>45668</v>
      </c>
      <c r="AX30" s="1878"/>
      <c r="AY30" s="332"/>
      <c r="AZ30" s="1126"/>
      <c r="BA30" s="993"/>
      <c r="BB30" s="561"/>
      <c r="BC30" s="566">
        <f t="shared" si="22"/>
        <v>0</v>
      </c>
      <c r="BD30" s="1126"/>
      <c r="BE30" s="825">
        <f t="shared" si="23"/>
        <v>0</v>
      </c>
      <c r="BF30" s="1150"/>
      <c r="BG30" s="224"/>
      <c r="BH30" s="566" t="str">
        <f t="shared" si="24"/>
        <v/>
      </c>
      <c r="BI30" s="1150"/>
      <c r="BJ30" s="129" t="str">
        <f t="shared" si="25"/>
        <v>Fiche infoA6</v>
      </c>
      <c r="BK30" s="129">
        <f t="shared" si="48"/>
        <v>2</v>
      </c>
      <c r="BL30" s="129" t="str">
        <f t="shared" si="4"/>
        <v>A</v>
      </c>
      <c r="BM30" s="129">
        <f t="shared" si="49"/>
        <v>6</v>
      </c>
      <c r="BN30" s="225" t="str">
        <f t="shared" si="59"/>
        <v>Fiche info</v>
      </c>
      <c r="BO30" s="332" t="str">
        <f t="shared" si="50"/>
        <v/>
      </c>
      <c r="BP30" s="198" t="str">
        <f t="shared" si="51"/>
        <v/>
      </c>
      <c r="BQ30" s="584"/>
      <c r="BS30" s="2012" t="str">
        <f t="shared" si="63"/>
        <v>Semaine numéro : 3</v>
      </c>
      <c r="BT30" s="2013"/>
      <c r="BU30" s="2013"/>
      <c r="BV30" s="2013"/>
      <c r="BW30" s="2013"/>
      <c r="BX30" s="2014"/>
      <c r="BY30" s="1137"/>
      <c r="BZ30" s="674">
        <f t="shared" si="64"/>
        <v>0</v>
      </c>
      <c r="CA30" s="673">
        <f t="shared" si="61"/>
        <v>0</v>
      </c>
      <c r="CB30" s="198">
        <f t="shared" si="62"/>
        <v>0</v>
      </c>
      <c r="CC30" s="198"/>
      <c r="CD30" s="198">
        <f>+SUMIF(Février!$BK$20:$BK$50,AT6,Février!$AM$20:$AO$50)</f>
        <v>0</v>
      </c>
      <c r="CE30" s="198">
        <f t="shared" si="65"/>
        <v>3</v>
      </c>
      <c r="CF30" s="198"/>
      <c r="CG30" s="198"/>
      <c r="CH30" s="198"/>
      <c r="CJ30" s="589"/>
      <c r="CK30" s="589"/>
      <c r="CL30" s="589"/>
      <c r="CM30" s="589"/>
      <c r="CN30" s="589"/>
      <c r="CO30" s="589"/>
      <c r="CP30" s="589"/>
      <c r="CQ30" s="589"/>
      <c r="CR30" s="589"/>
      <c r="CS30" s="589"/>
      <c r="CT30" s="589"/>
      <c r="CU30" s="589"/>
      <c r="CV30" s="589"/>
      <c r="CW30" s="589"/>
      <c r="CX30" s="589"/>
      <c r="CY30" s="589"/>
      <c r="CZ30" s="589"/>
      <c r="DA30" s="589"/>
      <c r="DB30" s="589"/>
      <c r="DC30" s="589"/>
      <c r="DF30" s="758"/>
      <c r="DG30" s="758"/>
      <c r="DH30" s="758"/>
      <c r="DJ30" s="779" t="s">
        <v>159</v>
      </c>
      <c r="DK30" s="756">
        <f ca="1">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2"/>
        <v>45668</v>
      </c>
      <c r="ER30" s="767">
        <f t="shared" si="10"/>
        <v>0</v>
      </c>
      <c r="ES30" s="768">
        <f t="shared" si="11"/>
        <v>0</v>
      </c>
      <c r="ET30" s="767">
        <f t="shared" si="12"/>
        <v>0</v>
      </c>
      <c r="EU30" s="768">
        <f t="shared" si="13"/>
        <v>0</v>
      </c>
      <c r="EV30" s="767" t="str">
        <f t="shared" si="14"/>
        <v/>
      </c>
      <c r="EW30" s="769">
        <f t="shared" si="28"/>
        <v>45668</v>
      </c>
      <c r="EX30" s="777" t="str">
        <f>IFERROR(IF(AND(AZ30="",AR30&lt;&gt;S.CAL!$BJ$3,AR30&lt;&gt;S.CAL!$BJ$4),FS30-BC30,IF(AZ30&lt;&gt;0,AZ30,IF(OR(AR30=S.CAL!$BJ$3,AR30=S.CAL!$BJ$4),AR30,0))),"")</f>
        <v/>
      </c>
      <c r="EY30" s="771">
        <f t="shared" si="53"/>
        <v>0</v>
      </c>
      <c r="EZ30" s="754">
        <f t="shared" si="54"/>
        <v>0</v>
      </c>
      <c r="FA30" s="777" t="str">
        <f t="shared" si="31"/>
        <v/>
      </c>
      <c r="FB30" s="772" t="str">
        <f t="shared" si="15"/>
        <v/>
      </c>
      <c r="FC30" s="333" t="str">
        <f t="shared" si="55"/>
        <v>non</v>
      </c>
      <c r="FD30" s="778">
        <f t="shared" si="16"/>
        <v>0</v>
      </c>
      <c r="FG30" s="129" t="str">
        <f t="shared" si="56"/>
        <v/>
      </c>
      <c r="FJ30" s="333">
        <f t="shared" si="57"/>
        <v>1</v>
      </c>
      <c r="FK30" s="129">
        <f t="shared" si="17"/>
        <v>10</v>
      </c>
      <c r="FL30" s="129">
        <f t="shared" si="35"/>
        <v>1</v>
      </c>
      <c r="FN30" s="129">
        <f>+IF(AND($DP$8&lt;&gt;52,AR30=S.CAL!$BJ$4),10,1)</f>
        <v>1</v>
      </c>
      <c r="FP30" s="129">
        <f t="shared" si="18"/>
        <v>0</v>
      </c>
      <c r="FS30" s="225" t="str">
        <f t="shared" si="60"/>
        <v/>
      </c>
      <c r="FZ30" s="129">
        <f t="shared" si="37"/>
        <v>2</v>
      </c>
      <c r="GA30" s="129">
        <f t="shared" si="38"/>
        <v>2025</v>
      </c>
      <c r="GB30" s="129" t="str">
        <f t="shared" si="39"/>
        <v>22025</v>
      </c>
      <c r="GC30" s="225">
        <f>IF(AND($GD$53=S.CAL!$P$3,$GD$52=FZ30),GE30,IF(BH30="",0,BH30))</f>
        <v>0</v>
      </c>
      <c r="GD30" s="129" t="str">
        <f>IFERROR(+Février!$BY$2&amp;BL30&amp;BM30,0)</f>
        <v>Fiche infoA6</v>
      </c>
      <c r="GE30" s="129" t="str">
        <f t="shared" si="19"/>
        <v/>
      </c>
      <c r="GF30" s="225" t="str">
        <f t="shared" si="40"/>
        <v/>
      </c>
      <c r="GG30" s="1469" t="str">
        <f>+'Retenue Janv'!D28</f>
        <v/>
      </c>
      <c r="GH30" s="1469">
        <f>+'Retenue Janv'!BF28</f>
        <v>0</v>
      </c>
      <c r="GI30" s="1469"/>
      <c r="GJ30" s="1530" t="str">
        <f t="shared" si="41"/>
        <v/>
      </c>
      <c r="GK30" s="225" t="str">
        <f t="shared" si="42"/>
        <v/>
      </c>
      <c r="GL30" s="225" t="str">
        <f t="shared" si="43"/>
        <v/>
      </c>
      <c r="GM30" s="1529">
        <f t="shared" si="44"/>
        <v>0</v>
      </c>
      <c r="GN30" s="1469"/>
      <c r="GO30" s="1469">
        <f t="shared" si="20"/>
        <v>0</v>
      </c>
      <c r="GP30" s="1469" t="str">
        <f t="shared" si="45"/>
        <v/>
      </c>
      <c r="GQ30" s="1469" t="str">
        <f t="shared" si="46"/>
        <v/>
      </c>
      <c r="GR30" s="1469"/>
      <c r="GS30" s="1469"/>
      <c r="GT30" s="1469"/>
      <c r="GU30" s="1469"/>
      <c r="GV30" s="1469"/>
    </row>
    <row r="31" spans="1:204"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85"/>
      <c r="Y31" s="285"/>
      <c r="Z31" s="285"/>
      <c r="AA31" s="903" t="str">
        <f>IF(AND(BE31="OUI",$AR$13=S.CAL!$CU$2),"►",IF(AND(EV31="OUI",$AR$13=S.CAL!$CU$3),"►",""))</f>
        <v/>
      </c>
      <c r="AB31" s="1877">
        <f>+$X$3+11</f>
        <v>45669</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7"/>
        <v/>
      </c>
      <c r="AQ31" s="340"/>
      <c r="AR31" s="1126"/>
      <c r="AS31" s="332">
        <f t="shared" si="3"/>
        <v>0</v>
      </c>
      <c r="AT31" s="1147"/>
      <c r="AU31" s="1147"/>
      <c r="AV31" s="332"/>
      <c r="AW31" s="2017">
        <f t="shared" si="21"/>
        <v>45669</v>
      </c>
      <c r="AX31" s="1878"/>
      <c r="AY31" s="332"/>
      <c r="AZ31" s="1126"/>
      <c r="BA31" s="993"/>
      <c r="BB31" s="561"/>
      <c r="BC31" s="566">
        <f t="shared" si="22"/>
        <v>0</v>
      </c>
      <c r="BD31" s="1126"/>
      <c r="BE31" s="825">
        <f t="shared" si="23"/>
        <v>0</v>
      </c>
      <c r="BF31" s="1150"/>
      <c r="BG31" s="224"/>
      <c r="BH31" s="566" t="str">
        <f t="shared" si="24"/>
        <v/>
      </c>
      <c r="BI31" s="1150"/>
      <c r="BJ31" s="129" t="str">
        <f t="shared" si="25"/>
        <v>Fiche infoA7</v>
      </c>
      <c r="BK31" s="129">
        <f t="shared" si="48"/>
        <v>2</v>
      </c>
      <c r="BL31" s="129" t="str">
        <f t="shared" si="4"/>
        <v>A</v>
      </c>
      <c r="BM31" s="129">
        <f t="shared" si="49"/>
        <v>7</v>
      </c>
      <c r="BN31" s="225" t="str">
        <f t="shared" si="59"/>
        <v>Fiche info</v>
      </c>
      <c r="BO31" s="332" t="str">
        <f t="shared" si="50"/>
        <v/>
      </c>
      <c r="BP31" s="198" t="str">
        <f t="shared" si="51"/>
        <v/>
      </c>
      <c r="BQ31" s="584"/>
      <c r="BS31" s="2012" t="str">
        <f t="shared" si="63"/>
        <v>Semaine numéro : 4</v>
      </c>
      <c r="BT31" s="2013"/>
      <c r="BU31" s="2013"/>
      <c r="BV31" s="2013"/>
      <c r="BW31" s="2013"/>
      <c r="BX31" s="2014"/>
      <c r="BY31" s="1137"/>
      <c r="BZ31" s="674">
        <f t="shared" si="64"/>
        <v>0</v>
      </c>
      <c r="CA31" s="673">
        <f t="shared" si="61"/>
        <v>0</v>
      </c>
      <c r="CB31" s="198">
        <f t="shared" si="62"/>
        <v>0</v>
      </c>
      <c r="CC31" s="198"/>
      <c r="CD31" s="198">
        <f>+SUMIF(Février!$BK$20:$BK$50,AT7,Février!$AM$20:$AO$50)</f>
        <v>0</v>
      </c>
      <c r="CE31" s="198">
        <f t="shared" si="65"/>
        <v>4</v>
      </c>
      <c r="CF31" s="198"/>
      <c r="CG31" s="198"/>
      <c r="CH31" s="198"/>
      <c r="CJ31" s="589"/>
      <c r="CK31" s="589"/>
      <c r="CL31" s="589"/>
      <c r="CM31" s="589"/>
      <c r="CN31" s="589"/>
      <c r="CO31" s="589"/>
      <c r="CP31" s="589"/>
      <c r="CQ31" s="589"/>
      <c r="CR31" s="589"/>
      <c r="CS31" s="589"/>
      <c r="CT31" s="589"/>
      <c r="CU31" s="589"/>
      <c r="CV31" s="589"/>
      <c r="CW31" s="589"/>
      <c r="CX31" s="589"/>
      <c r="CY31" s="589"/>
      <c r="CZ31" s="589"/>
      <c r="DA31" s="589"/>
      <c r="DB31" s="589"/>
      <c r="DC31" s="589"/>
      <c r="DF31" s="758"/>
      <c r="DG31" s="758"/>
      <c r="DH31" s="758"/>
      <c r="DJ31" s="779" t="s">
        <v>1048</v>
      </c>
      <c r="DK31" s="756">
        <f ca="1">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2"/>
        <v>45669</v>
      </c>
      <c r="ER31" s="767">
        <f t="shared" si="10"/>
        <v>0</v>
      </c>
      <c r="ES31" s="768">
        <f t="shared" si="11"/>
        <v>0</v>
      </c>
      <c r="ET31" s="767">
        <f t="shared" si="12"/>
        <v>0</v>
      </c>
      <c r="EU31" s="768">
        <f t="shared" si="13"/>
        <v>0</v>
      </c>
      <c r="EV31" s="767" t="str">
        <f t="shared" si="14"/>
        <v/>
      </c>
      <c r="EW31" s="769">
        <f t="shared" si="28"/>
        <v>45669</v>
      </c>
      <c r="EX31" s="777" t="str">
        <f>IFERROR(IF(AND(AZ31="",AR31&lt;&gt;S.CAL!$BJ$3,AR31&lt;&gt;S.CAL!$BJ$4),FS31-BC31,IF(AZ31&lt;&gt;0,AZ31,IF(OR(AR31=S.CAL!$BJ$3,AR31=S.CAL!$BJ$4),AR31,0))),"")</f>
        <v/>
      </c>
      <c r="EY31" s="771">
        <f t="shared" si="53"/>
        <v>0</v>
      </c>
      <c r="EZ31" s="754">
        <f t="shared" si="54"/>
        <v>0</v>
      </c>
      <c r="FA31" s="777" t="str">
        <f t="shared" si="31"/>
        <v/>
      </c>
      <c r="FB31" s="772" t="str">
        <f t="shared" si="15"/>
        <v/>
      </c>
      <c r="FC31" s="333" t="str">
        <f t="shared" si="55"/>
        <v>non</v>
      </c>
      <c r="FD31" s="778">
        <f t="shared" si="16"/>
        <v>0</v>
      </c>
      <c r="FG31" s="129" t="str">
        <f t="shared" si="56"/>
        <v/>
      </c>
      <c r="FJ31" s="333">
        <f t="shared" si="57"/>
        <v>1</v>
      </c>
      <c r="FK31" s="129">
        <f t="shared" si="17"/>
        <v>10</v>
      </c>
      <c r="FL31" s="129">
        <f t="shared" si="35"/>
        <v>1</v>
      </c>
      <c r="FN31" s="129">
        <f>+IF(AND($DP$8&lt;&gt;52,AR31=S.CAL!$BJ$4),10,1)</f>
        <v>1</v>
      </c>
      <c r="FP31" s="129">
        <f t="shared" si="18"/>
        <v>0</v>
      </c>
      <c r="FS31" s="225" t="str">
        <f t="shared" si="60"/>
        <v/>
      </c>
      <c r="FZ31" s="129">
        <f t="shared" si="37"/>
        <v>2</v>
      </c>
      <c r="GA31" s="129">
        <f t="shared" si="38"/>
        <v>2025</v>
      </c>
      <c r="GB31" s="129" t="str">
        <f t="shared" si="39"/>
        <v>22025</v>
      </c>
      <c r="GC31" s="225">
        <f>IF(AND($GD$53=S.CAL!$P$3,$GD$52=FZ31),GE31,IF(BH31="",0,BH31))</f>
        <v>0</v>
      </c>
      <c r="GD31" s="129" t="str">
        <f>IFERROR(+Février!$BY$2&amp;BL31&amp;BM31,0)</f>
        <v>Fiche infoA7</v>
      </c>
      <c r="GE31" s="129" t="str">
        <f t="shared" si="19"/>
        <v/>
      </c>
      <c r="GF31" s="225" t="str">
        <f t="shared" si="40"/>
        <v/>
      </c>
      <c r="GG31" s="1469" t="str">
        <f>+'Retenue Janv'!D29</f>
        <v/>
      </c>
      <c r="GH31" s="1469">
        <f>+'Retenue Janv'!BF29</f>
        <v>0</v>
      </c>
      <c r="GI31" s="1469"/>
      <c r="GJ31" s="1530" t="str">
        <f t="shared" si="41"/>
        <v/>
      </c>
      <c r="GK31" s="225" t="str">
        <f t="shared" si="42"/>
        <v/>
      </c>
      <c r="GL31" s="225" t="str">
        <f t="shared" si="43"/>
        <v/>
      </c>
      <c r="GM31" s="1529">
        <f t="shared" si="44"/>
        <v>0</v>
      </c>
      <c r="GN31" s="1469"/>
      <c r="GO31" s="1469">
        <f t="shared" si="20"/>
        <v>0</v>
      </c>
      <c r="GP31" s="1469" t="str">
        <f t="shared" si="45"/>
        <v/>
      </c>
      <c r="GQ31" s="1469" t="str">
        <f t="shared" si="46"/>
        <v/>
      </c>
      <c r="GR31" s="1469"/>
      <c r="GS31" s="1469"/>
      <c r="GT31" s="1469"/>
      <c r="GU31" s="1469"/>
      <c r="GV31" s="1469"/>
    </row>
    <row r="32" spans="1:204"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85"/>
      <c r="Y32" s="285"/>
      <c r="Z32" s="285"/>
      <c r="AA32" s="903" t="str">
        <f>IF(AND(BE32="OUI",$AR$13=S.CAL!$CU$2),"►",IF(AND(EV32="OUI",$AR$13=S.CAL!$CU$3),"►",""))</f>
        <v/>
      </c>
      <c r="AB32" s="1877">
        <f>+$X$3+12</f>
        <v>45670</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f t="shared" si="47"/>
        <v>3</v>
      </c>
      <c r="AQ32" s="340"/>
      <c r="AR32" s="1126"/>
      <c r="AS32" s="332">
        <f t="shared" si="3"/>
        <v>0</v>
      </c>
      <c r="AT32" s="1147"/>
      <c r="AU32" s="1147"/>
      <c r="AV32" s="332"/>
      <c r="AW32" s="2017">
        <f t="shared" si="21"/>
        <v>45670</v>
      </c>
      <c r="AX32" s="1878"/>
      <c r="AY32" s="332"/>
      <c r="AZ32" s="1126"/>
      <c r="BA32" s="993"/>
      <c r="BB32" s="561"/>
      <c r="BC32" s="566">
        <f t="shared" si="22"/>
        <v>0</v>
      </c>
      <c r="BD32" s="1126"/>
      <c r="BE32" s="825">
        <f t="shared" si="23"/>
        <v>0</v>
      </c>
      <c r="BF32" s="1150"/>
      <c r="BG32" s="224"/>
      <c r="BH32" s="566" t="str">
        <f t="shared" si="24"/>
        <v/>
      </c>
      <c r="BI32" s="1150"/>
      <c r="BJ32" s="129" t="str">
        <f t="shared" si="25"/>
        <v>Fiche infoA1</v>
      </c>
      <c r="BK32" s="129">
        <f t="shared" si="48"/>
        <v>3</v>
      </c>
      <c r="BL32" s="129" t="str">
        <f t="shared" si="4"/>
        <v>A</v>
      </c>
      <c r="BM32" s="129">
        <f t="shared" si="49"/>
        <v>1</v>
      </c>
      <c r="BN32" s="225" t="str">
        <f t="shared" si="59"/>
        <v>Fiche info</v>
      </c>
      <c r="BO32" s="332" t="str">
        <f t="shared" si="50"/>
        <v/>
      </c>
      <c r="BP32" s="198" t="str">
        <f t="shared" si="51"/>
        <v/>
      </c>
      <c r="BQ32" s="584"/>
      <c r="BS32" s="2012" t="str">
        <f t="shared" si="63"/>
        <v>Semaine numéro : 5</v>
      </c>
      <c r="BT32" s="2013"/>
      <c r="BU32" s="2013"/>
      <c r="BV32" s="2013"/>
      <c r="BW32" s="2013"/>
      <c r="BX32" s="2014"/>
      <c r="BY32" s="1137"/>
      <c r="BZ32" s="674">
        <f t="shared" si="64"/>
        <v>0</v>
      </c>
      <c r="CA32" s="673">
        <f t="shared" si="61"/>
        <v>0</v>
      </c>
      <c r="CB32" s="198">
        <f t="shared" si="62"/>
        <v>0</v>
      </c>
      <c r="CC32" s="198"/>
      <c r="CD32" s="198">
        <f>+SUMIF(Février!$BK$20:$BK$50,AT8,Février!$AM$20:$AO$50)</f>
        <v>0</v>
      </c>
      <c r="CE32" s="198">
        <f t="shared" si="65"/>
        <v>5</v>
      </c>
      <c r="CF32" s="198"/>
      <c r="CG32" s="198"/>
      <c r="CH32" s="198"/>
      <c r="CJ32" s="589"/>
      <c r="CK32" s="589"/>
      <c r="CL32" s="589"/>
      <c r="CM32" s="589"/>
      <c r="CN32" s="589"/>
      <c r="CO32" s="589"/>
      <c r="CP32" s="589"/>
      <c r="CQ32" s="589"/>
      <c r="CR32" s="589"/>
      <c r="CS32" s="589"/>
      <c r="CT32" s="589"/>
      <c r="CU32" s="589"/>
      <c r="CV32" s="589"/>
      <c r="CW32" s="589"/>
      <c r="CX32" s="589"/>
      <c r="CY32" s="589"/>
      <c r="CZ32" s="589"/>
      <c r="DA32" s="589"/>
      <c r="DB32" s="589"/>
      <c r="DC32" s="589"/>
      <c r="DF32" s="758"/>
      <c r="DG32" s="758"/>
      <c r="DH32" s="758"/>
      <c r="DJ32" s="779" t="s">
        <v>161</v>
      </c>
      <c r="DK32" s="756">
        <f ca="1">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2"/>
        <v>45670</v>
      </c>
      <c r="ER32" s="767">
        <f t="shared" si="10"/>
        <v>0</v>
      </c>
      <c r="ES32" s="768">
        <f t="shared" si="11"/>
        <v>0</v>
      </c>
      <c r="ET32" s="767">
        <f t="shared" si="12"/>
        <v>0</v>
      </c>
      <c r="EU32" s="768">
        <f t="shared" si="13"/>
        <v>0</v>
      </c>
      <c r="EV32" s="767" t="str">
        <f t="shared" si="14"/>
        <v/>
      </c>
      <c r="EW32" s="769">
        <f t="shared" si="28"/>
        <v>45670</v>
      </c>
      <c r="EX32" s="777" t="str">
        <f>IFERROR(IF(AND(AZ32="",AR32&lt;&gt;S.CAL!$BJ$3,AR32&lt;&gt;S.CAL!$BJ$4),FS32-BC32,IF(AZ32&lt;&gt;0,AZ32,IF(OR(AR32=S.CAL!$BJ$3,AR32=S.CAL!$BJ$4),AR32,0))),"")</f>
        <v/>
      </c>
      <c r="EY32" s="771">
        <f t="shared" si="53"/>
        <v>0</v>
      </c>
      <c r="EZ32" s="754">
        <f t="shared" si="54"/>
        <v>0</v>
      </c>
      <c r="FA32" s="777" t="str">
        <f t="shared" si="31"/>
        <v/>
      </c>
      <c r="FB32" s="772" t="str">
        <f t="shared" si="15"/>
        <v/>
      </c>
      <c r="FC32" s="333" t="str">
        <f t="shared" si="55"/>
        <v>non</v>
      </c>
      <c r="FD32" s="778">
        <f t="shared" si="16"/>
        <v>0</v>
      </c>
      <c r="FG32" s="129" t="str">
        <f t="shared" si="56"/>
        <v/>
      </c>
      <c r="FJ32" s="333">
        <f t="shared" si="57"/>
        <v>1</v>
      </c>
      <c r="FK32" s="129">
        <f t="shared" si="17"/>
        <v>10</v>
      </c>
      <c r="FL32" s="129">
        <f t="shared" si="35"/>
        <v>1</v>
      </c>
      <c r="FN32" s="129">
        <f>+IF(AND($DP$8&lt;&gt;52,AR32=S.CAL!$BJ$4),10,1)</f>
        <v>1</v>
      </c>
      <c r="FP32" s="129">
        <f t="shared" si="18"/>
        <v>0</v>
      </c>
      <c r="FS32" s="225" t="str">
        <f t="shared" si="60"/>
        <v/>
      </c>
      <c r="FZ32" s="129">
        <f t="shared" si="37"/>
        <v>3</v>
      </c>
      <c r="GA32" s="129">
        <f t="shared" si="38"/>
        <v>2025</v>
      </c>
      <c r="GB32" s="129" t="str">
        <f t="shared" si="39"/>
        <v>32025</v>
      </c>
      <c r="GC32" s="225">
        <f>IF(AND($GD$53=S.CAL!$P$3,$GD$52=FZ32),GE32,IF(BH32="",0,BH32))</f>
        <v>0</v>
      </c>
      <c r="GD32" s="129" t="str">
        <f>IFERROR(+Février!$BY$2&amp;BL32&amp;BM32,0)</f>
        <v>Fiche infoA1</v>
      </c>
      <c r="GE32" s="129" t="str">
        <f t="shared" si="19"/>
        <v/>
      </c>
      <c r="GF32" s="225" t="str">
        <f t="shared" si="40"/>
        <v/>
      </c>
      <c r="GG32" s="1469" t="str">
        <f>+'Retenue Janv'!D30</f>
        <v/>
      </c>
      <c r="GH32" s="1469">
        <f>+'Retenue Janv'!BF30</f>
        <v>0</v>
      </c>
      <c r="GI32" s="1469"/>
      <c r="GJ32" s="1530" t="str">
        <f t="shared" si="41"/>
        <v/>
      </c>
      <c r="GK32" s="225" t="str">
        <f t="shared" si="42"/>
        <v/>
      </c>
      <c r="GL32" s="225" t="str">
        <f t="shared" si="43"/>
        <v/>
      </c>
      <c r="GM32" s="1529">
        <f t="shared" si="44"/>
        <v>0</v>
      </c>
      <c r="GN32" s="1469"/>
      <c r="GO32" s="1469">
        <f t="shared" si="20"/>
        <v>0</v>
      </c>
      <c r="GP32" s="1469" t="str">
        <f t="shared" si="45"/>
        <v/>
      </c>
      <c r="GQ32" s="1469" t="str">
        <f t="shared" si="46"/>
        <v/>
      </c>
      <c r="GR32" s="1469"/>
      <c r="GS32" s="1469"/>
      <c r="GT32" s="1469"/>
      <c r="GU32" s="1469"/>
      <c r="GV32" s="1469"/>
    </row>
    <row r="33" spans="1:204"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85"/>
      <c r="Y33" s="285"/>
      <c r="Z33" s="285"/>
      <c r="AA33" s="903" t="str">
        <f>IF(AND(BE33="OUI",$AR$13=S.CAL!$CU$2),"►",IF(AND(EV33="OUI",$AR$13=S.CAL!$CU$3),"►",""))</f>
        <v/>
      </c>
      <c r="AB33" s="1877">
        <f>+$X$3+13</f>
        <v>45671</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7"/>
        <v/>
      </c>
      <c r="AQ33" s="340"/>
      <c r="AR33" s="1126"/>
      <c r="AS33" s="332">
        <f t="shared" si="3"/>
        <v>0</v>
      </c>
      <c r="AT33" s="1147"/>
      <c r="AU33" s="1147"/>
      <c r="AV33" s="332"/>
      <c r="AW33" s="2017">
        <f t="shared" si="21"/>
        <v>45671</v>
      </c>
      <c r="AX33" s="1878"/>
      <c r="AY33" s="332"/>
      <c r="AZ33" s="1126"/>
      <c r="BA33" s="993"/>
      <c r="BB33" s="561"/>
      <c r="BC33" s="566">
        <f t="shared" si="22"/>
        <v>0</v>
      </c>
      <c r="BD33" s="1126"/>
      <c r="BE33" s="825">
        <f t="shared" si="23"/>
        <v>0</v>
      </c>
      <c r="BF33" s="1150"/>
      <c r="BG33" s="224"/>
      <c r="BH33" s="566" t="str">
        <f t="shared" si="24"/>
        <v/>
      </c>
      <c r="BI33" s="1150"/>
      <c r="BJ33" s="129" t="str">
        <f t="shared" si="25"/>
        <v>Fiche infoA2</v>
      </c>
      <c r="BK33" s="129">
        <f t="shared" si="48"/>
        <v>3</v>
      </c>
      <c r="BL33" s="129" t="str">
        <f t="shared" si="4"/>
        <v>A</v>
      </c>
      <c r="BM33" s="129">
        <f t="shared" si="49"/>
        <v>2</v>
      </c>
      <c r="BN33" s="225" t="str">
        <f t="shared" si="59"/>
        <v>Fiche info</v>
      </c>
      <c r="BO33" s="332" t="str">
        <f t="shared" si="50"/>
        <v/>
      </c>
      <c r="BP33" s="198" t="str">
        <f t="shared" si="51"/>
        <v/>
      </c>
      <c r="BQ33" s="584"/>
      <c r="BS33" s="2012" t="str">
        <f t="shared" si="63"/>
        <v xml:space="preserve">Semaine numéro : </v>
      </c>
      <c r="BT33" s="2013"/>
      <c r="BU33" s="2013"/>
      <c r="BV33" s="2013"/>
      <c r="BW33" s="2013"/>
      <c r="BX33" s="2014"/>
      <c r="BY33" s="1137"/>
      <c r="BZ33" s="674">
        <f t="shared" si="64"/>
        <v>0</v>
      </c>
      <c r="CA33" s="673">
        <f t="shared" si="61"/>
        <v>0</v>
      </c>
      <c r="CB33" s="198">
        <f t="shared" si="62"/>
        <v>0</v>
      </c>
      <c r="CC33" s="198"/>
      <c r="CD33" s="198">
        <f>+SUMIF(Février!$BK$20:$BK$50,AT9,Février!$AM$20:$AO$50)</f>
        <v>0</v>
      </c>
      <c r="CE33" s="198" t="str">
        <f t="shared" si="65"/>
        <v/>
      </c>
      <c r="CF33" s="198"/>
      <c r="CG33" s="198"/>
      <c r="CH33" s="198"/>
      <c r="CJ33" s="589"/>
      <c r="CK33" s="589"/>
      <c r="CL33" s="589"/>
      <c r="CM33" s="589"/>
      <c r="CN33" s="589"/>
      <c r="CO33" s="589"/>
      <c r="CP33" s="589"/>
      <c r="CQ33" s="589"/>
      <c r="CR33" s="589"/>
      <c r="CS33" s="589"/>
      <c r="CT33" s="589"/>
      <c r="CU33" s="589"/>
      <c r="CV33" s="589"/>
      <c r="CW33" s="589"/>
      <c r="CX33" s="589"/>
      <c r="CY33" s="589"/>
      <c r="CZ33" s="589"/>
      <c r="DA33" s="589"/>
      <c r="DB33" s="589"/>
      <c r="DC33" s="589"/>
      <c r="DF33" s="758"/>
      <c r="DG33" s="758"/>
      <c r="DH33" s="758"/>
      <c r="DJ33" s="779" t="s">
        <v>162</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2"/>
        <v>45671</v>
      </c>
      <c r="ER33" s="767">
        <f t="shared" si="10"/>
        <v>0</v>
      </c>
      <c r="ES33" s="768">
        <f t="shared" si="11"/>
        <v>0</v>
      </c>
      <c r="ET33" s="767">
        <f t="shared" si="12"/>
        <v>0</v>
      </c>
      <c r="EU33" s="768">
        <f t="shared" si="13"/>
        <v>0</v>
      </c>
      <c r="EV33" s="767" t="str">
        <f t="shared" si="14"/>
        <v/>
      </c>
      <c r="EW33" s="769">
        <f t="shared" si="28"/>
        <v>45671</v>
      </c>
      <c r="EX33" s="777" t="str">
        <f>IFERROR(IF(AND(AZ33="",AR33&lt;&gt;S.CAL!$BJ$3,AR33&lt;&gt;S.CAL!$BJ$4),FS33-BC33,IF(AZ33&lt;&gt;0,AZ33,IF(OR(AR33=S.CAL!$BJ$3,AR33=S.CAL!$BJ$4),AR33,0))),"")</f>
        <v/>
      </c>
      <c r="EY33" s="771">
        <f t="shared" si="53"/>
        <v>0</v>
      </c>
      <c r="EZ33" s="754">
        <f t="shared" si="54"/>
        <v>0</v>
      </c>
      <c r="FA33" s="777" t="str">
        <f t="shared" si="31"/>
        <v/>
      </c>
      <c r="FB33" s="772" t="str">
        <f t="shared" si="15"/>
        <v/>
      </c>
      <c r="FC33" s="333" t="str">
        <f t="shared" si="55"/>
        <v>non</v>
      </c>
      <c r="FD33" s="778">
        <f t="shared" si="16"/>
        <v>0</v>
      </c>
      <c r="FG33" s="129" t="str">
        <f t="shared" si="56"/>
        <v/>
      </c>
      <c r="FJ33" s="333">
        <f t="shared" si="57"/>
        <v>1</v>
      </c>
      <c r="FK33" s="129">
        <f t="shared" si="17"/>
        <v>10</v>
      </c>
      <c r="FL33" s="129">
        <f t="shared" si="35"/>
        <v>1</v>
      </c>
      <c r="FN33" s="129">
        <f>+IF(AND($DP$8&lt;&gt;52,AR33=S.CAL!$BJ$4),10,1)</f>
        <v>1</v>
      </c>
      <c r="FP33" s="129">
        <f t="shared" si="18"/>
        <v>0</v>
      </c>
      <c r="FS33" s="225" t="str">
        <f t="shared" si="60"/>
        <v/>
      </c>
      <c r="FZ33" s="129">
        <f t="shared" si="37"/>
        <v>3</v>
      </c>
      <c r="GA33" s="129">
        <f t="shared" si="38"/>
        <v>2025</v>
      </c>
      <c r="GB33" s="129" t="str">
        <f t="shared" si="39"/>
        <v>32025</v>
      </c>
      <c r="GC33" s="225">
        <f>IF(AND($GD$53=S.CAL!$P$3,$GD$52=FZ33),GE33,IF(BH33="",0,BH33))</f>
        <v>0</v>
      </c>
      <c r="GD33" s="129" t="str">
        <f>IFERROR(+Février!$BY$2&amp;BL33&amp;BM33,0)</f>
        <v>Fiche infoA2</v>
      </c>
      <c r="GE33" s="129" t="str">
        <f t="shared" si="19"/>
        <v/>
      </c>
      <c r="GF33" s="225" t="str">
        <f t="shared" si="40"/>
        <v/>
      </c>
      <c r="GG33" s="1469" t="str">
        <f>+'Retenue Janv'!D31</f>
        <v/>
      </c>
      <c r="GH33" s="1469">
        <f>+'Retenue Janv'!BF31</f>
        <v>0</v>
      </c>
      <c r="GI33" s="1469"/>
      <c r="GJ33" s="1530" t="str">
        <f t="shared" si="41"/>
        <v/>
      </c>
      <c r="GK33" s="225" t="str">
        <f t="shared" si="42"/>
        <v/>
      </c>
      <c r="GL33" s="225" t="str">
        <f t="shared" si="43"/>
        <v/>
      </c>
      <c r="GM33" s="1529">
        <f t="shared" si="44"/>
        <v>0</v>
      </c>
      <c r="GN33" s="1469"/>
      <c r="GO33" s="1469">
        <f t="shared" si="20"/>
        <v>0</v>
      </c>
      <c r="GP33" s="1469" t="str">
        <f t="shared" si="45"/>
        <v/>
      </c>
      <c r="GQ33" s="1469" t="str">
        <f t="shared" si="46"/>
        <v/>
      </c>
      <c r="GR33" s="1469"/>
      <c r="GS33" s="1469"/>
      <c r="GT33" s="1469"/>
      <c r="GU33" s="1469"/>
      <c r="GV33" s="1469"/>
    </row>
    <row r="34" spans="1:204"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85"/>
      <c r="Y34" s="285"/>
      <c r="Z34" s="285"/>
      <c r="AA34" s="903" t="str">
        <f>IF(AND(BE34="OUI",$AR$13=S.CAL!$CU$2),"►",IF(AND(EV34="OUI",$AR$13=S.CAL!$CU$3),"►",""))</f>
        <v/>
      </c>
      <c r="AB34" s="1877">
        <f>+$X$3+14</f>
        <v>45672</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7"/>
        <v/>
      </c>
      <c r="AQ34" s="340"/>
      <c r="AR34" s="1126"/>
      <c r="AS34" s="332">
        <f t="shared" si="3"/>
        <v>0</v>
      </c>
      <c r="AT34" s="1147"/>
      <c r="AU34" s="1147"/>
      <c r="AV34" s="332"/>
      <c r="AW34" s="2017">
        <f t="shared" si="21"/>
        <v>45672</v>
      </c>
      <c r="AX34" s="1878"/>
      <c r="AY34" s="332"/>
      <c r="AZ34" s="1126"/>
      <c r="BA34" s="993"/>
      <c r="BB34" s="561"/>
      <c r="BC34" s="566">
        <f t="shared" si="22"/>
        <v>0</v>
      </c>
      <c r="BD34" s="1126"/>
      <c r="BE34" s="825">
        <f t="shared" si="23"/>
        <v>0</v>
      </c>
      <c r="BF34" s="1150"/>
      <c r="BG34" s="224"/>
      <c r="BH34" s="566" t="str">
        <f t="shared" si="24"/>
        <v/>
      </c>
      <c r="BI34" s="1150"/>
      <c r="BJ34" s="129" t="str">
        <f t="shared" si="25"/>
        <v>Fiche infoA3</v>
      </c>
      <c r="BK34" s="129">
        <f t="shared" si="48"/>
        <v>3</v>
      </c>
      <c r="BL34" s="129" t="str">
        <f t="shared" si="4"/>
        <v>A</v>
      </c>
      <c r="BM34" s="129">
        <f t="shared" si="49"/>
        <v>3</v>
      </c>
      <c r="BN34" s="225" t="str">
        <f t="shared" si="59"/>
        <v>Fiche info</v>
      </c>
      <c r="BO34" s="332" t="str">
        <f t="shared" si="50"/>
        <v/>
      </c>
      <c r="BP34" s="198" t="str">
        <f t="shared" si="51"/>
        <v/>
      </c>
      <c r="BQ34" s="584"/>
      <c r="BZ34" s="676" t="s">
        <v>450</v>
      </c>
      <c r="CA34" s="677">
        <f ca="1">+IF(AND(DP14=1,OR(DP29="NON",DP29=0)),0,SUM(CA28:CA33))</f>
        <v>0</v>
      </c>
      <c r="DJ34" s="420" t="s">
        <v>165</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2"/>
        <v>45672</v>
      </c>
      <c r="ER34" s="767">
        <f t="shared" si="10"/>
        <v>0</v>
      </c>
      <c r="ES34" s="768">
        <f t="shared" si="11"/>
        <v>0</v>
      </c>
      <c r="ET34" s="767">
        <f t="shared" si="12"/>
        <v>0</v>
      </c>
      <c r="EU34" s="768">
        <f t="shared" si="13"/>
        <v>0</v>
      </c>
      <c r="EV34" s="767" t="str">
        <f t="shared" si="14"/>
        <v/>
      </c>
      <c r="EW34" s="769">
        <f t="shared" si="28"/>
        <v>45672</v>
      </c>
      <c r="EX34" s="777" t="str">
        <f>IFERROR(IF(AND(AZ34="",AR34&lt;&gt;S.CAL!$BJ$3,AR34&lt;&gt;S.CAL!$BJ$4),FS34-BC34,IF(AZ34&lt;&gt;0,AZ34,IF(OR(AR34=S.CAL!$BJ$3,AR34=S.CAL!$BJ$4),AR34,0))),"")</f>
        <v/>
      </c>
      <c r="EY34" s="771">
        <f t="shared" si="53"/>
        <v>0</v>
      </c>
      <c r="EZ34" s="754">
        <f t="shared" si="54"/>
        <v>0</v>
      </c>
      <c r="FA34" s="777" t="str">
        <f t="shared" si="31"/>
        <v/>
      </c>
      <c r="FB34" s="772" t="str">
        <f t="shared" si="15"/>
        <v/>
      </c>
      <c r="FC34" s="333" t="str">
        <f t="shared" si="55"/>
        <v>non</v>
      </c>
      <c r="FD34" s="778">
        <f t="shared" si="16"/>
        <v>0</v>
      </c>
      <c r="FG34" s="129" t="str">
        <f t="shared" si="56"/>
        <v/>
      </c>
      <c r="FJ34" s="333">
        <f t="shared" si="57"/>
        <v>1</v>
      </c>
      <c r="FK34" s="129">
        <f t="shared" si="17"/>
        <v>10</v>
      </c>
      <c r="FL34" s="129">
        <f t="shared" si="35"/>
        <v>1</v>
      </c>
      <c r="FN34" s="129">
        <f>+IF(AND($DP$8&lt;&gt;52,AR34=S.CAL!$BJ$4),10,1)</f>
        <v>1</v>
      </c>
      <c r="FP34" s="129">
        <f t="shared" si="18"/>
        <v>0</v>
      </c>
      <c r="FS34" s="225" t="str">
        <f t="shared" si="60"/>
        <v/>
      </c>
      <c r="FZ34" s="129">
        <f t="shared" si="37"/>
        <v>3</v>
      </c>
      <c r="GA34" s="129">
        <f t="shared" si="38"/>
        <v>2025</v>
      </c>
      <c r="GB34" s="129" t="str">
        <f t="shared" si="39"/>
        <v>32025</v>
      </c>
      <c r="GC34" s="225">
        <f>IF(AND($GD$53=S.CAL!$P$3,$GD$52=FZ34),GE34,IF(BH34="",0,BH34))</f>
        <v>0</v>
      </c>
      <c r="GD34" s="129" t="str">
        <f>IFERROR(+Février!$BY$2&amp;BL34&amp;BM34,0)</f>
        <v>Fiche infoA3</v>
      </c>
      <c r="GE34" s="129" t="str">
        <f t="shared" si="19"/>
        <v/>
      </c>
      <c r="GF34" s="225" t="str">
        <f t="shared" si="40"/>
        <v/>
      </c>
      <c r="GG34" s="1469" t="str">
        <f>+'Retenue Janv'!D32</f>
        <v/>
      </c>
      <c r="GH34" s="1469">
        <f>+'Retenue Janv'!BF32</f>
        <v>0</v>
      </c>
      <c r="GI34" s="1469"/>
      <c r="GJ34" s="1530" t="str">
        <f t="shared" si="41"/>
        <v/>
      </c>
      <c r="GK34" s="225" t="str">
        <f t="shared" si="42"/>
        <v/>
      </c>
      <c r="GL34" s="225" t="str">
        <f t="shared" si="43"/>
        <v/>
      </c>
      <c r="GM34" s="1529">
        <f t="shared" si="44"/>
        <v>0</v>
      </c>
      <c r="GN34" s="1469"/>
      <c r="GO34" s="1469">
        <f t="shared" si="20"/>
        <v>0</v>
      </c>
      <c r="GP34" s="1469" t="str">
        <f t="shared" si="45"/>
        <v/>
      </c>
      <c r="GQ34" s="1469" t="str">
        <f t="shared" si="46"/>
        <v/>
      </c>
      <c r="GR34" s="1469"/>
      <c r="GS34" s="1469"/>
      <c r="GT34" s="1469"/>
      <c r="GU34" s="1469"/>
      <c r="GV34" s="1469"/>
    </row>
    <row r="35" spans="1:204" x14ac:dyDescent="0.2">
      <c r="L35" s="2006" t="s">
        <v>55</v>
      </c>
      <c r="M35" s="2007"/>
      <c r="N35" s="2007"/>
      <c r="O35" s="2007"/>
      <c r="P35" s="2007"/>
      <c r="Q35" s="2007"/>
      <c r="R35" s="2007"/>
      <c r="S35" s="2008"/>
      <c r="T35" s="1992">
        <f ca="1">+ROUND(SUM(T18:W34),2)</f>
        <v>0</v>
      </c>
      <c r="U35" s="1993"/>
      <c r="V35" s="1993"/>
      <c r="W35" s="1994"/>
      <c r="X35" s="285"/>
      <c r="Y35" s="285"/>
      <c r="Z35" s="285"/>
      <c r="AA35" s="903" t="str">
        <f>IF(AND(BE35="OUI",$AR$13=S.CAL!$CU$2),"►",IF(AND(EV35="OUI",$AR$13=S.CAL!$CU$3),"►",""))</f>
        <v/>
      </c>
      <c r="AB35" s="1877">
        <f>+$X$3+15</f>
        <v>45673</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7"/>
        <v/>
      </c>
      <c r="AQ35" s="340"/>
      <c r="AR35" s="1126"/>
      <c r="AS35" s="332">
        <f t="shared" si="3"/>
        <v>0</v>
      </c>
      <c r="AT35" s="1147"/>
      <c r="AU35" s="1147"/>
      <c r="AV35" s="332"/>
      <c r="AW35" s="2017">
        <f t="shared" si="21"/>
        <v>45673</v>
      </c>
      <c r="AX35" s="1878"/>
      <c r="AY35" s="332"/>
      <c r="AZ35" s="1126"/>
      <c r="BA35" s="993"/>
      <c r="BB35" s="561"/>
      <c r="BC35" s="566">
        <f t="shared" si="22"/>
        <v>0</v>
      </c>
      <c r="BD35" s="1126"/>
      <c r="BE35" s="825">
        <f t="shared" si="23"/>
        <v>0</v>
      </c>
      <c r="BF35" s="1150"/>
      <c r="BG35" s="224"/>
      <c r="BH35" s="566" t="str">
        <f t="shared" si="24"/>
        <v/>
      </c>
      <c r="BI35" s="1150"/>
      <c r="BJ35" s="129" t="str">
        <f t="shared" si="25"/>
        <v>Fiche infoA4</v>
      </c>
      <c r="BK35" s="129">
        <f t="shared" si="48"/>
        <v>3</v>
      </c>
      <c r="BL35" s="129" t="str">
        <f t="shared" si="4"/>
        <v>A</v>
      </c>
      <c r="BM35" s="129">
        <f t="shared" si="49"/>
        <v>4</v>
      </c>
      <c r="BN35" s="225" t="str">
        <f t="shared" si="59"/>
        <v>Fiche info</v>
      </c>
      <c r="BO35" s="332" t="str">
        <f t="shared" si="50"/>
        <v/>
      </c>
      <c r="BP35" s="198" t="str">
        <f t="shared" si="51"/>
        <v/>
      </c>
      <c r="BQ35" s="584"/>
      <c r="CA35" s="584"/>
      <c r="CB35" s="584"/>
      <c r="CC35" s="584"/>
      <c r="CD35" s="584"/>
      <c r="DJ35" s="420" t="s">
        <v>166</v>
      </c>
      <c r="DK35" s="756">
        <f ca="1">+ROUND(DK32/K59*BY4,2)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2"/>
        <v>45673</v>
      </c>
      <c r="ER35" s="767">
        <f t="shared" si="10"/>
        <v>0</v>
      </c>
      <c r="ES35" s="768">
        <f t="shared" si="11"/>
        <v>0</v>
      </c>
      <c r="ET35" s="767">
        <f t="shared" si="12"/>
        <v>0</v>
      </c>
      <c r="EU35" s="768">
        <f t="shared" si="13"/>
        <v>0</v>
      </c>
      <c r="EV35" s="767" t="str">
        <f t="shared" si="14"/>
        <v/>
      </c>
      <c r="EW35" s="769">
        <f t="shared" si="28"/>
        <v>45673</v>
      </c>
      <c r="EX35" s="777" t="str">
        <f>IFERROR(IF(AND(AZ35="",AR35&lt;&gt;S.CAL!$BJ$3,AR35&lt;&gt;S.CAL!$BJ$4),FS35-BC35,IF(AZ35&lt;&gt;0,AZ35,IF(OR(AR35=S.CAL!$BJ$3,AR35=S.CAL!$BJ$4),AR35,0))),"")</f>
        <v/>
      </c>
      <c r="EY35" s="771">
        <f t="shared" si="53"/>
        <v>0</v>
      </c>
      <c r="EZ35" s="754">
        <f t="shared" si="54"/>
        <v>0</v>
      </c>
      <c r="FA35" s="777" t="str">
        <f t="shared" si="31"/>
        <v/>
      </c>
      <c r="FB35" s="772" t="str">
        <f t="shared" si="15"/>
        <v/>
      </c>
      <c r="FC35" s="333" t="str">
        <f t="shared" si="55"/>
        <v>non</v>
      </c>
      <c r="FD35" s="778">
        <f t="shared" si="16"/>
        <v>0</v>
      </c>
      <c r="FG35" s="129" t="str">
        <f t="shared" si="56"/>
        <v/>
      </c>
      <c r="FJ35" s="333">
        <f t="shared" si="57"/>
        <v>1</v>
      </c>
      <c r="FK35" s="129">
        <f t="shared" si="17"/>
        <v>10</v>
      </c>
      <c r="FL35" s="129">
        <f t="shared" si="35"/>
        <v>1</v>
      </c>
      <c r="FN35" s="129">
        <f>+IF(AND($DP$8&lt;&gt;52,AR35=S.CAL!$BJ$4),10,1)</f>
        <v>1</v>
      </c>
      <c r="FP35" s="129">
        <f t="shared" si="18"/>
        <v>0</v>
      </c>
      <c r="FS35" s="225" t="str">
        <f t="shared" si="60"/>
        <v/>
      </c>
      <c r="FZ35" s="129">
        <f t="shared" si="37"/>
        <v>3</v>
      </c>
      <c r="GA35" s="129">
        <f t="shared" si="38"/>
        <v>2025</v>
      </c>
      <c r="GB35" s="129" t="str">
        <f t="shared" si="39"/>
        <v>32025</v>
      </c>
      <c r="GC35" s="225">
        <f>IF(AND($GD$53=S.CAL!$P$3,$GD$52=FZ35),GE35,IF(BH35="",0,BH35))</f>
        <v>0</v>
      </c>
      <c r="GD35" s="129" t="str">
        <f>IFERROR(+Février!$BY$2&amp;BL35&amp;BM35,0)</f>
        <v>Fiche infoA4</v>
      </c>
      <c r="GE35" s="129" t="str">
        <f t="shared" si="19"/>
        <v/>
      </c>
      <c r="GF35" s="225" t="str">
        <f t="shared" si="40"/>
        <v/>
      </c>
      <c r="GG35" s="1469" t="str">
        <f>+'Retenue Janv'!D33</f>
        <v/>
      </c>
      <c r="GH35" s="1469">
        <f>+'Retenue Janv'!BF33</f>
        <v>0</v>
      </c>
      <c r="GI35" s="1469"/>
      <c r="GJ35" s="1530" t="str">
        <f t="shared" si="41"/>
        <v/>
      </c>
      <c r="GK35" s="225" t="str">
        <f t="shared" si="42"/>
        <v/>
      </c>
      <c r="GL35" s="225" t="str">
        <f t="shared" si="43"/>
        <v/>
      </c>
      <c r="GM35" s="1529">
        <f t="shared" si="44"/>
        <v>0</v>
      </c>
      <c r="GN35" s="1469"/>
      <c r="GO35" s="1469">
        <f t="shared" si="20"/>
        <v>0</v>
      </c>
      <c r="GP35" s="1469" t="str">
        <f t="shared" si="45"/>
        <v/>
      </c>
      <c r="GQ35" s="1469" t="str">
        <f t="shared" si="46"/>
        <v/>
      </c>
      <c r="GR35" s="1469"/>
      <c r="GS35" s="1469"/>
      <c r="GT35" s="1469"/>
      <c r="GU35" s="1469"/>
      <c r="GV35" s="1469"/>
    </row>
    <row r="36" spans="1:204" x14ac:dyDescent="0.2">
      <c r="X36" s="228"/>
      <c r="Y36" s="228"/>
      <c r="Z36" s="228"/>
      <c r="AA36" s="903" t="str">
        <f>IF(AND(BE36="OUI",$AR$13=S.CAL!$CU$2),"►",IF(AND(EV36="OUI",$AR$13=S.CAL!$CU$3),"►",""))</f>
        <v/>
      </c>
      <c r="AB36" s="1877">
        <f>+$X$3+16</f>
        <v>45674</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7"/>
        <v/>
      </c>
      <c r="AQ36" s="340"/>
      <c r="AR36" s="1126"/>
      <c r="AS36" s="332">
        <f t="shared" si="3"/>
        <v>0</v>
      </c>
      <c r="AT36" s="1147"/>
      <c r="AU36" s="1147"/>
      <c r="AV36" s="332"/>
      <c r="AW36" s="2017">
        <f t="shared" si="21"/>
        <v>45674</v>
      </c>
      <c r="AX36" s="1878"/>
      <c r="AY36" s="332"/>
      <c r="AZ36" s="1126"/>
      <c r="BA36" s="993"/>
      <c r="BB36" s="561"/>
      <c r="BC36" s="566">
        <f t="shared" si="22"/>
        <v>0</v>
      </c>
      <c r="BD36" s="1126"/>
      <c r="BE36" s="825">
        <f t="shared" si="23"/>
        <v>0</v>
      </c>
      <c r="BF36" s="1150"/>
      <c r="BG36" s="224"/>
      <c r="BH36" s="566" t="str">
        <f t="shared" si="24"/>
        <v/>
      </c>
      <c r="BI36" s="1150"/>
      <c r="BJ36" s="129" t="str">
        <f t="shared" si="25"/>
        <v>Fiche infoA5</v>
      </c>
      <c r="BK36" s="129">
        <f t="shared" si="48"/>
        <v>3</v>
      </c>
      <c r="BL36" s="129" t="str">
        <f t="shared" si="4"/>
        <v>A</v>
      </c>
      <c r="BM36" s="129">
        <f t="shared" si="49"/>
        <v>5</v>
      </c>
      <c r="BN36" s="225" t="str">
        <f t="shared" si="59"/>
        <v>Fiche info</v>
      </c>
      <c r="BO36" s="332" t="str">
        <f t="shared" si="50"/>
        <v/>
      </c>
      <c r="BP36" s="198" t="str">
        <f t="shared" si="51"/>
        <v/>
      </c>
      <c r="BQ36" s="2018" t="s">
        <v>1067</v>
      </c>
      <c r="BR36" s="2018"/>
      <c r="BS36" s="2018"/>
      <c r="BT36" s="2018"/>
      <c r="BU36" s="2018"/>
      <c r="BV36" s="2018"/>
      <c r="BW36" s="2018"/>
      <c r="BX36" s="2018"/>
      <c r="BY36" s="2018"/>
      <c r="BZ36" s="2018"/>
      <c r="CA36" s="2018"/>
      <c r="CB36" s="584"/>
      <c r="CC36" s="584"/>
      <c r="CD36" s="584"/>
      <c r="DJ36" s="420" t="s">
        <v>167</v>
      </c>
      <c r="DK36" s="756">
        <f ca="1">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2"/>
        <v>45674</v>
      </c>
      <c r="ER36" s="767">
        <f t="shared" si="10"/>
        <v>0</v>
      </c>
      <c r="ES36" s="768">
        <f t="shared" si="11"/>
        <v>0</v>
      </c>
      <c r="ET36" s="767">
        <f t="shared" si="12"/>
        <v>0</v>
      </c>
      <c r="EU36" s="768">
        <f t="shared" si="13"/>
        <v>0</v>
      </c>
      <c r="EV36" s="767" t="str">
        <f t="shared" si="14"/>
        <v/>
      </c>
      <c r="EW36" s="769">
        <f t="shared" si="28"/>
        <v>45674</v>
      </c>
      <c r="EX36" s="777" t="str">
        <f>IFERROR(IF(AND(AZ36="",AR36&lt;&gt;S.CAL!$BJ$3,AR36&lt;&gt;S.CAL!$BJ$4),FS36-BC36,IF(AZ36&lt;&gt;0,AZ36,IF(OR(AR36=S.CAL!$BJ$3,AR36=S.CAL!$BJ$4),AR36,0))),"")</f>
        <v/>
      </c>
      <c r="EY36" s="771">
        <f t="shared" si="53"/>
        <v>0</v>
      </c>
      <c r="EZ36" s="754">
        <f t="shared" si="54"/>
        <v>0</v>
      </c>
      <c r="FA36" s="777" t="str">
        <f t="shared" si="31"/>
        <v/>
      </c>
      <c r="FB36" s="772" t="str">
        <f t="shared" si="15"/>
        <v/>
      </c>
      <c r="FC36" s="333" t="str">
        <f t="shared" si="55"/>
        <v>non</v>
      </c>
      <c r="FD36" s="778">
        <f t="shared" si="16"/>
        <v>0</v>
      </c>
      <c r="FG36" s="129" t="str">
        <f t="shared" si="56"/>
        <v/>
      </c>
      <c r="FJ36" s="333">
        <f t="shared" si="57"/>
        <v>1</v>
      </c>
      <c r="FK36" s="129">
        <f t="shared" si="17"/>
        <v>10</v>
      </c>
      <c r="FL36" s="129">
        <f t="shared" si="35"/>
        <v>1</v>
      </c>
      <c r="FN36" s="129">
        <f>+IF(AND($DP$8&lt;&gt;52,AR36=S.CAL!$BJ$4),10,1)</f>
        <v>1</v>
      </c>
      <c r="FP36" s="129">
        <f t="shared" si="18"/>
        <v>0</v>
      </c>
      <c r="FS36" s="225" t="str">
        <f t="shared" si="60"/>
        <v/>
      </c>
      <c r="FZ36" s="129">
        <f t="shared" si="37"/>
        <v>3</v>
      </c>
      <c r="GA36" s="129">
        <f t="shared" si="38"/>
        <v>2025</v>
      </c>
      <c r="GB36" s="129" t="str">
        <f t="shared" si="39"/>
        <v>32025</v>
      </c>
      <c r="GC36" s="225">
        <f>IF(AND($GD$53=S.CAL!$P$3,$GD$52=FZ36),GE36,IF(BH36="",0,BH36))</f>
        <v>0</v>
      </c>
      <c r="GD36" s="129" t="str">
        <f>IFERROR(+Février!$BY$2&amp;BL36&amp;BM36,0)</f>
        <v>Fiche infoA5</v>
      </c>
      <c r="GE36" s="129" t="str">
        <f t="shared" si="19"/>
        <v/>
      </c>
      <c r="GF36" s="225" t="str">
        <f t="shared" si="40"/>
        <v/>
      </c>
      <c r="GG36" s="1469" t="str">
        <f>+'Retenue Janv'!D34</f>
        <v/>
      </c>
      <c r="GH36" s="1469">
        <f>+'Retenue Janv'!BF34</f>
        <v>0</v>
      </c>
      <c r="GI36" s="1469"/>
      <c r="GJ36" s="1530" t="str">
        <f t="shared" si="41"/>
        <v/>
      </c>
      <c r="GK36" s="225" t="str">
        <f t="shared" si="42"/>
        <v/>
      </c>
      <c r="GL36" s="225" t="str">
        <f t="shared" si="43"/>
        <v/>
      </c>
      <c r="GM36" s="1529">
        <f t="shared" si="44"/>
        <v>0</v>
      </c>
      <c r="GN36" s="1469"/>
      <c r="GO36" s="1469">
        <f t="shared" si="20"/>
        <v>0</v>
      </c>
      <c r="GP36" s="1469" t="str">
        <f t="shared" si="45"/>
        <v/>
      </c>
      <c r="GQ36" s="1469" t="str">
        <f t="shared" si="46"/>
        <v/>
      </c>
      <c r="GR36" s="1469"/>
      <c r="GS36" s="1469"/>
      <c r="GT36" s="1469"/>
      <c r="GU36" s="1469"/>
      <c r="GV36" s="1469"/>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45675</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7"/>
        <v/>
      </c>
      <c r="AQ37" s="340"/>
      <c r="AR37" s="1126"/>
      <c r="AS37" s="332">
        <f t="shared" si="3"/>
        <v>0</v>
      </c>
      <c r="AT37" s="1147"/>
      <c r="AU37" s="1147"/>
      <c r="AV37" s="332"/>
      <c r="AW37" s="2017">
        <f t="shared" si="21"/>
        <v>45675</v>
      </c>
      <c r="AX37" s="1878"/>
      <c r="AY37" s="332"/>
      <c r="AZ37" s="1126"/>
      <c r="BA37" s="993"/>
      <c r="BB37" s="561"/>
      <c r="BC37" s="566">
        <f t="shared" si="22"/>
        <v>0</v>
      </c>
      <c r="BD37" s="1126"/>
      <c r="BE37" s="825">
        <f t="shared" si="23"/>
        <v>0</v>
      </c>
      <c r="BF37" s="1150"/>
      <c r="BG37" s="224"/>
      <c r="BH37" s="566" t="str">
        <f t="shared" si="24"/>
        <v/>
      </c>
      <c r="BI37" s="1150"/>
      <c r="BJ37" s="129" t="str">
        <f t="shared" si="25"/>
        <v>Fiche infoA6</v>
      </c>
      <c r="BK37" s="129">
        <f t="shared" si="48"/>
        <v>3</v>
      </c>
      <c r="BL37" s="129" t="str">
        <f t="shared" si="4"/>
        <v>A</v>
      </c>
      <c r="BM37" s="129">
        <f t="shared" si="49"/>
        <v>6</v>
      </c>
      <c r="BN37" s="225" t="str">
        <f t="shared" si="59"/>
        <v>Fiche info</v>
      </c>
      <c r="BO37" s="332" t="str">
        <f t="shared" si="50"/>
        <v/>
      </c>
      <c r="BP37" s="198" t="str">
        <f t="shared" si="51"/>
        <v/>
      </c>
      <c r="BQ37" s="601"/>
      <c r="BR37" s="601"/>
      <c r="BS37" s="601"/>
      <c r="BT37" s="601"/>
      <c r="BU37" s="601"/>
      <c r="BV37" s="601"/>
      <c r="BW37" s="601"/>
      <c r="BX37" s="601"/>
      <c r="BY37" s="601"/>
      <c r="BZ37" s="601"/>
      <c r="CA37" s="601"/>
      <c r="CB37" s="584"/>
      <c r="CC37" s="584"/>
      <c r="CD37" s="584"/>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2"/>
        <v>45675</v>
      </c>
      <c r="ER37" s="767">
        <f t="shared" si="10"/>
        <v>0</v>
      </c>
      <c r="ES37" s="768">
        <f t="shared" si="11"/>
        <v>0</v>
      </c>
      <c r="ET37" s="767">
        <f t="shared" si="12"/>
        <v>0</v>
      </c>
      <c r="EU37" s="768">
        <f t="shared" si="13"/>
        <v>0</v>
      </c>
      <c r="EV37" s="767" t="str">
        <f t="shared" si="14"/>
        <v/>
      </c>
      <c r="EW37" s="769">
        <f t="shared" si="28"/>
        <v>45675</v>
      </c>
      <c r="EX37" s="777" t="str">
        <f>IFERROR(IF(AND(AZ37="",AR37&lt;&gt;S.CAL!$BJ$3,AR37&lt;&gt;S.CAL!$BJ$4),FS37-BC37,IF(AZ37&lt;&gt;0,AZ37,IF(OR(AR37=S.CAL!$BJ$3,AR37=S.CAL!$BJ$4),AR37,0))),"")</f>
        <v/>
      </c>
      <c r="EY37" s="771">
        <f t="shared" si="53"/>
        <v>0</v>
      </c>
      <c r="EZ37" s="754">
        <f t="shared" si="54"/>
        <v>0</v>
      </c>
      <c r="FA37" s="777" t="str">
        <f t="shared" si="31"/>
        <v/>
      </c>
      <c r="FB37" s="772" t="str">
        <f t="shared" si="15"/>
        <v/>
      </c>
      <c r="FC37" s="333" t="str">
        <f t="shared" si="55"/>
        <v>non</v>
      </c>
      <c r="FD37" s="778">
        <f t="shared" si="16"/>
        <v>0</v>
      </c>
      <c r="FG37" s="129" t="str">
        <f t="shared" si="56"/>
        <v/>
      </c>
      <c r="FJ37" s="333">
        <f t="shared" si="57"/>
        <v>1</v>
      </c>
      <c r="FK37" s="129">
        <f t="shared" si="17"/>
        <v>10</v>
      </c>
      <c r="FL37" s="129">
        <f t="shared" si="35"/>
        <v>1</v>
      </c>
      <c r="FN37" s="129">
        <f>+IF(AND($DP$8&lt;&gt;52,AR37=S.CAL!$BJ$4),10,1)</f>
        <v>1</v>
      </c>
      <c r="FP37" s="129">
        <f t="shared" si="18"/>
        <v>0</v>
      </c>
      <c r="FS37" s="225" t="str">
        <f t="shared" si="60"/>
        <v/>
      </c>
      <c r="FZ37" s="129">
        <f t="shared" si="37"/>
        <v>3</v>
      </c>
      <c r="GA37" s="129">
        <f t="shared" si="38"/>
        <v>2025</v>
      </c>
      <c r="GB37" s="129" t="str">
        <f t="shared" si="39"/>
        <v>32025</v>
      </c>
      <c r="GC37" s="225">
        <f>IF(AND($GD$53=S.CAL!$P$3,$GD$52=FZ37),GE37,IF(BH37="",0,BH37))</f>
        <v>0</v>
      </c>
      <c r="GD37" s="129" t="str">
        <f>IFERROR(+Février!$BY$2&amp;BL37&amp;BM37,0)</f>
        <v>Fiche infoA6</v>
      </c>
      <c r="GE37" s="129" t="str">
        <f t="shared" si="19"/>
        <v/>
      </c>
      <c r="GF37" s="225" t="str">
        <f t="shared" si="40"/>
        <v/>
      </c>
      <c r="GG37" s="1469" t="str">
        <f>+'Retenue Janv'!D35</f>
        <v/>
      </c>
      <c r="GH37" s="1469">
        <f>+'Retenue Janv'!BF35</f>
        <v>0</v>
      </c>
      <c r="GI37" s="1469"/>
      <c r="GJ37" s="1530" t="str">
        <f t="shared" si="41"/>
        <v/>
      </c>
      <c r="GK37" s="225" t="str">
        <f t="shared" si="42"/>
        <v/>
      </c>
      <c r="GL37" s="225" t="str">
        <f t="shared" si="43"/>
        <v/>
      </c>
      <c r="GM37" s="1529">
        <f t="shared" si="44"/>
        <v>0</v>
      </c>
      <c r="GN37" s="1469"/>
      <c r="GO37" s="1469">
        <f t="shared" si="20"/>
        <v>0</v>
      </c>
      <c r="GP37" s="1469" t="str">
        <f t="shared" si="45"/>
        <v/>
      </c>
      <c r="GQ37" s="1469" t="str">
        <f t="shared" si="46"/>
        <v/>
      </c>
      <c r="GR37" s="1469"/>
      <c r="GS37" s="1469"/>
      <c r="GT37" s="1469"/>
      <c r="GU37" s="1469"/>
      <c r="GV37" s="1469"/>
    </row>
    <row r="38" spans="1:204"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45676</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7"/>
        <v/>
      </c>
      <c r="AQ38" s="340"/>
      <c r="AR38" s="1126"/>
      <c r="AS38" s="332">
        <f t="shared" si="3"/>
        <v>0</v>
      </c>
      <c r="AT38" s="1147"/>
      <c r="AU38" s="1147"/>
      <c r="AV38" s="332"/>
      <c r="AW38" s="2017">
        <f t="shared" si="21"/>
        <v>45676</v>
      </c>
      <c r="AX38" s="1878"/>
      <c r="AY38" s="332"/>
      <c r="AZ38" s="1126"/>
      <c r="BA38" s="993"/>
      <c r="BB38" s="561"/>
      <c r="BC38" s="566">
        <f t="shared" si="22"/>
        <v>0</v>
      </c>
      <c r="BD38" s="1126"/>
      <c r="BE38" s="825">
        <f t="shared" si="23"/>
        <v>0</v>
      </c>
      <c r="BF38" s="1150"/>
      <c r="BG38" s="224"/>
      <c r="BH38" s="566" t="str">
        <f t="shared" si="24"/>
        <v/>
      </c>
      <c r="BI38" s="1150"/>
      <c r="BJ38" s="129" t="str">
        <f t="shared" si="25"/>
        <v>Fiche infoA7</v>
      </c>
      <c r="BK38" s="129">
        <f t="shared" si="48"/>
        <v>3</v>
      </c>
      <c r="BL38" s="129" t="str">
        <f t="shared" si="4"/>
        <v>A</v>
      </c>
      <c r="BM38" s="129">
        <f t="shared" si="49"/>
        <v>7</v>
      </c>
      <c r="BN38" s="225" t="str">
        <f t="shared" si="59"/>
        <v>Fiche info</v>
      </c>
      <c r="BO38" s="332" t="str">
        <f t="shared" si="50"/>
        <v/>
      </c>
      <c r="BP38" s="198" t="str">
        <f t="shared" si="51"/>
        <v/>
      </c>
      <c r="BQ38" s="601" t="s">
        <v>1060</v>
      </c>
      <c r="BR38" s="601"/>
      <c r="BS38" s="601"/>
      <c r="BT38" s="601"/>
      <c r="BU38" s="601"/>
      <c r="BV38" s="601"/>
      <c r="BW38" s="601"/>
      <c r="BX38" s="601"/>
      <c r="BY38" s="601"/>
      <c r="BZ38" s="601"/>
      <c r="CA38" s="601"/>
      <c r="CB38" s="584"/>
      <c r="CC38" s="584"/>
      <c r="CD38" s="584"/>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2"/>
        <v>45676</v>
      </c>
      <c r="ER38" s="767">
        <f t="shared" si="10"/>
        <v>0</v>
      </c>
      <c r="ES38" s="768">
        <f t="shared" si="11"/>
        <v>0</v>
      </c>
      <c r="ET38" s="767">
        <f t="shared" si="12"/>
        <v>0</v>
      </c>
      <c r="EU38" s="768">
        <f t="shared" si="13"/>
        <v>0</v>
      </c>
      <c r="EV38" s="767" t="str">
        <f t="shared" si="14"/>
        <v/>
      </c>
      <c r="EW38" s="769">
        <f t="shared" si="28"/>
        <v>45676</v>
      </c>
      <c r="EX38" s="777" t="str">
        <f>IFERROR(IF(AND(AZ38="",AR38&lt;&gt;S.CAL!$BJ$3,AR38&lt;&gt;S.CAL!$BJ$4),FS38-BC38,IF(AZ38&lt;&gt;0,AZ38,IF(OR(AR38=S.CAL!$BJ$3,AR38=S.CAL!$BJ$4),AR38,0))),"")</f>
        <v/>
      </c>
      <c r="EY38" s="771">
        <f t="shared" si="53"/>
        <v>0</v>
      </c>
      <c r="EZ38" s="754">
        <f t="shared" si="54"/>
        <v>0</v>
      </c>
      <c r="FA38" s="777" t="str">
        <f t="shared" si="31"/>
        <v/>
      </c>
      <c r="FB38" s="772" t="str">
        <f t="shared" si="15"/>
        <v/>
      </c>
      <c r="FC38" s="333" t="str">
        <f t="shared" si="55"/>
        <v>non</v>
      </c>
      <c r="FD38" s="778">
        <f t="shared" si="16"/>
        <v>0</v>
      </c>
      <c r="FG38" s="129" t="str">
        <f t="shared" si="56"/>
        <v/>
      </c>
      <c r="FJ38" s="333">
        <f t="shared" si="57"/>
        <v>1</v>
      </c>
      <c r="FK38" s="129">
        <f t="shared" si="17"/>
        <v>10</v>
      </c>
      <c r="FL38" s="129">
        <f t="shared" si="35"/>
        <v>1</v>
      </c>
      <c r="FN38" s="129">
        <f>+IF(AND($DP$8&lt;&gt;52,AR38=S.CAL!$BJ$4),10,1)</f>
        <v>1</v>
      </c>
      <c r="FP38" s="129">
        <f t="shared" si="18"/>
        <v>0</v>
      </c>
      <c r="FS38" s="225" t="str">
        <f t="shared" si="60"/>
        <v/>
      </c>
      <c r="FZ38" s="129">
        <f t="shared" si="37"/>
        <v>3</v>
      </c>
      <c r="GA38" s="129">
        <f t="shared" si="38"/>
        <v>2025</v>
      </c>
      <c r="GB38" s="129" t="str">
        <f t="shared" si="39"/>
        <v>32025</v>
      </c>
      <c r="GC38" s="225">
        <f>IF(AND($GD$53=S.CAL!$P$3,$GD$52=FZ38),GE38,IF(BH38="",0,BH38))</f>
        <v>0</v>
      </c>
      <c r="GD38" s="129" t="str">
        <f>IFERROR(+Février!$BY$2&amp;BL38&amp;BM38,0)</f>
        <v>Fiche infoA7</v>
      </c>
      <c r="GE38" s="129" t="str">
        <f t="shared" si="19"/>
        <v/>
      </c>
      <c r="GF38" s="225" t="str">
        <f t="shared" si="40"/>
        <v/>
      </c>
      <c r="GG38" s="1469" t="str">
        <f>+'Retenue Janv'!D36</f>
        <v/>
      </c>
      <c r="GH38" s="1469">
        <f>+'Retenue Janv'!BF36</f>
        <v>0</v>
      </c>
      <c r="GI38" s="1469"/>
      <c r="GJ38" s="1530" t="str">
        <f t="shared" si="41"/>
        <v/>
      </c>
      <c r="GK38" s="225" t="str">
        <f t="shared" si="42"/>
        <v/>
      </c>
      <c r="GL38" s="225" t="str">
        <f t="shared" si="43"/>
        <v/>
      </c>
      <c r="GM38" s="1529">
        <f t="shared" si="44"/>
        <v>0</v>
      </c>
      <c r="GN38" s="1469"/>
      <c r="GO38" s="1469">
        <f t="shared" si="20"/>
        <v>0</v>
      </c>
      <c r="GP38" s="1469" t="str">
        <f t="shared" si="45"/>
        <v/>
      </c>
      <c r="GQ38" s="1469" t="str">
        <f t="shared" si="46"/>
        <v/>
      </c>
      <c r="GR38" s="1469"/>
      <c r="GS38" s="1469"/>
      <c r="GT38" s="1469"/>
      <c r="GU38" s="1469"/>
      <c r="GV38" s="1469"/>
    </row>
    <row r="39" spans="1:204"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45677</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f t="shared" si="47"/>
        <v>4</v>
      </c>
      <c r="AQ39" s="340"/>
      <c r="AR39" s="1126"/>
      <c r="AS39" s="332">
        <f t="shared" si="3"/>
        <v>0</v>
      </c>
      <c r="AT39" s="1147"/>
      <c r="AU39" s="1147"/>
      <c r="AV39" s="332"/>
      <c r="AW39" s="2017">
        <f t="shared" si="21"/>
        <v>45677</v>
      </c>
      <c r="AX39" s="1878"/>
      <c r="AY39" s="332"/>
      <c r="AZ39" s="1126"/>
      <c r="BA39" s="993"/>
      <c r="BB39" s="561"/>
      <c r="BC39" s="566">
        <f t="shared" si="22"/>
        <v>0</v>
      </c>
      <c r="BD39" s="1126"/>
      <c r="BE39" s="825">
        <f t="shared" si="23"/>
        <v>0</v>
      </c>
      <c r="BF39" s="1150"/>
      <c r="BG39" s="224"/>
      <c r="BH39" s="566" t="str">
        <f t="shared" si="24"/>
        <v/>
      </c>
      <c r="BI39" s="1150"/>
      <c r="BJ39" s="129" t="str">
        <f t="shared" si="25"/>
        <v>Fiche infoA1</v>
      </c>
      <c r="BK39" s="129">
        <f t="shared" si="48"/>
        <v>4</v>
      </c>
      <c r="BL39" s="129" t="str">
        <f t="shared" si="4"/>
        <v>A</v>
      </c>
      <c r="BM39" s="129">
        <f t="shared" si="49"/>
        <v>1</v>
      </c>
      <c r="BN39" s="225" t="str">
        <f t="shared" si="59"/>
        <v>Fiche info</v>
      </c>
      <c r="BO39" s="332" t="str">
        <f t="shared" si="50"/>
        <v/>
      </c>
      <c r="BP39" s="198" t="str">
        <f t="shared" si="51"/>
        <v/>
      </c>
      <c r="BQ39" s="601" t="s">
        <v>1061</v>
      </c>
      <c r="BR39" s="600"/>
      <c r="BS39" s="600"/>
      <c r="BT39" s="600"/>
      <c r="BU39" s="600"/>
      <c r="BV39" s="601"/>
      <c r="BW39" s="601"/>
      <c r="BX39" s="601"/>
      <c r="BY39" s="601"/>
      <c r="BZ39" s="601"/>
      <c r="CA39" s="601"/>
      <c r="CB39" s="584"/>
      <c r="CC39" s="584"/>
      <c r="CD39" s="584"/>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2"/>
        <v>45677</v>
      </c>
      <c r="ER39" s="767">
        <f t="shared" si="10"/>
        <v>0</v>
      </c>
      <c r="ES39" s="768">
        <f t="shared" si="11"/>
        <v>0</v>
      </c>
      <c r="ET39" s="767">
        <f t="shared" si="12"/>
        <v>0</v>
      </c>
      <c r="EU39" s="768">
        <f t="shared" si="13"/>
        <v>0</v>
      </c>
      <c r="EV39" s="767" t="str">
        <f t="shared" si="14"/>
        <v/>
      </c>
      <c r="EW39" s="769">
        <f t="shared" si="28"/>
        <v>45677</v>
      </c>
      <c r="EX39" s="777" t="str">
        <f>IFERROR(IF(AND(AZ39="",AR39&lt;&gt;S.CAL!$BJ$3,AR39&lt;&gt;S.CAL!$BJ$4),FS39-BC39,IF(AZ39&lt;&gt;0,AZ39,IF(OR(AR39=S.CAL!$BJ$3,AR39=S.CAL!$BJ$4),AR39,0))),"")</f>
        <v/>
      </c>
      <c r="EY39" s="771">
        <f t="shared" si="53"/>
        <v>0</v>
      </c>
      <c r="EZ39" s="754">
        <f t="shared" si="54"/>
        <v>0</v>
      </c>
      <c r="FA39" s="777" t="str">
        <f t="shared" si="31"/>
        <v/>
      </c>
      <c r="FB39" s="772" t="str">
        <f t="shared" si="15"/>
        <v/>
      </c>
      <c r="FC39" s="333" t="str">
        <f t="shared" si="55"/>
        <v>non</v>
      </c>
      <c r="FD39" s="778">
        <f t="shared" si="16"/>
        <v>0</v>
      </c>
      <c r="FG39" s="129" t="str">
        <f t="shared" si="56"/>
        <v/>
      </c>
      <c r="FJ39" s="333">
        <f t="shared" si="57"/>
        <v>1</v>
      </c>
      <c r="FK39" s="129">
        <f t="shared" si="17"/>
        <v>10</v>
      </c>
      <c r="FL39" s="129">
        <f t="shared" si="35"/>
        <v>1</v>
      </c>
      <c r="FN39" s="129">
        <f>+IF(AND($DP$8&lt;&gt;52,AR39=S.CAL!$BJ$4),10,1)</f>
        <v>1</v>
      </c>
      <c r="FP39" s="129">
        <f t="shared" si="18"/>
        <v>0</v>
      </c>
      <c r="FS39" s="225" t="str">
        <f t="shared" si="60"/>
        <v/>
      </c>
      <c r="FZ39" s="129">
        <f t="shared" si="37"/>
        <v>4</v>
      </c>
      <c r="GA39" s="129">
        <f t="shared" si="38"/>
        <v>2025</v>
      </c>
      <c r="GB39" s="129" t="str">
        <f t="shared" si="39"/>
        <v>42025</v>
      </c>
      <c r="GC39" s="225">
        <f>IF(AND($GD$53=S.CAL!$P$3,$GD$52=FZ39),GE39,IF(BH39="",0,BH39))</f>
        <v>0</v>
      </c>
      <c r="GD39" s="129" t="str">
        <f>IFERROR(+Février!$BY$2&amp;BL39&amp;BM39,0)</f>
        <v>Fiche infoA1</v>
      </c>
      <c r="GE39" s="129" t="str">
        <f t="shared" si="19"/>
        <v/>
      </c>
      <c r="GF39" s="225" t="str">
        <f t="shared" si="40"/>
        <v/>
      </c>
      <c r="GG39" s="1469" t="str">
        <f>+'Retenue Janv'!D37</f>
        <v/>
      </c>
      <c r="GH39" s="1469">
        <f>+'Retenue Janv'!BF37</f>
        <v>0</v>
      </c>
      <c r="GI39" s="1469"/>
      <c r="GJ39" s="1530" t="str">
        <f t="shared" si="41"/>
        <v/>
      </c>
      <c r="GK39" s="225" t="str">
        <f t="shared" si="42"/>
        <v/>
      </c>
      <c r="GL39" s="225" t="str">
        <f t="shared" si="43"/>
        <v/>
      </c>
      <c r="GM39" s="1529">
        <f t="shared" si="44"/>
        <v>0</v>
      </c>
      <c r="GN39" s="1469"/>
      <c r="GO39" s="1469">
        <f t="shared" si="20"/>
        <v>0</v>
      </c>
      <c r="GP39" s="1469" t="str">
        <f t="shared" si="45"/>
        <v/>
      </c>
      <c r="GQ39" s="1469" t="str">
        <f t="shared" si="46"/>
        <v/>
      </c>
      <c r="GR39" s="1469"/>
      <c r="GS39" s="1469"/>
      <c r="GT39" s="1469"/>
      <c r="GU39" s="1469"/>
      <c r="GV39" s="1469"/>
    </row>
    <row r="40" spans="1:204"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45678</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7"/>
        <v/>
      </c>
      <c r="AQ40" s="340"/>
      <c r="AR40" s="1126"/>
      <c r="AS40" s="332">
        <f t="shared" si="3"/>
        <v>0</v>
      </c>
      <c r="AT40" s="1147"/>
      <c r="AU40" s="1147"/>
      <c r="AV40" s="332"/>
      <c r="AW40" s="2017">
        <f t="shared" si="21"/>
        <v>45678</v>
      </c>
      <c r="AX40" s="1878"/>
      <c r="AY40" s="332"/>
      <c r="AZ40" s="1126"/>
      <c r="BA40" s="993"/>
      <c r="BB40" s="561"/>
      <c r="BC40" s="566">
        <f t="shared" si="22"/>
        <v>0</v>
      </c>
      <c r="BD40" s="1126"/>
      <c r="BE40" s="825">
        <f t="shared" si="23"/>
        <v>0</v>
      </c>
      <c r="BF40" s="1150"/>
      <c r="BG40" s="224"/>
      <c r="BH40" s="566" t="str">
        <f t="shared" si="24"/>
        <v/>
      </c>
      <c r="BI40" s="1150"/>
      <c r="BJ40" s="129" t="str">
        <f t="shared" si="25"/>
        <v>Fiche infoA2</v>
      </c>
      <c r="BK40" s="129">
        <f t="shared" si="48"/>
        <v>4</v>
      </c>
      <c r="BL40" s="129" t="str">
        <f t="shared" si="4"/>
        <v>A</v>
      </c>
      <c r="BM40" s="129">
        <f t="shared" si="49"/>
        <v>2</v>
      </c>
      <c r="BN40" s="225" t="str">
        <f t="shared" si="59"/>
        <v>Fiche info</v>
      </c>
      <c r="BO40" s="332" t="str">
        <f t="shared" si="50"/>
        <v/>
      </c>
      <c r="BP40" s="198" t="str">
        <f t="shared" si="51"/>
        <v/>
      </c>
      <c r="BQ40" s="601"/>
      <c r="BR40" s="601"/>
      <c r="BS40" s="601"/>
      <c r="BT40" s="601"/>
      <c r="BU40" s="601"/>
      <c r="BV40" s="601"/>
      <c r="BW40" s="601"/>
      <c r="BX40" s="601"/>
      <c r="BY40" s="601"/>
      <c r="BZ40" s="601"/>
      <c r="CA40" s="601"/>
      <c r="DJ40" s="420" t="s">
        <v>1192</v>
      </c>
      <c r="DK40" s="759">
        <f>+'Retenue Janv'!P27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2"/>
        <v>45678</v>
      </c>
      <c r="ER40" s="767">
        <f t="shared" si="10"/>
        <v>0</v>
      </c>
      <c r="ES40" s="768">
        <f t="shared" si="11"/>
        <v>0</v>
      </c>
      <c r="ET40" s="767">
        <f t="shared" si="12"/>
        <v>0</v>
      </c>
      <c r="EU40" s="768">
        <f t="shared" si="13"/>
        <v>0</v>
      </c>
      <c r="EV40" s="767" t="str">
        <f t="shared" si="14"/>
        <v/>
      </c>
      <c r="EW40" s="769">
        <f t="shared" si="28"/>
        <v>45678</v>
      </c>
      <c r="EX40" s="777" t="str">
        <f>IFERROR(IF(AND(AZ40="",AR40&lt;&gt;S.CAL!$BJ$3,AR40&lt;&gt;S.CAL!$BJ$4),FS40-BC40,IF(AZ40&lt;&gt;0,AZ40,IF(OR(AR40=S.CAL!$BJ$3,AR40=S.CAL!$BJ$4),AR40,0))),"")</f>
        <v/>
      </c>
      <c r="EY40" s="771">
        <f t="shared" si="53"/>
        <v>0</v>
      </c>
      <c r="EZ40" s="754">
        <f t="shared" si="54"/>
        <v>0</v>
      </c>
      <c r="FA40" s="777" t="str">
        <f t="shared" si="31"/>
        <v/>
      </c>
      <c r="FB40" s="772" t="str">
        <f t="shared" si="15"/>
        <v/>
      </c>
      <c r="FC40" s="333" t="str">
        <f t="shared" si="55"/>
        <v>non</v>
      </c>
      <c r="FD40" s="778">
        <f t="shared" si="16"/>
        <v>0</v>
      </c>
      <c r="FG40" s="129" t="str">
        <f t="shared" si="56"/>
        <v/>
      </c>
      <c r="FJ40" s="333">
        <f t="shared" si="57"/>
        <v>1</v>
      </c>
      <c r="FK40" s="129">
        <f t="shared" si="17"/>
        <v>10</v>
      </c>
      <c r="FL40" s="129">
        <f t="shared" si="35"/>
        <v>1</v>
      </c>
      <c r="FN40" s="129">
        <f>+IF(AND($DP$8&lt;&gt;52,AR40=S.CAL!$BJ$4),10,1)</f>
        <v>1</v>
      </c>
      <c r="FP40" s="129">
        <f t="shared" si="18"/>
        <v>0</v>
      </c>
      <c r="FS40" s="225" t="str">
        <f t="shared" si="60"/>
        <v/>
      </c>
      <c r="FZ40" s="129">
        <f t="shared" si="37"/>
        <v>4</v>
      </c>
      <c r="GA40" s="129">
        <f t="shared" si="38"/>
        <v>2025</v>
      </c>
      <c r="GB40" s="129" t="str">
        <f t="shared" si="39"/>
        <v>42025</v>
      </c>
      <c r="GC40" s="225">
        <f>IF(AND($GD$53=S.CAL!$P$3,$GD$52=FZ40),GE40,IF(BH40="",0,BH40))</f>
        <v>0</v>
      </c>
      <c r="GD40" s="129" t="str">
        <f>IFERROR(+Février!$BY$2&amp;BL40&amp;BM40,0)</f>
        <v>Fiche infoA2</v>
      </c>
      <c r="GE40" s="129" t="str">
        <f t="shared" si="19"/>
        <v/>
      </c>
      <c r="GF40" s="225" t="str">
        <f t="shared" si="40"/>
        <v/>
      </c>
      <c r="GG40" s="1469" t="str">
        <f>+'Retenue Janv'!D38</f>
        <v/>
      </c>
      <c r="GH40" s="1469">
        <f>+'Retenue Janv'!BF38</f>
        <v>0</v>
      </c>
      <c r="GI40" s="1469"/>
      <c r="GJ40" s="1530" t="str">
        <f t="shared" si="41"/>
        <v/>
      </c>
      <c r="GK40" s="225" t="str">
        <f t="shared" si="42"/>
        <v/>
      </c>
      <c r="GL40" s="225" t="str">
        <f t="shared" si="43"/>
        <v/>
      </c>
      <c r="GM40" s="1529">
        <f t="shared" si="44"/>
        <v>0</v>
      </c>
      <c r="GN40" s="1469"/>
      <c r="GO40" s="1469">
        <f t="shared" si="20"/>
        <v>0</v>
      </c>
      <c r="GP40" s="1469" t="str">
        <f t="shared" si="45"/>
        <v/>
      </c>
      <c r="GQ40" s="1469" t="str">
        <f t="shared" si="46"/>
        <v/>
      </c>
      <c r="GR40" s="1469"/>
      <c r="GS40" s="1469"/>
      <c r="GT40" s="1469"/>
      <c r="GU40" s="1469"/>
      <c r="GV40" s="1469"/>
    </row>
    <row r="41" spans="1:204" ht="12.75" customHeight="1"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 ca="1">+T35*INDEX(table_base_coef_patronale,MATCH(A41,Taux_cotisations!$A$110:$A$136,0),MATCH($X$3,Taux_cotisations!$A$110:$M$110,0))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 ca="1">ROUND(U41*R41,2)</f>
        <v>0</v>
      </c>
      <c r="Y41" s="1900"/>
      <c r="Z41" s="1900"/>
      <c r="AA41" s="903" t="str">
        <f>IF(AND(BE41="OUI",$AR$13=S.CAL!$CU$2),"►",IF(AND(EV41="OUI",$AR$13=S.CAL!$CU$3),"►",""))</f>
        <v/>
      </c>
      <c r="AB41" s="1877">
        <f>+$X$3+21</f>
        <v>45679</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7"/>
        <v/>
      </c>
      <c r="AQ41" s="340"/>
      <c r="AR41" s="1126"/>
      <c r="AS41" s="332">
        <f t="shared" si="3"/>
        <v>0</v>
      </c>
      <c r="AT41" s="1147"/>
      <c r="AU41" s="1147"/>
      <c r="AV41" s="332"/>
      <c r="AW41" s="2017">
        <f t="shared" si="21"/>
        <v>45679</v>
      </c>
      <c r="AX41" s="1878"/>
      <c r="AY41" s="332"/>
      <c r="AZ41" s="1126"/>
      <c r="BA41" s="993"/>
      <c r="BB41" s="561"/>
      <c r="BC41" s="566">
        <f t="shared" si="22"/>
        <v>0</v>
      </c>
      <c r="BD41" s="1126"/>
      <c r="BE41" s="825">
        <f t="shared" si="23"/>
        <v>0</v>
      </c>
      <c r="BF41" s="1150"/>
      <c r="BG41" s="224"/>
      <c r="BH41" s="566" t="str">
        <f t="shared" si="24"/>
        <v/>
      </c>
      <c r="BI41" s="1150"/>
      <c r="BJ41" s="129" t="str">
        <f t="shared" si="25"/>
        <v>Fiche infoA3</v>
      </c>
      <c r="BK41" s="129">
        <f t="shared" si="48"/>
        <v>4</v>
      </c>
      <c r="BL41" s="129" t="str">
        <f t="shared" si="4"/>
        <v>A</v>
      </c>
      <c r="BM41" s="129">
        <f t="shared" si="49"/>
        <v>3</v>
      </c>
      <c r="BN41" s="225" t="str">
        <f t="shared" si="59"/>
        <v>Fiche info</v>
      </c>
      <c r="BO41" s="332" t="str">
        <f t="shared" si="50"/>
        <v/>
      </c>
      <c r="BP41" s="198" t="str">
        <f t="shared" si="51"/>
        <v/>
      </c>
      <c r="BQ41" s="2142" t="s">
        <v>1063</v>
      </c>
      <c r="BR41" s="2142"/>
      <c r="BS41" s="2142"/>
      <c r="BT41" s="2142"/>
      <c r="BU41" s="2142"/>
      <c r="BV41" s="2142"/>
      <c r="BW41" s="621" t="str">
        <f>+BX41</f>
        <v>Non</v>
      </c>
      <c r="BX41" s="1138" t="s">
        <v>36</v>
      </c>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2"/>
        <v>45679</v>
      </c>
      <c r="ER41" s="767">
        <f t="shared" si="10"/>
        <v>0</v>
      </c>
      <c r="ES41" s="768">
        <f t="shared" si="11"/>
        <v>0</v>
      </c>
      <c r="ET41" s="767">
        <f t="shared" si="12"/>
        <v>0</v>
      </c>
      <c r="EU41" s="768">
        <f t="shared" si="13"/>
        <v>0</v>
      </c>
      <c r="EV41" s="767" t="str">
        <f t="shared" si="14"/>
        <v/>
      </c>
      <c r="EW41" s="769">
        <f t="shared" si="28"/>
        <v>45679</v>
      </c>
      <c r="EX41" s="777" t="str">
        <f>IFERROR(IF(AND(AZ41="",AR41&lt;&gt;S.CAL!$BJ$3,AR41&lt;&gt;S.CAL!$BJ$4),FS41-BC41,IF(AZ41&lt;&gt;0,AZ41,IF(OR(AR41=S.CAL!$BJ$3,AR41=S.CAL!$BJ$4),AR41,0))),"")</f>
        <v/>
      </c>
      <c r="EY41" s="771">
        <f t="shared" si="53"/>
        <v>0</v>
      </c>
      <c r="EZ41" s="754">
        <f t="shared" si="54"/>
        <v>0</v>
      </c>
      <c r="FA41" s="777" t="str">
        <f t="shared" si="31"/>
        <v/>
      </c>
      <c r="FB41" s="772" t="str">
        <f t="shared" si="15"/>
        <v/>
      </c>
      <c r="FC41" s="333" t="str">
        <f t="shared" si="55"/>
        <v>non</v>
      </c>
      <c r="FD41" s="778">
        <f t="shared" si="16"/>
        <v>0</v>
      </c>
      <c r="FG41" s="129" t="str">
        <f t="shared" si="56"/>
        <v/>
      </c>
      <c r="FJ41" s="333">
        <f t="shared" si="57"/>
        <v>1</v>
      </c>
      <c r="FK41" s="129">
        <f t="shared" si="17"/>
        <v>10</v>
      </c>
      <c r="FL41" s="129">
        <f t="shared" si="35"/>
        <v>1</v>
      </c>
      <c r="FN41" s="129">
        <f>+IF(AND($DP$8&lt;&gt;52,AR41=S.CAL!$BJ$4),10,1)</f>
        <v>1</v>
      </c>
      <c r="FP41" s="129">
        <f t="shared" si="18"/>
        <v>0</v>
      </c>
      <c r="FS41" s="225" t="str">
        <f t="shared" si="60"/>
        <v/>
      </c>
      <c r="FZ41" s="129">
        <f t="shared" si="37"/>
        <v>4</v>
      </c>
      <c r="GA41" s="129">
        <f t="shared" si="38"/>
        <v>2025</v>
      </c>
      <c r="GB41" s="129" t="str">
        <f t="shared" si="39"/>
        <v>42025</v>
      </c>
      <c r="GC41" s="225">
        <f>IF(AND($GD$53=S.CAL!$P$3,$GD$52=FZ41),GE41,IF(BH41="",0,BH41))</f>
        <v>0</v>
      </c>
      <c r="GD41" s="129" t="str">
        <f>IFERROR(+Février!$BY$2&amp;BL41&amp;BM41,0)</f>
        <v>Fiche infoA3</v>
      </c>
      <c r="GE41" s="129" t="str">
        <f t="shared" si="19"/>
        <v/>
      </c>
      <c r="GF41" s="225" t="str">
        <f t="shared" si="40"/>
        <v/>
      </c>
      <c r="GG41" s="1469" t="str">
        <f>+'Retenue Janv'!D39</f>
        <v/>
      </c>
      <c r="GH41" s="1469">
        <f>+'Retenue Janv'!BF39</f>
        <v>0</v>
      </c>
      <c r="GI41" s="1469"/>
      <c r="GJ41" s="1530" t="str">
        <f t="shared" si="41"/>
        <v/>
      </c>
      <c r="GK41" s="225" t="str">
        <f t="shared" si="42"/>
        <v/>
      </c>
      <c r="GL41" s="225" t="str">
        <f t="shared" si="43"/>
        <v/>
      </c>
      <c r="GM41" s="1529">
        <f t="shared" si="44"/>
        <v>0</v>
      </c>
      <c r="GN41" s="1469"/>
      <c r="GO41" s="1469">
        <f t="shared" si="20"/>
        <v>0</v>
      </c>
      <c r="GP41" s="1469" t="str">
        <f t="shared" si="45"/>
        <v/>
      </c>
      <c r="GQ41" s="1469" t="str">
        <f t="shared" si="46"/>
        <v/>
      </c>
      <c r="GR41" s="1469"/>
      <c r="GS41" s="1469"/>
      <c r="GT41" s="1469"/>
      <c r="GU41" s="1469"/>
      <c r="GV41" s="1469"/>
    </row>
    <row r="42" spans="1:204" ht="12.75" customHeight="1" x14ac:dyDescent="0.2">
      <c r="A42" s="1799" t="str">
        <f>Taux_cotisations!A11</f>
        <v>Prévoyance T1</v>
      </c>
      <c r="B42" s="1800"/>
      <c r="C42" s="1800"/>
      <c r="D42" s="1800"/>
      <c r="E42" s="1800"/>
      <c r="F42" s="1800"/>
      <c r="G42" s="1801"/>
      <c r="H42" s="1857">
        <f ca="1">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 ca="1">ROUND(K42*H42,4)</f>
        <v>0</v>
      </c>
      <c r="O42" s="1780"/>
      <c r="P42" s="1780"/>
      <c r="Q42" s="223"/>
      <c r="R42" s="1906">
        <f ca="1">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 ca="1">ROUND(U42*R42,2)</f>
        <v>0</v>
      </c>
      <c r="Y42" s="1900"/>
      <c r="Z42" s="1900"/>
      <c r="AA42" s="903" t="str">
        <f>IF(AND(BE42="OUI",$AR$13=S.CAL!$CU$2),"►",IF(AND(EV42="OUI",$AR$13=S.CAL!$CU$3),"►",""))</f>
        <v/>
      </c>
      <c r="AB42" s="1877">
        <f>+$X$3+22</f>
        <v>45680</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7"/>
        <v/>
      </c>
      <c r="AQ42" s="340"/>
      <c r="AR42" s="1126"/>
      <c r="AS42" s="332">
        <f t="shared" si="3"/>
        <v>0</v>
      </c>
      <c r="AT42" s="1147"/>
      <c r="AU42" s="1147"/>
      <c r="AV42" s="332"/>
      <c r="AW42" s="2017">
        <f t="shared" si="21"/>
        <v>45680</v>
      </c>
      <c r="AX42" s="1878"/>
      <c r="AY42" s="332"/>
      <c r="AZ42" s="1126"/>
      <c r="BA42" s="993"/>
      <c r="BB42" s="561"/>
      <c r="BC42" s="566">
        <f t="shared" si="22"/>
        <v>0</v>
      </c>
      <c r="BD42" s="1126"/>
      <c r="BE42" s="825">
        <f t="shared" si="23"/>
        <v>0</v>
      </c>
      <c r="BF42" s="1150"/>
      <c r="BG42" s="224"/>
      <c r="BH42" s="566" t="str">
        <f t="shared" si="24"/>
        <v/>
      </c>
      <c r="BI42" s="1150"/>
      <c r="BJ42" s="129" t="str">
        <f t="shared" si="25"/>
        <v>Fiche infoA4</v>
      </c>
      <c r="BK42" s="129">
        <f t="shared" si="48"/>
        <v>4</v>
      </c>
      <c r="BL42" s="129" t="str">
        <f t="shared" si="4"/>
        <v>A</v>
      </c>
      <c r="BM42" s="129">
        <f t="shared" si="49"/>
        <v>4</v>
      </c>
      <c r="BN42" s="225" t="str">
        <f t="shared" si="59"/>
        <v>Fiche info</v>
      </c>
      <c r="BO42" s="332" t="str">
        <f t="shared" si="50"/>
        <v/>
      </c>
      <c r="BP42" s="198" t="str">
        <f t="shared" si="51"/>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2"/>
        <v>45680</v>
      </c>
      <c r="ER42" s="767">
        <f t="shared" si="10"/>
        <v>0</v>
      </c>
      <c r="ES42" s="768">
        <f t="shared" si="11"/>
        <v>0</v>
      </c>
      <c r="ET42" s="767">
        <f t="shared" si="12"/>
        <v>0</v>
      </c>
      <c r="EU42" s="768">
        <f t="shared" si="13"/>
        <v>0</v>
      </c>
      <c r="EV42" s="767" t="str">
        <f t="shared" si="14"/>
        <v/>
      </c>
      <c r="EW42" s="769">
        <f t="shared" si="28"/>
        <v>45680</v>
      </c>
      <c r="EX42" s="777" t="str">
        <f>IFERROR(IF(AND(AZ42="",AR42&lt;&gt;S.CAL!$BJ$3,AR42&lt;&gt;S.CAL!$BJ$4),FS42-BC42,IF(AZ42&lt;&gt;0,AZ42,IF(OR(AR42=S.CAL!$BJ$3,AR42=S.CAL!$BJ$4),AR42,0))),"")</f>
        <v/>
      </c>
      <c r="EY42" s="771">
        <f t="shared" si="53"/>
        <v>0</v>
      </c>
      <c r="EZ42" s="754">
        <f t="shared" si="54"/>
        <v>0</v>
      </c>
      <c r="FA42" s="777" t="str">
        <f t="shared" si="31"/>
        <v/>
      </c>
      <c r="FB42" s="772" t="str">
        <f t="shared" si="15"/>
        <v/>
      </c>
      <c r="FC42" s="333" t="str">
        <f t="shared" si="55"/>
        <v>non</v>
      </c>
      <c r="FD42" s="778">
        <f t="shared" si="16"/>
        <v>0</v>
      </c>
      <c r="FG42" s="129" t="str">
        <f t="shared" si="56"/>
        <v/>
      </c>
      <c r="FJ42" s="333">
        <f t="shared" si="57"/>
        <v>1</v>
      </c>
      <c r="FK42" s="129">
        <f t="shared" si="17"/>
        <v>10</v>
      </c>
      <c r="FL42" s="129">
        <f t="shared" si="35"/>
        <v>1</v>
      </c>
      <c r="FN42" s="129">
        <f>+IF(AND($DP$8&lt;&gt;52,AR42=S.CAL!$BJ$4),10,1)</f>
        <v>1</v>
      </c>
      <c r="FP42" s="129">
        <f t="shared" si="18"/>
        <v>0</v>
      </c>
      <c r="FS42" s="225" t="str">
        <f t="shared" si="60"/>
        <v/>
      </c>
      <c r="FZ42" s="129">
        <f t="shared" si="37"/>
        <v>4</v>
      </c>
      <c r="GA42" s="129">
        <f t="shared" si="38"/>
        <v>2025</v>
      </c>
      <c r="GB42" s="129" t="str">
        <f t="shared" si="39"/>
        <v>42025</v>
      </c>
      <c r="GC42" s="225">
        <f>IF(AND($GD$53=S.CAL!$P$3,$GD$52=FZ42),GE42,IF(BH42="",0,BH42))</f>
        <v>0</v>
      </c>
      <c r="GD42" s="129" t="str">
        <f>IFERROR(+Février!$BY$2&amp;BL42&amp;BM42,0)</f>
        <v>Fiche infoA4</v>
      </c>
      <c r="GE42" s="129" t="str">
        <f t="shared" si="19"/>
        <v/>
      </c>
      <c r="GF42" s="225" t="str">
        <f t="shared" si="40"/>
        <v/>
      </c>
      <c r="GG42" s="1469" t="str">
        <f>+'Retenue Janv'!D40</f>
        <v/>
      </c>
      <c r="GH42" s="1469">
        <f>+'Retenue Janv'!BF40</f>
        <v>0</v>
      </c>
      <c r="GI42" s="1469"/>
      <c r="GJ42" s="1530" t="str">
        <f t="shared" si="41"/>
        <v/>
      </c>
      <c r="GK42" s="225" t="str">
        <f t="shared" si="42"/>
        <v/>
      </c>
      <c r="GL42" s="225" t="str">
        <f t="shared" si="43"/>
        <v/>
      </c>
      <c r="GM42" s="1529">
        <f t="shared" si="44"/>
        <v>0</v>
      </c>
      <c r="GN42" s="1469"/>
      <c r="GO42" s="1469">
        <f t="shared" si="20"/>
        <v>0</v>
      </c>
      <c r="GP42" s="1469" t="str">
        <f t="shared" si="45"/>
        <v/>
      </c>
      <c r="GQ42" s="1469" t="str">
        <f t="shared" si="46"/>
        <v/>
      </c>
      <c r="GR42" s="1469"/>
      <c r="GS42" s="1469"/>
      <c r="GT42" s="1469"/>
      <c r="GU42" s="1469"/>
      <c r="GV42" s="1469"/>
    </row>
    <row r="43" spans="1:204"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 ca="1">+IF(AND(T35&gt;0,T35&gt;EG6),(T35-EG6)*INDEX(table_base_coef_patronale,MATCH(A43,Taux_cotisations!$A$110:$A$136,0),MATCH($X$3,Taux_cotisations!$A$110:$M$110,0)),0)</f>
        <v>0</v>
      </c>
      <c r="S43" s="1906"/>
      <c r="T43" s="1906"/>
      <c r="U43" s="1907">
        <f ca="1">IF(R43=0,0,INDEX(table_taux_patronales,MATCH(A43,Taux_cotisations!$A$39:$A$65,0),MATCH($X$3,Taux_cotisations!$A$39:$M$39,0)))</f>
        <v>0</v>
      </c>
      <c r="V43" s="1907"/>
      <c r="W43" s="1907"/>
      <c r="X43" s="1900">
        <f ca="1">ROUND(U43*R43,2)</f>
        <v>0</v>
      </c>
      <c r="Y43" s="1900"/>
      <c r="Z43" s="1900"/>
      <c r="AA43" s="903" t="str">
        <f>IF(AND(BE43="OUI",$AR$13=S.CAL!$CU$2),"►",IF(AND(EV43="OUI",$AR$13=S.CAL!$CU$3),"►",""))</f>
        <v/>
      </c>
      <c r="AB43" s="1877">
        <f>+$X$3+23</f>
        <v>45681</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7"/>
        <v/>
      </c>
      <c r="AQ43" s="340"/>
      <c r="AR43" s="1126"/>
      <c r="AS43" s="332">
        <f t="shared" si="3"/>
        <v>0</v>
      </c>
      <c r="AT43" s="1147"/>
      <c r="AU43" s="1147"/>
      <c r="AV43" s="332"/>
      <c r="AW43" s="2017">
        <f t="shared" si="21"/>
        <v>45681</v>
      </c>
      <c r="AX43" s="1878"/>
      <c r="AY43" s="332"/>
      <c r="AZ43" s="1126"/>
      <c r="BA43" s="993"/>
      <c r="BB43" s="561"/>
      <c r="BC43" s="566">
        <f t="shared" si="22"/>
        <v>0</v>
      </c>
      <c r="BD43" s="1126"/>
      <c r="BE43" s="825">
        <f t="shared" si="23"/>
        <v>0</v>
      </c>
      <c r="BF43" s="1150"/>
      <c r="BG43" s="224"/>
      <c r="BH43" s="566" t="str">
        <f t="shared" si="24"/>
        <v/>
      </c>
      <c r="BI43" s="1150"/>
      <c r="BJ43" s="129" t="str">
        <f t="shared" si="25"/>
        <v>Fiche infoA5</v>
      </c>
      <c r="BK43" s="129">
        <f t="shared" si="48"/>
        <v>4</v>
      </c>
      <c r="BL43" s="129" t="str">
        <f t="shared" si="4"/>
        <v>A</v>
      </c>
      <c r="BM43" s="129">
        <f t="shared" si="49"/>
        <v>5</v>
      </c>
      <c r="BN43" s="225" t="str">
        <f t="shared" si="59"/>
        <v>Fiche info</v>
      </c>
      <c r="BO43" s="332" t="str">
        <f t="shared" si="50"/>
        <v/>
      </c>
      <c r="BP43" s="198" t="str">
        <f t="shared" si="51"/>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2"/>
        <v>45681</v>
      </c>
      <c r="ER43" s="767">
        <f t="shared" si="10"/>
        <v>0</v>
      </c>
      <c r="ES43" s="768">
        <f t="shared" si="11"/>
        <v>0</v>
      </c>
      <c r="ET43" s="767">
        <f t="shared" si="12"/>
        <v>0</v>
      </c>
      <c r="EU43" s="768">
        <f t="shared" si="13"/>
        <v>0</v>
      </c>
      <c r="EV43" s="767" t="str">
        <f t="shared" si="14"/>
        <v/>
      </c>
      <c r="EW43" s="769">
        <f t="shared" si="28"/>
        <v>45681</v>
      </c>
      <c r="EX43" s="777" t="str">
        <f>IFERROR(IF(AND(AZ43="",AR43&lt;&gt;S.CAL!$BJ$3,AR43&lt;&gt;S.CAL!$BJ$4),FS43-BC43,IF(AZ43&lt;&gt;0,AZ43,IF(OR(AR43=S.CAL!$BJ$3,AR43=S.CAL!$BJ$4),AR43,0))),"")</f>
        <v/>
      </c>
      <c r="EY43" s="771">
        <f t="shared" si="53"/>
        <v>0</v>
      </c>
      <c r="EZ43" s="754">
        <f t="shared" si="54"/>
        <v>0</v>
      </c>
      <c r="FA43" s="777" t="str">
        <f t="shared" si="31"/>
        <v/>
      </c>
      <c r="FB43" s="772" t="str">
        <f t="shared" si="15"/>
        <v/>
      </c>
      <c r="FC43" s="333" t="str">
        <f t="shared" si="55"/>
        <v>non</v>
      </c>
      <c r="FD43" s="778">
        <f t="shared" si="16"/>
        <v>0</v>
      </c>
      <c r="FG43" s="129" t="str">
        <f t="shared" si="56"/>
        <v/>
      </c>
      <c r="FJ43" s="333">
        <f t="shared" si="57"/>
        <v>1</v>
      </c>
      <c r="FK43" s="129">
        <f t="shared" si="17"/>
        <v>10</v>
      </c>
      <c r="FL43" s="129">
        <f t="shared" si="35"/>
        <v>1</v>
      </c>
      <c r="FN43" s="129">
        <f>+IF(AND($DP$8&lt;&gt;52,AR43=S.CAL!$BJ$4),10,1)</f>
        <v>1</v>
      </c>
      <c r="FP43" s="129">
        <f t="shared" si="18"/>
        <v>0</v>
      </c>
      <c r="FS43" s="225" t="str">
        <f t="shared" si="60"/>
        <v/>
      </c>
      <c r="FZ43" s="129">
        <f t="shared" si="37"/>
        <v>4</v>
      </c>
      <c r="GA43" s="129">
        <f t="shared" si="38"/>
        <v>2025</v>
      </c>
      <c r="GB43" s="129" t="str">
        <f t="shared" si="39"/>
        <v>42025</v>
      </c>
      <c r="GC43" s="225">
        <f>IF(AND($GD$53=S.CAL!$P$3,$GD$52=FZ43),GE43,IF(BH43="",0,BH43))</f>
        <v>0</v>
      </c>
      <c r="GD43" s="129" t="str">
        <f>IFERROR(+Février!$BY$2&amp;BL43&amp;BM43,0)</f>
        <v>Fiche infoA5</v>
      </c>
      <c r="GE43" s="129" t="str">
        <f t="shared" si="19"/>
        <v/>
      </c>
      <c r="GF43" s="225" t="str">
        <f t="shared" si="40"/>
        <v/>
      </c>
      <c r="GG43" s="1469" t="str">
        <f>+'Retenue Janv'!D41</f>
        <v/>
      </c>
      <c r="GH43" s="1469">
        <f>+'Retenue Janv'!BF41</f>
        <v>0</v>
      </c>
      <c r="GI43" s="1469"/>
      <c r="GJ43" s="1530" t="str">
        <f t="shared" si="41"/>
        <v/>
      </c>
      <c r="GK43" s="225" t="str">
        <f t="shared" si="42"/>
        <v/>
      </c>
      <c r="GL43" s="225" t="str">
        <f t="shared" si="43"/>
        <v/>
      </c>
      <c r="GM43" s="1529">
        <f t="shared" si="44"/>
        <v>0</v>
      </c>
      <c r="GN43" s="1469"/>
      <c r="GO43" s="1469">
        <f t="shared" si="20"/>
        <v>0</v>
      </c>
      <c r="GP43" s="1469" t="str">
        <f t="shared" si="45"/>
        <v/>
      </c>
      <c r="GQ43" s="1469" t="str">
        <f t="shared" si="46"/>
        <v/>
      </c>
      <c r="GR43" s="1469"/>
      <c r="GS43" s="1469"/>
      <c r="GT43" s="1469"/>
      <c r="GU43" s="1469"/>
      <c r="GV43" s="1469"/>
    </row>
    <row r="44" spans="1:204"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 ca="1">+T35*INDEX(table_base_coef_patronale,MATCH(A44,Taux_cotisations!$A$110:$A$136,0),MATCH($X$3,Taux_cotisations!$A$110:$M$110,0))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 ca="1">ROUND(U44*R44,2)</f>
        <v>0</v>
      </c>
      <c r="Y44" s="1900"/>
      <c r="Z44" s="1900"/>
      <c r="AA44" s="903" t="str">
        <f>IF(AND(BE44="OUI",$AR$13=S.CAL!$CU$2),"►",IF(AND(EV44="OUI",$AR$13=S.CAL!$CU$3),"►",""))</f>
        <v/>
      </c>
      <c r="AB44" s="1877">
        <f>+$X$3+24</f>
        <v>45682</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7"/>
        <v/>
      </c>
      <c r="AQ44" s="340"/>
      <c r="AR44" s="1126"/>
      <c r="AS44" s="332">
        <f t="shared" si="3"/>
        <v>0</v>
      </c>
      <c r="AT44" s="1147"/>
      <c r="AU44" s="1147"/>
      <c r="AV44" s="332"/>
      <c r="AW44" s="2017">
        <f t="shared" si="21"/>
        <v>45682</v>
      </c>
      <c r="AX44" s="1878"/>
      <c r="AY44" s="332"/>
      <c r="AZ44" s="1126"/>
      <c r="BA44" s="993"/>
      <c r="BB44" s="561"/>
      <c r="BC44" s="566">
        <f t="shared" si="22"/>
        <v>0</v>
      </c>
      <c r="BD44" s="1126"/>
      <c r="BE44" s="825">
        <f t="shared" si="23"/>
        <v>0</v>
      </c>
      <c r="BF44" s="1150"/>
      <c r="BG44" s="224"/>
      <c r="BH44" s="566" t="str">
        <f t="shared" si="24"/>
        <v/>
      </c>
      <c r="BI44" s="1150"/>
      <c r="BJ44" s="129" t="str">
        <f t="shared" si="25"/>
        <v>Fiche infoA6</v>
      </c>
      <c r="BK44" s="129">
        <f t="shared" si="48"/>
        <v>4</v>
      </c>
      <c r="BL44" s="129" t="str">
        <f t="shared" si="4"/>
        <v>A</v>
      </c>
      <c r="BM44" s="129">
        <f t="shared" si="49"/>
        <v>6</v>
      </c>
      <c r="BN44" s="225" t="str">
        <f t="shared" si="59"/>
        <v>Fiche info</v>
      </c>
      <c r="BO44" s="332" t="str">
        <f t="shared" si="50"/>
        <v/>
      </c>
      <c r="BP44" s="198" t="str">
        <f t="shared" si="51"/>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019" t="str">
        <f>+CC45</f>
        <v>Indemnité mini. obligatoire</v>
      </c>
      <c r="CD44" s="2020"/>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2"/>
        <v>45682</v>
      </c>
      <c r="ER44" s="767">
        <f t="shared" si="10"/>
        <v>0</v>
      </c>
      <c r="ES44" s="768">
        <f t="shared" si="11"/>
        <v>0</v>
      </c>
      <c r="ET44" s="767">
        <f t="shared" si="12"/>
        <v>0</v>
      </c>
      <c r="EU44" s="768">
        <f t="shared" si="13"/>
        <v>0</v>
      </c>
      <c r="EV44" s="767" t="str">
        <f t="shared" si="14"/>
        <v/>
      </c>
      <c r="EW44" s="769">
        <f t="shared" si="28"/>
        <v>45682</v>
      </c>
      <c r="EX44" s="777" t="str">
        <f>IFERROR(IF(AND(AZ44="",AR44&lt;&gt;S.CAL!$BJ$3,AR44&lt;&gt;S.CAL!$BJ$4),FS44-BC44,IF(AZ44&lt;&gt;0,AZ44,IF(OR(AR44=S.CAL!$BJ$3,AR44=S.CAL!$BJ$4),AR44,0))),"")</f>
        <v/>
      </c>
      <c r="EY44" s="771">
        <f t="shared" si="53"/>
        <v>0</v>
      </c>
      <c r="EZ44" s="754">
        <f t="shared" si="54"/>
        <v>0</v>
      </c>
      <c r="FA44" s="777" t="str">
        <f t="shared" si="31"/>
        <v/>
      </c>
      <c r="FB44" s="772" t="str">
        <f t="shared" si="15"/>
        <v/>
      </c>
      <c r="FC44" s="333" t="str">
        <f t="shared" si="55"/>
        <v>non</v>
      </c>
      <c r="FD44" s="778">
        <f t="shared" si="16"/>
        <v>0</v>
      </c>
      <c r="FG44" s="129" t="str">
        <f t="shared" si="56"/>
        <v/>
      </c>
      <c r="FJ44" s="333">
        <f t="shared" si="57"/>
        <v>1</v>
      </c>
      <c r="FK44" s="129">
        <f t="shared" si="17"/>
        <v>10</v>
      </c>
      <c r="FL44" s="129">
        <f t="shared" si="35"/>
        <v>1</v>
      </c>
      <c r="FN44" s="129">
        <f>+IF(AND($DP$8&lt;&gt;52,AR44=S.CAL!$BJ$4),10,1)</f>
        <v>1</v>
      </c>
      <c r="FP44" s="129">
        <f t="shared" si="18"/>
        <v>0</v>
      </c>
      <c r="FS44" s="225" t="str">
        <f t="shared" si="60"/>
        <v/>
      </c>
      <c r="FZ44" s="129">
        <f t="shared" si="37"/>
        <v>4</v>
      </c>
      <c r="GA44" s="129">
        <f t="shared" si="38"/>
        <v>2025</v>
      </c>
      <c r="GB44" s="129" t="str">
        <f t="shared" si="39"/>
        <v>42025</v>
      </c>
      <c r="GC44" s="225">
        <f>IF(AND($GD$53=S.CAL!$P$3,$GD$52=FZ44),GE44,IF(BH44="",0,BH44))</f>
        <v>0</v>
      </c>
      <c r="GD44" s="129" t="str">
        <f>IFERROR(+Février!$BY$2&amp;BL44&amp;BM44,0)</f>
        <v>Fiche infoA6</v>
      </c>
      <c r="GE44" s="129" t="str">
        <f t="shared" si="19"/>
        <v/>
      </c>
      <c r="GF44" s="225" t="str">
        <f t="shared" si="40"/>
        <v/>
      </c>
      <c r="GG44" s="1469" t="str">
        <f>+'Retenue Janv'!D42</f>
        <v/>
      </c>
      <c r="GH44" s="1469">
        <f>+'Retenue Janv'!BF42</f>
        <v>0</v>
      </c>
      <c r="GI44" s="1469"/>
      <c r="GJ44" s="1530" t="str">
        <f t="shared" si="41"/>
        <v/>
      </c>
      <c r="GK44" s="225" t="str">
        <f t="shared" si="42"/>
        <v/>
      </c>
      <c r="GL44" s="225" t="str">
        <f t="shared" si="43"/>
        <v/>
      </c>
      <c r="GM44" s="1529">
        <f t="shared" si="44"/>
        <v>0</v>
      </c>
      <c r="GN44" s="1469"/>
      <c r="GO44" s="1469">
        <f t="shared" si="20"/>
        <v>0</v>
      </c>
      <c r="GP44" s="1469" t="str">
        <f t="shared" si="45"/>
        <v/>
      </c>
      <c r="GQ44" s="1469" t="str">
        <f t="shared" si="46"/>
        <v/>
      </c>
      <c r="GR44" s="1469"/>
      <c r="GS44" s="1469"/>
      <c r="GT44" s="1469"/>
      <c r="GU44" s="1469"/>
      <c r="GV44" s="1469"/>
    </row>
    <row r="45" spans="1:204"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45683</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7"/>
        <v/>
      </c>
      <c r="AQ45" s="340"/>
      <c r="AR45" s="1126"/>
      <c r="AS45" s="332">
        <f t="shared" si="3"/>
        <v>0</v>
      </c>
      <c r="AT45" s="1147"/>
      <c r="AU45" s="1147"/>
      <c r="AV45" s="332"/>
      <c r="AW45" s="2017">
        <f t="shared" si="21"/>
        <v>45683</v>
      </c>
      <c r="AX45" s="1878"/>
      <c r="AY45" s="332"/>
      <c r="AZ45" s="1126"/>
      <c r="BA45" s="993"/>
      <c r="BB45" s="561"/>
      <c r="BC45" s="566">
        <f t="shared" si="22"/>
        <v>0</v>
      </c>
      <c r="BD45" s="1126"/>
      <c r="BE45" s="825">
        <f t="shared" si="23"/>
        <v>0</v>
      </c>
      <c r="BF45" s="1150"/>
      <c r="BG45" s="224"/>
      <c r="BH45" s="566" t="str">
        <f t="shared" si="24"/>
        <v/>
      </c>
      <c r="BI45" s="1150"/>
      <c r="BJ45" s="129" t="str">
        <f t="shared" si="25"/>
        <v>Fiche infoA7</v>
      </c>
      <c r="BK45" s="129">
        <f t="shared" si="48"/>
        <v>4</v>
      </c>
      <c r="BL45" s="129" t="str">
        <f t="shared" si="4"/>
        <v>A</v>
      </c>
      <c r="BM45" s="129">
        <f t="shared" si="49"/>
        <v>7</v>
      </c>
      <c r="BN45" s="225" t="str">
        <f t="shared" si="59"/>
        <v>Fiche info</v>
      </c>
      <c r="BO45" s="332" t="str">
        <f t="shared" si="50"/>
        <v/>
      </c>
      <c r="BP45" s="198" t="str">
        <f t="shared" si="51"/>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t="s">
        <v>1533</v>
      </c>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2"/>
        <v>45683</v>
      </c>
      <c r="ER45" s="767">
        <f t="shared" si="10"/>
        <v>0</v>
      </c>
      <c r="ES45" s="768">
        <f t="shared" si="11"/>
        <v>0</v>
      </c>
      <c r="ET45" s="767">
        <f t="shared" si="12"/>
        <v>0</v>
      </c>
      <c r="EU45" s="768">
        <f t="shared" si="13"/>
        <v>0</v>
      </c>
      <c r="EV45" s="767" t="str">
        <f t="shared" si="14"/>
        <v/>
      </c>
      <c r="EW45" s="769">
        <f t="shared" si="28"/>
        <v>45683</v>
      </c>
      <c r="EX45" s="777" t="str">
        <f>IFERROR(IF(AND(AZ45="",AR45&lt;&gt;S.CAL!$BJ$3,AR45&lt;&gt;S.CAL!$BJ$4),FS45-BC45,IF(AZ45&lt;&gt;0,AZ45,IF(OR(AR45=S.CAL!$BJ$3,AR45=S.CAL!$BJ$4),AR45,0))),"")</f>
        <v/>
      </c>
      <c r="EY45" s="771">
        <f t="shared" si="53"/>
        <v>0</v>
      </c>
      <c r="EZ45" s="754">
        <f t="shared" si="54"/>
        <v>0</v>
      </c>
      <c r="FA45" s="777" t="str">
        <f t="shared" si="31"/>
        <v/>
      </c>
      <c r="FB45" s="772" t="str">
        <f t="shared" si="15"/>
        <v/>
      </c>
      <c r="FC45" s="333" t="str">
        <f t="shared" si="55"/>
        <v>non</v>
      </c>
      <c r="FD45" s="778">
        <f t="shared" si="16"/>
        <v>0</v>
      </c>
      <c r="FG45" s="129" t="str">
        <f t="shared" si="56"/>
        <v/>
      </c>
      <c r="FJ45" s="333">
        <f t="shared" si="57"/>
        <v>1</v>
      </c>
      <c r="FK45" s="129">
        <f t="shared" si="17"/>
        <v>10</v>
      </c>
      <c r="FL45" s="129">
        <f t="shared" si="35"/>
        <v>1</v>
      </c>
      <c r="FN45" s="129">
        <f>+IF(AND($DP$8&lt;&gt;52,AR45=S.CAL!$BJ$4),10,1)</f>
        <v>1</v>
      </c>
      <c r="FP45" s="129">
        <f t="shared" si="18"/>
        <v>0</v>
      </c>
      <c r="FS45" s="225" t="str">
        <f t="shared" si="60"/>
        <v/>
      </c>
      <c r="FZ45" s="129">
        <f t="shared" si="37"/>
        <v>4</v>
      </c>
      <c r="GA45" s="129">
        <f t="shared" si="38"/>
        <v>2025</v>
      </c>
      <c r="GB45" s="129" t="str">
        <f t="shared" si="39"/>
        <v>42025</v>
      </c>
      <c r="GC45" s="225">
        <f>IF(AND($GD$53=S.CAL!$P$3,$GD$52=FZ45),GE45,IF(BH45="",0,BH45))</f>
        <v>0</v>
      </c>
      <c r="GD45" s="129" t="str">
        <f>IFERROR(+Février!$BY$2&amp;BL45&amp;BM45,0)</f>
        <v>Fiche infoA7</v>
      </c>
      <c r="GE45" s="129" t="str">
        <f t="shared" si="19"/>
        <v/>
      </c>
      <c r="GF45" s="225" t="str">
        <f t="shared" si="40"/>
        <v/>
      </c>
      <c r="GG45" s="1469" t="str">
        <f>+'Retenue Janv'!D43</f>
        <v/>
      </c>
      <c r="GH45" s="1469">
        <f>+'Retenue Janv'!BF43</f>
        <v>0</v>
      </c>
      <c r="GI45" s="1469"/>
      <c r="GJ45" s="1530" t="str">
        <f t="shared" si="41"/>
        <v/>
      </c>
      <c r="GK45" s="225" t="str">
        <f t="shared" si="42"/>
        <v/>
      </c>
      <c r="GL45" s="225" t="str">
        <f t="shared" si="43"/>
        <v/>
      </c>
      <c r="GM45" s="1529">
        <f t="shared" si="44"/>
        <v>0</v>
      </c>
      <c r="GN45" s="1469"/>
      <c r="GO45" s="1469">
        <f t="shared" si="20"/>
        <v>0</v>
      </c>
      <c r="GP45" s="1469" t="str">
        <f t="shared" si="45"/>
        <v/>
      </c>
      <c r="GQ45" s="1469" t="str">
        <f t="shared" si="46"/>
        <v/>
      </c>
      <c r="GR45" s="1469"/>
      <c r="GS45" s="1469"/>
      <c r="GT45" s="1469"/>
      <c r="GU45" s="1469"/>
      <c r="GV45" s="1469"/>
    </row>
    <row r="46" spans="1:204" x14ac:dyDescent="0.2">
      <c r="A46" s="1799" t="str">
        <f>Taux_cotisations!A15</f>
        <v>Retraite SS T1</v>
      </c>
      <c r="B46" s="1800"/>
      <c r="C46" s="1800"/>
      <c r="D46" s="1800"/>
      <c r="E46" s="1800"/>
      <c r="F46" s="1800"/>
      <c r="G46" s="1801"/>
      <c r="H46" s="1793">
        <f ca="1">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 ca="1">ROUND(K46*H46,4)</f>
        <v>0</v>
      </c>
      <c r="O46" s="1780"/>
      <c r="P46" s="1780"/>
      <c r="Q46" s="223"/>
      <c r="R46" s="1906">
        <f ca="1">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 ca="1">ROUND(U46*R46,2)</f>
        <v>0</v>
      </c>
      <c r="Y46" s="1900"/>
      <c r="Z46" s="1900"/>
      <c r="AA46" s="903" t="str">
        <f>IF(AND(BE46="OUI",$AR$13=S.CAL!$CU$2),"►",IF(AND(EV46="OUI",$AR$13=S.CAL!$CU$3),"►",""))</f>
        <v/>
      </c>
      <c r="AB46" s="1877">
        <f>+$X$3+26</f>
        <v>45684</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f t="shared" si="47"/>
        <v>5</v>
      </c>
      <c r="AQ46" s="340"/>
      <c r="AR46" s="1126"/>
      <c r="AS46" s="332">
        <f t="shared" si="3"/>
        <v>0</v>
      </c>
      <c r="AT46" s="1147"/>
      <c r="AU46" s="1147"/>
      <c r="AV46" s="332"/>
      <c r="AW46" s="2017">
        <f t="shared" si="21"/>
        <v>45684</v>
      </c>
      <c r="AX46" s="1878"/>
      <c r="AY46" s="332"/>
      <c r="AZ46" s="1126"/>
      <c r="BA46" s="993"/>
      <c r="BB46" s="561"/>
      <c r="BC46" s="566">
        <f t="shared" si="22"/>
        <v>0</v>
      </c>
      <c r="BD46" s="1126"/>
      <c r="BE46" s="825">
        <f t="shared" si="23"/>
        <v>0</v>
      </c>
      <c r="BF46" s="1150"/>
      <c r="BG46" s="224"/>
      <c r="BH46" s="566" t="str">
        <f t="shared" si="24"/>
        <v/>
      </c>
      <c r="BI46" s="1150"/>
      <c r="BJ46" s="129" t="str">
        <f t="shared" si="25"/>
        <v>Fiche infoA1</v>
      </c>
      <c r="BK46" s="129">
        <f t="shared" si="48"/>
        <v>5</v>
      </c>
      <c r="BL46" s="129" t="str">
        <f t="shared" si="4"/>
        <v>A</v>
      </c>
      <c r="BM46" s="129">
        <f t="shared" si="49"/>
        <v>1</v>
      </c>
      <c r="BN46" s="225" t="str">
        <f t="shared" si="59"/>
        <v>Fiche info</v>
      </c>
      <c r="BO46" s="332" t="str">
        <f t="shared" si="50"/>
        <v/>
      </c>
      <c r="BP46" s="198" t="str">
        <f t="shared" si="51"/>
        <v/>
      </c>
      <c r="BQ46" s="605"/>
      <c r="BR46" s="605"/>
      <c r="BS46" s="605"/>
      <c r="BT46" s="605"/>
      <c r="BU46" s="605"/>
      <c r="BV46" s="605"/>
      <c r="BW46" s="605"/>
      <c r="BX46" s="605"/>
      <c r="BY46" s="610"/>
      <c r="BZ46" s="610"/>
      <c r="CA46" s="611"/>
      <c r="CB46" s="626"/>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2"/>
        <v>45684</v>
      </c>
      <c r="ER46" s="767">
        <f t="shared" si="10"/>
        <v>0</v>
      </c>
      <c r="ES46" s="768">
        <f t="shared" si="11"/>
        <v>0</v>
      </c>
      <c r="ET46" s="767">
        <f t="shared" si="12"/>
        <v>0</v>
      </c>
      <c r="EU46" s="768">
        <f t="shared" si="13"/>
        <v>0</v>
      </c>
      <c r="EV46" s="767" t="str">
        <f t="shared" si="14"/>
        <v/>
      </c>
      <c r="EW46" s="769">
        <f t="shared" si="28"/>
        <v>45684</v>
      </c>
      <c r="EX46" s="777" t="str">
        <f>IFERROR(IF(AND(AZ46="",AR46&lt;&gt;S.CAL!$BJ$3,AR46&lt;&gt;S.CAL!$BJ$4),FS46-BC46,IF(AZ46&lt;&gt;0,AZ46,IF(OR(AR46=S.CAL!$BJ$3,AR46=S.CAL!$BJ$4),AR46,0))),"")</f>
        <v/>
      </c>
      <c r="EY46" s="771">
        <f t="shared" si="53"/>
        <v>0</v>
      </c>
      <c r="EZ46" s="754">
        <f t="shared" si="54"/>
        <v>0</v>
      </c>
      <c r="FA46" s="777" t="str">
        <f t="shared" si="31"/>
        <v/>
      </c>
      <c r="FB46" s="772" t="str">
        <f t="shared" si="15"/>
        <v/>
      </c>
      <c r="FC46" s="333" t="str">
        <f t="shared" si="55"/>
        <v>non</v>
      </c>
      <c r="FD46" s="778">
        <f t="shared" si="16"/>
        <v>0</v>
      </c>
      <c r="FG46" s="129" t="str">
        <f t="shared" si="56"/>
        <v/>
      </c>
      <c r="FJ46" s="333">
        <f t="shared" si="57"/>
        <v>1</v>
      </c>
      <c r="FK46" s="129">
        <f t="shared" si="17"/>
        <v>10</v>
      </c>
      <c r="FL46" s="129">
        <f t="shared" si="35"/>
        <v>1</v>
      </c>
      <c r="FN46" s="129">
        <f>+IF(AND($DP$8&lt;&gt;52,AR46=S.CAL!$BJ$4),10,1)</f>
        <v>1</v>
      </c>
      <c r="FP46" s="129">
        <f t="shared" si="18"/>
        <v>0</v>
      </c>
      <c r="FS46" s="225" t="str">
        <f t="shared" si="60"/>
        <v/>
      </c>
      <c r="FZ46" s="129">
        <f t="shared" si="37"/>
        <v>5</v>
      </c>
      <c r="GA46" s="129">
        <f t="shared" si="38"/>
        <v>2025</v>
      </c>
      <c r="GB46" s="129" t="str">
        <f t="shared" si="39"/>
        <v>52025</v>
      </c>
      <c r="GC46" s="225">
        <f>IF(AND($GD$53=S.CAL!$P$3,$GD$52=FZ46),GE46,IF(BH46="",0,BH46))</f>
        <v>0</v>
      </c>
      <c r="GD46" s="129" t="str">
        <f>IFERROR(+Février!$BY$2&amp;BL46&amp;BM46,0)</f>
        <v>Fiche infoA1</v>
      </c>
      <c r="GE46" s="129" t="str">
        <f t="shared" si="19"/>
        <v/>
      </c>
      <c r="GF46" s="225" t="str">
        <f t="shared" si="40"/>
        <v/>
      </c>
      <c r="GG46" s="1469" t="str">
        <f>+'Retenue Janv'!D44</f>
        <v/>
      </c>
      <c r="GH46" s="1469">
        <f>+'Retenue Janv'!BF44</f>
        <v>0</v>
      </c>
      <c r="GI46" s="1469"/>
      <c r="GJ46" s="1530" t="str">
        <f t="shared" si="41"/>
        <v/>
      </c>
      <c r="GK46" s="225" t="str">
        <f t="shared" si="42"/>
        <v/>
      </c>
      <c r="GL46" s="225" t="str">
        <f t="shared" si="43"/>
        <v/>
      </c>
      <c r="GM46" s="1529">
        <f t="shared" si="44"/>
        <v>0</v>
      </c>
      <c r="GN46" s="1469"/>
      <c r="GO46" s="1469">
        <f t="shared" si="20"/>
        <v>0</v>
      </c>
      <c r="GP46" s="1469" t="str">
        <f t="shared" si="45"/>
        <v/>
      </c>
      <c r="GQ46" s="1469" t="str">
        <f t="shared" si="46"/>
        <v/>
      </c>
      <c r="GR46" s="1469"/>
      <c r="GS46" s="1469"/>
      <c r="GT46" s="1469"/>
      <c r="GU46" s="1469"/>
      <c r="GV46" s="1469"/>
    </row>
    <row r="47" spans="1:204" x14ac:dyDescent="0.2">
      <c r="A47" s="1799" t="str">
        <f>Taux_cotisations!A16</f>
        <v>Retraite SS Totalité</v>
      </c>
      <c r="B47" s="1800"/>
      <c r="C47" s="1800"/>
      <c r="D47" s="1800"/>
      <c r="E47" s="1800"/>
      <c r="F47" s="1800"/>
      <c r="G47" s="1801"/>
      <c r="H47" s="1793">
        <f ca="1">+T35*INDEX(table_base_coef_salariale,MATCH(A47,Taux_cotisations!$A$75:$A$101,0),MATCH($X$3,Taux_cotisations!$A$75:$M$75,0))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ca="1" si="66">ROUND(K47*H47,4)</f>
        <v>0</v>
      </c>
      <c r="O47" s="1780"/>
      <c r="P47" s="1780"/>
      <c r="Q47" s="223"/>
      <c r="R47" s="1906">
        <f ca="1">+T35*INDEX(table_base_coef_patronale,MATCH(A47,Taux_cotisations!$A$110:$A$136,0),MATCH($X$3,Taux_cotisations!$A$110:$M$110,0))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ca="1" si="67">ROUND(U47*R47,2)</f>
        <v>0</v>
      </c>
      <c r="Y47" s="1900"/>
      <c r="Z47" s="1900"/>
      <c r="AA47" s="903" t="str">
        <f>IF(AND(BE47="OUI",$AR$13=S.CAL!$CU$2),"►",IF(AND(EV47="OUI",$AR$13=S.CAL!$CU$3),"►",""))</f>
        <v/>
      </c>
      <c r="AB47" s="1877">
        <f>+$X$3+27</f>
        <v>45685</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7"/>
        <v/>
      </c>
      <c r="AQ47" s="340"/>
      <c r="AR47" s="1126"/>
      <c r="AS47" s="332">
        <f t="shared" si="3"/>
        <v>0</v>
      </c>
      <c r="AT47" s="1147"/>
      <c r="AU47" s="1147"/>
      <c r="AV47" s="332"/>
      <c r="AW47" s="2017">
        <f t="shared" si="21"/>
        <v>45685</v>
      </c>
      <c r="AX47" s="1878"/>
      <c r="AY47" s="332"/>
      <c r="AZ47" s="1126"/>
      <c r="BA47" s="993"/>
      <c r="BB47" s="561"/>
      <c r="BC47" s="566">
        <f t="shared" si="22"/>
        <v>0</v>
      </c>
      <c r="BD47" s="1126"/>
      <c r="BE47" s="825">
        <f t="shared" si="23"/>
        <v>0</v>
      </c>
      <c r="BF47" s="1150"/>
      <c r="BG47" s="224"/>
      <c r="BH47" s="566" t="str">
        <f t="shared" si="24"/>
        <v/>
      </c>
      <c r="BI47" s="1150"/>
      <c r="BJ47" s="129" t="str">
        <f t="shared" si="25"/>
        <v>Fiche infoA2</v>
      </c>
      <c r="BK47" s="129">
        <f t="shared" si="48"/>
        <v>5</v>
      </c>
      <c r="BL47" s="129" t="str">
        <f t="shared" si="4"/>
        <v>A</v>
      </c>
      <c r="BM47" s="129">
        <f t="shared" si="49"/>
        <v>2</v>
      </c>
      <c r="BN47" s="225" t="str">
        <f t="shared" si="59"/>
        <v>Fiche info</v>
      </c>
      <c r="BO47" s="332" t="str">
        <f t="shared" si="50"/>
        <v/>
      </c>
      <c r="BP47" s="198" t="str">
        <f t="shared" si="51"/>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6"/>
      <c r="CD47" s="1373" t="s">
        <v>462</v>
      </c>
      <c r="CE47" s="1063">
        <f>+CF47</f>
        <v>2.65</v>
      </c>
      <c r="CF47" s="1139">
        <v>2.65</v>
      </c>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2"/>
        <v>45685</v>
      </c>
      <c r="ER47" s="767">
        <f t="shared" si="10"/>
        <v>0</v>
      </c>
      <c r="ES47" s="768">
        <f t="shared" si="11"/>
        <v>0</v>
      </c>
      <c r="ET47" s="767">
        <f t="shared" si="12"/>
        <v>0</v>
      </c>
      <c r="EU47" s="768">
        <f t="shared" si="13"/>
        <v>0</v>
      </c>
      <c r="EV47" s="767" t="str">
        <f t="shared" si="14"/>
        <v/>
      </c>
      <c r="EW47" s="769">
        <f t="shared" si="28"/>
        <v>45685</v>
      </c>
      <c r="EX47" s="777" t="str">
        <f>IFERROR(IF(AND(AZ47="",AR47&lt;&gt;S.CAL!$BJ$3,AR47&lt;&gt;S.CAL!$BJ$4),FS47-BC47,IF(AZ47&lt;&gt;0,AZ47,IF(OR(AR47=S.CAL!$BJ$3,AR47=S.CAL!$BJ$4),AR47,0))),"")</f>
        <v/>
      </c>
      <c r="EY47" s="771">
        <f t="shared" si="53"/>
        <v>0</v>
      </c>
      <c r="EZ47" s="754">
        <f t="shared" si="54"/>
        <v>0</v>
      </c>
      <c r="FA47" s="777" t="str">
        <f t="shared" si="31"/>
        <v/>
      </c>
      <c r="FB47" s="772" t="str">
        <f t="shared" si="15"/>
        <v/>
      </c>
      <c r="FC47" s="333" t="str">
        <f t="shared" si="55"/>
        <v>non</v>
      </c>
      <c r="FD47" s="778">
        <f t="shared" si="16"/>
        <v>0</v>
      </c>
      <c r="FG47" s="129" t="str">
        <f t="shared" si="56"/>
        <v/>
      </c>
      <c r="FJ47" s="333">
        <f t="shared" si="57"/>
        <v>1</v>
      </c>
      <c r="FK47" s="129">
        <f t="shared" si="17"/>
        <v>10</v>
      </c>
      <c r="FL47" s="129">
        <f t="shared" si="35"/>
        <v>1</v>
      </c>
      <c r="FN47" s="129">
        <f>+IF(AND($DP$8&lt;&gt;52,AR47=S.CAL!$BJ$4),10,1)</f>
        <v>1</v>
      </c>
      <c r="FP47" s="129">
        <f t="shared" si="18"/>
        <v>0</v>
      </c>
      <c r="FS47" s="225" t="str">
        <f t="shared" si="60"/>
        <v/>
      </c>
      <c r="FZ47" s="129">
        <f t="shared" si="37"/>
        <v>5</v>
      </c>
      <c r="GA47" s="129">
        <f t="shared" si="38"/>
        <v>2025</v>
      </c>
      <c r="GB47" s="129" t="str">
        <f t="shared" si="39"/>
        <v>52025</v>
      </c>
      <c r="GC47" s="225">
        <f>IF(AND($GD$53=S.CAL!$P$3,$GD$52=FZ47),GE47,IF(BH47="",0,BH47))</f>
        <v>0</v>
      </c>
      <c r="GD47" s="129" t="str">
        <f>IFERROR(+Février!$BY$2&amp;BL47&amp;BM47,0)</f>
        <v>Fiche infoA2</v>
      </c>
      <c r="GE47" s="129" t="str">
        <f t="shared" si="19"/>
        <v/>
      </c>
      <c r="GF47" s="225" t="str">
        <f t="shared" si="40"/>
        <v/>
      </c>
      <c r="GG47" s="1469" t="str">
        <f>+'Retenue Janv'!D45</f>
        <v/>
      </c>
      <c r="GH47" s="1469">
        <f>+'Retenue Janv'!BF45</f>
        <v>0</v>
      </c>
      <c r="GI47" s="1469"/>
      <c r="GJ47" s="1530" t="str">
        <f t="shared" si="41"/>
        <v/>
      </c>
      <c r="GK47" s="225" t="str">
        <f t="shared" si="42"/>
        <v/>
      </c>
      <c r="GL47" s="225" t="str">
        <f t="shared" si="43"/>
        <v/>
      </c>
      <c r="GM47" s="1529">
        <f t="shared" si="44"/>
        <v>0</v>
      </c>
      <c r="GN47" s="1469"/>
      <c r="GO47" s="1469">
        <f t="shared" si="20"/>
        <v>0</v>
      </c>
      <c r="GP47" s="1469" t="str">
        <f t="shared" si="45"/>
        <v/>
      </c>
      <c r="GQ47" s="1469" t="str">
        <f t="shared" si="46"/>
        <v/>
      </c>
      <c r="GR47" s="1469"/>
      <c r="GS47" s="1469"/>
      <c r="GT47" s="1469"/>
      <c r="GU47" s="1469"/>
      <c r="GV47" s="1469"/>
    </row>
    <row r="48" spans="1:204" x14ac:dyDescent="0.2">
      <c r="A48" s="1799" t="str">
        <f>Taux_cotisations!A19</f>
        <v>Retraite IRCEM T1 - CEG T1</v>
      </c>
      <c r="B48" s="1800"/>
      <c r="C48" s="1800"/>
      <c r="D48" s="1800"/>
      <c r="E48" s="1800"/>
      <c r="F48" s="1800"/>
      <c r="G48" s="1801"/>
      <c r="H48" s="1793">
        <f ca="1">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ca="1" si="66"/>
        <v>0</v>
      </c>
      <c r="O48" s="1780"/>
      <c r="P48" s="1780"/>
      <c r="Q48" s="223"/>
      <c r="R48" s="1906">
        <f ca="1">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ca="1" si="67"/>
        <v>0</v>
      </c>
      <c r="Y48" s="1900"/>
      <c r="Z48" s="1900"/>
      <c r="AA48" s="903" t="str">
        <f>IF(AND(BE48="OUI",$AR$13=S.CAL!$CU$2),"►",IF(AND(EV48="OUI",$AR$13=S.CAL!$CU$3),"►",""))</f>
        <v/>
      </c>
      <c r="AB48" s="1877">
        <f>IF(AB20+28&lt;DATE(YEAR(AB20),MONTH(AB20)+1,DAY(AB20)),AB20+28,"")</f>
        <v>45686</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7"/>
        <v/>
      </c>
      <c r="AQ48" s="340"/>
      <c r="AR48" s="1126"/>
      <c r="AS48" s="332">
        <f t="shared" si="3"/>
        <v>0</v>
      </c>
      <c r="AT48" s="1147"/>
      <c r="AU48" s="1147"/>
      <c r="AV48" s="332"/>
      <c r="AW48" s="2017">
        <f t="shared" si="21"/>
        <v>45686</v>
      </c>
      <c r="AX48" s="1878"/>
      <c r="AY48" s="332"/>
      <c r="AZ48" s="1126"/>
      <c r="BA48" s="993"/>
      <c r="BB48" s="561"/>
      <c r="BC48" s="566">
        <f t="shared" si="22"/>
        <v>0</v>
      </c>
      <c r="BD48" s="1126"/>
      <c r="BE48" s="825">
        <f t="shared" si="23"/>
        <v>0</v>
      </c>
      <c r="BF48" s="1150"/>
      <c r="BG48" s="224"/>
      <c r="BH48" s="566" t="str">
        <f t="shared" si="24"/>
        <v/>
      </c>
      <c r="BI48" s="1150"/>
      <c r="BJ48" s="129" t="str">
        <f>IFERROR(+BN48&amp;BL48&amp;BM48,0)</f>
        <v>Fiche infoA3</v>
      </c>
      <c r="BK48" s="129">
        <f t="shared" si="48"/>
        <v>5</v>
      </c>
      <c r="BL48" s="129" t="str">
        <f t="shared" si="4"/>
        <v>A</v>
      </c>
      <c r="BM48" s="129">
        <f>IFERROR(WEEKDAY(AB48,2),0)</f>
        <v>3</v>
      </c>
      <c r="BN48" s="225" t="str">
        <f t="shared" si="59"/>
        <v>Fiche info</v>
      </c>
      <c r="BO48" s="332" t="str">
        <f t="shared" si="50"/>
        <v/>
      </c>
      <c r="BP48" s="198" t="str">
        <f t="shared" si="51"/>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6"/>
      <c r="CC48" s="624"/>
      <c r="CD48" s="1374" t="str">
        <f>+"(journée inférieure ou égale à "&amp;DL1&amp;"h"&amp;DL2&amp;")"</f>
        <v>(journée inférieure ou égale à 6h16)</v>
      </c>
      <c r="CE48" s="622"/>
      <c r="CF48" s="59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2"/>
        <v>45686</v>
      </c>
      <c r="ER48" s="767">
        <f t="shared" si="10"/>
        <v>0</v>
      </c>
      <c r="ES48" s="768">
        <f t="shared" si="11"/>
        <v>0</v>
      </c>
      <c r="ET48" s="767">
        <f t="shared" si="12"/>
        <v>0</v>
      </c>
      <c r="EU48" s="768">
        <f t="shared" si="13"/>
        <v>0</v>
      </c>
      <c r="EV48" s="767" t="str">
        <f t="shared" si="14"/>
        <v/>
      </c>
      <c r="EW48" s="769">
        <f t="shared" si="28"/>
        <v>45686</v>
      </c>
      <c r="EX48" s="777" t="str">
        <f>IFERROR(IF(AND(AZ48="",AR48&lt;&gt;S.CAL!$BJ$3,AR48&lt;&gt;S.CAL!$BJ$4),FS48-BC48,IF(AZ48&lt;&gt;0,AZ48,IF(OR(AR48=S.CAL!$BJ$3,AR48=S.CAL!$BJ$4),AR48,0))),"")</f>
        <v/>
      </c>
      <c r="EY48" s="771">
        <f t="shared" si="53"/>
        <v>0</v>
      </c>
      <c r="EZ48" s="754">
        <f t="shared" si="54"/>
        <v>0</v>
      </c>
      <c r="FA48" s="777" t="str">
        <f t="shared" si="31"/>
        <v/>
      </c>
      <c r="FB48" s="772" t="str">
        <f t="shared" si="15"/>
        <v/>
      </c>
      <c r="FC48" s="333" t="str">
        <f t="shared" si="55"/>
        <v>non</v>
      </c>
      <c r="FD48" s="778">
        <f t="shared" si="16"/>
        <v>0</v>
      </c>
      <c r="FG48" s="129" t="str">
        <f t="shared" si="56"/>
        <v/>
      </c>
      <c r="FJ48" s="333">
        <f t="shared" si="57"/>
        <v>1</v>
      </c>
      <c r="FK48" s="129">
        <f t="shared" si="17"/>
        <v>10</v>
      </c>
      <c r="FL48" s="129">
        <f t="shared" si="35"/>
        <v>1</v>
      </c>
      <c r="FN48" s="129">
        <f>+IF(AND($DP$8&lt;&gt;52,AR48=S.CAL!$BJ$4),10,1)</f>
        <v>1</v>
      </c>
      <c r="FP48" s="129">
        <f t="shared" si="18"/>
        <v>0</v>
      </c>
      <c r="FS48" s="225" t="str">
        <f t="shared" si="60"/>
        <v/>
      </c>
      <c r="FZ48" s="129">
        <f t="shared" si="37"/>
        <v>5</v>
      </c>
      <c r="GA48" s="129">
        <f t="shared" si="38"/>
        <v>2025</v>
      </c>
      <c r="GB48" s="129" t="str">
        <f t="shared" si="39"/>
        <v>52025</v>
      </c>
      <c r="GC48" s="225">
        <f>IF(AND($GD$53=S.CAL!$P$3,$GD$52=FZ48),GE48,IF(BH48="",0,BH48))</f>
        <v>0</v>
      </c>
      <c r="GD48" s="129" t="str">
        <f>IFERROR(+Février!$BY$2&amp;BL48&amp;BM48,0)</f>
        <v>Fiche infoA3</v>
      </c>
      <c r="GE48" s="129" t="str">
        <f t="shared" si="19"/>
        <v/>
      </c>
      <c r="GF48" s="225" t="str">
        <f t="shared" si="40"/>
        <v/>
      </c>
      <c r="GG48" s="1469" t="str">
        <f>+'Retenue Janv'!D46</f>
        <v/>
      </c>
      <c r="GH48" s="1469">
        <f>+'Retenue Janv'!BF46</f>
        <v>0</v>
      </c>
      <c r="GI48" s="1469"/>
      <c r="GJ48" s="1530" t="str">
        <f t="shared" si="41"/>
        <v/>
      </c>
      <c r="GK48" s="225" t="str">
        <f t="shared" si="42"/>
        <v/>
      </c>
      <c r="GL48" s="225" t="str">
        <f t="shared" si="43"/>
        <v/>
      </c>
      <c r="GM48" s="1529">
        <f t="shared" si="44"/>
        <v>0</v>
      </c>
      <c r="GN48" s="1469"/>
      <c r="GO48" s="1469">
        <f t="shared" si="20"/>
        <v>0</v>
      </c>
      <c r="GP48" s="1469" t="str">
        <f t="shared" si="45"/>
        <v/>
      </c>
      <c r="GQ48" s="1469" t="str">
        <f t="shared" si="46"/>
        <v/>
      </c>
      <c r="GR48" s="1469"/>
      <c r="GS48" s="1469"/>
      <c r="GT48" s="1469"/>
      <c r="GU48" s="1469"/>
      <c r="GV48" s="1469"/>
    </row>
    <row r="49" spans="1:204" x14ac:dyDescent="0.2">
      <c r="A49" s="1799" t="str">
        <f>Taux_cotisations!A20</f>
        <v>CET si plafond SS atteint</v>
      </c>
      <c r="B49" s="1800"/>
      <c r="C49" s="1800"/>
      <c r="D49" s="1800"/>
      <c r="E49" s="1800"/>
      <c r="F49" s="1800"/>
      <c r="G49" s="1801"/>
      <c r="H49" s="1793">
        <f ca="1">+IF(AND(T35&gt;=EG6,T35&gt;0),T35*INDEX(table_base_coef_salariale,MATCH(A49,Taux_cotisations!$A$75:$A$101,0),MATCH($X$3,Taux_cotisations!$A$75:$M$75,0)),0)</f>
        <v>0</v>
      </c>
      <c r="I49" s="1794"/>
      <c r="J49" s="1795"/>
      <c r="K49" s="1802">
        <f ca="1">IF(AND(T35&gt;=EG6,T35&gt;0),INDEX(table_taux_salariales,MATCH(A49,Taux_cotisations!$A$6:$A$32,0),MATCH($X$3,Taux_cotisations!$A$6:$M$6,0)),0)</f>
        <v>0</v>
      </c>
      <c r="L49" s="1803"/>
      <c r="M49" s="1803"/>
      <c r="N49" s="1780">
        <f t="shared" ca="1" si="66"/>
        <v>0</v>
      </c>
      <c r="O49" s="1780"/>
      <c r="P49" s="1780"/>
      <c r="Q49" s="223"/>
      <c r="R49" s="1906">
        <f ca="1">IF(AND(T35&gt;=EG6,T35&gt;0),T35*INDEX(table_base_coef_patronale,MATCH(A49,Taux_cotisations!$A$110:$A$136,0),MATCH($X$3,Taux_cotisations!$A$110:$M$110,0)),0)</f>
        <v>0</v>
      </c>
      <c r="S49" s="1906"/>
      <c r="T49" s="1906"/>
      <c r="U49" s="1907">
        <f ca="1">+IF(AND(T35&gt;=EG6,T35&gt;0),INDEX(table_taux_patronales,MATCH(A49,Taux_cotisations!$A$39:$A$65,0),MATCH($X$3,Taux_cotisations!$A$39:$M$39,0)),0)</f>
        <v>0</v>
      </c>
      <c r="V49" s="1907"/>
      <c r="W49" s="1907"/>
      <c r="X49" s="1900">
        <f ca="1">ROUND(U49*R49,2)</f>
        <v>0</v>
      </c>
      <c r="Y49" s="1900"/>
      <c r="Z49" s="1900"/>
      <c r="AA49" s="903" t="str">
        <f>IF(AND(BE49="OUI",$AR$13=S.CAL!$CU$2),"►",IF(AND(EV49="OUI",$AR$13=S.CAL!$CU$3),"►",""))</f>
        <v/>
      </c>
      <c r="AB49" s="1877">
        <f>IF(AB20+29&lt;DATE(YEAR(AB20),MONTH(AB20)+1,DAY(AB20)),AB20+29,"")</f>
        <v>45687</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7"/>
        <v/>
      </c>
      <c r="AQ49" s="340"/>
      <c r="AR49" s="1126"/>
      <c r="AS49" s="332">
        <f t="shared" si="3"/>
        <v>0</v>
      </c>
      <c r="AT49" s="1147"/>
      <c r="AU49" s="1147"/>
      <c r="AV49" s="332"/>
      <c r="AW49" s="2017">
        <f t="shared" si="21"/>
        <v>45687</v>
      </c>
      <c r="AX49" s="1878"/>
      <c r="AY49" s="332"/>
      <c r="AZ49" s="1126"/>
      <c r="BA49" s="993"/>
      <c r="BB49" s="561"/>
      <c r="BC49" s="566">
        <f t="shared" si="22"/>
        <v>0</v>
      </c>
      <c r="BD49" s="1126"/>
      <c r="BE49" s="825">
        <f t="shared" si="23"/>
        <v>0</v>
      </c>
      <c r="BF49" s="1150"/>
      <c r="BG49" s="224"/>
      <c r="BH49" s="566" t="str">
        <f t="shared" si="24"/>
        <v/>
      </c>
      <c r="BI49" s="1150"/>
      <c r="BJ49" s="129" t="str">
        <f t="shared" ref="BJ49:BJ50" si="68">IFERROR(+BN49&amp;BL49&amp;BM49,0)</f>
        <v>Fiche infoA4</v>
      </c>
      <c r="BK49" s="129">
        <f t="shared" si="48"/>
        <v>5</v>
      </c>
      <c r="BL49" s="129" t="str">
        <f t="shared" si="4"/>
        <v>A</v>
      </c>
      <c r="BM49" s="129">
        <f>IFERROR(WEEKDAY(AB49,2),0)</f>
        <v>4</v>
      </c>
      <c r="BN49" s="225" t="str">
        <f t="shared" si="59"/>
        <v>Fiche info</v>
      </c>
      <c r="BO49" s="332" t="str">
        <f t="shared" si="50"/>
        <v/>
      </c>
      <c r="BP49" s="198" t="str">
        <f t="shared" si="51"/>
        <v/>
      </c>
      <c r="BQ49" s="601"/>
      <c r="BR49" s="601"/>
      <c r="BS49" s="601"/>
      <c r="BT49" s="601"/>
      <c r="BU49" s="601"/>
      <c r="BV49" s="601"/>
      <c r="BW49" s="601"/>
      <c r="BX49" s="601"/>
      <c r="BY49" s="2024" t="s">
        <v>924</v>
      </c>
      <c r="BZ49" s="2025"/>
      <c r="CA49" s="2022">
        <f>+CA47+CA44</f>
        <v>0</v>
      </c>
      <c r="CB49" s="625"/>
      <c r="CC49" s="627"/>
      <c r="CD49" s="1373" t="s">
        <v>463</v>
      </c>
      <c r="CE49" s="1063">
        <f>+CF49</f>
        <v>3.8</v>
      </c>
      <c r="CF49" s="1139">
        <v>3.8</v>
      </c>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2"/>
        <v>45687</v>
      </c>
      <c r="ER49" s="767">
        <f t="shared" si="10"/>
        <v>0</v>
      </c>
      <c r="ES49" s="768">
        <f t="shared" si="11"/>
        <v>0</v>
      </c>
      <c r="ET49" s="767">
        <f t="shared" si="12"/>
        <v>0</v>
      </c>
      <c r="EU49" s="768">
        <f t="shared" si="13"/>
        <v>0</v>
      </c>
      <c r="EV49" s="767" t="str">
        <f t="shared" si="14"/>
        <v/>
      </c>
      <c r="EW49" s="769">
        <f t="shared" si="28"/>
        <v>45687</v>
      </c>
      <c r="EX49" s="777" t="str">
        <f>IFERROR(IF(AND(AZ49="",AR49&lt;&gt;S.CAL!$BJ$3,AR49&lt;&gt;S.CAL!$BJ$4),FS49-BC49,IF(AZ49&lt;&gt;0,AZ49,IF(OR(AR49=S.CAL!$BJ$3,AR49=S.CAL!$BJ$4),AR49,0))),"")</f>
        <v/>
      </c>
      <c r="EY49" s="771">
        <f t="shared" si="53"/>
        <v>0</v>
      </c>
      <c r="EZ49" s="754">
        <f t="shared" si="54"/>
        <v>0</v>
      </c>
      <c r="FA49" s="777" t="str">
        <f t="shared" si="31"/>
        <v/>
      </c>
      <c r="FB49" s="772" t="str">
        <f t="shared" si="15"/>
        <v/>
      </c>
      <c r="FC49" s="333" t="str">
        <f t="shared" si="55"/>
        <v>non</v>
      </c>
      <c r="FD49" s="778">
        <f t="shared" si="16"/>
        <v>0</v>
      </c>
      <c r="FG49" s="129" t="str">
        <f t="shared" si="56"/>
        <v/>
      </c>
      <c r="FJ49" s="333">
        <f t="shared" si="57"/>
        <v>1</v>
      </c>
      <c r="FK49" s="129">
        <f t="shared" si="17"/>
        <v>10</v>
      </c>
      <c r="FL49" s="129">
        <f t="shared" si="35"/>
        <v>1</v>
      </c>
      <c r="FN49" s="129">
        <f>+IF(AND($DP$8&lt;&gt;52,AR49=S.CAL!$BJ$4),10,1)</f>
        <v>1</v>
      </c>
      <c r="FP49" s="129">
        <f t="shared" si="18"/>
        <v>0</v>
      </c>
      <c r="FS49" s="225" t="str">
        <f t="shared" si="60"/>
        <v/>
      </c>
      <c r="FZ49" s="129">
        <f t="shared" si="37"/>
        <v>5</v>
      </c>
      <c r="GA49" s="129">
        <f t="shared" ref="GA49:GA50" si="69">++IF(OR(FZ49=52,FZ49=53),$X$4-1,$X$4)</f>
        <v>2025</v>
      </c>
      <c r="GB49" s="129" t="str">
        <f t="shared" ref="GB49:GB50" si="70">+FZ49&amp;GA49</f>
        <v>52025</v>
      </c>
      <c r="GC49" s="225">
        <f>IF(AND($GD$53=S.CAL!$P$3,$GD$52=FZ49),GE49,IF(BH49="",0,BH49))</f>
        <v>0</v>
      </c>
      <c r="GD49" s="129" t="str">
        <f>IFERROR(+Février!$BY$2&amp;BL49&amp;BM49,0)</f>
        <v>Fiche infoA4</v>
      </c>
      <c r="GE49" s="129" t="str">
        <f t="shared" si="19"/>
        <v/>
      </c>
      <c r="GF49" s="225" t="str">
        <f t="shared" ref="GF49:GF50" si="71">IF(FP49=1,GG49,AM49)</f>
        <v/>
      </c>
      <c r="GG49" s="1469" t="str">
        <f>+'Retenue Janv'!D47</f>
        <v/>
      </c>
      <c r="GH49" s="1469">
        <f>+'Retenue Janv'!BF47</f>
        <v>0</v>
      </c>
      <c r="GI49" s="1469"/>
      <c r="GJ49" s="1530" t="str">
        <f t="shared" si="41"/>
        <v/>
      </c>
      <c r="GK49" s="225" t="str">
        <f t="shared" si="42"/>
        <v/>
      </c>
      <c r="GL49" s="225" t="str">
        <f t="shared" si="43"/>
        <v/>
      </c>
      <c r="GM49" s="1529">
        <f t="shared" si="44"/>
        <v>0</v>
      </c>
      <c r="GN49" s="1469"/>
      <c r="GO49" s="1469">
        <f t="shared" si="20"/>
        <v>0</v>
      </c>
      <c r="GP49" s="1469" t="str">
        <f t="shared" si="45"/>
        <v/>
      </c>
      <c r="GQ49" s="1469" t="str">
        <f t="shared" si="46"/>
        <v/>
      </c>
      <c r="GR49" s="1469"/>
      <c r="GS49" s="1469"/>
      <c r="GT49" s="1469"/>
      <c r="GU49" s="1469"/>
      <c r="GV49" s="1469"/>
    </row>
    <row r="50" spans="1:204" x14ac:dyDescent="0.2">
      <c r="A50" s="1799" t="str">
        <f>Taux_cotisations!A23</f>
        <v>Retraite IRCEM T2 - CEG T2</v>
      </c>
      <c r="B50" s="1800"/>
      <c r="C50" s="1800"/>
      <c r="D50" s="1800"/>
      <c r="E50" s="1800"/>
      <c r="F50" s="1800"/>
      <c r="G50" s="1801"/>
      <c r="H50" s="1793">
        <f ca="1">+IF(AND(T35&gt;0,T35&gt;EG6),(T35-EG6)*INDEX(table_base_coef_salariale,MATCH(A50,Taux_cotisations!$A$75:$A$101,0),MATCH($X$3,Taux_cotisations!$A$75:$M$75,0)),0)</f>
        <v>0</v>
      </c>
      <c r="I50" s="1794"/>
      <c r="J50" s="1795"/>
      <c r="K50" s="1802">
        <f ca="1">IF(H50=0,0,INDEX(table_taux_salariales,MATCH(A50,Taux_cotisations!$A$6:$A$32,0),MATCH($X$3,Taux_cotisations!$A$6:$M$6,0)))</f>
        <v>0</v>
      </c>
      <c r="L50" s="1803"/>
      <c r="M50" s="1803"/>
      <c r="N50" s="1780">
        <f t="shared" ca="1" si="66"/>
        <v>0</v>
      </c>
      <c r="O50" s="1780"/>
      <c r="P50" s="1780"/>
      <c r="Q50" s="223"/>
      <c r="R50" s="1900">
        <f ca="1">+IF(AND(T35&gt;0,T35&gt;EG6),(T35-EG6)*INDEX(table_base_coef_patronale,MATCH(A50,Taux_cotisations!$A$110:$A$136,0),MATCH($X$3,Taux_cotisations!$A$110:$M$110,0)),0)</f>
        <v>0</v>
      </c>
      <c r="S50" s="1900"/>
      <c r="T50" s="1900"/>
      <c r="U50" s="2244">
        <f ca="1">IF(R50=0,0,INDEX(table_taux_patronales,MATCH(A50,Taux_cotisations!$A$39:$A$65,0),MATCH($X$3,Taux_cotisations!$A$39:$M$39,0)))</f>
        <v>0</v>
      </c>
      <c r="V50" s="2244"/>
      <c r="W50" s="2244"/>
      <c r="X50" s="1900">
        <f ca="1">ROUND(U50*R50,2)</f>
        <v>0</v>
      </c>
      <c r="Y50" s="1900"/>
      <c r="Z50" s="1900"/>
      <c r="AA50" s="903" t="str">
        <f>IF(AND(BE50="OUI",$AR$13=S.CAL!$CU$2),"►",IF(AND(EV50="OUI",$AR$13=S.CAL!$CU$3),"►",""))</f>
        <v/>
      </c>
      <c r="AB50" s="1877">
        <f>IF(AB20+30&lt;DATE(YEAR(AB20),MONTH(AB20)+1,DAY(AB20)),AB20+30,"")</f>
        <v>45688</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7"/>
        <v/>
      </c>
      <c r="AQ50" s="340"/>
      <c r="AR50" s="1127"/>
      <c r="AS50" s="332">
        <f t="shared" si="3"/>
        <v>0</v>
      </c>
      <c r="AT50" s="1148"/>
      <c r="AU50" s="1148"/>
      <c r="AV50" s="332"/>
      <c r="AW50" s="2096">
        <f t="shared" si="21"/>
        <v>45688</v>
      </c>
      <c r="AX50" s="2097"/>
      <c r="AY50" s="332"/>
      <c r="AZ50" s="1127"/>
      <c r="BA50" s="994"/>
      <c r="BB50" s="561"/>
      <c r="BC50" s="564">
        <f t="shared" si="22"/>
        <v>0</v>
      </c>
      <c r="BD50" s="1127"/>
      <c r="BE50" s="826">
        <f t="shared" si="23"/>
        <v>0</v>
      </c>
      <c r="BF50" s="1151"/>
      <c r="BG50" s="224"/>
      <c r="BH50" s="564" t="str">
        <f t="shared" si="24"/>
        <v/>
      </c>
      <c r="BI50" s="1151"/>
      <c r="BJ50" s="129" t="str">
        <f t="shared" si="68"/>
        <v>Fiche infoA5</v>
      </c>
      <c r="BK50" s="129">
        <f t="shared" si="48"/>
        <v>5</v>
      </c>
      <c r="BL50" s="129" t="str">
        <f t="shared" si="4"/>
        <v>A</v>
      </c>
      <c r="BM50" s="129">
        <f>IFERROR(WEEKDAY(AB50,2),0)</f>
        <v>5</v>
      </c>
      <c r="BN50" s="225" t="str">
        <f t="shared" si="59"/>
        <v>Fiche info</v>
      </c>
      <c r="BO50" s="332" t="str">
        <f t="shared" si="50"/>
        <v/>
      </c>
      <c r="BP50" s="198" t="str">
        <f t="shared" si="51"/>
        <v/>
      </c>
      <c r="BQ50" s="601"/>
      <c r="BR50" s="601"/>
      <c r="BS50" s="601"/>
      <c r="BT50" s="601"/>
      <c r="BU50" s="601"/>
      <c r="BV50" s="601"/>
      <c r="BW50" s="601"/>
      <c r="BX50" s="618"/>
      <c r="BY50" s="2026"/>
      <c r="BZ50" s="2027"/>
      <c r="CA50" s="2023"/>
      <c r="CB50" s="625"/>
      <c r="CC50" s="625"/>
      <c r="CD50" s="1374"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2"/>
        <v>45688</v>
      </c>
      <c r="ER50" s="787">
        <f t="shared" si="10"/>
        <v>0</v>
      </c>
      <c r="ES50" s="788">
        <f t="shared" si="11"/>
        <v>0</v>
      </c>
      <c r="ET50" s="787">
        <f t="shared" si="12"/>
        <v>0</v>
      </c>
      <c r="EU50" s="788">
        <f t="shared" si="13"/>
        <v>0</v>
      </c>
      <c r="EV50" s="787" t="str">
        <f t="shared" si="14"/>
        <v/>
      </c>
      <c r="EW50" s="789">
        <f t="shared" si="28"/>
        <v>45688</v>
      </c>
      <c r="EX50" s="790" t="str">
        <f>IFERROR(IF(AND(AZ50="",AR50&lt;&gt;S.CAL!$BJ$3,AR50&lt;&gt;S.CAL!$BJ$4),FS50-BC50,IF(AZ50&lt;&gt;0,AZ50,IF(OR(AR50=S.CAL!$BJ$3,AR50=S.CAL!$BJ$4),AR50,0))),"")</f>
        <v/>
      </c>
      <c r="EY50" s="790">
        <f t="shared" si="53"/>
        <v>0</v>
      </c>
      <c r="EZ50" s="791">
        <f t="shared" si="54"/>
        <v>0</v>
      </c>
      <c r="FA50" s="790" t="str">
        <f t="shared" si="31"/>
        <v/>
      </c>
      <c r="FB50" s="792" t="str">
        <f t="shared" si="15"/>
        <v/>
      </c>
      <c r="FC50" s="333" t="str">
        <f t="shared" si="55"/>
        <v>non</v>
      </c>
      <c r="FD50" s="793">
        <f t="shared" si="16"/>
        <v>0</v>
      </c>
      <c r="FG50" s="129" t="str">
        <f t="shared" si="56"/>
        <v/>
      </c>
      <c r="FJ50" s="333">
        <f t="shared" si="57"/>
        <v>1</v>
      </c>
      <c r="FK50" s="129">
        <f t="shared" si="17"/>
        <v>10</v>
      </c>
      <c r="FL50" s="129">
        <f t="shared" si="35"/>
        <v>1</v>
      </c>
      <c r="FN50" s="129">
        <f>+IF(AND($DP$8&lt;&gt;52,AR50=S.CAL!$BJ$4),10,1)</f>
        <v>1</v>
      </c>
      <c r="FP50" s="129">
        <f t="shared" si="18"/>
        <v>0</v>
      </c>
      <c r="FS50" s="225" t="str">
        <f t="shared" si="60"/>
        <v/>
      </c>
      <c r="FZ50" s="129">
        <f t="shared" si="37"/>
        <v>5</v>
      </c>
      <c r="GA50" s="129">
        <f t="shared" si="69"/>
        <v>2025</v>
      </c>
      <c r="GB50" s="129" t="str">
        <f t="shared" si="70"/>
        <v>52025</v>
      </c>
      <c r="GC50" s="225">
        <f>IF(AND($GD$53=S.CAL!$P$3,$GD$52=FZ50),GE50,IF(BH50="",0,BH50))</f>
        <v>0</v>
      </c>
      <c r="GD50" s="129" t="str">
        <f>IFERROR(+Février!$BY$2&amp;BL50&amp;BM50,0)</f>
        <v>Fiche infoA5</v>
      </c>
      <c r="GE50" s="129" t="str">
        <f t="shared" si="19"/>
        <v/>
      </c>
      <c r="GF50" s="225" t="str">
        <f t="shared" si="71"/>
        <v/>
      </c>
      <c r="GG50" s="1469" t="str">
        <f>+'Retenue Janv'!D48</f>
        <v/>
      </c>
      <c r="GH50" s="1469">
        <f>+'Retenue Janv'!BF48</f>
        <v>0</v>
      </c>
      <c r="GI50" s="1469"/>
      <c r="GJ50" s="1530" t="str">
        <f t="shared" si="41"/>
        <v/>
      </c>
      <c r="GK50" s="225" t="str">
        <f t="shared" si="42"/>
        <v/>
      </c>
      <c r="GL50" s="225" t="str">
        <f t="shared" si="43"/>
        <v/>
      </c>
      <c r="GM50" s="1529">
        <f t="shared" si="44"/>
        <v>0</v>
      </c>
      <c r="GN50" s="1469"/>
      <c r="GO50" s="1469">
        <f t="shared" si="20"/>
        <v>0</v>
      </c>
      <c r="GP50" s="1469" t="str">
        <f t="shared" si="45"/>
        <v/>
      </c>
      <c r="GQ50" s="1469" t="str">
        <f t="shared" si="46"/>
        <v/>
      </c>
      <c r="GR50" s="1469"/>
      <c r="GS50" s="1469"/>
      <c r="GT50" s="1469"/>
      <c r="GU50" s="1469"/>
      <c r="GV50" s="1469"/>
    </row>
    <row r="51" spans="1:204"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 ca="1">+T35*INDEX(table_base_coef_patronale,MATCH(A51,Taux_cotisations!$A$110:$A$136,0),MATCH($X$3,Taux_cotisations!$A$110:$M$110,0))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ca="1" si="72">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0"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3">SUM(DV20:DV50)</f>
        <v>0</v>
      </c>
      <c r="DW51" s="1370">
        <f t="shared" si="73"/>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204"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 ca="1">+T35*INDEX(table_base_coef_patronale,MATCH(A52,Taux_cotisations!$A$110:$A$136,0),MATCH($X$3,Taux_cotisations!$A$110:$M$110,0))</f>
        <v>0</v>
      </c>
      <c r="S52" s="1906"/>
      <c r="T52" s="1906"/>
      <c r="U52" s="1907">
        <f>INDEX(table_taux_patronales,MATCH(A52,Taux_cotisations!$A$39:$A$65,0),MATCH($X$3,Taux_cotisations!$A$39:$M$39,0))</f>
        <v>4.0500000000000001E-2</v>
      </c>
      <c r="V52" s="1907"/>
      <c r="W52" s="1907"/>
      <c r="X52" s="1900">
        <f t="shared" ref="X52" ca="1" si="74">ROUND(U52*R52,2)</f>
        <v>0</v>
      </c>
      <c r="Y52" s="1900"/>
      <c r="Z52" s="1900"/>
      <c r="AA52" s="904"/>
      <c r="AB52" s="222"/>
      <c r="AC52" s="222"/>
      <c r="AD52" s="224"/>
      <c r="AE52" s="224"/>
      <c r="AF52" s="224"/>
      <c r="AG52" s="224"/>
      <c r="AH52" s="224"/>
      <c r="AI52" s="224"/>
      <c r="AJ52" s="224"/>
      <c r="AK52" s="224"/>
      <c r="AL52" s="224"/>
      <c r="AM52" s="224"/>
      <c r="AN52" s="224"/>
      <c r="AO52" s="224"/>
      <c r="AP52" s="224"/>
      <c r="AQ52" s="1568"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 t="array" ref="GD52">MAX(IF(GA20:GA50=Identification!B60,FZ20:FZ50))</f>
        <v>5</v>
      </c>
      <c r="GJ52" s="1531"/>
      <c r="GK52" s="214"/>
      <c r="GL52" s="214"/>
      <c r="GM52" s="1532">
        <f>SUM(GM20:GM50)</f>
        <v>0</v>
      </c>
    </row>
    <row r="53" spans="1:204"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 ca="1">+T35*INDEX(table_base_coef_patronale,MATCH(A53,Taux_cotisations!$A$110:$A$136,0),MATCH($X$3,Taux_cotisations!$A$110:$M$110,0))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 ca="1">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6" t="s">
        <v>1530</v>
      </c>
      <c r="CE53" s="1319">
        <v>0</v>
      </c>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204"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 ca="1">+T35*INDEX(table_base_coef_patronale,MATCH(A54,Taux_cotisations!$A$110:$A$136,0),MATCH($X$3,Taux_cotisations!$A$110:$M$110,0))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 t="shared" ref="X54" ca="1" si="75">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I54" s="129"/>
      <c r="BQ54" s="2113" t="s">
        <v>1068</v>
      </c>
      <c r="BR54" s="2113"/>
      <c r="BS54" s="2113"/>
      <c r="BT54" s="2113"/>
      <c r="BU54" s="2113"/>
      <c r="BV54" s="2113"/>
      <c r="BW54" s="2113"/>
      <c r="BX54" s="2113"/>
      <c r="BY54" s="2113"/>
      <c r="BZ54" s="2113"/>
      <c r="CA54" s="628"/>
      <c r="CB54" s="622"/>
      <c r="CC54" s="622"/>
      <c r="CD54" s="1367" t="s">
        <v>1053</v>
      </c>
      <c r="CE54" s="1369">
        <v>0</v>
      </c>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204"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 ca="1">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ca="1" si="76">ROUND(U55*R55,2)</f>
        <v>0</v>
      </c>
      <c r="Y55" s="1900"/>
      <c r="Z55" s="1900"/>
      <c r="AA55" s="904"/>
      <c r="AB55" s="1737" t="s">
        <v>1227</v>
      </c>
      <c r="AC55" s="1737"/>
      <c r="AD55" s="1737"/>
      <c r="AE55" s="1737"/>
      <c r="AF55" s="1737"/>
      <c r="AG55" s="1737"/>
      <c r="AH55" s="1737"/>
      <c r="AI55" s="1737"/>
      <c r="AJ55" s="1737"/>
      <c r="AK55" s="1737"/>
      <c r="AL55" s="1737"/>
      <c r="AM55" s="2257" t="e">
        <f ca="1">+EG2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IF(CF55="",IF(CE54,CE53/CE54,0),CF55)</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204"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Janv'!E52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+IF(BY57="","",BY57)</f>
        <v>24</v>
      </c>
      <c r="BZ56" s="629" t="s">
        <v>1065</v>
      </c>
      <c r="CA56" s="632">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 ca="1">+EG1</f>
        <v>0</v>
      </c>
      <c r="AN57" s="2080"/>
      <c r="AO57" s="2080"/>
      <c r="AP57" s="286"/>
      <c r="AQ57" s="345"/>
      <c r="AR57" s="286"/>
      <c r="AS57" s="129"/>
      <c r="AZ57" s="129"/>
      <c r="BA57" s="129"/>
      <c r="BB57" s="129"/>
      <c r="BC57" s="129"/>
      <c r="BD57" s="129"/>
      <c r="BE57" s="129"/>
      <c r="BF57" s="129"/>
      <c r="BG57" s="129"/>
      <c r="BH57" s="129"/>
      <c r="BI57" s="129"/>
      <c r="BJ57" s="558"/>
      <c r="BK57" s="558"/>
      <c r="BQ57" s="628"/>
      <c r="BR57" s="628"/>
      <c r="BS57" s="628"/>
      <c r="BT57" s="628"/>
      <c r="BU57" s="628"/>
      <c r="BV57" s="628"/>
      <c r="BW57" s="2115" t="s">
        <v>1066</v>
      </c>
      <c r="BX57" s="2115"/>
      <c r="BY57" s="1140">
        <v>24</v>
      </c>
      <c r="BZ57" s="633" t="s">
        <v>503</v>
      </c>
      <c r="CA57" s="1141"/>
      <c r="CD57" s="1366" t="s">
        <v>1531</v>
      </c>
      <c r="CE57" s="1319">
        <v>0</v>
      </c>
      <c r="FP57" s="129">
        <f>SUM(FP20:FP50)</f>
        <v>0</v>
      </c>
      <c r="GO57" s="1469">
        <f>SUM(GO20:GO52)</f>
        <v>0</v>
      </c>
    </row>
    <row r="58" spans="1:204" x14ac:dyDescent="0.2">
      <c r="A58" s="2241" t="str">
        <f>Taux_cotisations!A31</f>
        <v>CSG/RDS non déd sur rev non imp</v>
      </c>
      <c r="B58" s="2242"/>
      <c r="C58" s="2242"/>
      <c r="D58" s="2242"/>
      <c r="E58" s="2242"/>
      <c r="F58" s="2242"/>
      <c r="G58" s="2243"/>
      <c r="H58" s="2204">
        <f ca="1">(T19+T20+T21+T22+T26)*INDEX(table_base_coef_salariale,MATCH(A58,Taux_cotisations!$A$75:$A$101,0),MATCH($X$3,Taux_cotisations!$A$75:$M$75,0))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 ca="1">ROUND(K58*H58,4)</f>
        <v>0</v>
      </c>
      <c r="O58" s="1776"/>
      <c r="P58" s="2246"/>
      <c r="Q58" s="223"/>
      <c r="R58" s="1900"/>
      <c r="S58" s="1900"/>
      <c r="T58" s="1900"/>
      <c r="U58" s="2233"/>
      <c r="V58" s="2233"/>
      <c r="W58" s="2233"/>
      <c r="X58" s="1900"/>
      <c r="Y58" s="1900"/>
      <c r="Z58" s="1900"/>
      <c r="AA58" s="231"/>
      <c r="AP58" s="286"/>
      <c r="AQ58" s="345"/>
      <c r="AR58" s="286"/>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69">
        <v>0</v>
      </c>
      <c r="FG58" s="129">
        <f t="array" ref="FG58">IFERROR(+INDEX($FG$20:$FG$50,MATCH(0,INDEX(COUNTIF($FG$57:FG57,$FG$20:$FG$50),0,0),0)),0)</f>
        <v>0</v>
      </c>
    </row>
    <row r="59" spans="1:204" x14ac:dyDescent="0.2">
      <c r="A59" s="2168" t="str">
        <f>Taux_cotisations!A32</f>
        <v>Réduction cot. HC et HS</v>
      </c>
      <c r="B59" s="2169"/>
      <c r="C59" s="2169"/>
      <c r="D59" s="2169"/>
      <c r="E59" s="2169"/>
      <c r="F59" s="2169"/>
      <c r="G59" s="2170"/>
      <c r="H59" s="1857">
        <f ca="1">(+T19+T20+T21+T22+T26)</f>
        <v>0</v>
      </c>
      <c r="I59" s="1780"/>
      <c r="J59" s="1858"/>
      <c r="K59" s="2209">
        <f>INDEX(table_taux_salariales,MATCH(A59,Taux_cotisations!$A$6:$A$32,0),MATCH($X$3,Taux_cotisations!$A$6:$M$6,0))</f>
        <v>0.11310000000000001</v>
      </c>
      <c r="L59" s="2209"/>
      <c r="M59" s="1802"/>
      <c r="N59" s="1780">
        <f ca="1">ROUND(K59*H59*-1,2)</f>
        <v>0</v>
      </c>
      <c r="O59" s="1780"/>
      <c r="P59" s="1780"/>
      <c r="Q59" s="233"/>
      <c r="R59" s="2213"/>
      <c r="S59" s="2213"/>
      <c r="T59" s="2213"/>
      <c r="U59" s="2213"/>
      <c r="V59" s="2213"/>
      <c r="W59" s="2213"/>
      <c r="X59" s="2213"/>
      <c r="Y59" s="2213"/>
      <c r="Z59" s="2213"/>
      <c r="AA59" s="231"/>
      <c r="AP59" s="286"/>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129">
        <f t="array" ref="FG59">IFERROR(+INDEX($FG$20:$FG$50,MATCH(0,INDEX(COUNTIF($FG$57:FG58,$FG$20:$FG$50),0,0),0)),0)</f>
        <v>0</v>
      </c>
    </row>
    <row r="60" spans="1:204" ht="12.75" customHeight="1"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86"/>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+IF(CA61="",0,CA61)</f>
        <v>0</v>
      </c>
      <c r="FG60" s="129">
        <f t="array" ref="FG60">IFERROR(+INDEX($FG$20:$FG$50,MATCH(0,INDEX(COUNTIF($FG$57:FG59,$FG$20:$FG$50),0,0),0)),0)</f>
        <v>0</v>
      </c>
    </row>
    <row r="61" spans="1:204" x14ac:dyDescent="0.2">
      <c r="A61" s="234"/>
      <c r="B61" s="234"/>
      <c r="C61" s="234"/>
      <c r="D61" s="234"/>
      <c r="E61" s="234"/>
      <c r="F61" s="234"/>
      <c r="G61" s="234"/>
      <c r="H61" s="2207" t="s">
        <v>133</v>
      </c>
      <c r="I61" s="2208"/>
      <c r="J61" s="2208"/>
      <c r="K61" s="2208"/>
      <c r="L61" s="2208"/>
      <c r="M61" s="2208"/>
      <c r="N61" s="2217">
        <f ca="1">ROUND(SUM(N40:P59),2)</f>
        <v>0</v>
      </c>
      <c r="O61" s="2217"/>
      <c r="P61" s="2218"/>
      <c r="Q61" s="235"/>
      <c r="R61" s="2222" t="s">
        <v>134</v>
      </c>
      <c r="S61" s="2223"/>
      <c r="T61" s="2223"/>
      <c r="U61" s="2223"/>
      <c r="V61" s="2223"/>
      <c r="W61" s="2224"/>
      <c r="X61" s="2210">
        <f ca="1">ROUND(SUM(X40:Z59),2)</f>
        <v>0</v>
      </c>
      <c r="Y61" s="2211"/>
      <c r="Z61" s="2212"/>
      <c r="AA61" s="231"/>
      <c r="AB61" s="913"/>
      <c r="AC61" s="913"/>
      <c r="AD61" s="913"/>
      <c r="AE61" s="913"/>
      <c r="AF61" s="913"/>
      <c r="AG61" s="913"/>
      <c r="AH61" s="913"/>
      <c r="AI61" s="913"/>
      <c r="AJ61" s="913"/>
      <c r="AK61" s="913"/>
      <c r="AL61" s="913"/>
      <c r="AM61" s="1041"/>
      <c r="AN61" s="1041"/>
      <c r="AO61" s="1041"/>
      <c r="AP61" s="286"/>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129">
        <f t="array" ref="FG61">IFERROR(+INDEX($FG$20:$FG$50,MATCH(0,INDEX(COUNTIF($FG$57:FG60,$FG$20:$FG$50),0,0),0)),0)</f>
        <v>0</v>
      </c>
    </row>
    <row r="62" spans="1:204" x14ac:dyDescent="0.2">
      <c r="A62" s="234"/>
      <c r="B62" s="234"/>
      <c r="C62" s="234"/>
      <c r="D62" s="234"/>
      <c r="E62" s="234"/>
      <c r="F62" s="234"/>
      <c r="G62" s="234"/>
      <c r="H62" s="2221" t="s">
        <v>59</v>
      </c>
      <c r="I62" s="2221"/>
      <c r="J62" s="2221"/>
      <c r="K62" s="2221"/>
      <c r="L62" s="2221"/>
      <c r="M62" s="2221"/>
      <c r="N62" s="2197">
        <f ca="1">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1043"/>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CE62" s="129"/>
      <c r="CF62" s="129"/>
      <c r="FG62" s="129">
        <f t="array" ref="FG62">IFERROR(+INDEX($FG$20:$FG$50,MATCH(0,INDEX(COUNTIF($FG$57:FG61,$FG$20:$FG$50),0,0),0)),0)</f>
        <v>0</v>
      </c>
    </row>
    <row r="63" spans="1:204"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1043"/>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c r="CE63" s="129"/>
      <c r="CF63" s="129"/>
    </row>
    <row r="64" spans="1:204"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7">+IF(FG59=0,"",FG59)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86"/>
      <c r="AQ64" s="923" t="s">
        <v>1095</v>
      </c>
      <c r="AR64" s="920"/>
      <c r="AZ64" s="129"/>
      <c r="BA64" s="129"/>
      <c r="BB64" s="129"/>
      <c r="BC64" s="2098"/>
      <c r="BD64" s="2098"/>
      <c r="BE64" s="2098"/>
      <c r="BF64" s="2098"/>
      <c r="BG64" s="1435"/>
      <c r="BH64" s="1435"/>
      <c r="BI64" s="129"/>
      <c r="BJ64" s="129"/>
      <c r="BK64" s="129"/>
      <c r="BL64" s="129"/>
      <c r="BM64" s="129"/>
      <c r="BN64" s="129"/>
      <c r="BO64" s="129"/>
      <c r="BP64" s="129"/>
      <c r="CE64" s="129"/>
      <c r="CF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7"/>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86"/>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7"/>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+BA65</f>
        <v>0</v>
      </c>
      <c r="L67" s="1782"/>
      <c r="M67" s="1782"/>
      <c r="N67" s="1780">
        <f>ROUND(K67*H67,2)</f>
        <v>0</v>
      </c>
      <c r="O67" s="1780"/>
      <c r="P67" s="1780"/>
      <c r="Q67" s="248"/>
      <c r="R67" s="2079" t="str">
        <f t="shared" si="77"/>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 ca="1">+(T35*3.15%)-((H57+H58)*1.7%)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3"/>
      <c r="BA70" s="253"/>
      <c r="BB70" s="253"/>
      <c r="BC70" s="253"/>
      <c r="BD70" s="253"/>
      <c r="BE70" s="253"/>
      <c r="BF70" s="253"/>
      <c r="BG70" s="253"/>
      <c r="BH70" s="253"/>
      <c r="BI70" s="253"/>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 ca="1">+N59*-1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2252" t="s">
        <v>1280</v>
      </c>
      <c r="AV72" s="2253"/>
      <c r="AW72" s="2253"/>
      <c r="AX72" s="2253"/>
      <c r="AY72" s="2253"/>
      <c r="AZ72" s="2253"/>
      <c r="BA72" s="2253"/>
      <c r="BB72" s="2254"/>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 ca="1">+ROUND((T18+T23+T24+T25+T29+HO16+T30+T31+T32+T33+T34)-(N61-(N57+N58)),2)</f>
        <v>0</v>
      </c>
      <c r="F74" s="1776"/>
      <c r="G74" s="2154"/>
      <c r="H74" s="1765">
        <f ca="1">E74</f>
        <v>0</v>
      </c>
      <c r="I74" s="1766"/>
      <c r="J74" s="1766"/>
      <c r="K74" s="1767"/>
      <c r="L74" s="1778" t="s">
        <v>1601</v>
      </c>
      <c r="M74" s="1778"/>
      <c r="N74" s="1778"/>
      <c r="O74" s="1778"/>
      <c r="P74" s="1778"/>
      <c r="Q74" s="1742">
        <f ca="1">+N62+N71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59" t="s">
        <v>1094</v>
      </c>
      <c r="CC74" s="1142">
        <v>0</v>
      </c>
      <c r="CD74" s="129" t="s">
        <v>1545</v>
      </c>
    </row>
    <row r="75" spans="1:83" ht="13.5" thickTop="1" x14ac:dyDescent="0.2">
      <c r="A75" s="1790" t="s">
        <v>77</v>
      </c>
      <c r="B75" s="1729"/>
      <c r="C75" s="1729"/>
      <c r="D75" s="1791"/>
      <c r="E75" s="1775">
        <f>+IF(AC133="Oui",SUM(N65:P70),SUM(N65:P69))</f>
        <v>0</v>
      </c>
      <c r="F75" s="1776"/>
      <c r="G75" s="2154"/>
      <c r="H75" s="1775">
        <f>+E75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Janv'!EH51=0,"",'Retenue Janv'!EH51),AX76)</f>
        <v/>
      </c>
      <c r="AZ75" s="2043"/>
      <c r="BA75" s="936" t="str">
        <f>+IF(BA76="",IF('Retenue Janv'!EF51=0,"",'Retenue Janv'!EF51),BA76)</f>
        <v/>
      </c>
      <c r="BB75" s="937"/>
      <c r="BC75" s="938" t="str">
        <f>IF(BC76="",IF(+'Retenue Janv'!EG51=0,"",'Retenue Janv'!EG51),BC76)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 ca="1">+Q78*-1</f>
        <v>0</v>
      </c>
      <c r="F76" s="1776"/>
      <c r="G76" s="2154"/>
      <c r="H76" s="1775">
        <f ca="1">+E76</f>
        <v>0</v>
      </c>
      <c r="I76" s="1776"/>
      <c r="J76" s="1776"/>
      <c r="K76" s="1777"/>
      <c r="L76" s="1778" t="s">
        <v>73</v>
      </c>
      <c r="M76" s="1778"/>
      <c r="N76" s="1778"/>
      <c r="O76" s="1778"/>
      <c r="P76" s="1779"/>
      <c r="Q76" s="1742">
        <f ca="1">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 ca="1">ROUND(+T19+T20+T21+T22+T26,2)</f>
        <v>0</v>
      </c>
      <c r="F77" s="2160"/>
      <c r="G77" s="2161"/>
      <c r="H77" s="2159">
        <f ca="1">+E77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 ca="1">+IFERROR(IF(BY6="non",DK36,E74),0)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0" t="s">
        <v>1095</v>
      </c>
      <c r="CB77" s="129" t="s">
        <v>72</v>
      </c>
    </row>
    <row r="78" spans="1:83" ht="15" customHeight="1" x14ac:dyDescent="0.2">
      <c r="H78" s="1031"/>
      <c r="I78" s="1031"/>
      <c r="J78" s="1031"/>
      <c r="K78" s="234"/>
      <c r="L78" s="1820" t="s">
        <v>76</v>
      </c>
      <c r="M78" s="1820"/>
      <c r="N78" s="1820"/>
      <c r="O78" s="1820"/>
      <c r="P78" s="2188"/>
      <c r="Q78" s="1742">
        <f ca="1">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+IF(AR78="",Identification!B63,AR78)</f>
        <v>0</v>
      </c>
      <c r="AM78" s="2179"/>
      <c r="AN78" s="2179"/>
      <c r="AO78" s="2179"/>
      <c r="AQ78" s="438" t="s">
        <v>762</v>
      </c>
      <c r="AR78" s="2248"/>
      <c r="AS78" s="2248"/>
      <c r="AT78" s="2041" t="str">
        <f>IFERROR(VLOOKUP(AY78,'Liste des Libellés'!$A$4:$F$32,6,FALSE),"")</f>
        <v/>
      </c>
      <c r="AU78" s="2041"/>
      <c r="AV78" s="2041"/>
      <c r="AW78" s="2041"/>
      <c r="AX78" s="935"/>
      <c r="AY78" s="2043" t="str">
        <f>+IF(AX79="",IF('Retenue Janv'!EH53=0,"",'Retenue Janv'!EH53),AX79)</f>
        <v/>
      </c>
      <c r="AZ78" s="2043"/>
      <c r="BA78" s="936" t="str">
        <f>+IF(BA79="",IF('Retenue Janv'!EF53=0,"",'Retenue Janv'!EF53),BA79)</f>
        <v/>
      </c>
      <c r="BB78" s="937"/>
      <c r="BC78" s="938" t="str">
        <f>IF(BC79="",IF(+'Retenue Janv'!EG53=0,"",'Retenue Janv'!EG53),BC79)</f>
        <v/>
      </c>
      <c r="BD78" s="972"/>
      <c r="BE78" s="129"/>
      <c r="BF78" s="129"/>
      <c r="BG78" s="129"/>
      <c r="BH78" s="129"/>
      <c r="BI78" s="129"/>
      <c r="CA78" s="663" t="s">
        <v>1093</v>
      </c>
      <c r="CB78" s="213" t="str">
        <f ca="1">IF((T35-(T32+T33+T34))&gt;=CA75,"OUI","NON")</f>
        <v>OUI</v>
      </c>
    </row>
    <row r="79" spans="1:83" ht="13.5" customHeight="1" x14ac:dyDescent="0.2">
      <c r="K79" s="1456" t="s">
        <v>148</v>
      </c>
      <c r="AE79" s="131"/>
      <c r="AH79" s="131"/>
      <c r="AI79" s="206"/>
      <c r="AP79" s="218"/>
      <c r="AQ79" s="344"/>
      <c r="AR79" s="218"/>
      <c r="AS79" s="1583"/>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1729"/>
      <c r="F80" s="2189" t="s">
        <v>1712</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06/"&amp;Identification!B60-2002&amp;" à 05/"&amp;Identification!B60-2001</f>
        <v>Année préc. de 06/23 à 05/24</v>
      </c>
      <c r="AI80" s="2047"/>
      <c r="AJ80" s="2047"/>
      <c r="AK80" s="2048"/>
      <c r="AL80" s="2046" t="str">
        <f>+"Année en cours de 06/"&amp;Identification!B60-2001&amp;" à 05/"&amp;Identification!B60-2000</f>
        <v>Année en cours de 06/24 à 05/25</v>
      </c>
      <c r="AM80" s="2047"/>
      <c r="AN80" s="2047"/>
      <c r="AO80" s="2048"/>
      <c r="AP80" s="218"/>
      <c r="AQ80" s="344"/>
      <c r="AR80" s="218"/>
      <c r="AS80" s="1583"/>
      <c r="AU80" s="129"/>
      <c r="AV80" s="129"/>
      <c r="AW80" s="129"/>
      <c r="AX80" s="931"/>
      <c r="AY80" s="931"/>
      <c r="AZ80" s="931"/>
      <c r="BA80" s="931"/>
      <c r="BB80" s="931"/>
      <c r="BC80" s="931"/>
      <c r="BD80" s="931"/>
      <c r="BE80" s="129"/>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1729"/>
      <c r="F81" s="2156">
        <f ca="1">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044" t="s">
        <v>761</v>
      </c>
      <c r="AR81" s="2045"/>
      <c r="AS81" s="2045"/>
      <c r="AT81" s="2040" t="str">
        <f>IFERROR(VLOOKUP(AY81,'Liste des Libellés'!$A$4:$F$32,6,FALSE),"")</f>
        <v/>
      </c>
      <c r="AU81" s="2041"/>
      <c r="AV81" s="2041"/>
      <c r="AW81" s="2041"/>
      <c r="AX81" s="935"/>
      <c r="AY81" s="2043" t="str">
        <f>+IF(AX82="",IF('Retenue Janv'!EH55=0,"",'Retenue Janv'!EH55),AX82)</f>
        <v/>
      </c>
      <c r="AZ81" s="2043"/>
      <c r="BA81" s="936" t="str">
        <f>+IF(BA82="",IF('Retenue Janv'!EF55=0,"",'Retenue Janv'!EF55),BA82)</f>
        <v/>
      </c>
      <c r="BB81" s="937"/>
      <c r="BC81" s="938" t="str">
        <f>IF(BC82="",IF(+'Retenue Janv'!EG55=0,"",'Retenue Janv'!EG55),BC82)</f>
        <v/>
      </c>
      <c r="BD81" s="972"/>
      <c r="BE81" s="129"/>
      <c r="BF81" s="129"/>
      <c r="BG81" s="129"/>
      <c r="BH81" s="129"/>
      <c r="BI81" s="129"/>
      <c r="BQ81" s="129" t="s">
        <v>78</v>
      </c>
      <c r="BZ81" s="232" t="e">
        <f ca="1">IF(AND(ROUNDUP((T19+T20+T22+T26)/(AL14*(1+N15)),Identification!B122)&gt;0,ROUNDUP((T19+T20+T22+T26)/(AL14*(1+N15)),Identification!B122)&lt;=1),ROUNDUP((T19+T20+T22+T26)/(AL14*(1+N15)),Identification!B122),ROUNDDOWN((T19+T20+T22+T26)/(AL14*(1+N15)),Identification!B122))</f>
        <v>#DIV/0!</v>
      </c>
      <c r="CA81" s="665" t="s">
        <v>1095</v>
      </c>
      <c r="CB81" s="658"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1729"/>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1574"/>
      <c r="AR82" s="1584"/>
      <c r="AS82" s="1584"/>
      <c r="AT82" s="939"/>
      <c r="AU82" s="940"/>
      <c r="AV82" s="940"/>
      <c r="AW82" s="941" t="s">
        <v>503</v>
      </c>
      <c r="AX82" s="2042"/>
      <c r="AY82" s="2042"/>
      <c r="AZ82" s="940"/>
      <c r="BA82" s="1152"/>
      <c r="BB82" s="942"/>
      <c r="BC82" s="1153"/>
      <c r="BD82" s="983"/>
      <c r="BE82" s="129"/>
      <c r="BF82" s="129"/>
      <c r="BG82" s="129"/>
      <c r="BH82" s="129"/>
      <c r="BI82" s="129"/>
      <c r="BQ82" s="2057" t="str">
        <f ca="1">"Détail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2.75" customHeight="1" thickBot="1" x14ac:dyDescent="0.25">
      <c r="A83" s="1729" t="s">
        <v>153</v>
      </c>
      <c r="B83" s="1729"/>
      <c r="C83" s="1729"/>
      <c r="D83" s="1729"/>
      <c r="E83" s="1729"/>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IF(AR83="",Report!D24,AR83)</f>
        <v>0</v>
      </c>
      <c r="AI83" s="2055"/>
      <c r="AJ83" s="2055"/>
      <c r="AK83" s="2056"/>
      <c r="AL83" s="2054">
        <f>IF(AS83="",+Report!D25,AS83)</f>
        <v>0</v>
      </c>
      <c r="AM83" s="2055"/>
      <c r="AN83" s="2055"/>
      <c r="AO83" s="2056"/>
      <c r="AP83" s="249"/>
      <c r="AQ83" s="438" t="s">
        <v>762</v>
      </c>
      <c r="AR83" s="1575"/>
      <c r="AS83" s="1575"/>
      <c r="AT83" s="524"/>
      <c r="AU83" s="524"/>
      <c r="AV83" s="524"/>
      <c r="AW83" s="524"/>
      <c r="AX83" s="932"/>
      <c r="AY83" s="932"/>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1576"/>
      <c r="AR84" s="1577"/>
      <c r="AS84" s="1583"/>
      <c r="AT84" s="2040" t="str">
        <f>IFERROR(VLOOKUP(AY84,'Liste des Libellés'!$A$4:$F$32,6,FALSE),"")</f>
        <v/>
      </c>
      <c r="AU84" s="2041"/>
      <c r="AV84" s="2041"/>
      <c r="AW84" s="2041"/>
      <c r="AX84" s="935"/>
      <c r="AY84" s="2043" t="str">
        <f>+IF(AX85="",IF('Retenue Janv'!EH57=0,"",'Retenue Janv'!EH57),AX85)</f>
        <v/>
      </c>
      <c r="AZ84" s="2043"/>
      <c r="BA84" s="936" t="str">
        <f>+IF(BA85="",IF('Retenue Janv'!EF57=0,"",'Retenue Janv'!EF57),BA85)</f>
        <v/>
      </c>
      <c r="BB84" s="937"/>
      <c r="BC84" s="938" t="str">
        <f>IF(BC85="",IF(+'Retenue Janv'!EG57=0,"",'Retenue Janv'!EG57),BC85)</f>
        <v/>
      </c>
      <c r="BD84" s="972"/>
      <c r="BE84" s="129"/>
      <c r="BF84" s="129"/>
      <c r="BG84" s="129"/>
      <c r="BH84" s="129"/>
      <c r="BI84" s="129"/>
      <c r="BQ84" s="129" t="s">
        <v>80</v>
      </c>
      <c r="BZ84" s="232">
        <f>IF(AND(ROUNDUP(+L21,Identification!B123)&gt;0,ROUNDUP(+L21,Identification!B123)&lt;=1),ROUNDUP(+L21,Identification!B123),ROUNDDOWN(+L21,Identification!B123))</f>
        <v>0</v>
      </c>
      <c r="CB84" s="2036" t="s">
        <v>1092</v>
      </c>
      <c r="CC84" s="260"/>
    </row>
    <row r="85" spans="1:82" ht="12.75" customHeight="1" x14ac:dyDescent="0.2">
      <c r="I85" s="2176" t="s">
        <v>1499</v>
      </c>
      <c r="J85" s="2176"/>
      <c r="K85" s="2176"/>
      <c r="L85" s="2176"/>
      <c r="M85" s="2176"/>
      <c r="N85" s="2176"/>
      <c r="O85" s="2176"/>
      <c r="P85" s="2177"/>
      <c r="Q85" s="1742">
        <f ca="1">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1576"/>
      <c r="AR85" s="1578" t="s">
        <v>1675</v>
      </c>
      <c r="AS85" s="1583"/>
      <c r="AT85" s="939"/>
      <c r="AU85" s="940"/>
      <c r="AV85" s="940"/>
      <c r="AW85" s="941" t="s">
        <v>503</v>
      </c>
      <c r="AX85" s="2042"/>
      <c r="AY85" s="2042"/>
      <c r="AZ85" s="940"/>
      <c r="BA85" s="1152"/>
      <c r="BB85" s="942"/>
      <c r="BC85" s="1153"/>
      <c r="BD85" s="983"/>
      <c r="BE85" s="129"/>
      <c r="BF85" s="129"/>
      <c r="BG85" s="129"/>
      <c r="BH85" s="129"/>
      <c r="BI85" s="129"/>
      <c r="CA85" s="657"/>
      <c r="CB85" s="2037"/>
    </row>
    <row r="86" spans="1:82" ht="14.25" customHeight="1" thickBot="1" x14ac:dyDescent="0.25">
      <c r="A86" s="1820" t="s">
        <v>81</v>
      </c>
      <c r="B86" s="1820"/>
      <c r="C86" s="1820"/>
      <c r="D86" s="1820"/>
      <c r="E86" s="1820"/>
      <c r="F86" s="2155">
        <f>+Identification!B43</f>
        <v>0</v>
      </c>
      <c r="G86" s="2155"/>
      <c r="H86" s="2155"/>
      <c r="I86" s="2155"/>
      <c r="J86" s="2155"/>
      <c r="K86" s="2155"/>
      <c r="L86" s="2155"/>
      <c r="M86" s="592"/>
      <c r="N86" s="592"/>
      <c r="O86" s="1454"/>
      <c r="P86" s="1454"/>
      <c r="Q86" s="1454"/>
      <c r="R86" s="1454"/>
      <c r="S86" s="1454"/>
      <c r="T86" s="1454"/>
      <c r="U86" s="592"/>
      <c r="V86" s="1804" t="s">
        <v>1662</v>
      </c>
      <c r="W86" s="1805"/>
      <c r="X86" s="1805"/>
      <c r="Y86" s="1805"/>
      <c r="Z86" s="1805"/>
      <c r="AA86" s="1805"/>
      <c r="AB86" s="1805"/>
      <c r="AC86" s="1805"/>
      <c r="AD86" s="1805"/>
      <c r="AE86" s="1805"/>
      <c r="AF86" s="1805"/>
      <c r="AG86" s="1841"/>
      <c r="AH86" s="1731">
        <f>IF(AR86="",Report!D44,AR86)</f>
        <v>0</v>
      </c>
      <c r="AI86" s="1732"/>
      <c r="AJ86" s="1732"/>
      <c r="AK86" s="1733"/>
      <c r="AL86" s="1731">
        <f>IF(AS86="",IF(DP8=52,Report!D45+EI29,Report!D45+EI25),IF(DP8=52,AS86+EI29,AS86+EI25))</f>
        <v>0</v>
      </c>
      <c r="AM86" s="1732"/>
      <c r="AN86" s="1732"/>
      <c r="AO86" s="1733"/>
      <c r="AP86" s="249"/>
      <c r="AQ86" s="438"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1018">
        <f ca="1">+IF(Identification!B125="Net",IF(OR(BZ118="Scénario 2",BZ118="Scénario 3"),DK25+(T32*BY4),+DK25),IF(Identification!B125="Brut",IF(OR(BZ118="Scénario 2",BZ118="Scénario 3"),DK25+(T32),+DK25),"Erreur"))</f>
        <v>0</v>
      </c>
      <c r="CA86" s="657"/>
      <c r="CB86" s="2038"/>
      <c r="CC86" s="262"/>
    </row>
    <row r="87" spans="1:82" x14ac:dyDescent="0.2">
      <c r="A87" s="1820" t="s">
        <v>82</v>
      </c>
      <c r="B87" s="1820"/>
      <c r="C87" s="1820"/>
      <c r="D87" s="1820"/>
      <c r="E87" s="1820"/>
      <c r="F87" s="2288">
        <f>EOMONTH(X3,0)</f>
        <v>45688</v>
      </c>
      <c r="G87" s="2288"/>
      <c r="H87" s="2288"/>
      <c r="I87" s="2288"/>
      <c r="K87" s="592"/>
      <c r="L87" s="592"/>
      <c r="M87" s="1453"/>
      <c r="N87" s="1453"/>
      <c r="O87" s="1453"/>
      <c r="P87" s="1453"/>
      <c r="Q87" s="1453"/>
      <c r="R87" s="1745">
        <v>0</v>
      </c>
      <c r="S87" s="1745"/>
      <c r="T87" s="1745"/>
      <c r="U87" s="592"/>
      <c r="V87" s="1804" t="s">
        <v>537</v>
      </c>
      <c r="W87" s="1805"/>
      <c r="X87" s="1805"/>
      <c r="Y87" s="1805"/>
      <c r="Z87" s="1805"/>
      <c r="AA87" s="1805"/>
      <c r="AB87" s="1805"/>
      <c r="AC87" s="1805"/>
      <c r="AD87" s="1805"/>
      <c r="AE87" s="1805"/>
      <c r="AF87" s="1805"/>
      <c r="AG87" s="1841"/>
      <c r="AH87" s="1731">
        <f>IF(AR87="",Report!D28,AR87)</f>
        <v>0</v>
      </c>
      <c r="AI87" s="1732"/>
      <c r="AJ87" s="1732"/>
      <c r="AK87" s="1733"/>
      <c r="AL87" s="1731"/>
      <c r="AM87" s="1732"/>
      <c r="AN87" s="1732"/>
      <c r="AO87" s="1733"/>
      <c r="AP87" s="249"/>
      <c r="AQ87" s="438" t="s">
        <v>762</v>
      </c>
      <c r="AR87" s="1579"/>
      <c r="AS87" s="1602" t="s">
        <v>765</v>
      </c>
      <c r="AT87" s="441"/>
      <c r="AU87" s="441"/>
      <c r="AV87" s="441"/>
      <c r="AW87" s="441"/>
      <c r="AX87" s="441"/>
      <c r="AY87" s="441"/>
      <c r="AZ87" s="129"/>
      <c r="BA87" s="129"/>
      <c r="BB87" s="129"/>
      <c r="BC87" s="129"/>
      <c r="BD87" s="129"/>
      <c r="BE87" s="129"/>
      <c r="BF87" s="129"/>
      <c r="BG87" s="129"/>
      <c r="BH87" s="129"/>
      <c r="BI87" s="129"/>
    </row>
    <row r="88" spans="1:82" x14ac:dyDescent="0.2">
      <c r="A88" s="1820" t="s">
        <v>84</v>
      </c>
      <c r="B88" s="1820"/>
      <c r="C88" s="1820"/>
      <c r="D88" s="1820"/>
      <c r="E88" s="1820"/>
      <c r="K88" s="1453"/>
      <c r="L88" s="1453"/>
      <c r="M88" s="1453"/>
      <c r="N88" s="1453"/>
      <c r="O88" s="1453"/>
      <c r="P88" s="1453"/>
      <c r="Q88" s="1453"/>
      <c r="R88" s="2150">
        <v>0</v>
      </c>
      <c r="S88" s="2150"/>
      <c r="T88" s="2150"/>
      <c r="U88" s="592"/>
      <c r="V88" s="1804" t="s">
        <v>639</v>
      </c>
      <c r="W88" s="1805"/>
      <c r="X88" s="1805"/>
      <c r="Y88" s="1805"/>
      <c r="Z88" s="1805"/>
      <c r="AA88" s="1805"/>
      <c r="AB88" s="1805"/>
      <c r="AC88" s="1805"/>
      <c r="AD88" s="1805"/>
      <c r="AE88" s="1805"/>
      <c r="AF88" s="1805"/>
      <c r="AG88" s="1841"/>
      <c r="AH88" s="1739">
        <f>ROUNDUP(MIN(+AH87+AH85+AH86,30),0)</f>
        <v>0</v>
      </c>
      <c r="AI88" s="1740"/>
      <c r="AJ88" s="1740"/>
      <c r="AK88" s="1741"/>
      <c r="AL88" s="1739">
        <f>CEILING(MIN(+AL85+AL86,30),0.5)</f>
        <v>0</v>
      </c>
      <c r="AM88" s="1740"/>
      <c r="AN88" s="1740"/>
      <c r="AO88" s="1741"/>
      <c r="AP88" s="249"/>
      <c r="AQ88" s="1576"/>
      <c r="AR88" s="1585"/>
      <c r="AS88" s="757" t="s">
        <v>764</v>
      </c>
      <c r="AT88" s="524"/>
      <c r="AU88" s="524"/>
      <c r="AV88" s="524"/>
      <c r="AW88" s="524"/>
      <c r="AX88" s="524"/>
      <c r="AY88" s="524"/>
      <c r="AZ88" s="129"/>
      <c r="BA88" s="129"/>
      <c r="BB88" s="129"/>
      <c r="BC88" s="129"/>
      <c r="BD88" s="129"/>
      <c r="BE88" s="129"/>
      <c r="BF88" s="129"/>
      <c r="BG88" s="129"/>
      <c r="BH88" s="129"/>
      <c r="BI88" s="129"/>
      <c r="BQ88" s="129" t="str">
        <f>+IF(Identification!B130="Oui","Indemnités d'entretien (+ Autres) :","Indemnités d'entretien")</f>
        <v>Indemnités d'entretien (+ Autres) :</v>
      </c>
      <c r="BZ88" s="261">
        <f>+IF(Identification!B130="Oui",N65+N66+N70,N65+N66)</f>
        <v>0</v>
      </c>
      <c r="CB88" s="262"/>
      <c r="CC88" s="262"/>
    </row>
    <row r="89" spans="1:82" x14ac:dyDescent="0.2">
      <c r="K89" s="1453"/>
      <c r="L89" s="1453"/>
      <c r="M89" s="1453"/>
      <c r="N89" s="1453"/>
      <c r="O89" s="1453"/>
      <c r="P89" s="1453"/>
      <c r="Q89" s="1453"/>
      <c r="R89" s="2150">
        <v>0</v>
      </c>
      <c r="S89" s="2150"/>
      <c r="T89" s="2150"/>
      <c r="U89" s="592"/>
      <c r="V89" s="1804" t="s">
        <v>1028</v>
      </c>
      <c r="W89" s="1805"/>
      <c r="X89" s="1805"/>
      <c r="Y89" s="1805"/>
      <c r="Z89" s="1805"/>
      <c r="AA89" s="1805"/>
      <c r="AB89" s="1805"/>
      <c r="AC89" s="1805"/>
      <c r="AD89" s="1805"/>
      <c r="AE89" s="1805"/>
      <c r="AF89" s="1805"/>
      <c r="AG89" s="1841"/>
      <c r="AH89" s="1731">
        <f>+IF(AR89="",Report!D26,AR89)</f>
        <v>0</v>
      </c>
      <c r="AI89" s="1732"/>
      <c r="AJ89" s="1732"/>
      <c r="AK89" s="1733"/>
      <c r="AL89" s="1731">
        <f>+IF(AS89="",Report!D27,AS89)</f>
        <v>0</v>
      </c>
      <c r="AM89" s="1732"/>
      <c r="AN89" s="1732"/>
      <c r="AO89" s="1733"/>
      <c r="AP89" s="249"/>
      <c r="AQ89" s="438" t="s">
        <v>762</v>
      </c>
      <c r="AR89" s="1575"/>
      <c r="AS89" s="1575"/>
      <c r="AZ89" s="217" t="s">
        <v>1694</v>
      </c>
      <c r="BA89" s="961" t="s">
        <v>1695</v>
      </c>
      <c r="BB89" s="129"/>
      <c r="BC89" s="129"/>
      <c r="BD89" s="129"/>
      <c r="BE89" s="129"/>
      <c r="BF89" s="129"/>
      <c r="BG89" s="129"/>
      <c r="BH89" s="129"/>
      <c r="BI89" s="129"/>
      <c r="BZ89" s="248"/>
      <c r="CB89" s="248"/>
      <c r="CC89" s="248"/>
    </row>
    <row r="90" spans="1:82" x14ac:dyDescent="0.2">
      <c r="K90" s="1748"/>
      <c r="L90" s="1748"/>
      <c r="M90" s="1748"/>
      <c r="N90" s="1748"/>
      <c r="O90" s="1748"/>
      <c r="P90" s="1748"/>
      <c r="Q90" s="1748"/>
      <c r="R90" s="1745">
        <v>0</v>
      </c>
      <c r="S90" s="1745"/>
      <c r="T90" s="1745"/>
      <c r="U90" s="592"/>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1576"/>
      <c r="AR90" s="1580" t="s">
        <v>1423</v>
      </c>
      <c r="AS90" s="1583"/>
      <c r="AU90" s="871"/>
      <c r="AV90" s="1025"/>
      <c r="AW90" s="1025"/>
      <c r="AX90" s="1025"/>
      <c r="AY90" s="913" t="s">
        <v>680</v>
      </c>
      <c r="AZ90" s="1565"/>
      <c r="BA90" s="1565"/>
      <c r="BB90" s="129"/>
      <c r="BC90" s="129"/>
      <c r="BD90" s="129"/>
      <c r="BE90" s="129"/>
      <c r="BF90" s="129"/>
      <c r="BG90" s="129"/>
      <c r="BH90" s="129"/>
      <c r="BI90" s="129"/>
      <c r="BQ90" s="129" t="s">
        <v>87</v>
      </c>
      <c r="BZ90" s="261">
        <f>+N67+N68</f>
        <v>0</v>
      </c>
    </row>
    <row r="91" spans="1:82" x14ac:dyDescent="0.2">
      <c r="A91" s="1061" t="s">
        <v>1464</v>
      </c>
      <c r="B91" s="1062"/>
      <c r="K91" s="592"/>
      <c r="L91" s="592"/>
      <c r="M91" s="592"/>
      <c r="N91" s="592"/>
      <c r="O91" s="592"/>
      <c r="P91" s="592"/>
      <c r="Q91" s="592"/>
      <c r="R91" s="592"/>
      <c r="S91" s="592"/>
      <c r="T91" s="1228"/>
      <c r="U91" s="592"/>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581"/>
      <c r="AS91" s="1581"/>
      <c r="AZ91" s="129"/>
      <c r="BA91" s="129"/>
      <c r="BB91" s="129"/>
      <c r="BC91" s="129"/>
      <c r="BD91" s="129"/>
      <c r="BE91" s="129"/>
      <c r="BF91" s="129"/>
      <c r="BG91" s="129"/>
      <c r="BH91" s="129"/>
      <c r="BI91" s="129"/>
      <c r="CB91" s="262"/>
      <c r="CC91" s="262"/>
    </row>
    <row r="92" spans="1:82" x14ac:dyDescent="0.2">
      <c r="A92" s="1061" t="s">
        <v>1465</v>
      </c>
      <c r="B92" s="1062"/>
      <c r="K92" s="592"/>
      <c r="L92" s="592"/>
      <c r="M92" s="592"/>
      <c r="N92" s="592"/>
      <c r="O92" s="592"/>
      <c r="P92" s="592"/>
      <c r="Q92" s="592"/>
      <c r="R92" s="592"/>
      <c r="S92" s="592"/>
      <c r="T92" s="592"/>
      <c r="U92" s="59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1576"/>
      <c r="AR92" s="1582" t="s">
        <v>1050</v>
      </c>
      <c r="AS92" s="1583"/>
      <c r="AZ92" s="129"/>
      <c r="BA92" s="129"/>
      <c r="BB92" s="129"/>
      <c r="BC92" s="129"/>
      <c r="BD92" s="129"/>
      <c r="BE92" s="129"/>
      <c r="BF92" s="129"/>
      <c r="BG92" s="129"/>
      <c r="BH92" s="129"/>
      <c r="BI92" s="12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+IF(AR93="",Report!D29-(COUNTIF(AD20:AF50,'Liste des Libellés'!A18)),AR93)</f>
        <v>0</v>
      </c>
      <c r="AI93" s="2163"/>
      <c r="AJ93" s="2163"/>
      <c r="AK93" s="2164"/>
      <c r="AL93" s="2162"/>
      <c r="AM93" s="2163"/>
      <c r="AN93" s="2163"/>
      <c r="AO93" s="2164"/>
      <c r="AP93" s="1029"/>
      <c r="AQ93" s="1028" t="s">
        <v>762</v>
      </c>
      <c r="AR93" s="1575"/>
      <c r="AS93" s="1583"/>
      <c r="AZ93" s="67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T94" s="154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4" t="s">
        <v>926</v>
      </c>
      <c r="AR95" s="1540"/>
      <c r="AS95" s="1540"/>
      <c r="AT95" s="525"/>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AR96" s="2276"/>
      <c r="AS96" s="2276"/>
      <c r="BQ96" s="129" t="s">
        <v>476</v>
      </c>
      <c r="BZ96" s="261">
        <f>+IF(Identification!B125="Net",T33*BY4,IF(Identification!B125="Brut",T33,"Erreur"))</f>
        <v>0</v>
      </c>
    </row>
    <row r="97" spans="2:78" x14ac:dyDescent="0.2">
      <c r="AA97" s="206"/>
      <c r="AP97" s="1030"/>
      <c r="AT97" s="872"/>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S98" s="636"/>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31" t="s">
        <v>702</v>
      </c>
      <c r="D99" s="2186">
        <f>+DATE(YEAR(X3)-1,5,31)</f>
        <v>45443</v>
      </c>
      <c r="E99" s="1805"/>
      <c r="F99" s="1805"/>
      <c r="G99" s="2183">
        <f>+IFERROR(IF(AND(M99="",DP8=52),Report!D31,M99),0)</f>
        <v>0</v>
      </c>
      <c r="H99" s="2184"/>
      <c r="I99" s="2185"/>
      <c r="J99" s="439" t="s">
        <v>763</v>
      </c>
      <c r="L99" s="131" t="s">
        <v>503</v>
      </c>
      <c r="M99" s="2187"/>
      <c r="N99" s="2187"/>
      <c r="O99" s="2187"/>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+IFERROR(IF(AND(M100="",DP8=52),Report!D32,M100),0)</f>
        <v>0</v>
      </c>
      <c r="H100" s="2181"/>
      <c r="I100" s="2182"/>
      <c r="J100" s="439" t="s">
        <v>763</v>
      </c>
      <c r="L100" s="131" t="s">
        <v>503</v>
      </c>
      <c r="M100" s="2195"/>
      <c r="N100" s="2195"/>
      <c r="O100" s="2195"/>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Z107" s="1472" t="str">
        <f>+$BG$9</f>
        <v>12025</v>
      </c>
      <c r="BA107" s="1473">
        <f>+$AT$4</f>
        <v>1</v>
      </c>
      <c r="BB107" s="1474"/>
      <c r="BC107" s="1475">
        <f>+IF(BF107&gt;0,BF107,+COUNTIFS($GF$20:$GF$50,"&gt;0",$GB$20:$GB$50,AZ107)+IF($DP$8&lt;52,+COUNTIFS($GH$20:$GH$50,"&gt;0",$GB$20:$GB$50,AZ107)))</f>
        <v>0</v>
      </c>
      <c r="BD107" s="1476">
        <f>IF(BH107&gt;0,BH107,+SUMIFS(S.CAL!$G$2:$G$897,S.CAL!$B$2:$B$897,Janvier!$BY$2,S.CAL!$C$2:$C$897,$AU$4))</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22025</v>
      </c>
      <c r="BA108" s="1478">
        <f>+$AT$5</f>
        <v>2</v>
      </c>
      <c r="BB108" s="1479"/>
      <c r="BC108" s="1480">
        <f>+IF(BF108&gt;0,BF108,COUNTIFS($GF$20:$GF$50,"&gt;0",$GB$20:$GB$50,AZ108)+IF($DP$8&lt;52,+COUNTIFS($GH$20:$GH$50,"&gt;0",$GB$20:$GB$50,AZ108)))</f>
        <v>0</v>
      </c>
      <c r="BD108" s="1481">
        <f>IF(BH108&gt;0,BH108,COUNTIFS(S.CAL!$FX$3:$FX$374,"&gt;0",S.CAL!$FW$3:$FW$374,AZ108))</f>
        <v>0</v>
      </c>
      <c r="BE108" s="1482">
        <f t="shared" ref="BE108:BE112" si="78">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32025</v>
      </c>
      <c r="BA109" s="1478">
        <f>+$AT$6</f>
        <v>3</v>
      </c>
      <c r="BB109" s="1479"/>
      <c r="BC109" s="1480">
        <f>IF(BF109&gt;0,BF109,+COUNTIFS($GF$20:$GF$50,"&gt;0",$GB$20:$GB$50,AZ109)+IF($DP$8&lt;52,+COUNTIFS($GH$20:$GH$50,"&gt;0",$GB$20:$GB$50,AZ109)))</f>
        <v>0</v>
      </c>
      <c r="BD109" s="1481">
        <f>IF(BH109&gt;0,BH109,+COUNTIFS(S.CAL!$FX$3:$FX$374,"&gt;0",S.CAL!$FW$3:$FW$374,AZ109))</f>
        <v>0</v>
      </c>
      <c r="BE109" s="1482">
        <f t="shared" si="78"/>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42025</v>
      </c>
      <c r="BA110" s="1478">
        <f>+$AT$7</f>
        <v>4</v>
      </c>
      <c r="BB110" s="1479"/>
      <c r="BC110" s="1480">
        <f>IF(BF110&gt;0,BF110,+COUNTIFS($GF$20:$GF$50,"&gt;0",$GB$20:$GB$50,AZ110)+IF($DP$8&lt;52,+COUNTIFS($GH$20:$GH$50,"&gt;0",$GB$20:$GB$50,AZ110)))</f>
        <v>0</v>
      </c>
      <c r="BD110" s="1481">
        <f>IF(BH110&gt;0,BH110,+COUNTIFS(S.CAL!$FX$3:$FX$374,"&gt;0",S.CAL!$FW$3:$FW$374,AZ110))</f>
        <v>0</v>
      </c>
      <c r="BE110" s="1482">
        <f t="shared" si="78"/>
        <v>0</v>
      </c>
      <c r="BF110" s="1501"/>
      <c r="BG110" s="1498"/>
      <c r="BH110" s="1501"/>
      <c r="BY110" s="1286"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52025</v>
      </c>
      <c r="BA111" s="1478">
        <f>+$AT$8</f>
        <v>5</v>
      </c>
      <c r="BB111" s="1479"/>
      <c r="BC111" s="1480">
        <f>IF(BF111&gt;0,BF111,+COUNTIFS($GF$20:$GF$50,"&gt;0",$GB$20:$GB$50,AZ111)+IF($DP$8&lt;52,+COUNTIFS($GH$20:$GH$50,"&gt;0",$GB$20:$GB$50,AZ111)))</f>
        <v>0</v>
      </c>
      <c r="BD111" s="1481">
        <f>IF(BH111&gt;0,BH111,+COUNTIFS(S.CAL!$FX$3:$FX$374,"&gt;0",S.CAL!$FW$3:$FW$374,AZ111))</f>
        <v>0</v>
      </c>
      <c r="BE111" s="1482">
        <f t="shared" si="78"/>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8"/>
        <v>0</v>
      </c>
      <c r="BF112" s="1502"/>
      <c r="BG112" s="1492"/>
      <c r="BH112" s="1502"/>
      <c r="BY112" s="592"/>
    </row>
    <row r="113" spans="2:79"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9"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9"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c r="CA115" s="287"/>
    </row>
    <row r="116" spans="2:79"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9"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c r="CA117" s="288"/>
    </row>
    <row r="118" spans="2:79"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c r="CA118" s="288"/>
    </row>
    <row r="119" spans="2:79" ht="13.5" customHeight="1" x14ac:dyDescent="0.2"/>
    <row r="120" spans="2:79" ht="13.5" hidden="1" customHeight="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9" ht="13.5" hidden="1" customHeight="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9" ht="12.75" hidden="1" customHeight="1" x14ac:dyDescent="0.2">
      <c r="B122" s="272"/>
      <c r="P122" s="273"/>
      <c r="U122" s="272"/>
      <c r="AQ122" s="267"/>
      <c r="AR122" s="267"/>
      <c r="AS122" s="490"/>
    </row>
    <row r="123" spans="2:79" ht="12.75" hidden="1" customHeight="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9" ht="13.5" hidden="1" customHeight="1" thickBot="1" x14ac:dyDescent="0.25">
      <c r="B124" s="272"/>
      <c r="L124" s="274"/>
      <c r="M124" s="274"/>
      <c r="P124" s="273"/>
      <c r="U124" s="272"/>
      <c r="AQ124" s="276"/>
      <c r="AR124" s="276"/>
      <c r="AS124" s="491"/>
    </row>
    <row r="125" spans="2:79" ht="12.75" hidden="1" customHeight="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9" ht="13.5" hidden="1" customHeight="1" thickBot="1" x14ac:dyDescent="0.25">
      <c r="B126" s="275"/>
      <c r="C126" s="276"/>
      <c r="D126" s="276"/>
      <c r="E126" s="276"/>
      <c r="F126" s="276"/>
      <c r="G126" s="276"/>
      <c r="H126" s="276"/>
      <c r="I126" s="276"/>
      <c r="J126" s="276"/>
      <c r="K126" s="276"/>
      <c r="L126" s="276"/>
      <c r="M126" s="276"/>
      <c r="N126" s="276"/>
      <c r="O126" s="276"/>
      <c r="P126" s="277"/>
      <c r="U126" s="272"/>
      <c r="AP126" s="273"/>
    </row>
    <row r="127" spans="2:79" ht="13.5" hidden="1" customHeight="1" thickBot="1" x14ac:dyDescent="0.25">
      <c r="U127" s="272"/>
      <c r="V127" s="129" t="s">
        <v>642</v>
      </c>
      <c r="AI127" s="2171" t="s">
        <v>146</v>
      </c>
      <c r="AJ127" s="2171"/>
      <c r="AK127" s="422" t="s">
        <v>753</v>
      </c>
      <c r="AL127" s="424" t="s">
        <v>752</v>
      </c>
      <c r="AM127" s="2173"/>
      <c r="AN127" s="2173"/>
      <c r="AO127" s="2173"/>
      <c r="AP127" s="2174"/>
      <c r="AQ127" s="421"/>
      <c r="AR127" s="421"/>
    </row>
    <row r="128" spans="2:79" ht="12.75" hidden="1" customHeight="1" x14ac:dyDescent="0.2">
      <c r="U128" s="272"/>
      <c r="AQ128" s="267"/>
      <c r="AR128" s="267"/>
      <c r="AS128" s="490"/>
      <c r="AT128" s="528"/>
      <c r="AU128" s="528"/>
      <c r="AV128" s="528"/>
      <c r="AW128" s="528"/>
      <c r="AX128" s="528"/>
      <c r="AY128" s="528"/>
    </row>
    <row r="129" spans="21:81" ht="12.75" hidden="1" customHeight="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2"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BA137" s="1805" t="s">
        <v>1663</v>
      </c>
      <c r="BB137" s="1805"/>
      <c r="BC137" s="1805"/>
      <c r="BD137" s="1805"/>
      <c r="BE137" s="1805"/>
      <c r="BF137" s="1805"/>
      <c r="BG137" s="1805"/>
      <c r="BH137" s="1805"/>
    </row>
    <row r="138" spans="21:81" x14ac:dyDescent="0.2">
      <c r="BA138" s="1470"/>
      <c r="BB138" s="915"/>
      <c r="BC138" s="234"/>
      <c r="BD138" s="234"/>
      <c r="BE138" s="234"/>
    </row>
    <row r="139" spans="21:81" x14ac:dyDescent="0.2">
      <c r="BA139" s="2258" t="s">
        <v>1590</v>
      </c>
      <c r="BB139" s="2258" t="s">
        <v>1591</v>
      </c>
      <c r="BC139" s="2260"/>
      <c r="BD139" s="2262" t="s">
        <v>1592</v>
      </c>
      <c r="BE139" s="2260" t="s">
        <v>1593</v>
      </c>
      <c r="BF139" s="1493" t="s">
        <v>671</v>
      </c>
      <c r="BG139" s="1494"/>
      <c r="BH139" s="1499" t="s">
        <v>671</v>
      </c>
    </row>
    <row r="140" spans="21:81" x14ac:dyDescent="0.2">
      <c r="BA140" s="2259"/>
      <c r="BB140" s="2259"/>
      <c r="BC140" s="2261"/>
      <c r="BD140" s="2263"/>
      <c r="BE140" s="2261"/>
      <c r="BF140" s="1495" t="s">
        <v>1596</v>
      </c>
      <c r="BG140" s="1496" t="s">
        <v>1592</v>
      </c>
      <c r="BH140" s="1497"/>
    </row>
    <row r="141" spans="21:81" x14ac:dyDescent="0.2">
      <c r="BA141" s="1471"/>
      <c r="BB141" s="915"/>
      <c r="BC141" s="1471"/>
      <c r="BD141" s="1471"/>
      <c r="BE141" s="1471"/>
      <c r="BF141" s="333"/>
      <c r="BG141" s="333"/>
      <c r="BH141" s="333"/>
    </row>
    <row r="142" spans="21:81" x14ac:dyDescent="0.2">
      <c r="AZ142" s="1472" t="str">
        <f>+$BG$9</f>
        <v>12025</v>
      </c>
      <c r="BA142" s="1473">
        <f>+$AT$4</f>
        <v>1</v>
      </c>
      <c r="BB142" s="1474"/>
      <c r="BC142" s="1475">
        <f>+IF(BF142&gt;0,BF142,+COUNTIFS($GP$20:$GP$50,"&gt;0",$GB$20:$GB$50,AZ142))</f>
        <v>0</v>
      </c>
      <c r="BD142" s="1476">
        <f>IF(BH142&gt;0,BH142,+SUMIFS(S.CAL!$G$2:$G$897,S.CAL!$B$2:$B$897,Janvier!$BY$2,S.CAL!$C$2:$C$897,$AU$4))</f>
        <v>0</v>
      </c>
      <c r="BE142" s="1477">
        <f>IFERROR(ROUND(+BC142/BD142,2),0)</f>
        <v>0</v>
      </c>
      <c r="BF142" s="1500"/>
      <c r="BG142" s="1491"/>
      <c r="BH142" s="1500"/>
    </row>
    <row r="143" spans="21:81" x14ac:dyDescent="0.2">
      <c r="AZ143" s="1472" t="str">
        <f>+$BG$10</f>
        <v>22025</v>
      </c>
      <c r="BA143" s="1478">
        <f>+$AT$5</f>
        <v>2</v>
      </c>
      <c r="BB143" s="1479"/>
      <c r="BC143" s="1480">
        <f t="shared" ref="BC143:BC147" si="79">+IF(BF143&gt;0,BF143,+COUNTIFS($GP$20:$GP$50,"&gt;0",$GB$20:$GB$50,AZ143))</f>
        <v>0</v>
      </c>
      <c r="BD143" s="1481">
        <f>IF(BH143&gt;0,BH143,COUNTIFS(S.CAL!$FX$3:$FX$374,"&gt;0",S.CAL!$FW$3:$FW$374,AZ143))</f>
        <v>0</v>
      </c>
      <c r="BE143" s="1482">
        <f t="shared" ref="BE143:BE147" si="80">IFERROR(ROUND(+BC143/BD143,2),0)</f>
        <v>0</v>
      </c>
      <c r="BF143" s="1501"/>
      <c r="BG143" s="1498"/>
      <c r="BH143" s="1501"/>
    </row>
    <row r="144" spans="21:81" x14ac:dyDescent="0.2">
      <c r="AZ144" s="1472" t="str">
        <f>+$BG$11</f>
        <v>32025</v>
      </c>
      <c r="BA144" s="1478">
        <f>+$AT$6</f>
        <v>3</v>
      </c>
      <c r="BB144" s="1479"/>
      <c r="BC144" s="1480">
        <f t="shared" si="79"/>
        <v>0</v>
      </c>
      <c r="BD144" s="1481">
        <f>IF(BH144&gt;0,BH144,+COUNTIFS(S.CAL!$FX$3:$FX$374,"&gt;0",S.CAL!$FW$3:$FW$374,AZ144))</f>
        <v>0</v>
      </c>
      <c r="BE144" s="1482">
        <f t="shared" si="80"/>
        <v>0</v>
      </c>
      <c r="BF144" s="1501"/>
      <c r="BG144" s="1498"/>
      <c r="BH144" s="1501"/>
    </row>
    <row r="145" spans="52:60" x14ac:dyDescent="0.2">
      <c r="AZ145" s="1472" t="str">
        <f>+$BG$12</f>
        <v>42025</v>
      </c>
      <c r="BA145" s="1478">
        <f>+$AT$7</f>
        <v>4</v>
      </c>
      <c r="BB145" s="1479"/>
      <c r="BC145" s="1480">
        <f t="shared" si="79"/>
        <v>0</v>
      </c>
      <c r="BD145" s="1481">
        <f>IF(BH145&gt;0,BH145,+COUNTIFS(S.CAL!$FX$3:$FX$374,"&gt;0",S.CAL!$FW$3:$FW$374,AZ145))</f>
        <v>0</v>
      </c>
      <c r="BE145" s="1482">
        <f t="shared" si="80"/>
        <v>0</v>
      </c>
      <c r="BF145" s="1501"/>
      <c r="BG145" s="1498"/>
      <c r="BH145" s="1501"/>
    </row>
    <row r="146" spans="52:60" x14ac:dyDescent="0.2">
      <c r="AZ146" s="1472" t="str">
        <f>+$BG$13</f>
        <v>52025</v>
      </c>
      <c r="BA146" s="1478">
        <f>+$AT$8</f>
        <v>5</v>
      </c>
      <c r="BB146" s="1479"/>
      <c r="BC146" s="1480">
        <f t="shared" si="79"/>
        <v>0</v>
      </c>
      <c r="BD146" s="1481">
        <f>IF(BH146&gt;0,BH146,+COUNTIFS(S.CAL!$FX$3:$FX$374,"&gt;0",S.CAL!$FW$3:$FW$374,AZ146))</f>
        <v>0</v>
      </c>
      <c r="BE146" s="1482">
        <f t="shared" si="80"/>
        <v>0</v>
      </c>
      <c r="BF146" s="1501"/>
      <c r="BG146" s="1498"/>
      <c r="BH146" s="1501"/>
    </row>
    <row r="147" spans="52:60" x14ac:dyDescent="0.2">
      <c r="AZ147" s="1472" t="str">
        <f>+$BG$14</f>
        <v>2025</v>
      </c>
      <c r="BA147" s="1483" t="str">
        <f>+$AT$9</f>
        <v/>
      </c>
      <c r="BB147" s="1484"/>
      <c r="BC147" s="1485">
        <f t="shared" si="79"/>
        <v>0</v>
      </c>
      <c r="BD147" s="1486">
        <f>IF(BH147&gt;0,BH147,+COUNTIFS(S.CAL!$FX$3:$FX$374,"&gt;0",S.CAL!$FW$3:$FW$374,AZ147))</f>
        <v>0</v>
      </c>
      <c r="BE147" s="1487">
        <f t="shared" si="80"/>
        <v>0</v>
      </c>
      <c r="BF147" s="1502"/>
      <c r="BG147" s="1492"/>
      <c r="BH147" s="1502"/>
    </row>
    <row r="148" spans="52:60" x14ac:dyDescent="0.2">
      <c r="BA148" s="234"/>
      <c r="BB148" s="234"/>
      <c r="BC148" s="234"/>
      <c r="BD148" s="234"/>
      <c r="BE148" s="234"/>
    </row>
    <row r="149" spans="52:60" x14ac:dyDescent="0.2">
      <c r="BA149" s="234"/>
      <c r="BB149" s="234"/>
      <c r="BC149" s="234"/>
      <c r="BD149" s="916" t="s">
        <v>1594</v>
      </c>
      <c r="BE149" s="1488">
        <f>MROUND(SUM(BE142:BE147),0.05)</f>
        <v>0</v>
      </c>
    </row>
  </sheetData>
  <sheetProtection algorithmName="SHA-512" hashValue="jAcIuiHcu4PaExpX5GtOFYaIDyBueahM/CFy4SQR/nlA/GzwkQzv+VwXPIdKdEZ6XBfeDkqfqi5E0E8jnPThNA==" saltValue="SILEjUGR2arlbV/EgwePEg==" spinCount="100000" sheet="1" objects="1" scenarios="1" formatCells="0" formatColumns="0" formatRows="0" insertColumns="0" insertRows="0" insertHyperlinks="0" sort="0" autoFilter="0" pivotTables="0"/>
  <mergeCells count="799">
    <mergeCell ref="BL18:BL19"/>
    <mergeCell ref="GP17:GP18"/>
    <mergeCell ref="GQ17:GQ18"/>
    <mergeCell ref="AL86:AO86"/>
    <mergeCell ref="H56:J56"/>
    <mergeCell ref="K56:M56"/>
    <mergeCell ref="R38:Z38"/>
    <mergeCell ref="R40:T40"/>
    <mergeCell ref="K46:M46"/>
    <mergeCell ref="AD36:AF36"/>
    <mergeCell ref="N72:P72"/>
    <mergeCell ref="GF17:GF18"/>
    <mergeCell ref="T32:W32"/>
    <mergeCell ref="P32:S32"/>
    <mergeCell ref="X43:Z43"/>
    <mergeCell ref="AB39:AC39"/>
    <mergeCell ref="R41:T41"/>
    <mergeCell ref="U41:W41"/>
    <mergeCell ref="N39:P39"/>
    <mergeCell ref="GG17:GG18"/>
    <mergeCell ref="GH17:GH18"/>
    <mergeCell ref="K45:M45"/>
    <mergeCell ref="AB47:AC47"/>
    <mergeCell ref="AY78:AZ78"/>
    <mergeCell ref="AR96:AS96"/>
    <mergeCell ref="AR123:AS123"/>
    <mergeCell ref="AH89:AK89"/>
    <mergeCell ref="H65:J65"/>
    <mergeCell ref="A49:G49"/>
    <mergeCell ref="R42:T42"/>
    <mergeCell ref="BH18:BH19"/>
    <mergeCell ref="AG27:AI27"/>
    <mergeCell ref="AM36:AO36"/>
    <mergeCell ref="AJ39:AL39"/>
    <mergeCell ref="AJ37:AL37"/>
    <mergeCell ref="AM41:AO41"/>
    <mergeCell ref="B104:AO118"/>
    <mergeCell ref="R89:T89"/>
    <mergeCell ref="F87:I87"/>
    <mergeCell ref="A88:E88"/>
    <mergeCell ref="L32:O32"/>
    <mergeCell ref="AD43:AF43"/>
    <mergeCell ref="X44:Z44"/>
    <mergeCell ref="AB44:AC44"/>
    <mergeCell ref="AD45:AF45"/>
    <mergeCell ref="R43:T43"/>
    <mergeCell ref="X60:Z60"/>
    <mergeCell ref="AX79:AY79"/>
    <mergeCell ref="BA139:BA140"/>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AH92:AK92"/>
    <mergeCell ref="AL92:AO92"/>
    <mergeCell ref="AR129:AS129"/>
    <mergeCell ref="AR78:AS78"/>
    <mergeCell ref="AU73:BB73"/>
    <mergeCell ref="AU72:BB72"/>
    <mergeCell ref="AT75:AW75"/>
    <mergeCell ref="AX76:AY76"/>
    <mergeCell ref="AT78:AW78"/>
    <mergeCell ref="AY75:AZ75"/>
    <mergeCell ref="AQ77:AT77"/>
    <mergeCell ref="AM55:AO55"/>
    <mergeCell ref="AU61:AW61"/>
    <mergeCell ref="AX61:AY61"/>
    <mergeCell ref="AL75:AO75"/>
    <mergeCell ref="AJ33:AL33"/>
    <mergeCell ref="AJ32:AL32"/>
    <mergeCell ref="AJ34:AL34"/>
    <mergeCell ref="AJ35:AL35"/>
    <mergeCell ref="AJ36:AL36"/>
    <mergeCell ref="AM64:AO64"/>
    <mergeCell ref="AJ66:AL66"/>
    <mergeCell ref="AL73:AO73"/>
    <mergeCell ref="K44:M44"/>
    <mergeCell ref="AB45:AC45"/>
    <mergeCell ref="L33:O33"/>
    <mergeCell ref="N40:P40"/>
    <mergeCell ref="AG33:AI33"/>
    <mergeCell ref="AD50:AF50"/>
    <mergeCell ref="N56:P56"/>
    <mergeCell ref="R57:T57"/>
    <mergeCell ref="N52:P52"/>
    <mergeCell ref="K48:M48"/>
    <mergeCell ref="U47:W47"/>
    <mergeCell ref="N57:P57"/>
    <mergeCell ref="AB56:AL56"/>
    <mergeCell ref="AB57:AL57"/>
    <mergeCell ref="N48:P48"/>
    <mergeCell ref="K41:M41"/>
    <mergeCell ref="N58:P58"/>
    <mergeCell ref="AM127:AP127"/>
    <mergeCell ref="AB43:AC43"/>
    <mergeCell ref="AB46:AC46"/>
    <mergeCell ref="R46:T46"/>
    <mergeCell ref="U46:W46"/>
    <mergeCell ref="X48:Z48"/>
    <mergeCell ref="N54:P54"/>
    <mergeCell ref="AB54:AO54"/>
    <mergeCell ref="AB55:AL55"/>
    <mergeCell ref="X46:Z46"/>
    <mergeCell ref="X47:Z47"/>
    <mergeCell ref="X49:Z49"/>
    <mergeCell ref="X54:Z54"/>
    <mergeCell ref="X50:Z50"/>
    <mergeCell ref="U54:W54"/>
    <mergeCell ref="R48:T48"/>
    <mergeCell ref="R49:T49"/>
    <mergeCell ref="N50:P50"/>
    <mergeCell ref="R47:T47"/>
    <mergeCell ref="U55:W55"/>
    <mergeCell ref="R58:T58"/>
    <mergeCell ref="U57:W57"/>
    <mergeCell ref="X57:Z57"/>
    <mergeCell ref="X55:Z55"/>
    <mergeCell ref="X56:Z56"/>
    <mergeCell ref="X58:Z58"/>
    <mergeCell ref="R52:T52"/>
    <mergeCell ref="U52:W52"/>
    <mergeCell ref="X52:Z52"/>
    <mergeCell ref="R54:T54"/>
    <mergeCell ref="U56:W56"/>
    <mergeCell ref="A48:G48"/>
    <mergeCell ref="A56:G56"/>
    <mergeCell ref="A55:G55"/>
    <mergeCell ref="A54:G54"/>
    <mergeCell ref="H54:J54"/>
    <mergeCell ref="U48:W48"/>
    <mergeCell ref="N55:P55"/>
    <mergeCell ref="K50:M50"/>
    <mergeCell ref="U50:W50"/>
    <mergeCell ref="R56:T56"/>
    <mergeCell ref="R55:T55"/>
    <mergeCell ref="N49:P49"/>
    <mergeCell ref="H50:J50"/>
    <mergeCell ref="U49:W49"/>
    <mergeCell ref="A52:G52"/>
    <mergeCell ref="H52:J52"/>
    <mergeCell ref="K52:M52"/>
    <mergeCell ref="H49:J49"/>
    <mergeCell ref="H53:J53"/>
    <mergeCell ref="K53:M53"/>
    <mergeCell ref="K49:M49"/>
    <mergeCell ref="K55:M55"/>
    <mergeCell ref="K51:M51"/>
    <mergeCell ref="H64:J64"/>
    <mergeCell ref="A60:G60"/>
    <mergeCell ref="H60:J60"/>
    <mergeCell ref="K57:M57"/>
    <mergeCell ref="A58:G58"/>
    <mergeCell ref="A57:G57"/>
    <mergeCell ref="K64:M64"/>
    <mergeCell ref="K60:M60"/>
    <mergeCell ref="K58:M58"/>
    <mergeCell ref="AA64:AF64"/>
    <mergeCell ref="L74:P74"/>
    <mergeCell ref="Q74:T74"/>
    <mergeCell ref="R63:S63"/>
    <mergeCell ref="R61:W61"/>
    <mergeCell ref="A51:G51"/>
    <mergeCell ref="A50:G50"/>
    <mergeCell ref="A81:E81"/>
    <mergeCell ref="H73:K73"/>
    <mergeCell ref="E73:G73"/>
    <mergeCell ref="K65:M65"/>
    <mergeCell ref="K54:M54"/>
    <mergeCell ref="A80:E80"/>
    <mergeCell ref="K69:M69"/>
    <mergeCell ref="H68:J68"/>
    <mergeCell ref="A65:A70"/>
    <mergeCell ref="K66:M66"/>
    <mergeCell ref="H66:J66"/>
    <mergeCell ref="K68:M68"/>
    <mergeCell ref="U59:W59"/>
    <mergeCell ref="U58:W58"/>
    <mergeCell ref="R59:T59"/>
    <mergeCell ref="R64:S64"/>
    <mergeCell ref="N60:P60"/>
    <mergeCell ref="T65:Z65"/>
    <mergeCell ref="R62:T62"/>
    <mergeCell ref="T63:Z63"/>
    <mergeCell ref="N62:P62"/>
    <mergeCell ref="N64:P64"/>
    <mergeCell ref="A53:G53"/>
    <mergeCell ref="H51:J51"/>
    <mergeCell ref="A64:G64"/>
    <mergeCell ref="H59:J59"/>
    <mergeCell ref="H57:J57"/>
    <mergeCell ref="H61:M61"/>
    <mergeCell ref="H58:J58"/>
    <mergeCell ref="K59:M59"/>
    <mergeCell ref="X61:Z61"/>
    <mergeCell ref="X59:Z59"/>
    <mergeCell ref="B65:G65"/>
    <mergeCell ref="T64:Z64"/>
    <mergeCell ref="N59:P59"/>
    <mergeCell ref="N61:P61"/>
    <mergeCell ref="N65:P65"/>
    <mergeCell ref="R60:T60"/>
    <mergeCell ref="U60:W60"/>
    <mergeCell ref="H62:M62"/>
    <mergeCell ref="H55:J55"/>
    <mergeCell ref="AL89:AO89"/>
    <mergeCell ref="I85:P85"/>
    <mergeCell ref="AL77:AO77"/>
    <mergeCell ref="AL78:AO78"/>
    <mergeCell ref="G100:I100"/>
    <mergeCell ref="G99:I99"/>
    <mergeCell ref="D99:F99"/>
    <mergeCell ref="C98:O98"/>
    <mergeCell ref="M99:O99"/>
    <mergeCell ref="L78:P78"/>
    <mergeCell ref="F80:H80"/>
    <mergeCell ref="Z77:AK77"/>
    <mergeCell ref="A82:E82"/>
    <mergeCell ref="A83:E83"/>
    <mergeCell ref="A77:D77"/>
    <mergeCell ref="AL87:AO87"/>
    <mergeCell ref="A87:E87"/>
    <mergeCell ref="M100:O100"/>
    <mergeCell ref="AL131:AN131"/>
    <mergeCell ref="L125:M125"/>
    <mergeCell ref="AE129:AF129"/>
    <mergeCell ref="AM125:AP125"/>
    <mergeCell ref="AJ125:AK125"/>
    <mergeCell ref="AI127:AJ127"/>
    <mergeCell ref="L123:M123"/>
    <mergeCell ref="AE123:AF123"/>
    <mergeCell ref="AN129:AO129"/>
    <mergeCell ref="AN123:AO123"/>
    <mergeCell ref="AG63:AI63"/>
    <mergeCell ref="AM56:AO56"/>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M66:AO66"/>
    <mergeCell ref="AL74:AO74"/>
    <mergeCell ref="E75:G75"/>
    <mergeCell ref="E76:G76"/>
    <mergeCell ref="A59:G59"/>
    <mergeCell ref="A86:E86"/>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AW31:AX31"/>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BQ54:BZ54"/>
    <mergeCell ref="BI56:BX56"/>
    <mergeCell ref="BW57:BX57"/>
    <mergeCell ref="BI59:BX59"/>
    <mergeCell ref="BI60:BX60"/>
    <mergeCell ref="AM40:AO40"/>
    <mergeCell ref="AG64:AI64"/>
    <mergeCell ref="R70:Y70"/>
    <mergeCell ref="R66:S66"/>
    <mergeCell ref="AC69:AC71"/>
    <mergeCell ref="R69:AB69"/>
    <mergeCell ref="AD69:AK69"/>
    <mergeCell ref="AL71:AO71"/>
    <mergeCell ref="AD70:AK70"/>
    <mergeCell ref="AD71:AK71"/>
    <mergeCell ref="R71:Y71"/>
    <mergeCell ref="Z70:AB70"/>
    <mergeCell ref="AL70:AO70"/>
    <mergeCell ref="AR68:AZ68"/>
    <mergeCell ref="AR69:AZ69"/>
    <mergeCell ref="AL69:AO69"/>
    <mergeCell ref="AM47:AO47"/>
    <mergeCell ref="R67:S67"/>
    <mergeCell ref="R65:S65"/>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N15:O15"/>
    <mergeCell ref="C15:M15"/>
    <mergeCell ref="V7:AO7"/>
    <mergeCell ref="AM62:AO62"/>
    <mergeCell ref="AA63:AF63"/>
    <mergeCell ref="AJ65:AL65"/>
    <mergeCell ref="AD20:AF20"/>
    <mergeCell ref="AD39:AF39"/>
    <mergeCell ref="AD40:AF40"/>
    <mergeCell ref="AB50:AC50"/>
    <mergeCell ref="AG51:AI51"/>
    <mergeCell ref="R50:T50"/>
    <mergeCell ref="N51:P51"/>
    <mergeCell ref="N53:P53"/>
    <mergeCell ref="AM51:AO51"/>
    <mergeCell ref="AG65:AI65"/>
    <mergeCell ref="AG44:AI44"/>
    <mergeCell ref="AG46:AI46"/>
    <mergeCell ref="AM57:AO57"/>
    <mergeCell ref="AG49:AI49"/>
    <mergeCell ref="AG50:AI50"/>
    <mergeCell ref="AJ49:AL49"/>
    <mergeCell ref="AM63:AO63"/>
    <mergeCell ref="AM29:AO29"/>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CA44:CA45"/>
    <mergeCell ref="AJ38:AL38"/>
    <mergeCell ref="AM50:AO50"/>
    <mergeCell ref="AM49:AO49"/>
    <mergeCell ref="BZ47:BZ48"/>
    <mergeCell ref="BY47:BY48"/>
    <mergeCell ref="AB35:AC35"/>
    <mergeCell ref="AG43:AI43"/>
    <mergeCell ref="AJ48:AL48"/>
    <mergeCell ref="AG42:AI42"/>
    <mergeCell ref="AJ46:AL46"/>
    <mergeCell ref="AJ47:AL47"/>
    <mergeCell ref="BZ44:BZ45"/>
    <mergeCell ref="AB49:AC49"/>
    <mergeCell ref="AB48:AC48"/>
    <mergeCell ref="AJ40:AL40"/>
    <mergeCell ref="AW46:AX46"/>
    <mergeCell ref="AW47:AX47"/>
    <mergeCell ref="AD46:AF46"/>
    <mergeCell ref="AJ41:AL41"/>
    <mergeCell ref="AM38:AO38"/>
    <mergeCell ref="AG47:AI47"/>
    <mergeCell ref="AJ43:AL43"/>
    <mergeCell ref="AW41:AX41"/>
    <mergeCell ref="CC44:CD44"/>
    <mergeCell ref="AD41:AF41"/>
    <mergeCell ref="R51:T51"/>
    <mergeCell ref="U51:W51"/>
    <mergeCell ref="X51:Z51"/>
    <mergeCell ref="R53:T53"/>
    <mergeCell ref="U53:W53"/>
    <mergeCell ref="X53:Z53"/>
    <mergeCell ref="AM46:AO46"/>
    <mergeCell ref="AG41:AI41"/>
    <mergeCell ref="AD49:AF49"/>
    <mergeCell ref="AD47:AF47"/>
    <mergeCell ref="AJ51:AL51"/>
    <mergeCell ref="AJ50:AL50"/>
    <mergeCell ref="AD48:AF48"/>
    <mergeCell ref="CA49:CA50"/>
    <mergeCell ref="BY49:BZ50"/>
    <mergeCell ref="BY44:BY45"/>
    <mergeCell ref="AM45:AO45"/>
    <mergeCell ref="AJ45:AL45"/>
    <mergeCell ref="CA47:CA48"/>
    <mergeCell ref="AB42:AC42"/>
    <mergeCell ref="AD42:AF42"/>
    <mergeCell ref="AD51:AF51"/>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AM30:AO30"/>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8:K18"/>
    <mergeCell ref="AG24:AI24"/>
    <mergeCell ref="AB20:AC20"/>
    <mergeCell ref="HK16:HN16"/>
    <mergeCell ref="N45:P45"/>
    <mergeCell ref="N44:P44"/>
    <mergeCell ref="R45:T45"/>
    <mergeCell ref="U44:W44"/>
    <mergeCell ref="U45:W45"/>
    <mergeCell ref="U39:W39"/>
    <mergeCell ref="U40:W40"/>
    <mergeCell ref="U42:W42"/>
    <mergeCell ref="U43:W43"/>
    <mergeCell ref="X45:Z45"/>
    <mergeCell ref="R44:T44"/>
    <mergeCell ref="X39:Z39"/>
    <mergeCell ref="X41:Z41"/>
    <mergeCell ref="X40:Z40"/>
    <mergeCell ref="AD44:AF44"/>
    <mergeCell ref="AM42:AO42"/>
    <mergeCell ref="AB29:AC29"/>
    <mergeCell ref="AM37:AO37"/>
    <mergeCell ref="A22:K22"/>
    <mergeCell ref="A23:A24"/>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A21:K21"/>
    <mergeCell ref="P21:S21"/>
    <mergeCell ref="L21:O21"/>
    <mergeCell ref="P30:S30"/>
    <mergeCell ref="P22:S22"/>
    <mergeCell ref="P27:S27"/>
    <mergeCell ref="P28:S28"/>
    <mergeCell ref="P23:S23"/>
    <mergeCell ref="A27:A28"/>
    <mergeCell ref="B28:K28"/>
    <mergeCell ref="L28:O28"/>
    <mergeCell ref="B29:K29"/>
    <mergeCell ref="L22:O22"/>
    <mergeCell ref="L26:O26"/>
    <mergeCell ref="H44:J44"/>
    <mergeCell ref="H43:J43"/>
    <mergeCell ref="N42:P42"/>
    <mergeCell ref="A44:G44"/>
    <mergeCell ref="A47:G47"/>
    <mergeCell ref="A46:G46"/>
    <mergeCell ref="H46:J46"/>
    <mergeCell ref="H47:J47"/>
    <mergeCell ref="N46:P46"/>
    <mergeCell ref="K42:M42"/>
    <mergeCell ref="A45:G45"/>
    <mergeCell ref="H45:J45"/>
    <mergeCell ref="K43:M43"/>
    <mergeCell ref="N43:P43"/>
    <mergeCell ref="N47:P47"/>
    <mergeCell ref="B69:G69"/>
    <mergeCell ref="B68:G68"/>
    <mergeCell ref="C70:G70"/>
    <mergeCell ref="K71:M71"/>
    <mergeCell ref="H76:K76"/>
    <mergeCell ref="L76:P76"/>
    <mergeCell ref="B66:G66"/>
    <mergeCell ref="H75:K75"/>
    <mergeCell ref="N67:P67"/>
    <mergeCell ref="H67:J67"/>
    <mergeCell ref="N66:P66"/>
    <mergeCell ref="K67:M67"/>
    <mergeCell ref="B67:G67"/>
    <mergeCell ref="N68:P68"/>
    <mergeCell ref="H71:J71"/>
    <mergeCell ref="B71:G71"/>
    <mergeCell ref="H69:J69"/>
    <mergeCell ref="A74:D74"/>
    <mergeCell ref="A75:D75"/>
    <mergeCell ref="A76:D76"/>
    <mergeCell ref="N71:P71"/>
    <mergeCell ref="N69:P69"/>
    <mergeCell ref="AD135:AE135"/>
    <mergeCell ref="AG135:AI135"/>
    <mergeCell ref="AJ135:AK135"/>
    <mergeCell ref="AC133:AD133"/>
    <mergeCell ref="AE133:AG133"/>
    <mergeCell ref="AH133:AI133"/>
    <mergeCell ref="AH87:AK87"/>
    <mergeCell ref="AH84:AK84"/>
    <mergeCell ref="T66:Z66"/>
    <mergeCell ref="AJ131:AK131"/>
    <mergeCell ref="AH88:AK88"/>
    <mergeCell ref="Q76:T76"/>
    <mergeCell ref="R90:T90"/>
    <mergeCell ref="S102:T103"/>
    <mergeCell ref="K90:Q90"/>
    <mergeCell ref="Z74:AK74"/>
    <mergeCell ref="Z75:AK75"/>
    <mergeCell ref="Z73:AK73"/>
    <mergeCell ref="V85:AG85"/>
    <mergeCell ref="Y73:Y75"/>
    <mergeCell ref="Z78:AK78"/>
    <mergeCell ref="Z71:AB71"/>
    <mergeCell ref="H74:K74"/>
  </mergeCells>
  <conditionalFormatting sqref="A20:W20">
    <cfRule type="expression" dxfId="4099" priority="39">
      <formula>$U$14=0</formula>
    </cfRule>
  </conditionalFormatting>
  <conditionalFormatting sqref="B26:K26">
    <cfRule type="expression" dxfId="4098" priority="100">
      <formula>$U$14=0</formula>
    </cfRule>
  </conditionalFormatting>
  <conditionalFormatting sqref="B29:K29">
    <cfRule type="cellIs" dxfId="4097" priority="14" operator="greaterThan">
      <formula>0</formula>
    </cfRule>
  </conditionalFormatting>
  <conditionalFormatting sqref="C70:G70">
    <cfRule type="cellIs" dxfId="4096" priority="8" operator="greaterThan">
      <formula>0</formula>
    </cfRule>
  </conditionalFormatting>
  <conditionalFormatting sqref="F87:I87">
    <cfRule type="cellIs" dxfId="4095" priority="4" operator="greaterThan">
      <formula>0</formula>
    </cfRule>
  </conditionalFormatting>
  <conditionalFormatting sqref="F86:L86">
    <cfRule type="cellIs" dxfId="4094" priority="5" operator="greaterThan">
      <formula>0</formula>
    </cfRule>
  </conditionalFormatting>
  <conditionalFormatting sqref="G99:I99">
    <cfRule type="expression" dxfId="4093" priority="358">
      <formula>$EO$5="OUI"</formula>
    </cfRule>
  </conditionalFormatting>
  <conditionalFormatting sqref="H65:J65">
    <cfRule type="expression" dxfId="4092" priority="23">
      <formula>AND($AX$60="Oui",$AZ$62="")</formula>
    </cfRule>
    <cfRule type="expression" dxfId="4091" priority="25">
      <formula>AND($AX$60="Oui",$AZ$62="hrs")</formula>
    </cfRule>
  </conditionalFormatting>
  <conditionalFormatting sqref="H65:J68">
    <cfRule type="cellIs" dxfId="4090" priority="18" operator="equal">
      <formula>0</formula>
    </cfRule>
  </conditionalFormatting>
  <conditionalFormatting sqref="H66:J66">
    <cfRule type="expression" dxfId="4089" priority="22">
      <formula>AND($BW$41="Oui",$AX$61="Non")</formula>
    </cfRule>
    <cfRule type="expression" dxfId="4088" priority="19">
      <formula>AND($AX$61="Oui",$AZ$63="")</formula>
    </cfRule>
    <cfRule type="expression" dxfId="4087" priority="20">
      <formula>AND($AX$61="Oui",$AZ$63="jrs")</formula>
    </cfRule>
    <cfRule type="expression" dxfId="4086" priority="21">
      <formula>AND($BW$41="Non",$AX$61="Non")</formula>
    </cfRule>
  </conditionalFormatting>
  <conditionalFormatting sqref="H70:J71">
    <cfRule type="cellIs" dxfId="4085" priority="7" operator="greaterThan">
      <formula>0</formula>
    </cfRule>
  </conditionalFormatting>
  <conditionalFormatting sqref="H69:M69">
    <cfRule type="cellIs" dxfId="4084" priority="9" operator="greaterThan">
      <formula>0</formula>
    </cfRule>
  </conditionalFormatting>
  <conditionalFormatting sqref="H40:Z60">
    <cfRule type="cellIs" dxfId="4083" priority="17" operator="equal">
      <formula>0</formula>
    </cfRule>
  </conditionalFormatting>
  <conditionalFormatting sqref="K65:K66">
    <cfRule type="cellIs" dxfId="4082" priority="398" operator="equal">
      <formula>0</formula>
    </cfRule>
  </conditionalFormatting>
  <conditionalFormatting sqref="K67:M68">
    <cfRule type="cellIs" dxfId="4081" priority="399" operator="equal">
      <formula>0</formula>
    </cfRule>
  </conditionalFormatting>
  <conditionalFormatting sqref="K88:T89">
    <cfRule type="expression" dxfId="4080" priority="346">
      <formula>$EO$6="OUI"</formula>
    </cfRule>
  </conditionalFormatting>
  <conditionalFormatting sqref="K90:T90 M87:T87 K81:K82 L82:T83 K87">
    <cfRule type="expression" dxfId="4079" priority="351">
      <formula>$EO$6="OUI"</formula>
    </cfRule>
  </conditionalFormatting>
  <conditionalFormatting sqref="L18:O19">
    <cfRule type="cellIs" dxfId="4078" priority="56" operator="equal">
      <formula>0</formula>
    </cfRule>
  </conditionalFormatting>
  <conditionalFormatting sqref="L21:O22">
    <cfRule type="cellIs" dxfId="4077" priority="222" operator="equal">
      <formula>0</formula>
    </cfRule>
  </conditionalFormatting>
  <conditionalFormatting sqref="L27:O28">
    <cfRule type="cellIs" dxfId="4076" priority="15" operator="greaterThan">
      <formula>0</formula>
    </cfRule>
  </conditionalFormatting>
  <conditionalFormatting sqref="L30:O32">
    <cfRule type="cellIs" dxfId="4075" priority="13" operator="greaterThan">
      <formula>0</formula>
    </cfRule>
  </conditionalFormatting>
  <conditionalFormatting sqref="L34:O34">
    <cfRule type="cellIs" dxfId="4074" priority="11" operator="greaterThan">
      <formula>0</formula>
    </cfRule>
  </conditionalFormatting>
  <conditionalFormatting sqref="L23:S24">
    <cfRule type="cellIs" dxfId="4073" priority="16" operator="greaterThan">
      <formula>0</formula>
    </cfRule>
  </conditionalFormatting>
  <conditionalFormatting sqref="L25:S26">
    <cfRule type="cellIs" dxfId="4072" priority="73" operator="equal">
      <formula>0</formula>
    </cfRule>
    <cfRule type="containsErrors" dxfId="4071" priority="70">
      <formula>ISERROR(L25)</formula>
    </cfRule>
  </conditionalFormatting>
  <conditionalFormatting sqref="N65:P71">
    <cfRule type="cellIs" dxfId="4070" priority="29" operator="equal">
      <formula>0</formula>
    </cfRule>
  </conditionalFormatting>
  <conditionalFormatting sqref="O86">
    <cfRule type="expression" dxfId="4069" priority="352">
      <formula>EO6="OUI"</formula>
    </cfRule>
  </conditionalFormatting>
  <conditionalFormatting sqref="O14:T14">
    <cfRule type="expression" dxfId="4068" priority="101">
      <formula>$U$14=0</formula>
    </cfRule>
  </conditionalFormatting>
  <conditionalFormatting sqref="P20">
    <cfRule type="expression" dxfId="4067" priority="42">
      <formula>$DP$14=1</formula>
    </cfRule>
  </conditionalFormatting>
  <conditionalFormatting sqref="P18:S18">
    <cfRule type="expression" dxfId="4066" priority="57">
      <formula>$L$18=0</formula>
    </cfRule>
  </conditionalFormatting>
  <conditionalFormatting sqref="P19:S19">
    <cfRule type="expression" dxfId="4065" priority="55">
      <formula>$L$19=0</formula>
    </cfRule>
  </conditionalFormatting>
  <conditionalFormatting sqref="P21:S21">
    <cfRule type="expression" dxfId="4064" priority="221">
      <formula>$L$21=0</formula>
    </cfRule>
  </conditionalFormatting>
  <conditionalFormatting sqref="P22:S22">
    <cfRule type="expression" dxfId="4063" priority="220">
      <formula>$L$22=0</formula>
    </cfRule>
  </conditionalFormatting>
  <conditionalFormatting sqref="R87:T87">
    <cfRule type="expression" dxfId="4062" priority="349">
      <formula>$EO$7="OUI"</formula>
    </cfRule>
  </conditionalFormatting>
  <conditionalFormatting sqref="R89:T89">
    <cfRule type="expression" dxfId="4061" priority="345">
      <formula>$EO$8="OUI"</formula>
    </cfRule>
  </conditionalFormatting>
  <conditionalFormatting sqref="R90:T90">
    <cfRule type="expression" dxfId="4060" priority="350">
      <formula>$EO$7="OUI"</formula>
    </cfRule>
  </conditionalFormatting>
  <conditionalFormatting sqref="T20">
    <cfRule type="expression" dxfId="4059" priority="43">
      <formula>$DP$14=1</formula>
    </cfRule>
  </conditionalFormatting>
  <conditionalFormatting sqref="T30:T32">
    <cfRule type="cellIs" dxfId="4058" priority="214" operator="equal">
      <formula>0</formula>
    </cfRule>
  </conditionalFormatting>
  <conditionalFormatting sqref="T18:W19">
    <cfRule type="cellIs" dxfId="4057" priority="58" operator="equal">
      <formula>0</formula>
    </cfRule>
  </conditionalFormatting>
  <conditionalFormatting sqref="T21:W28">
    <cfRule type="cellIs" dxfId="4056" priority="117" operator="equal">
      <formula>0</formula>
    </cfRule>
  </conditionalFormatting>
  <conditionalFormatting sqref="T29:W29">
    <cfRule type="cellIs" dxfId="4055" priority="12" operator="greaterThan">
      <formula>0</formula>
    </cfRule>
  </conditionalFormatting>
  <conditionalFormatting sqref="T33:W33">
    <cfRule type="cellIs" dxfId="4054" priority="10" operator="greaterThan">
      <formula>0</formula>
    </cfRule>
  </conditionalFormatting>
  <conditionalFormatting sqref="T34:W34">
    <cfRule type="cellIs" dxfId="4053" priority="60" operator="equal">
      <formula>0</formula>
    </cfRule>
  </conditionalFormatting>
  <conditionalFormatting sqref="U14:X14">
    <cfRule type="cellIs" dxfId="4052" priority="102" operator="equal">
      <formula>0</formula>
    </cfRule>
  </conditionalFormatting>
  <conditionalFormatting sqref="V80:AF81">
    <cfRule type="cellIs" dxfId="4051" priority="1" operator="notEqual">
      <formula>"Commentaires :"</formula>
    </cfRule>
  </conditionalFormatting>
  <conditionalFormatting sqref="Y73:AO75">
    <cfRule type="expression" dxfId="4050" priority="30">
      <formula>$DP$8=52</formula>
    </cfRule>
  </conditionalFormatting>
  <conditionalFormatting sqref="AB20:AC50 AW20:AX50">
    <cfRule type="expression" dxfId="4049" priority="305">
      <formula>VLOOKUP(AB20,base_feries,1,FALSE)</formula>
    </cfRule>
    <cfRule type="expression" dxfId="4048" priority="303">
      <formula>OR(WEEKDAY(AB20,2)=6,WEEKDAY(AB20,2)=7)</formula>
    </cfRule>
  </conditionalFormatting>
  <conditionalFormatting sqref="AD20:AF50">
    <cfRule type="cellIs" dxfId="4047" priority="182" operator="equal">
      <formula>0</formula>
    </cfRule>
    <cfRule type="expression" dxfId="4046" priority="165">
      <formula>FC20="oui"</formula>
    </cfRule>
  </conditionalFormatting>
  <conditionalFormatting sqref="AG20:AI50">
    <cfRule type="expression" dxfId="4045" priority="184">
      <formula>FC20="oui"</formula>
    </cfRule>
  </conditionalFormatting>
  <conditionalFormatting sqref="AH80">
    <cfRule type="expression" dxfId="4044" priority="3769">
      <formula>EO3="OUI"</formula>
    </cfRule>
  </conditionalFormatting>
  <conditionalFormatting sqref="AH89:AH91">
    <cfRule type="cellIs" dxfId="4043" priority="34" stopIfTrue="1" operator="equal">
      <formula>0</formula>
    </cfRule>
  </conditionalFormatting>
  <conditionalFormatting sqref="AH93:AK93">
    <cfRule type="cellIs" dxfId="4042" priority="353" operator="equal">
      <formula>0</formula>
    </cfRule>
  </conditionalFormatting>
  <conditionalFormatting sqref="AH86:AL87">
    <cfRule type="cellIs" dxfId="4041" priority="356" stopIfTrue="1" operator="equal">
      <formula>0</formula>
    </cfRule>
  </conditionalFormatting>
  <conditionalFormatting sqref="AH92:AO92">
    <cfRule type="cellIs" dxfId="4040" priority="129" operator="lessThan">
      <formula>-0.001</formula>
    </cfRule>
  </conditionalFormatting>
  <conditionalFormatting sqref="AJ20:AL50">
    <cfRule type="expression" dxfId="4039" priority="185">
      <formula>FC20="oui"</formula>
    </cfRule>
  </conditionalFormatting>
  <conditionalFormatting sqref="AL80">
    <cfRule type="expression" dxfId="4038" priority="359">
      <formula>$EO$4="OUI"</formula>
    </cfRule>
  </conditionalFormatting>
  <conditionalFormatting sqref="AL89:AL91">
    <cfRule type="cellIs" dxfId="4037" priority="33" stopIfTrue="1" operator="equal">
      <formula>0</formula>
    </cfRule>
  </conditionalFormatting>
  <conditionalFormatting sqref="AM20:AO50">
    <cfRule type="expression" dxfId="4036" priority="186">
      <formula>FC20="oui"</formula>
    </cfRule>
  </conditionalFormatting>
  <conditionalFormatting sqref="AP20:AP50">
    <cfRule type="expression" dxfId="4035" priority="264">
      <formula>BL20="B"</formula>
    </cfRule>
    <cfRule type="expression" dxfId="4034" priority="262">
      <formula>BL20="D"</formula>
    </cfRule>
    <cfRule type="expression" dxfId="4033" priority="261">
      <formula>BL20="E"</formula>
    </cfRule>
    <cfRule type="expression" dxfId="4032" priority="260">
      <formula>BL20="F"</formula>
    </cfRule>
    <cfRule type="expression" dxfId="4031" priority="259">
      <formula>BL20="G"</formula>
    </cfRule>
    <cfRule type="expression" dxfId="4030" priority="258">
      <formula>BL20="H"</formula>
    </cfRule>
    <cfRule type="expression" dxfId="4029" priority="263">
      <formula>BL20="C"</formula>
    </cfRule>
  </conditionalFormatting>
  <conditionalFormatting sqref="AQ62:AU62">
    <cfRule type="expression" dxfId="4028" priority="111">
      <formula>$AT$60="Non"</formula>
    </cfRule>
  </conditionalFormatting>
  <conditionalFormatting sqref="AQ63:AU63">
    <cfRule type="expression" dxfId="4027" priority="108">
      <formula>$AT$61="Non"</formula>
    </cfRule>
  </conditionalFormatting>
  <conditionalFormatting sqref="AR20:AR50">
    <cfRule type="expression" dxfId="4026" priority="205">
      <formula>AND(AR20&lt;&gt;"",AZ20&lt;&gt;"")</formula>
    </cfRule>
    <cfRule type="expression" dxfId="4025" priority="166">
      <formula>FC20="oui"</formula>
    </cfRule>
    <cfRule type="expression" dxfId="4024" priority="177">
      <formula>FN20=10</formula>
    </cfRule>
    <cfRule type="expression" dxfId="4023" priority="130">
      <formula>AB20=""</formula>
    </cfRule>
  </conditionalFormatting>
  <conditionalFormatting sqref="AR17:BJ50 AS51:BJ51 DK51">
    <cfRule type="expression" dxfId="4022" priority="87">
      <formula>$EX$13="oui"</formula>
    </cfRule>
  </conditionalFormatting>
  <conditionalFormatting sqref="AT4:AT10">
    <cfRule type="expression" dxfId="4021" priority="241">
      <formula>AU4="D"</formula>
    </cfRule>
    <cfRule type="expression" dxfId="4020" priority="242">
      <formula>AU4="C"</formula>
    </cfRule>
    <cfRule type="expression" dxfId="4019" priority="240">
      <formula>AU4="E"</formula>
    </cfRule>
    <cfRule type="expression" dxfId="4018" priority="243">
      <formula>AU4="B"</formula>
    </cfRule>
    <cfRule type="expression" dxfId="4017" priority="237">
      <formula>AU4="H"</formula>
    </cfRule>
    <cfRule type="expression" dxfId="4016" priority="238">
      <formula>AU4="G"</formula>
    </cfRule>
    <cfRule type="expression" dxfId="4015" priority="239">
      <formula>AU4="F"</formula>
    </cfRule>
  </conditionalFormatting>
  <conditionalFormatting sqref="AT20:AT50">
    <cfRule type="expression" dxfId="4014" priority="176">
      <formula>FC20="oui"</formula>
    </cfRule>
    <cfRule type="expression" dxfId="4013" priority="164">
      <formula>AB20=""</formula>
    </cfRule>
  </conditionalFormatting>
  <conditionalFormatting sqref="AU4:AU10">
    <cfRule type="expression" dxfId="4012" priority="201">
      <formula>FG4="rouge"</formula>
    </cfRule>
    <cfRule type="expression" dxfId="4011" priority="200">
      <formula>AT4=""</formula>
    </cfRule>
  </conditionalFormatting>
  <conditionalFormatting sqref="AU20:AU50">
    <cfRule type="expression" dxfId="4010" priority="163">
      <formula>AB20=""</formula>
    </cfRule>
    <cfRule type="expression" dxfId="4009" priority="204">
      <formula>FC20="oui"</formula>
    </cfRule>
  </conditionalFormatting>
  <conditionalFormatting sqref="AW20:AX50 AB20:AC50">
    <cfRule type="expression" dxfId="4008" priority="302">
      <formula>WEEKDAY(AB20,2)=7</formula>
    </cfRule>
  </conditionalFormatting>
  <conditionalFormatting sqref="AX62:AZ62">
    <cfRule type="expression" dxfId="4007" priority="110">
      <formula>$AX$60="Non"</formula>
    </cfRule>
  </conditionalFormatting>
  <conditionalFormatting sqref="AX63:AZ63">
    <cfRule type="expression" dxfId="4006" priority="107">
      <formula>$AX$61="Non"</formula>
    </cfRule>
  </conditionalFormatting>
  <conditionalFormatting sqref="AZ20:AZ50">
    <cfRule type="expression" dxfId="4005" priority="230">
      <formula>AND(AR20&lt;&gt;"",AZ20&lt;&gt;"")</formula>
    </cfRule>
    <cfRule type="expression" dxfId="4004" priority="174">
      <formula>FL20=10</formula>
    </cfRule>
    <cfRule type="expression" dxfId="4003" priority="131">
      <formula>AB20=""</formula>
    </cfRule>
    <cfRule type="expression" dxfId="4002" priority="148">
      <formula>FC20="oui"</formula>
    </cfRule>
  </conditionalFormatting>
  <conditionalFormatting sqref="BA20:BA50">
    <cfRule type="expression" dxfId="4001" priority="173">
      <formula>FC20="oui"</formula>
    </cfRule>
    <cfRule type="expression" dxfId="4000" priority="160">
      <formula>AB20=""</formula>
    </cfRule>
  </conditionalFormatting>
  <conditionalFormatting sqref="BA62">
    <cfRule type="expression" dxfId="3999" priority="109">
      <formula>$BA$60="Non"</formula>
    </cfRule>
  </conditionalFormatting>
  <conditionalFormatting sqref="BA63">
    <cfRule type="expression" dxfId="3998" priority="106">
      <formula>$BA$61="Non"</formula>
    </cfRule>
  </conditionalFormatting>
  <conditionalFormatting sqref="BA102 BA103:BH115">
    <cfRule type="expression" dxfId="3997" priority="65">
      <formula>$DP$8=52</formula>
    </cfRule>
  </conditionalFormatting>
  <conditionalFormatting sqref="BA137 BA138:BH149">
    <cfRule type="expression" dxfId="3996" priority="32">
      <formula>$DP$8=52</formula>
    </cfRule>
  </conditionalFormatting>
  <conditionalFormatting sqref="BC20:BC55">
    <cfRule type="expression" dxfId="3995" priority="136">
      <formula>AJ20=""</formula>
    </cfRule>
    <cfRule type="cellIs" dxfId="3994" priority="195" operator="equal">
      <formula>0</formula>
    </cfRule>
  </conditionalFormatting>
  <conditionalFormatting sqref="BC112:BH112">
    <cfRule type="expression" dxfId="3993" priority="64">
      <formula>$BA$112=""</formula>
    </cfRule>
  </conditionalFormatting>
  <conditionalFormatting sqref="BC147:BH147">
    <cfRule type="expression" dxfId="3992" priority="31">
      <formula>$BA$112=""</formula>
    </cfRule>
  </conditionalFormatting>
  <conditionalFormatting sqref="BD20:BD50">
    <cfRule type="expression" dxfId="3991" priority="137">
      <formula>FL20="oui"</formula>
    </cfRule>
  </conditionalFormatting>
  <conditionalFormatting sqref="BE20:BE50">
    <cfRule type="expression" dxfId="3990" priority="194">
      <formula>OR(BE20=0,BE20="")</formula>
    </cfRule>
  </conditionalFormatting>
  <conditionalFormatting sqref="BH20:BH50">
    <cfRule type="expression" dxfId="3989" priority="89">
      <formula>AO20=""</formula>
    </cfRule>
    <cfRule type="cellIs" dxfId="3988" priority="128" operator="equal">
      <formula>0</formula>
    </cfRule>
  </conditionalFormatting>
  <conditionalFormatting sqref="BI9:BI14">
    <cfRule type="cellIs" dxfId="3987" priority="66" operator="equal">
      <formula>0</formula>
    </cfRule>
  </conditionalFormatting>
  <conditionalFormatting sqref="BQ54">
    <cfRule type="expression" dxfId="3986" priority="233">
      <formula>$BW$41="Non"</formula>
    </cfRule>
  </conditionalFormatting>
  <conditionalFormatting sqref="BQ36:CA36">
    <cfRule type="expression" dxfId="3985" priority="234">
      <formula>$BW$41="Oui"</formula>
    </cfRule>
  </conditionalFormatting>
  <conditionalFormatting sqref="BS21:CA34">
    <cfRule type="expression" dxfId="3984" priority="228">
      <formula>$EO$12="NON"</formula>
    </cfRule>
  </conditionalFormatting>
  <conditionalFormatting sqref="BY28:BY33">
    <cfRule type="notContainsBlanks" dxfId="3983" priority="229">
      <formula>LEN(TRIM(BY28))&gt;0</formula>
    </cfRule>
  </conditionalFormatting>
  <conditionalFormatting sqref="BY56 BY60">
    <cfRule type="expression" dxfId="3982" priority="311">
      <formula>$BW$41="Oui"</formula>
    </cfRule>
  </conditionalFormatting>
  <conditionalFormatting sqref="BY60 BY56">
    <cfRule type="duplicateValues" dxfId="3981" priority="314"/>
  </conditionalFormatting>
  <conditionalFormatting sqref="BY60">
    <cfRule type="cellIs" dxfId="3980" priority="313" operator="lessThan">
      <formula>$BY$59</formula>
    </cfRule>
  </conditionalFormatting>
  <conditionalFormatting sqref="CA56">
    <cfRule type="expression" dxfId="3979" priority="235">
      <formula>AND($CA$56&lt;$CE$47,$BW$41="Non")</formula>
    </cfRule>
  </conditionalFormatting>
  <conditionalFormatting sqref="CB78">
    <cfRule type="cellIs" dxfId="3978" priority="408" stopIfTrue="1" operator="equal">
      <formula>"OUI"</formula>
    </cfRule>
    <cfRule type="cellIs" dxfId="3977" priority="407" stopIfTrue="1" operator="equal">
      <formula>"NON"</formula>
    </cfRule>
  </conditionalFormatting>
  <conditionalFormatting sqref="CE53:CE54">
    <cfRule type="expression" dxfId="3976" priority="96">
      <formula>$BW$41="Non"</formula>
    </cfRule>
  </conditionalFormatting>
  <conditionalFormatting sqref="CE57:CE58">
    <cfRule type="expression" dxfId="3975" priority="95">
      <formula>$BW$41="Non"</formula>
    </cfRule>
  </conditionalFormatting>
  <conditionalFormatting sqref="CE3:CF3">
    <cfRule type="expression" dxfId="3974" priority="74">
      <formula>$FX$3="vrai"</formula>
    </cfRule>
    <cfRule type="expression" dxfId="3973" priority="75">
      <formula>AND($CE$3="",$CE$5&lt;&gt;"")</formula>
    </cfRule>
    <cfRule type="expression" dxfId="3972" priority="76">
      <formula>$CD$3=""</formula>
    </cfRule>
  </conditionalFormatting>
  <conditionalFormatting sqref="CE5:CF5">
    <cfRule type="expression" dxfId="3971" priority="81">
      <formula>$FX$5="vrai"</formula>
    </cfRule>
    <cfRule type="expression" dxfId="3970" priority="82">
      <formula>CD5=""</formula>
    </cfRule>
    <cfRule type="expression" dxfId="3969" priority="83">
      <formula>OR(AND(CE5&lt;&gt;0,CE5&lt;AJ4),AND(CE5&lt;&gt;0,CE5&gt;EG5),AND(CE5&lt;&gt;0,CE5&lt;AB20))</formula>
    </cfRule>
  </conditionalFormatting>
  <conditionalFormatting sqref="CE8:CF8">
    <cfRule type="expression" dxfId="3968" priority="77">
      <formula>$FX$8="vrai"</formula>
    </cfRule>
    <cfRule type="expression" dxfId="3967" priority="78">
      <formula>CD8=""</formula>
    </cfRule>
    <cfRule type="expression" dxfId="3966" priority="79">
      <formula>AND(CE8&lt;&gt;0,CE8&lt;AJ4)</formula>
    </cfRule>
    <cfRule type="cellIs" dxfId="3965" priority="80" operator="greaterThan">
      <formula>$CE$5</formula>
    </cfRule>
  </conditionalFormatting>
  <conditionalFormatting sqref="CF47">
    <cfRule type="notContainsBlanks" dxfId="3964" priority="227">
      <formula>LEN(TRIM(CF47))&gt;0</formula>
    </cfRule>
  </conditionalFormatting>
  <conditionalFormatting sqref="CF49">
    <cfRule type="notContainsBlanks" dxfId="3963" priority="226">
      <formula>LEN(TRIM(CF49))&gt;0</formula>
    </cfRule>
  </conditionalFormatting>
  <conditionalFormatting sqref="CG8:CI8">
    <cfRule type="expression" dxfId="3962" priority="126">
      <formula>CD8=""</formula>
    </cfRule>
  </conditionalFormatting>
  <conditionalFormatting sqref="GW16:HR16">
    <cfRule type="expression" dxfId="3961" priority="344">
      <formula>$AE$123="NON"</formula>
    </cfRule>
  </conditionalFormatting>
  <conditionalFormatting sqref="HG16:HJ16">
    <cfRule type="expression" dxfId="3960" priority="4855">
      <formula>AR123&gt;0</formula>
    </cfRule>
  </conditionalFormatting>
  <conditionalFormatting sqref="HK16:HN16">
    <cfRule type="expression" dxfId="3959" priority="4856">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ignoredErrors>
    <ignoredError sqref="U4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8"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97"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2"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HZ149"/>
  <sheetViews>
    <sheetView showGridLines="0" zoomScale="90" zoomScaleNormal="90" workbookViewId="0">
      <selection activeCell="AT20" sqref="AT20"/>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DATE(YEAR(Janvier!X3),MONTH(Janvier!X3)+1,DAY(Janvier!X3))</f>
        <v>45689</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5</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IF(Janvier!BY8="OUI","Contrat fini",BY2)</f>
        <v>Fiche info</v>
      </c>
      <c r="EF4" s="333" t="s">
        <v>1044</v>
      </c>
      <c r="EG4" s="755">
        <f>+Identification!B95</f>
        <v>0</v>
      </c>
      <c r="FG4" s="333" t="str">
        <f>IFERROR(IF(VLOOKUP(AT4,Janvier!$AT$4:$AU$10,2,FALSE)&lt;&gt;Février!AU4,"rouge","ok"),0)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45689</v>
      </c>
      <c r="Y5" s="1948"/>
      <c r="Z5" s="1953" t="s">
        <v>460</v>
      </c>
      <c r="AA5" s="1953"/>
      <c r="AB5" s="1948">
        <f>+IF(AND(DATE(YEAR(EG4),MONTH(EG4),DAY(EG4))&gt;=DATE(YEAR(X3),MONTH(X3),DAY(X3)),DATE(YEAR(EG4),MONTH(EG4),DAY(EG4))&lt;=DATE(YEAR(X3),MONTH(X3),DAY(EOMONTH(X3,0)))),EG4,EOMONTH(X3,0))</f>
        <v>45716</v>
      </c>
      <c r="AC5" s="1952"/>
      <c r="AP5" s="211"/>
      <c r="AQ5" s="336"/>
      <c r="AR5" s="211"/>
      <c r="AS5" s="212"/>
      <c r="AT5" s="319">
        <f t="array" ref="AT5">IFERROR(INDEX($BK$20:$BK$50,MATCH(0,INDEX(COUNTIF($AT$3:AT4,$BK$20:$BK$50),0,0),0)),"")</f>
        <v>6</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45716</v>
      </c>
      <c r="FG5" s="333">
        <f>IFERROR(IF(VLOOKUP(AT5,Janvier!$AT$4:$AU$10,2,FALSE)&lt;&gt;Février!AU5,"rouge","ok"),0)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7</v>
      </c>
      <c r="AU6" s="1144" t="s">
        <v>235</v>
      </c>
      <c r="BQ6" s="596"/>
      <c r="BR6" s="596"/>
      <c r="BS6" s="596"/>
      <c r="BT6" s="596"/>
      <c r="BU6" s="596"/>
      <c r="BV6" s="596"/>
      <c r="BW6" s="596"/>
      <c r="BX6" s="597" t="s">
        <v>520</v>
      </c>
      <c r="BY6" s="598" t="str">
        <f>+IF(BZ6="",Janvier!BY6,BZ6)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IFERROR(IF(VLOOKUP(AT6,Janvier!$AT$4:$AU$10,2,FALSE)&lt;&gt;Février!AU6,"rouge","ok"),0)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8</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IFERROR(IF(VLOOKUP(AT7,Janvier!$AT$4:$AU$10,2,FALSE)&lt;&gt;Février!AU7,"rouge","ok"),0)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9</v>
      </c>
      <c r="AU8" s="1144" t="s">
        <v>235</v>
      </c>
      <c r="BG8" s="252"/>
      <c r="BH8" s="1462" t="str">
        <f>+AT3</f>
        <v>N° Sem.</v>
      </c>
      <c r="BI8" s="1463" t="s">
        <v>1580</v>
      </c>
      <c r="BQ8" s="2132" t="s">
        <v>219</v>
      </c>
      <c r="BR8" s="2133"/>
      <c r="BS8" s="2133"/>
      <c r="BT8" s="2133"/>
      <c r="BU8" s="2133"/>
      <c r="BV8" s="2133"/>
      <c r="BW8" s="2133"/>
      <c r="BX8" s="2133"/>
      <c r="BY8" s="985" t="str">
        <f>IF(BZ8="",Janvier!BY8,BZ8)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IFERROR(IF(VLOOKUP(AT8,Janvier!$AT$4:$AU$10,2,FALSE)&lt;&gt;Février!AU8,"rouge","ok"),0)</f>
        <v>0</v>
      </c>
      <c r="FX8" s="129" t="str">
        <f>+IF(AND(CD8="",CE8&lt;&gt;""),"vrai","faux")</f>
        <v>faux</v>
      </c>
    </row>
    <row r="9" spans="1:226" ht="11.2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52025</v>
      </c>
      <c r="BH9" s="1464">
        <f t="shared" ref="BH9:BH14" si="0">+AT4</f>
        <v>5</v>
      </c>
      <c r="BI9" s="1465">
        <f>IF($AR$13=S.CAL!$CU$2,+SUMIF(S.CAL!$FW$3:$FW$374,BG9,S.CAL!$FX$3:$FX$374),IF($AR$13=S.CAL!$CU$3,SUMIF(Feuilles_de_présence_planning!$EG$12:$EG$537,BG9,Feuilles_de_présence_planning!$EE$12:$EE$537),"err"))</f>
        <v>0</v>
      </c>
      <c r="BY9" s="198" t="str">
        <f>+IF(Janvier!BY8="OUI","FIN","O")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IFERROR(IF(VLOOKUP(AT9,Janvier!$AT$4:$AU$10,2,FALSE)&lt;&gt;Février!AU9,"rouge","ok"),0)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62025</v>
      </c>
      <c r="BH10" s="1464">
        <f t="shared" si="0"/>
        <v>6</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IFERROR(IF(VLOOKUP(AT10,Janvier!$AT$4:$AU$10,2,FALSE)&lt;&gt;Février!AU10,"rouge","ok"),0)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72025</v>
      </c>
      <c r="BH11" s="1464">
        <f t="shared" si="0"/>
        <v>7</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333"/>
      <c r="CB11" s="333"/>
      <c r="CC11" s="333"/>
      <c r="CD11" s="333"/>
      <c r="CE11" s="333"/>
      <c r="CF11" s="333"/>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82025</v>
      </c>
      <c r="BH12" s="1464">
        <f t="shared" si="0"/>
        <v>8</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333"/>
      <c r="CB12" s="333"/>
      <c r="CC12" s="333"/>
      <c r="CD12" s="333"/>
      <c r="CE12" s="333"/>
      <c r="CF12" s="333"/>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+IF(AJ4&lt;DATE(YEAR(EI21)-2,6,1),DATE(YEAR(EI21)-2,6,1),DATE(YEAR(AJ4),MONTH(AJ4),1))</f>
        <v>45078</v>
      </c>
      <c r="EG12" s="333">
        <f>IFERROR(+DATEDIF(EF12,DATE(YEAR(EH12),MONTH(EH12),DAY(EH12)),"m"),0)</f>
        <v>12</v>
      </c>
      <c r="EH12" s="755">
        <f>+IF(AJ4&lt;DATE(YEAR(EI21)-1,6,1),DATE(YEAR(EI21)-1,6,1),DATE(YEAR(AJ4),MONTH(AJ4),1))</f>
        <v>45444</v>
      </c>
      <c r="EI12" s="333">
        <f>IFERROR(+DATEDIF(EH12,DATE(YEAR(EI22),MONTH(EI22)+1,1),"m"),0)</f>
        <v>9</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IF(AR14="",Janvier!AR13,AR14)</f>
        <v>à partir du tableau ci-dessous</v>
      </c>
      <c r="AS13" s="2296"/>
      <c r="AT13" s="2296"/>
      <c r="AU13" s="2296"/>
      <c r="AV13" s="2296"/>
      <c r="AW13" s="2296"/>
      <c r="AX13" s="2296"/>
      <c r="AY13" s="2296"/>
      <c r="AZ13" s="2296"/>
      <c r="BA13" s="2308" t="s">
        <v>1102</v>
      </c>
      <c r="BB13" s="2308"/>
      <c r="BC13" s="2308"/>
      <c r="BD13" s="971"/>
      <c r="BG13" s="1453" t="str">
        <f t="shared" si="1"/>
        <v>92025</v>
      </c>
      <c r="BH13" s="1464">
        <f t="shared" si="0"/>
        <v>9</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333"/>
      <c r="CB13" s="333"/>
      <c r="CC13" s="333"/>
      <c r="CD13" s="333"/>
      <c r="CE13" s="333"/>
      <c r="CF13" s="333"/>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W13" s="333" t="s">
        <v>979</v>
      </c>
      <c r="EX13" s="333" t="str">
        <f>+IF(AR13=S.CAL!CU3,"oui","non")</f>
        <v>non</v>
      </c>
    </row>
    <row r="14" spans="1:226" ht="12.7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333"/>
      <c r="CB14" s="333"/>
      <c r="CC14" s="333"/>
      <c r="CD14" s="333"/>
      <c r="CE14" s="333"/>
      <c r="CF14" s="333"/>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+Janvier!EF16</f>
        <v>0</v>
      </c>
      <c r="EG16" s="759">
        <f>+Janvier!EG16</f>
        <v>0</v>
      </c>
      <c r="EH16" s="759">
        <f>+Janvier!EH16+Janvier!EH17</f>
        <v>0</v>
      </c>
      <c r="EI16" s="759">
        <f>+Janvier!EI16+Janvier!EI17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204"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I17" s="218"/>
      <c r="GJ17" s="265"/>
      <c r="GM17" s="1529"/>
      <c r="GN17" s="218"/>
      <c r="GP17" s="2289" t="s">
        <v>1666</v>
      </c>
      <c r="GQ17" s="2289" t="s">
        <v>1585</v>
      </c>
      <c r="GR17" s="218"/>
      <c r="GS17" s="218"/>
      <c r="GT17" s="218"/>
      <c r="GU17" s="218"/>
      <c r="GV17" s="218"/>
    </row>
    <row r="18" spans="1:204"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I18" s="218"/>
      <c r="GJ18" s="265" t="s">
        <v>1614</v>
      </c>
      <c r="GK18" s="129" t="s">
        <v>1615</v>
      </c>
      <c r="GL18" s="129" t="s">
        <v>1616</v>
      </c>
      <c r="GM18" s="1529" t="s">
        <v>1617</v>
      </c>
      <c r="GN18" s="218"/>
      <c r="GO18" s="1546" t="s">
        <v>1523</v>
      </c>
      <c r="GP18" s="2289"/>
      <c r="GQ18" s="2289"/>
      <c r="GR18" s="218"/>
      <c r="GS18" s="218"/>
      <c r="GT18" s="218"/>
      <c r="GU18" s="218"/>
      <c r="GV18" s="218"/>
    </row>
    <row r="19" spans="1:204"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Fev'!D18:D48,"&gt;0")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204"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45689</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5</v>
      </c>
      <c r="AQ20" s="340"/>
      <c r="AR20" s="1145"/>
      <c r="AS20" s="332">
        <f t="shared" ref="AS20:AS50" si="3">SUM(AD20:AL20)</f>
        <v>0</v>
      </c>
      <c r="AT20" s="1146"/>
      <c r="AU20" s="1146"/>
      <c r="AV20" s="332"/>
      <c r="AW20" s="1989">
        <f>AB20</f>
        <v>45689</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infoA6</v>
      </c>
      <c r="BK20" s="129">
        <f>IFERROR(WEEKNUM(AB20,21),"")</f>
        <v>5</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24</v>
      </c>
      <c r="EQ20" s="766">
        <f>+AB20</f>
        <v>45689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45689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5</v>
      </c>
      <c r="GA20" s="129">
        <f>+$X$4</f>
        <v>2025</v>
      </c>
      <c r="GB20" s="129" t="str">
        <f>+FZ20&amp;GA20</f>
        <v>52025</v>
      </c>
      <c r="GC20" s="225">
        <f>IF(AND($GD$53=S.CAL!$P$3,$GD$52=FZ20),GE20,IF(BH20="",0,BH20))</f>
        <v>0</v>
      </c>
      <c r="GD20" s="129" t="str">
        <f>IFERROR(+Mars!$BY$2&amp;BL20&amp;BM20,0)</f>
        <v>Fiche infoA6</v>
      </c>
      <c r="GE20" s="129" t="str">
        <f t="shared" ref="GE20:GE50" si="19">+IFERROR(VLOOKUP(GD20,Base_heures,6,FALSE),"")</f>
        <v/>
      </c>
      <c r="GF20" s="225" t="str">
        <f>IF(FP20=1,GG20,AM20)</f>
        <v/>
      </c>
      <c r="GG20" s="1469" t="str">
        <f>+'Retenue Fev'!D18</f>
        <v/>
      </c>
      <c r="GH20" s="1469">
        <f>+'Retenue Fev'!BF18</f>
        <v>0</v>
      </c>
      <c r="GI20" s="1469"/>
      <c r="GJ20" s="1530" t="str">
        <f>+AM20</f>
        <v/>
      </c>
      <c r="GK20" s="225" t="str">
        <f>+AG20</f>
        <v/>
      </c>
      <c r="GL20" s="225" t="str">
        <f>+AJ20</f>
        <v/>
      </c>
      <c r="GM20" s="1529">
        <f>+IF(AND(OR(ISNUMBER(GK20),ISNUMBER(GL20)),OR(GJ20="",GJ20=0,ISTEXT(GJ20))),1,0)</f>
        <v>0</v>
      </c>
      <c r="GN20" s="1469"/>
      <c r="GO20" s="1469">
        <f t="shared" ref="GO20:GO50" si="20">+IFERROR(IF(AND(VLOOKUP(EX20,Liste_motif_formule,11,FALSE)="OUI",FB20&gt;0,FB20&lt;&gt;""),1,0),0)+IFERROR(IF(AND(VLOOKUP(ER20,Liste_motif_formule,11,FALSE)="OUI",FB20&gt;0,FB20&lt;&gt;""),1,0),0)</f>
        <v>0</v>
      </c>
      <c r="GP20" s="1469" t="str">
        <f>IF(GO20=1,GG20,"")</f>
        <v/>
      </c>
      <c r="GQ20" s="1469" t="str">
        <f>+GG20</f>
        <v/>
      </c>
      <c r="GR20" s="1469"/>
      <c r="GS20" s="1469"/>
      <c r="GT20" s="1469"/>
      <c r="GU20" s="1469"/>
      <c r="GV20" s="1469"/>
    </row>
    <row r="21" spans="1:204"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45690</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45690</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infoA7</v>
      </c>
      <c r="BK21" s="129">
        <f t="shared" ref="BK21" si="27">IFERROR(WEEKNUM(AB21,21),"")</f>
        <v>5</v>
      </c>
      <c r="BL21" s="129" t="str">
        <f t="shared" si="4"/>
        <v>A</v>
      </c>
      <c r="BM21" s="129">
        <f t="shared" si="5"/>
        <v>7</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45689</v>
      </c>
      <c r="EJ21" s="755"/>
      <c r="EK21" s="755"/>
      <c r="EQ21" s="766">
        <f t="shared" ref="EQ21" si="28">+AB21</f>
        <v>45690</v>
      </c>
      <c r="ER21" s="767">
        <f t="shared" si="10"/>
        <v>0</v>
      </c>
      <c r="ES21" s="768">
        <f t="shared" si="11"/>
        <v>0</v>
      </c>
      <c r="ET21" s="767">
        <f t="shared" si="12"/>
        <v>0</v>
      </c>
      <c r="EU21" s="768">
        <f t="shared" si="13"/>
        <v>0</v>
      </c>
      <c r="EV21" s="767" t="str">
        <f t="shared" si="14"/>
        <v/>
      </c>
      <c r="EW21" s="769">
        <f t="shared" ref="EW21:EW50" si="29">+EQ21</f>
        <v>45690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5</v>
      </c>
      <c r="GA21" s="129">
        <f t="shared" ref="GA21:GA50" si="39">+$X$4</f>
        <v>2025</v>
      </c>
      <c r="GB21" s="129" t="str">
        <f t="shared" ref="GB21:GB48" si="40">+FZ21&amp;GA21</f>
        <v>52025</v>
      </c>
      <c r="GC21" s="225">
        <f>IF(AND($GD$53=S.CAL!$P$3,$GD$52=FZ21),GE21,IF(BH21="",0,BH21))</f>
        <v>0</v>
      </c>
      <c r="GD21" s="129" t="str">
        <f>IFERROR(+Mars!$BY$2&amp;BL21&amp;BM21,0)</f>
        <v>Fiche infoA7</v>
      </c>
      <c r="GE21" s="129" t="str">
        <f t="shared" si="19"/>
        <v/>
      </c>
      <c r="GF21" s="225" t="str">
        <f t="shared" ref="GF21:GF48" si="41">IF(FP21=1,GG21,AM21)</f>
        <v/>
      </c>
      <c r="GG21" s="1469" t="str">
        <f>+'Retenue Fev'!D19</f>
        <v/>
      </c>
      <c r="GH21" s="1469">
        <f>+'Retenue Fev'!BF19</f>
        <v>0</v>
      </c>
      <c r="GI21" s="1469"/>
      <c r="GJ21" s="1530" t="str">
        <f t="shared" ref="GJ21:GJ50" si="42">+AM21</f>
        <v/>
      </c>
      <c r="GK21" s="225" t="str">
        <f t="shared" ref="GK21:GK50" si="43">+AG21</f>
        <v/>
      </c>
      <c r="GL21" s="225" t="str">
        <f t="shared" ref="GL21:GL50" si="44">+AJ21</f>
        <v/>
      </c>
      <c r="GM21" s="1529">
        <f t="shared" ref="GM21:GM50" si="45">+IF(AND(OR(ISNUMBER(GK21),ISNUMBER(GL21)),OR(GJ21="",GJ21=0,ISTEXT(GJ21))),1,0)</f>
        <v>0</v>
      </c>
      <c r="GN21" s="1469"/>
      <c r="GO21" s="1469">
        <f t="shared" si="20"/>
        <v>0</v>
      </c>
      <c r="GP21" s="1469" t="str">
        <f t="shared" ref="GP21:GP50" si="46">IF(GO21=1,GG21,"")</f>
        <v/>
      </c>
      <c r="GQ21" s="1469" t="str">
        <f t="shared" ref="GQ21:GQ50" si="47">+GG21</f>
        <v/>
      </c>
      <c r="GR21" s="1469"/>
      <c r="GS21" s="1469"/>
      <c r="GT21" s="1469"/>
      <c r="GU21" s="1469"/>
      <c r="GV21" s="1469"/>
    </row>
    <row r="22" spans="1:204"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45691</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f t="shared" ref="AP22:AP50" si="48">IFERROR(IF(WEEKDAY(AB22,11)=1,WEEKNUM(AB22,21),""),"")</f>
        <v>6</v>
      </c>
      <c r="AQ22" s="340"/>
      <c r="AR22" s="1126"/>
      <c r="AS22" s="332">
        <f t="shared" si="3"/>
        <v>0</v>
      </c>
      <c r="AT22" s="1147"/>
      <c r="AU22" s="1147"/>
      <c r="AV22" s="332"/>
      <c r="AW22" s="2017">
        <f t="shared" si="22"/>
        <v>45691</v>
      </c>
      <c r="AX22" s="1878"/>
      <c r="AY22" s="332"/>
      <c r="AZ22" s="1126"/>
      <c r="BA22" s="993"/>
      <c r="BB22" s="561"/>
      <c r="BC22" s="566">
        <f t="shared" si="23"/>
        <v>0</v>
      </c>
      <c r="BD22" s="1126"/>
      <c r="BE22" s="825">
        <f t="shared" si="24"/>
        <v>0</v>
      </c>
      <c r="BF22" s="1150"/>
      <c r="BG22" s="224"/>
      <c r="BH22" s="566" t="str">
        <f t="shared" si="25"/>
        <v/>
      </c>
      <c r="BI22" s="1150"/>
      <c r="BJ22" s="129" t="str">
        <f t="shared" si="26"/>
        <v>Fiche infoA1</v>
      </c>
      <c r="BK22" s="129">
        <f t="shared" ref="BK22:BK50" si="49">IFERROR(WEEKNUM(AB22,21),"")</f>
        <v>6</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45716</v>
      </c>
      <c r="EJ22" s="755"/>
      <c r="EK22" s="755"/>
      <c r="EQ22" s="766">
        <f t="shared" ref="EQ22:EQ50" si="53">+AB22</f>
        <v>45691</v>
      </c>
      <c r="ER22" s="767">
        <f t="shared" si="10"/>
        <v>0</v>
      </c>
      <c r="ES22" s="768">
        <f t="shared" si="11"/>
        <v>0</v>
      </c>
      <c r="ET22" s="767">
        <f t="shared" si="12"/>
        <v>0</v>
      </c>
      <c r="EU22" s="768">
        <f t="shared" si="13"/>
        <v>0</v>
      </c>
      <c r="EV22" s="767" t="str">
        <f t="shared" si="14"/>
        <v/>
      </c>
      <c r="EW22" s="769">
        <f t="shared" si="29"/>
        <v>45691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6</v>
      </c>
      <c r="GA22" s="129">
        <f t="shared" si="39"/>
        <v>2025</v>
      </c>
      <c r="GB22" s="129" t="str">
        <f t="shared" si="40"/>
        <v>62025</v>
      </c>
      <c r="GC22" s="225">
        <f>IF(AND($GD$53=S.CAL!$P$3,$GD$52=FZ22),GE22,IF(BH22="",0,BH22))</f>
        <v>0</v>
      </c>
      <c r="GD22" s="129" t="str">
        <f>IFERROR(+Mars!$BY$2&amp;BL22&amp;BM22,0)</f>
        <v>Fiche infoA1</v>
      </c>
      <c r="GE22" s="129" t="str">
        <f t="shared" si="19"/>
        <v/>
      </c>
      <c r="GF22" s="225" t="str">
        <f t="shared" si="41"/>
        <v/>
      </c>
      <c r="GG22" s="1469" t="str">
        <f>+'Retenue Fev'!D20</f>
        <v/>
      </c>
      <c r="GH22" s="1469">
        <f>+'Retenue Fev'!BF20</f>
        <v>0</v>
      </c>
      <c r="GI22" s="1469"/>
      <c r="GJ22" s="1530" t="str">
        <f t="shared" si="42"/>
        <v/>
      </c>
      <c r="GK22" s="225" t="str">
        <f t="shared" si="43"/>
        <v/>
      </c>
      <c r="GL22" s="225" t="str">
        <f t="shared" si="44"/>
        <v/>
      </c>
      <c r="GM22" s="1529">
        <f t="shared" si="45"/>
        <v>0</v>
      </c>
      <c r="GN22" s="1469"/>
      <c r="GO22" s="1469">
        <f t="shared" si="20"/>
        <v>0</v>
      </c>
      <c r="GP22" s="1469" t="str">
        <f t="shared" si="46"/>
        <v/>
      </c>
      <c r="GQ22" s="1469" t="str">
        <f t="shared" si="47"/>
        <v/>
      </c>
      <c r="GR22" s="1469"/>
      <c r="GS22" s="1469"/>
      <c r="GT22" s="1469"/>
      <c r="GU22" s="1469"/>
      <c r="GV22" s="1469"/>
    </row>
    <row r="23" spans="1:204"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45692</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45692</v>
      </c>
      <c r="AX23" s="1878"/>
      <c r="AY23" s="332"/>
      <c r="AZ23" s="1126"/>
      <c r="BA23" s="993"/>
      <c r="BB23" s="561"/>
      <c r="BC23" s="566">
        <f t="shared" si="23"/>
        <v>0</v>
      </c>
      <c r="BD23" s="1126"/>
      <c r="BE23" s="825">
        <f t="shared" si="24"/>
        <v>0</v>
      </c>
      <c r="BF23" s="1150"/>
      <c r="BG23" s="224"/>
      <c r="BH23" s="566" t="str">
        <f t="shared" si="25"/>
        <v/>
      </c>
      <c r="BI23" s="1150"/>
      <c r="BJ23" s="129" t="str">
        <f t="shared" si="26"/>
        <v>Fiche infoA2</v>
      </c>
      <c r="BK23" s="129">
        <f t="shared" si="49"/>
        <v>6</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45692</v>
      </c>
      <c r="ER23" s="767">
        <f t="shared" si="10"/>
        <v>0</v>
      </c>
      <c r="ES23" s="768">
        <f t="shared" si="11"/>
        <v>0</v>
      </c>
      <c r="ET23" s="767">
        <f t="shared" si="12"/>
        <v>0</v>
      </c>
      <c r="EU23" s="768">
        <f t="shared" si="13"/>
        <v>0</v>
      </c>
      <c r="EV23" s="767" t="str">
        <f t="shared" si="14"/>
        <v/>
      </c>
      <c r="EW23" s="769">
        <f t="shared" si="29"/>
        <v>45692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6</v>
      </c>
      <c r="GA23" s="129">
        <f t="shared" si="39"/>
        <v>2025</v>
      </c>
      <c r="GB23" s="129" t="str">
        <f t="shared" si="40"/>
        <v>62025</v>
      </c>
      <c r="GC23" s="225">
        <f>IF(AND($GD$53=S.CAL!$P$3,$GD$52=FZ23),GE23,IF(BH23="",0,BH23))</f>
        <v>0</v>
      </c>
      <c r="GD23" s="129" t="str">
        <f>IFERROR(+Mars!$BY$2&amp;BL23&amp;BM23,0)</f>
        <v>Fiche infoA2</v>
      </c>
      <c r="GE23" s="129" t="str">
        <f t="shared" si="19"/>
        <v/>
      </c>
      <c r="GF23" s="225" t="str">
        <f t="shared" si="41"/>
        <v/>
      </c>
      <c r="GG23" s="1469" t="str">
        <f>+'Retenue Fev'!D21</f>
        <v/>
      </c>
      <c r="GH23" s="1469">
        <f>+'Retenue Fev'!BF21</f>
        <v>0</v>
      </c>
      <c r="GI23" s="1469"/>
      <c r="GJ23" s="1530" t="str">
        <f t="shared" si="42"/>
        <v/>
      </c>
      <c r="GK23" s="225" t="str">
        <f t="shared" si="43"/>
        <v/>
      </c>
      <c r="GL23" s="225" t="str">
        <f t="shared" si="44"/>
        <v/>
      </c>
      <c r="GM23" s="1529">
        <f t="shared" si="45"/>
        <v>0</v>
      </c>
      <c r="GN23" s="1469"/>
      <c r="GO23" s="1469">
        <f t="shared" si="20"/>
        <v>0</v>
      </c>
      <c r="GP23" s="1469" t="str">
        <f t="shared" si="46"/>
        <v/>
      </c>
      <c r="GQ23" s="1469" t="str">
        <f t="shared" si="47"/>
        <v/>
      </c>
      <c r="GR23" s="1469"/>
      <c r="GS23" s="1469"/>
      <c r="GT23" s="1469"/>
      <c r="GU23" s="1469"/>
      <c r="GV23" s="1469"/>
    </row>
    <row r="24" spans="1:204"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45693</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45693</v>
      </c>
      <c r="AX24" s="1878"/>
      <c r="AY24" s="332"/>
      <c r="AZ24" s="1126"/>
      <c r="BA24" s="993"/>
      <c r="BB24" s="561"/>
      <c r="BC24" s="566">
        <f t="shared" si="23"/>
        <v>0</v>
      </c>
      <c r="BD24" s="1126"/>
      <c r="BE24" s="825">
        <f t="shared" si="24"/>
        <v>0</v>
      </c>
      <c r="BF24" s="1150"/>
      <c r="BG24" s="224"/>
      <c r="BH24" s="566" t="str">
        <f t="shared" si="25"/>
        <v/>
      </c>
      <c r="BI24" s="1150"/>
      <c r="BJ24" s="129" t="str">
        <f t="shared" si="26"/>
        <v>Fiche infoA3</v>
      </c>
      <c r="BK24" s="129">
        <f t="shared" si="49"/>
        <v>6</v>
      </c>
      <c r="BL24" s="129" t="str">
        <f t="shared" si="4"/>
        <v>A</v>
      </c>
      <c r="BM24" s="129">
        <f t="shared" si="50"/>
        <v>3</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45693</v>
      </c>
      <c r="ER24" s="767">
        <f t="shared" si="10"/>
        <v>0</v>
      </c>
      <c r="ES24" s="768">
        <f t="shared" si="11"/>
        <v>0</v>
      </c>
      <c r="ET24" s="767">
        <f t="shared" si="12"/>
        <v>0</v>
      </c>
      <c r="EU24" s="768">
        <f t="shared" si="13"/>
        <v>0</v>
      </c>
      <c r="EV24" s="767" t="str">
        <f t="shared" si="14"/>
        <v/>
      </c>
      <c r="EW24" s="769">
        <f t="shared" si="29"/>
        <v>45693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6</v>
      </c>
      <c r="GA24" s="129">
        <f t="shared" si="39"/>
        <v>2025</v>
      </c>
      <c r="GB24" s="129" t="str">
        <f t="shared" si="40"/>
        <v>62025</v>
      </c>
      <c r="GC24" s="225">
        <f>IF(AND($GD$53=S.CAL!$P$3,$GD$52=FZ24),GE24,IF(BH24="",0,BH24))</f>
        <v>0</v>
      </c>
      <c r="GD24" s="129" t="str">
        <f>IFERROR(+Mars!$BY$2&amp;BL24&amp;BM24,0)</f>
        <v>Fiche infoA3</v>
      </c>
      <c r="GE24" s="129" t="str">
        <f t="shared" si="19"/>
        <v/>
      </c>
      <c r="GF24" s="225" t="str">
        <f t="shared" si="41"/>
        <v/>
      </c>
      <c r="GG24" s="1469" t="str">
        <f>+'Retenue Fev'!D22</f>
        <v/>
      </c>
      <c r="GH24" s="1469">
        <f>+'Retenue Fev'!BF22</f>
        <v>0</v>
      </c>
      <c r="GI24" s="1469"/>
      <c r="GJ24" s="1530" t="str">
        <f t="shared" si="42"/>
        <v/>
      </c>
      <c r="GK24" s="225" t="str">
        <f t="shared" si="43"/>
        <v/>
      </c>
      <c r="GL24" s="225" t="str">
        <f t="shared" si="44"/>
        <v/>
      </c>
      <c r="GM24" s="1529">
        <f t="shared" si="45"/>
        <v>0</v>
      </c>
      <c r="GN24" s="1469"/>
      <c r="GO24" s="1469">
        <f t="shared" si="20"/>
        <v>0</v>
      </c>
      <c r="GP24" s="1469" t="str">
        <f t="shared" si="46"/>
        <v/>
      </c>
      <c r="GQ24" s="1469" t="str">
        <f t="shared" si="47"/>
        <v/>
      </c>
      <c r="GR24" s="1469"/>
      <c r="GS24" s="1469"/>
      <c r="GT24" s="1469"/>
      <c r="GU24" s="1469"/>
      <c r="GV24" s="1469"/>
    </row>
    <row r="25" spans="1:204" ht="12.75" customHeight="1" x14ac:dyDescent="0.2">
      <c r="A25" s="1850" t="s">
        <v>52</v>
      </c>
      <c r="B25" s="1865" t="s">
        <v>1253</v>
      </c>
      <c r="C25" s="1866"/>
      <c r="D25" s="1866"/>
      <c r="E25" s="1866"/>
      <c r="F25" s="1866"/>
      <c r="G25" s="1866"/>
      <c r="H25" s="1866"/>
      <c r="I25" s="1866"/>
      <c r="J25" s="1866"/>
      <c r="K25" s="1867"/>
      <c r="L25" s="1810" t="e">
        <f>IF(A18="Salaire heures normales réelles",0,'Retenue Fev'!R48*-1)</f>
        <v>#DIV/0!</v>
      </c>
      <c r="M25" s="1811"/>
      <c r="N25" s="1811"/>
      <c r="O25" s="1812"/>
      <c r="P25" s="1816" t="e">
        <f>+IF(L25,T25/L25,0)</f>
        <v>#DIV/0!</v>
      </c>
      <c r="Q25" s="1817"/>
      <c r="R25" s="1817"/>
      <c r="S25" s="1818"/>
      <c r="T25" s="1913">
        <f>IF(A18="Salaire heures normales réelles",0,'Retenue Fev'!R52*-1)</f>
        <v>0</v>
      </c>
      <c r="U25" s="1914"/>
      <c r="V25" s="1914"/>
      <c r="W25" s="1915"/>
      <c r="X25" s="226"/>
      <c r="Y25" s="226"/>
      <c r="Z25" s="226"/>
      <c r="AA25" s="903" t="str">
        <f>IF(AND(BE25="OUI",$AR$13=S.CAL!$CU$2),"►",IF(AND(EV25="OUI",$AR$13=S.CAL!$CU$3),"►",""))</f>
        <v/>
      </c>
      <c r="AB25" s="1877">
        <f>+$X$3+5</f>
        <v>45694</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45694</v>
      </c>
      <c r="AX25" s="1878"/>
      <c r="AY25" s="332"/>
      <c r="AZ25" s="1126"/>
      <c r="BA25" s="993"/>
      <c r="BB25" s="561"/>
      <c r="BC25" s="566">
        <f t="shared" si="23"/>
        <v>0</v>
      </c>
      <c r="BD25" s="1126"/>
      <c r="BE25" s="825">
        <f t="shared" si="24"/>
        <v>0</v>
      </c>
      <c r="BF25" s="1150"/>
      <c r="BG25" s="224"/>
      <c r="BH25" s="566" t="str">
        <f t="shared" si="25"/>
        <v/>
      </c>
      <c r="BI25" s="1150"/>
      <c r="BJ25" s="129" t="str">
        <f t="shared" si="26"/>
        <v>Fiche infoA4</v>
      </c>
      <c r="BK25" s="129">
        <f t="shared" si="49"/>
        <v>6</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45694</v>
      </c>
      <c r="ER25" s="767">
        <f t="shared" si="10"/>
        <v>0</v>
      </c>
      <c r="ES25" s="768">
        <f t="shared" si="11"/>
        <v>0</v>
      </c>
      <c r="ET25" s="767">
        <f t="shared" si="12"/>
        <v>0</v>
      </c>
      <c r="EU25" s="768">
        <f t="shared" si="13"/>
        <v>0</v>
      </c>
      <c r="EV25" s="767" t="str">
        <f t="shared" si="14"/>
        <v/>
      </c>
      <c r="EW25" s="769">
        <f t="shared" si="29"/>
        <v>45694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6</v>
      </c>
      <c r="GA25" s="129">
        <f t="shared" si="39"/>
        <v>2025</v>
      </c>
      <c r="GB25" s="129" t="str">
        <f t="shared" si="40"/>
        <v>62025</v>
      </c>
      <c r="GC25" s="225">
        <f>IF(AND($GD$53=S.CAL!$P$3,$GD$52=FZ25),GE25,IF(BH25="",0,BH25))</f>
        <v>0</v>
      </c>
      <c r="GD25" s="129" t="str">
        <f>IFERROR(+Mars!$BY$2&amp;BL25&amp;BM25,0)</f>
        <v>Fiche infoA4</v>
      </c>
      <c r="GE25" s="129" t="str">
        <f t="shared" si="19"/>
        <v/>
      </c>
      <c r="GF25" s="225" t="str">
        <f t="shared" si="41"/>
        <v/>
      </c>
      <c r="GG25" s="1469" t="str">
        <f>+'Retenue Fev'!D23</f>
        <v/>
      </c>
      <c r="GH25" s="1469">
        <f>+'Retenue Fev'!BF23</f>
        <v>0</v>
      </c>
      <c r="GI25" s="1469"/>
      <c r="GJ25" s="1530" t="str">
        <f t="shared" si="42"/>
        <v/>
      </c>
      <c r="GK25" s="225" t="str">
        <f t="shared" si="43"/>
        <v/>
      </c>
      <c r="GL25" s="225" t="str">
        <f t="shared" si="44"/>
        <v/>
      </c>
      <c r="GM25" s="1529">
        <f t="shared" si="45"/>
        <v>0</v>
      </c>
      <c r="GN25" s="1469"/>
      <c r="GO25" s="1469">
        <f t="shared" si="20"/>
        <v>0</v>
      </c>
      <c r="GP25" s="1469" t="str">
        <f t="shared" si="46"/>
        <v/>
      </c>
      <c r="GQ25" s="1469" t="str">
        <f t="shared" si="47"/>
        <v/>
      </c>
      <c r="GR25" s="1469"/>
      <c r="GS25" s="1469"/>
      <c r="GT25" s="1469"/>
      <c r="GU25" s="1469"/>
      <c r="GV25" s="1469"/>
    </row>
    <row r="26" spans="1:204" ht="12.75" customHeight="1" x14ac:dyDescent="0.2">
      <c r="A26" s="1851"/>
      <c r="B26" s="1868" t="s">
        <v>844</v>
      </c>
      <c r="C26" s="1869"/>
      <c r="D26" s="1869"/>
      <c r="E26" s="1869"/>
      <c r="F26" s="1869"/>
      <c r="G26" s="1869"/>
      <c r="H26" s="1869"/>
      <c r="I26" s="1869"/>
      <c r="J26" s="1869"/>
      <c r="K26" s="1870"/>
      <c r="L26" s="1810" t="e">
        <f>IF(A18="Salaire heures normales réelles",0,'Retenue Fev'!R50*-1)</f>
        <v>#DIV/0!</v>
      </c>
      <c r="M26" s="1811"/>
      <c r="N26" s="1811"/>
      <c r="O26" s="1812"/>
      <c r="P26" s="1816" t="e">
        <f>+IF(L26,T26/L26,0)</f>
        <v>#DIV/0!</v>
      </c>
      <c r="Q26" s="1817"/>
      <c r="R26" s="1817"/>
      <c r="S26" s="1818"/>
      <c r="T26" s="1913">
        <f>IF(A18="Salaire heures normales réelles",0,'Retenue Fev'!R54*-1)</f>
        <v>0</v>
      </c>
      <c r="U26" s="1914"/>
      <c r="V26" s="1914"/>
      <c r="W26" s="1915"/>
      <c r="X26" s="223"/>
      <c r="Y26" s="223"/>
      <c r="Z26" s="223"/>
      <c r="AA26" s="903" t="str">
        <f>IF(AND(BE26="OUI",$AR$13=S.CAL!$CU$2),"►",IF(AND(EV26="OUI",$AR$13=S.CAL!$CU$3),"►",""))</f>
        <v/>
      </c>
      <c r="AB26" s="1877">
        <f>+$X$3+6</f>
        <v>45695</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45695</v>
      </c>
      <c r="AX26" s="1878"/>
      <c r="AY26" s="332"/>
      <c r="AZ26" s="1126"/>
      <c r="BA26" s="993"/>
      <c r="BB26" s="561"/>
      <c r="BC26" s="566">
        <f t="shared" si="23"/>
        <v>0</v>
      </c>
      <c r="BD26" s="1126"/>
      <c r="BE26" s="825">
        <f t="shared" si="24"/>
        <v>0</v>
      </c>
      <c r="BF26" s="1150"/>
      <c r="BG26" s="224"/>
      <c r="BH26" s="566" t="str">
        <f t="shared" si="25"/>
        <v/>
      </c>
      <c r="BI26" s="1150"/>
      <c r="BJ26" s="129" t="str">
        <f t="shared" si="26"/>
        <v>Fiche infoA5</v>
      </c>
      <c r="BK26" s="129">
        <f t="shared" si="49"/>
        <v>6</v>
      </c>
      <c r="BL26" s="129" t="str">
        <f t="shared" si="4"/>
        <v>A</v>
      </c>
      <c r="BM26" s="129">
        <f t="shared" si="50"/>
        <v>5</v>
      </c>
      <c r="BN26" s="225" t="str">
        <f t="shared" si="60"/>
        <v>Fiche info</v>
      </c>
      <c r="BO26" s="332" t="str">
        <f t="shared" si="51"/>
        <v/>
      </c>
      <c r="BP26" s="198" t="str">
        <f t="shared" si="52"/>
        <v/>
      </c>
      <c r="BQ26" s="208"/>
      <c r="BX26" s="595"/>
      <c r="BY26" s="2085" t="s">
        <v>1114</v>
      </c>
      <c r="BZ26" s="2085" t="s">
        <v>449</v>
      </c>
      <c r="CA26" s="2083" t="s">
        <v>1115</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45695</v>
      </c>
      <c r="ER26" s="767">
        <f t="shared" si="10"/>
        <v>0</v>
      </c>
      <c r="ES26" s="768">
        <f t="shared" si="11"/>
        <v>0</v>
      </c>
      <c r="ET26" s="767">
        <f t="shared" si="12"/>
        <v>0</v>
      </c>
      <c r="EU26" s="768">
        <f t="shared" si="13"/>
        <v>0</v>
      </c>
      <c r="EV26" s="767" t="str">
        <f t="shared" si="14"/>
        <v/>
      </c>
      <c r="EW26" s="769">
        <f t="shared" si="29"/>
        <v>45695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6</v>
      </c>
      <c r="GA26" s="129">
        <f t="shared" si="39"/>
        <v>2025</v>
      </c>
      <c r="GB26" s="129" t="str">
        <f t="shared" si="40"/>
        <v>62025</v>
      </c>
      <c r="GC26" s="225">
        <f>IF(AND($GD$53=S.CAL!$P$3,$GD$52=FZ26),GE26,IF(BH26="",0,BH26))</f>
        <v>0</v>
      </c>
      <c r="GD26" s="129" t="str">
        <f>IFERROR(+Mars!$BY$2&amp;BL26&amp;BM26,0)</f>
        <v>Fiche infoA5</v>
      </c>
      <c r="GE26" s="129" t="str">
        <f t="shared" si="19"/>
        <v/>
      </c>
      <c r="GF26" s="225" t="str">
        <f t="shared" si="41"/>
        <v/>
      </c>
      <c r="GG26" s="1469" t="str">
        <f>+'Retenue Fev'!D24</f>
        <v/>
      </c>
      <c r="GH26" s="1469">
        <f>+'Retenue Fev'!BF24</f>
        <v>0</v>
      </c>
      <c r="GI26" s="1469"/>
      <c r="GJ26" s="1530" t="str">
        <f t="shared" si="42"/>
        <v/>
      </c>
      <c r="GK26" s="225" t="str">
        <f t="shared" si="43"/>
        <v/>
      </c>
      <c r="GL26" s="225" t="str">
        <f t="shared" si="44"/>
        <v/>
      </c>
      <c r="GM26" s="1529">
        <f t="shared" si="45"/>
        <v>0</v>
      </c>
      <c r="GN26" s="1469"/>
      <c r="GO26" s="1469">
        <f t="shared" si="20"/>
        <v>0</v>
      </c>
      <c r="GP26" s="1469" t="str">
        <f t="shared" si="46"/>
        <v/>
      </c>
      <c r="GQ26" s="1469" t="str">
        <f t="shared" si="47"/>
        <v/>
      </c>
      <c r="GR26" s="1469"/>
      <c r="GS26" s="1469"/>
      <c r="GT26" s="1469"/>
      <c r="GU26" s="1469"/>
      <c r="GV26" s="1469"/>
    </row>
    <row r="27" spans="1:204"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45696</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45696</v>
      </c>
      <c r="AX27" s="1878"/>
      <c r="AY27" s="332"/>
      <c r="AZ27" s="1126"/>
      <c r="BA27" s="993"/>
      <c r="BB27" s="561"/>
      <c r="BC27" s="566">
        <f t="shared" si="23"/>
        <v>0</v>
      </c>
      <c r="BD27" s="1126"/>
      <c r="BE27" s="825">
        <f t="shared" si="24"/>
        <v>0</v>
      </c>
      <c r="BF27" s="1150"/>
      <c r="BG27" s="224"/>
      <c r="BH27" s="566" t="str">
        <f t="shared" si="25"/>
        <v/>
      </c>
      <c r="BI27" s="1150"/>
      <c r="BJ27" s="129" t="str">
        <f t="shared" si="26"/>
        <v>Fiche infoA6</v>
      </c>
      <c r="BK27" s="129">
        <f t="shared" si="49"/>
        <v>6</v>
      </c>
      <c r="BL27" s="129" t="str">
        <f t="shared" si="4"/>
        <v>A</v>
      </c>
      <c r="BM27" s="129">
        <f t="shared" si="50"/>
        <v>6</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45696</v>
      </c>
      <c r="ER27" s="767">
        <f t="shared" si="10"/>
        <v>0</v>
      </c>
      <c r="ES27" s="768">
        <f t="shared" si="11"/>
        <v>0</v>
      </c>
      <c r="ET27" s="767">
        <f t="shared" si="12"/>
        <v>0</v>
      </c>
      <c r="EU27" s="768">
        <f t="shared" si="13"/>
        <v>0</v>
      </c>
      <c r="EV27" s="767" t="str">
        <f t="shared" si="14"/>
        <v/>
      </c>
      <c r="EW27" s="769">
        <f t="shared" si="29"/>
        <v>45696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6</v>
      </c>
      <c r="GA27" s="129">
        <f t="shared" si="39"/>
        <v>2025</v>
      </c>
      <c r="GB27" s="129" t="str">
        <f t="shared" si="40"/>
        <v>62025</v>
      </c>
      <c r="GC27" s="225">
        <f>IF(AND($GD$53=S.CAL!$P$3,$GD$52=FZ27),GE27,IF(BH27="",0,BH27))</f>
        <v>0</v>
      </c>
      <c r="GD27" s="129" t="str">
        <f>IFERROR(+Mars!$BY$2&amp;BL27&amp;BM27,0)</f>
        <v>Fiche infoA6</v>
      </c>
      <c r="GE27" s="129" t="str">
        <f t="shared" si="19"/>
        <v/>
      </c>
      <c r="GF27" s="225" t="str">
        <f t="shared" si="41"/>
        <v/>
      </c>
      <c r="GG27" s="1469" t="str">
        <f>+'Retenue Fev'!D25</f>
        <v/>
      </c>
      <c r="GH27" s="1469">
        <f>+'Retenue Fev'!BF25</f>
        <v>0</v>
      </c>
      <c r="GI27" s="1469"/>
      <c r="GJ27" s="1530" t="str">
        <f t="shared" si="42"/>
        <v/>
      </c>
      <c r="GK27" s="225" t="str">
        <f t="shared" si="43"/>
        <v/>
      </c>
      <c r="GL27" s="225" t="str">
        <f t="shared" si="44"/>
        <v/>
      </c>
      <c r="GM27" s="1529">
        <f t="shared" si="45"/>
        <v>0</v>
      </c>
      <c r="GN27" s="1469"/>
      <c r="GO27" s="1469">
        <f t="shared" si="20"/>
        <v>0</v>
      </c>
      <c r="GP27" s="1469" t="str">
        <f t="shared" si="46"/>
        <v/>
      </c>
      <c r="GQ27" s="1469" t="str">
        <f t="shared" si="47"/>
        <v/>
      </c>
      <c r="GR27" s="1469"/>
      <c r="GS27" s="1469"/>
      <c r="GT27" s="1469"/>
      <c r="GU27" s="1469"/>
      <c r="GV27" s="1469"/>
    </row>
    <row r="28" spans="1:204"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45697</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45697</v>
      </c>
      <c r="AX28" s="1878"/>
      <c r="AY28" s="332"/>
      <c r="AZ28" s="1126"/>
      <c r="BA28" s="993"/>
      <c r="BB28" s="561"/>
      <c r="BC28" s="566">
        <f t="shared" si="23"/>
        <v>0</v>
      </c>
      <c r="BD28" s="1126"/>
      <c r="BE28" s="825">
        <f t="shared" si="24"/>
        <v>0</v>
      </c>
      <c r="BF28" s="1150"/>
      <c r="BG28" s="224"/>
      <c r="BH28" s="566" t="str">
        <f t="shared" si="25"/>
        <v/>
      </c>
      <c r="BI28" s="1150"/>
      <c r="BJ28" s="129" t="str">
        <f t="shared" si="26"/>
        <v>Fiche infoA7</v>
      </c>
      <c r="BK28" s="129">
        <f t="shared" si="49"/>
        <v>6</v>
      </c>
      <c r="BL28" s="129" t="str">
        <f t="shared" si="4"/>
        <v>A</v>
      </c>
      <c r="BM28" s="129">
        <f t="shared" si="50"/>
        <v>7</v>
      </c>
      <c r="BN28" s="225" t="str">
        <f t="shared" si="60"/>
        <v>Fiche info</v>
      </c>
      <c r="BO28" s="332" t="str">
        <f t="shared" si="51"/>
        <v/>
      </c>
      <c r="BP28" s="198" t="str">
        <f t="shared" si="52"/>
        <v/>
      </c>
      <c r="BQ28" s="198"/>
      <c r="BS28" s="2012" t="str">
        <f>+"Semaine numéro : "&amp;AT4</f>
        <v>Semaine numéro : 5</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+SUMIF(Janvier!$BK$20:$BK$50,AT4,Janvier!$AM$20:$AO$50)</f>
        <v>0</v>
      </c>
      <c r="CD28" s="198">
        <f>+SUMIF(Mars!$BK$20:$BK$50,AT4,Mars!$AM$20:$AO$50)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759">
        <f>+GO57</f>
        <v>0</v>
      </c>
      <c r="EQ28" s="766">
        <f t="shared" si="53"/>
        <v>45697</v>
      </c>
      <c r="ER28" s="767">
        <f t="shared" si="10"/>
        <v>0</v>
      </c>
      <c r="ES28" s="768">
        <f t="shared" si="11"/>
        <v>0</v>
      </c>
      <c r="ET28" s="767">
        <f t="shared" si="12"/>
        <v>0</v>
      </c>
      <c r="EU28" s="768">
        <f t="shared" si="13"/>
        <v>0</v>
      </c>
      <c r="EV28" s="767" t="str">
        <f t="shared" si="14"/>
        <v/>
      </c>
      <c r="EW28" s="769">
        <f t="shared" si="29"/>
        <v>45697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6</v>
      </c>
      <c r="GA28" s="129">
        <f t="shared" si="39"/>
        <v>2025</v>
      </c>
      <c r="GB28" s="129" t="str">
        <f t="shared" si="40"/>
        <v>62025</v>
      </c>
      <c r="GC28" s="225">
        <f>IF(AND($GD$53=S.CAL!$P$3,$GD$52=FZ28),GE28,IF(BH28="",0,BH28))</f>
        <v>0</v>
      </c>
      <c r="GD28" s="129" t="str">
        <f>IFERROR(+Mars!$BY$2&amp;BL28&amp;BM28,0)</f>
        <v>Fiche infoA7</v>
      </c>
      <c r="GE28" s="129" t="str">
        <f t="shared" si="19"/>
        <v/>
      </c>
      <c r="GF28" s="225" t="str">
        <f t="shared" si="41"/>
        <v/>
      </c>
      <c r="GG28" s="1469" t="str">
        <f>+'Retenue Fev'!D26</f>
        <v/>
      </c>
      <c r="GH28" s="1469">
        <f>+'Retenue Fev'!BF26</f>
        <v>0</v>
      </c>
      <c r="GI28" s="1469"/>
      <c r="GJ28" s="1530" t="str">
        <f t="shared" si="42"/>
        <v/>
      </c>
      <c r="GK28" s="225" t="str">
        <f t="shared" si="43"/>
        <v/>
      </c>
      <c r="GL28" s="225" t="str">
        <f t="shared" si="44"/>
        <v/>
      </c>
      <c r="GM28" s="1529">
        <f t="shared" si="45"/>
        <v>0</v>
      </c>
      <c r="GN28" s="1469"/>
      <c r="GO28" s="1469">
        <f t="shared" si="20"/>
        <v>0</v>
      </c>
      <c r="GP28" s="1469" t="str">
        <f t="shared" si="46"/>
        <v/>
      </c>
      <c r="GQ28" s="1469" t="str">
        <f t="shared" si="47"/>
        <v/>
      </c>
      <c r="GR28" s="1469"/>
      <c r="GS28" s="1469"/>
      <c r="GT28" s="1469"/>
      <c r="GU28" s="1469"/>
      <c r="GV28" s="1469"/>
    </row>
    <row r="29" spans="1:204"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45698</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f t="shared" si="48"/>
        <v>7</v>
      </c>
      <c r="AQ29" s="340"/>
      <c r="AR29" s="1126"/>
      <c r="AS29" s="332">
        <f t="shared" si="3"/>
        <v>0</v>
      </c>
      <c r="AT29" s="1147"/>
      <c r="AU29" s="1147"/>
      <c r="AV29" s="332"/>
      <c r="AW29" s="2017">
        <f t="shared" si="22"/>
        <v>45698</v>
      </c>
      <c r="AX29" s="1878"/>
      <c r="AY29" s="332"/>
      <c r="AZ29" s="1126"/>
      <c r="BA29" s="993"/>
      <c r="BB29" s="561"/>
      <c r="BC29" s="566">
        <f t="shared" si="23"/>
        <v>0</v>
      </c>
      <c r="BD29" s="1126"/>
      <c r="BE29" s="825">
        <f t="shared" si="24"/>
        <v>0</v>
      </c>
      <c r="BF29" s="1150"/>
      <c r="BG29" s="224"/>
      <c r="BH29" s="566" t="str">
        <f t="shared" si="25"/>
        <v/>
      </c>
      <c r="BI29" s="1150"/>
      <c r="BJ29" s="129" t="str">
        <f t="shared" si="26"/>
        <v>Fiche infoA1</v>
      </c>
      <c r="BK29" s="129">
        <f t="shared" si="49"/>
        <v>7</v>
      </c>
      <c r="BL29" s="129" t="str">
        <f t="shared" si="4"/>
        <v>A</v>
      </c>
      <c r="BM29" s="129">
        <f t="shared" si="50"/>
        <v>1</v>
      </c>
      <c r="BN29" s="225" t="str">
        <f t="shared" si="60"/>
        <v>Fiche info</v>
      </c>
      <c r="BO29" s="332" t="str">
        <f t="shared" si="51"/>
        <v/>
      </c>
      <c r="BP29" s="198" t="str">
        <f t="shared" si="52"/>
        <v/>
      </c>
      <c r="BQ29" s="198"/>
      <c r="BS29" s="2012" t="str">
        <f t="shared" ref="BS29:BS33" si="64">+"Semaine numéro : "&amp;AT5</f>
        <v>Semaine numéro : 6</v>
      </c>
      <c r="BT29" s="2013"/>
      <c r="BU29" s="2013"/>
      <c r="BV29" s="2013"/>
      <c r="BW29" s="2013"/>
      <c r="BX29" s="2014"/>
      <c r="BY29" s="1137"/>
      <c r="BZ29" s="674">
        <f t="shared" ref="BZ29:BZ33" si="65">+IF(BY29="",IF(AND(CC29&gt;0,CB29&gt;0),CC29+CB29,IF(CD29&gt;0,0,CB29)),BY29)</f>
        <v>0</v>
      </c>
      <c r="CA29" s="673">
        <f t="shared" si="62"/>
        <v>0</v>
      </c>
      <c r="CB29" s="198">
        <f t="shared" si="63"/>
        <v>0</v>
      </c>
      <c r="CC29" s="198">
        <f>+SUMIF(Janvier!$BK$20:$BK$50,AT5,Janvier!$AM$20:$AO$50)</f>
        <v>0</v>
      </c>
      <c r="CD29" s="198">
        <f>+SUMIF(Mars!$BK$20:$BK$50,AT5,Mars!$AM$20:$AO$50)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45698</v>
      </c>
      <c r="ER29" s="767">
        <f t="shared" si="10"/>
        <v>0</v>
      </c>
      <c r="ES29" s="768">
        <f t="shared" si="11"/>
        <v>0</v>
      </c>
      <c r="ET29" s="767">
        <f t="shared" si="12"/>
        <v>0</v>
      </c>
      <c r="EU29" s="768">
        <f t="shared" si="13"/>
        <v>0</v>
      </c>
      <c r="EV29" s="767" t="str">
        <f t="shared" si="14"/>
        <v/>
      </c>
      <c r="EW29" s="769">
        <f t="shared" si="29"/>
        <v>45698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7</v>
      </c>
      <c r="GA29" s="129">
        <f t="shared" si="39"/>
        <v>2025</v>
      </c>
      <c r="GB29" s="129" t="str">
        <f t="shared" si="40"/>
        <v>72025</v>
      </c>
      <c r="GC29" s="225">
        <f>IF(AND($GD$53=S.CAL!$P$3,$GD$52=FZ29),GE29,IF(BH29="",0,BH29))</f>
        <v>0</v>
      </c>
      <c r="GD29" s="129" t="str">
        <f>IFERROR(+Mars!$BY$2&amp;BL29&amp;BM29,0)</f>
        <v>Fiche infoA1</v>
      </c>
      <c r="GE29" s="129" t="str">
        <f t="shared" si="19"/>
        <v/>
      </c>
      <c r="GF29" s="225" t="str">
        <f t="shared" si="41"/>
        <v/>
      </c>
      <c r="GG29" s="1469" t="str">
        <f>+'Retenue Fev'!D27</f>
        <v/>
      </c>
      <c r="GH29" s="1469">
        <f>+'Retenue Fev'!BF27</f>
        <v>0</v>
      </c>
      <c r="GI29" s="1469"/>
      <c r="GJ29" s="1530" t="str">
        <f t="shared" si="42"/>
        <v/>
      </c>
      <c r="GK29" s="225" t="str">
        <f t="shared" si="43"/>
        <v/>
      </c>
      <c r="GL29" s="225" t="str">
        <f t="shared" si="44"/>
        <v/>
      </c>
      <c r="GM29" s="1529">
        <f t="shared" si="45"/>
        <v>0</v>
      </c>
      <c r="GN29" s="1469"/>
      <c r="GO29" s="1469">
        <f t="shared" si="20"/>
        <v>0</v>
      </c>
      <c r="GP29" s="1469" t="str">
        <f t="shared" si="46"/>
        <v/>
      </c>
      <c r="GQ29" s="1469" t="str">
        <f t="shared" si="47"/>
        <v/>
      </c>
      <c r="GR29" s="1469"/>
      <c r="GS29" s="1469"/>
      <c r="GT29" s="1469"/>
      <c r="GU29" s="1469"/>
      <c r="GV29" s="1469"/>
    </row>
    <row r="30" spans="1:204"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45699</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45699</v>
      </c>
      <c r="AX30" s="1878"/>
      <c r="AY30" s="332"/>
      <c r="AZ30" s="1126"/>
      <c r="BA30" s="993"/>
      <c r="BB30" s="561"/>
      <c r="BC30" s="566">
        <f t="shared" si="23"/>
        <v>0</v>
      </c>
      <c r="BD30" s="1126"/>
      <c r="BE30" s="825">
        <f t="shared" si="24"/>
        <v>0</v>
      </c>
      <c r="BF30" s="1150"/>
      <c r="BG30" s="224"/>
      <c r="BH30" s="566" t="str">
        <f t="shared" si="25"/>
        <v/>
      </c>
      <c r="BI30" s="1150"/>
      <c r="BJ30" s="129" t="str">
        <f t="shared" si="26"/>
        <v>Fiche infoA2</v>
      </c>
      <c r="BK30" s="129">
        <f t="shared" si="49"/>
        <v>7</v>
      </c>
      <c r="BL30" s="129" t="str">
        <f t="shared" si="4"/>
        <v>A</v>
      </c>
      <c r="BM30" s="129">
        <f t="shared" si="50"/>
        <v>2</v>
      </c>
      <c r="BN30" s="225" t="str">
        <f t="shared" si="60"/>
        <v>Fiche info</v>
      </c>
      <c r="BO30" s="332" t="str">
        <f t="shared" si="51"/>
        <v/>
      </c>
      <c r="BP30" s="198" t="str">
        <f t="shared" si="52"/>
        <v/>
      </c>
      <c r="BQ30" s="198"/>
      <c r="BS30" s="2012" t="str">
        <f t="shared" si="64"/>
        <v>Semaine numéro : 7</v>
      </c>
      <c r="BT30" s="2013"/>
      <c r="BU30" s="2013"/>
      <c r="BV30" s="2013"/>
      <c r="BW30" s="2013"/>
      <c r="BX30" s="2014"/>
      <c r="BY30" s="1137"/>
      <c r="BZ30" s="674">
        <f t="shared" si="65"/>
        <v>0</v>
      </c>
      <c r="CA30" s="673">
        <f t="shared" si="62"/>
        <v>0</v>
      </c>
      <c r="CB30" s="198">
        <f t="shared" si="63"/>
        <v>0</v>
      </c>
      <c r="CC30" s="198">
        <f>+SUMIF(Janvier!$BK$20:$BK$50,AT6,Janvier!$AM$20:$AO$50)</f>
        <v>0</v>
      </c>
      <c r="CD30" s="198">
        <f>+SUMIF(Mars!$BK$20:$BK$50,AT6,Mars!$AM$20:$AO$50)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45699</v>
      </c>
      <c r="ER30" s="767">
        <f t="shared" si="10"/>
        <v>0</v>
      </c>
      <c r="ES30" s="768">
        <f t="shared" si="11"/>
        <v>0</v>
      </c>
      <c r="ET30" s="767">
        <f t="shared" si="12"/>
        <v>0</v>
      </c>
      <c r="EU30" s="768">
        <f t="shared" si="13"/>
        <v>0</v>
      </c>
      <c r="EV30" s="767" t="str">
        <f t="shared" si="14"/>
        <v/>
      </c>
      <c r="EW30" s="769">
        <f t="shared" si="29"/>
        <v>45699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7</v>
      </c>
      <c r="GA30" s="129">
        <f t="shared" si="39"/>
        <v>2025</v>
      </c>
      <c r="GB30" s="129" t="str">
        <f t="shared" si="40"/>
        <v>72025</v>
      </c>
      <c r="GC30" s="225">
        <f>IF(AND($GD$53=S.CAL!$P$3,$GD$52=FZ30),GE30,IF(BH30="",0,BH30))</f>
        <v>0</v>
      </c>
      <c r="GD30" s="129" t="str">
        <f>IFERROR(+Mars!$BY$2&amp;BL30&amp;BM30,0)</f>
        <v>Fiche infoA2</v>
      </c>
      <c r="GE30" s="129" t="str">
        <f t="shared" si="19"/>
        <v/>
      </c>
      <c r="GF30" s="225" t="str">
        <f t="shared" si="41"/>
        <v/>
      </c>
      <c r="GG30" s="1469" t="str">
        <f>+'Retenue Fev'!D28</f>
        <v/>
      </c>
      <c r="GH30" s="1469">
        <f>+'Retenue Fev'!BF28</f>
        <v>0</v>
      </c>
      <c r="GI30" s="1469"/>
      <c r="GJ30" s="1530" t="str">
        <f t="shared" si="42"/>
        <v/>
      </c>
      <c r="GK30" s="225" t="str">
        <f t="shared" si="43"/>
        <v/>
      </c>
      <c r="GL30" s="225" t="str">
        <f t="shared" si="44"/>
        <v/>
      </c>
      <c r="GM30" s="1529">
        <f t="shared" si="45"/>
        <v>0</v>
      </c>
      <c r="GN30" s="1469"/>
      <c r="GO30" s="1469">
        <f t="shared" si="20"/>
        <v>0</v>
      </c>
      <c r="GP30" s="1469" t="str">
        <f t="shared" si="46"/>
        <v/>
      </c>
      <c r="GQ30" s="1469" t="str">
        <f t="shared" si="47"/>
        <v/>
      </c>
      <c r="GR30" s="1469"/>
      <c r="GS30" s="1469"/>
      <c r="GT30" s="1469"/>
      <c r="GU30" s="1469"/>
      <c r="GV30" s="1469"/>
    </row>
    <row r="31" spans="1:204"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45700</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45700</v>
      </c>
      <c r="AX31" s="1878"/>
      <c r="AY31" s="332"/>
      <c r="AZ31" s="1126"/>
      <c r="BA31" s="993"/>
      <c r="BB31" s="561"/>
      <c r="BC31" s="566">
        <f t="shared" si="23"/>
        <v>0</v>
      </c>
      <c r="BD31" s="1126"/>
      <c r="BE31" s="825">
        <f t="shared" si="24"/>
        <v>0</v>
      </c>
      <c r="BF31" s="1150"/>
      <c r="BG31" s="224"/>
      <c r="BH31" s="566" t="str">
        <f t="shared" si="25"/>
        <v/>
      </c>
      <c r="BI31" s="1150"/>
      <c r="BJ31" s="129" t="str">
        <f t="shared" si="26"/>
        <v>Fiche infoA3</v>
      </c>
      <c r="BK31" s="129">
        <f t="shared" si="49"/>
        <v>7</v>
      </c>
      <c r="BL31" s="129" t="str">
        <f t="shared" si="4"/>
        <v>A</v>
      </c>
      <c r="BM31" s="129">
        <f t="shared" si="50"/>
        <v>3</v>
      </c>
      <c r="BN31" s="225" t="str">
        <f t="shared" si="60"/>
        <v>Fiche info</v>
      </c>
      <c r="BO31" s="332" t="str">
        <f t="shared" si="51"/>
        <v/>
      </c>
      <c r="BP31" s="198" t="str">
        <f t="shared" si="52"/>
        <v/>
      </c>
      <c r="BQ31" s="198"/>
      <c r="BS31" s="2012" t="str">
        <f t="shared" si="64"/>
        <v>Semaine numéro : 8</v>
      </c>
      <c r="BT31" s="2013"/>
      <c r="BU31" s="2013"/>
      <c r="BV31" s="2013"/>
      <c r="BW31" s="2013"/>
      <c r="BX31" s="2014"/>
      <c r="BY31" s="1137"/>
      <c r="BZ31" s="674">
        <f t="shared" si="65"/>
        <v>0</v>
      </c>
      <c r="CA31" s="673">
        <f t="shared" si="62"/>
        <v>0</v>
      </c>
      <c r="CB31" s="198">
        <f t="shared" si="63"/>
        <v>0</v>
      </c>
      <c r="CC31" s="198">
        <f>+SUMIF(Janvier!$BK$20:$BK$50,AT7,Janvier!$AM$20:$AO$50)</f>
        <v>0</v>
      </c>
      <c r="CD31" s="198">
        <f>+SUMIF(Mars!$BK$20:$BK$50,AT7,Mars!$AM$20:$AO$50)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45700</v>
      </c>
      <c r="ER31" s="767">
        <f t="shared" si="10"/>
        <v>0</v>
      </c>
      <c r="ES31" s="768">
        <f t="shared" si="11"/>
        <v>0</v>
      </c>
      <c r="ET31" s="767">
        <f t="shared" si="12"/>
        <v>0</v>
      </c>
      <c r="EU31" s="768">
        <f t="shared" si="13"/>
        <v>0</v>
      </c>
      <c r="EV31" s="767" t="str">
        <f t="shared" si="14"/>
        <v/>
      </c>
      <c r="EW31" s="769">
        <f t="shared" si="29"/>
        <v>45700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7</v>
      </c>
      <c r="GA31" s="129">
        <f t="shared" si="39"/>
        <v>2025</v>
      </c>
      <c r="GB31" s="129" t="str">
        <f t="shared" si="40"/>
        <v>72025</v>
      </c>
      <c r="GC31" s="225">
        <f>IF(AND($GD$53=S.CAL!$P$3,$GD$52=FZ31),GE31,IF(BH31="",0,BH31))</f>
        <v>0</v>
      </c>
      <c r="GD31" s="129" t="str">
        <f>IFERROR(+Mars!$BY$2&amp;BL31&amp;BM31,0)</f>
        <v>Fiche infoA3</v>
      </c>
      <c r="GE31" s="129" t="str">
        <f t="shared" si="19"/>
        <v/>
      </c>
      <c r="GF31" s="225" t="str">
        <f t="shared" si="41"/>
        <v/>
      </c>
      <c r="GG31" s="1469" t="str">
        <f>+'Retenue Fev'!D29</f>
        <v/>
      </c>
      <c r="GH31" s="1469">
        <f>+'Retenue Fev'!BF29</f>
        <v>0</v>
      </c>
      <c r="GI31" s="1469"/>
      <c r="GJ31" s="1530" t="str">
        <f t="shared" si="42"/>
        <v/>
      </c>
      <c r="GK31" s="225" t="str">
        <f t="shared" si="43"/>
        <v/>
      </c>
      <c r="GL31" s="225" t="str">
        <f t="shared" si="44"/>
        <v/>
      </c>
      <c r="GM31" s="1529">
        <f t="shared" si="45"/>
        <v>0</v>
      </c>
      <c r="GN31" s="1469"/>
      <c r="GO31" s="1469">
        <f t="shared" si="20"/>
        <v>0</v>
      </c>
      <c r="GP31" s="1469" t="str">
        <f t="shared" si="46"/>
        <v/>
      </c>
      <c r="GQ31" s="1469" t="str">
        <f t="shared" si="47"/>
        <v/>
      </c>
      <c r="GR31" s="1469"/>
      <c r="GS31" s="1469"/>
      <c r="GT31" s="1469"/>
      <c r="GU31" s="1469"/>
      <c r="GV31" s="1469"/>
    </row>
    <row r="32" spans="1:204"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45701</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45701</v>
      </c>
      <c r="AX32" s="1878"/>
      <c r="AY32" s="332"/>
      <c r="AZ32" s="1126"/>
      <c r="BA32" s="993"/>
      <c r="BB32" s="561"/>
      <c r="BC32" s="566">
        <f t="shared" si="23"/>
        <v>0</v>
      </c>
      <c r="BD32" s="1126"/>
      <c r="BE32" s="825">
        <f t="shared" si="24"/>
        <v>0</v>
      </c>
      <c r="BF32" s="1150"/>
      <c r="BG32" s="224"/>
      <c r="BH32" s="566" t="str">
        <f t="shared" si="25"/>
        <v/>
      </c>
      <c r="BI32" s="1150"/>
      <c r="BJ32" s="129" t="str">
        <f t="shared" si="26"/>
        <v>Fiche infoA4</v>
      </c>
      <c r="BK32" s="129">
        <f t="shared" si="49"/>
        <v>7</v>
      </c>
      <c r="BL32" s="129" t="str">
        <f t="shared" si="4"/>
        <v>A</v>
      </c>
      <c r="BM32" s="129">
        <f t="shared" si="50"/>
        <v>4</v>
      </c>
      <c r="BN32" s="225" t="str">
        <f t="shared" si="60"/>
        <v>Fiche info</v>
      </c>
      <c r="BO32" s="332" t="str">
        <f t="shared" si="51"/>
        <v/>
      </c>
      <c r="BP32" s="198" t="str">
        <f t="shared" si="52"/>
        <v/>
      </c>
      <c r="BQ32" s="198"/>
      <c r="BS32" s="2012" t="str">
        <f t="shared" si="64"/>
        <v>Semaine numéro : 9</v>
      </c>
      <c r="BT32" s="2013"/>
      <c r="BU32" s="2013"/>
      <c r="BV32" s="2013"/>
      <c r="BW32" s="2013"/>
      <c r="BX32" s="2014"/>
      <c r="BY32" s="1137"/>
      <c r="BZ32" s="674">
        <f t="shared" si="65"/>
        <v>0</v>
      </c>
      <c r="CA32" s="673">
        <f t="shared" si="62"/>
        <v>0</v>
      </c>
      <c r="CB32" s="198">
        <f t="shared" si="63"/>
        <v>0</v>
      </c>
      <c r="CC32" s="198">
        <f>+SUMIF(Janvier!$BK$20:$BK$50,AT8,Janvier!$AM$20:$AO$50)</f>
        <v>0</v>
      </c>
      <c r="CD32" s="198">
        <f>+SUMIF(Mars!$BK$20:$BK$50,AT8,Mars!$AM$20:$AO$50)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45701</v>
      </c>
      <c r="ER32" s="767">
        <f t="shared" si="10"/>
        <v>0</v>
      </c>
      <c r="ES32" s="768">
        <f t="shared" si="11"/>
        <v>0</v>
      </c>
      <c r="ET32" s="767">
        <f t="shared" si="12"/>
        <v>0</v>
      </c>
      <c r="EU32" s="768">
        <f t="shared" si="13"/>
        <v>0</v>
      </c>
      <c r="EV32" s="767" t="str">
        <f t="shared" si="14"/>
        <v/>
      </c>
      <c r="EW32" s="769">
        <f t="shared" si="29"/>
        <v>45701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7</v>
      </c>
      <c r="GA32" s="129">
        <f t="shared" si="39"/>
        <v>2025</v>
      </c>
      <c r="GB32" s="129" t="str">
        <f t="shared" si="40"/>
        <v>72025</v>
      </c>
      <c r="GC32" s="225">
        <f>IF(AND($GD$53=S.CAL!$P$3,$GD$52=FZ32),GE32,IF(BH32="",0,BH32))</f>
        <v>0</v>
      </c>
      <c r="GD32" s="129" t="str">
        <f>IFERROR(+Mars!$BY$2&amp;BL32&amp;BM32,0)</f>
        <v>Fiche infoA4</v>
      </c>
      <c r="GE32" s="129" t="str">
        <f t="shared" si="19"/>
        <v/>
      </c>
      <c r="GF32" s="225" t="str">
        <f t="shared" si="41"/>
        <v/>
      </c>
      <c r="GG32" s="1469" t="str">
        <f>+'Retenue Fev'!D30</f>
        <v/>
      </c>
      <c r="GH32" s="1469">
        <f>+'Retenue Fev'!BF30</f>
        <v>0</v>
      </c>
      <c r="GI32" s="1469"/>
      <c r="GJ32" s="1530" t="str">
        <f t="shared" si="42"/>
        <v/>
      </c>
      <c r="GK32" s="225" t="str">
        <f t="shared" si="43"/>
        <v/>
      </c>
      <c r="GL32" s="225" t="str">
        <f t="shared" si="44"/>
        <v/>
      </c>
      <c r="GM32" s="1529">
        <f t="shared" si="45"/>
        <v>0</v>
      </c>
      <c r="GN32" s="1469"/>
      <c r="GO32" s="1469">
        <f t="shared" si="20"/>
        <v>0</v>
      </c>
      <c r="GP32" s="1469" t="str">
        <f t="shared" si="46"/>
        <v/>
      </c>
      <c r="GQ32" s="1469" t="str">
        <f t="shared" si="47"/>
        <v/>
      </c>
      <c r="GR32" s="1469"/>
      <c r="GS32" s="1469"/>
      <c r="GT32" s="1469"/>
      <c r="GU32" s="1469"/>
      <c r="GV32" s="1469"/>
    </row>
    <row r="33" spans="1:204"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45702</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45702</v>
      </c>
      <c r="AX33" s="1878"/>
      <c r="AY33" s="332"/>
      <c r="AZ33" s="1126"/>
      <c r="BA33" s="993"/>
      <c r="BB33" s="561"/>
      <c r="BC33" s="566">
        <f t="shared" si="23"/>
        <v>0</v>
      </c>
      <c r="BD33" s="1126"/>
      <c r="BE33" s="825">
        <f t="shared" si="24"/>
        <v>0</v>
      </c>
      <c r="BF33" s="1150"/>
      <c r="BG33" s="224"/>
      <c r="BH33" s="566" t="str">
        <f t="shared" si="25"/>
        <v/>
      </c>
      <c r="BI33" s="1150"/>
      <c r="BJ33" s="129" t="str">
        <f t="shared" si="26"/>
        <v>Fiche infoA5</v>
      </c>
      <c r="BK33" s="129">
        <f t="shared" si="49"/>
        <v>7</v>
      </c>
      <c r="BL33" s="129" t="str">
        <f t="shared" si="4"/>
        <v>A</v>
      </c>
      <c r="BM33" s="129">
        <f t="shared" si="50"/>
        <v>5</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+SUMIF(Janvier!$BK$20:$BK$50,AT9,Janvier!$AM$20:$AO$50)</f>
        <v>0</v>
      </c>
      <c r="CD33" s="198">
        <f>+SUMIF(Mars!$BK$20:$BK$50,AT9,Mars!$AM$20:$AO$50)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45702</v>
      </c>
      <c r="ER33" s="767">
        <f t="shared" si="10"/>
        <v>0</v>
      </c>
      <c r="ES33" s="768">
        <f t="shared" si="11"/>
        <v>0</v>
      </c>
      <c r="ET33" s="767">
        <f t="shared" si="12"/>
        <v>0</v>
      </c>
      <c r="EU33" s="768">
        <f t="shared" si="13"/>
        <v>0</v>
      </c>
      <c r="EV33" s="767" t="str">
        <f t="shared" si="14"/>
        <v/>
      </c>
      <c r="EW33" s="769">
        <f t="shared" si="29"/>
        <v>45702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7</v>
      </c>
      <c r="GA33" s="129">
        <f t="shared" si="39"/>
        <v>2025</v>
      </c>
      <c r="GB33" s="129" t="str">
        <f t="shared" si="40"/>
        <v>72025</v>
      </c>
      <c r="GC33" s="225">
        <f>IF(AND($GD$53=S.CAL!$P$3,$GD$52=FZ33),GE33,IF(BH33="",0,BH33))</f>
        <v>0</v>
      </c>
      <c r="GD33" s="129" t="str">
        <f>IFERROR(+Mars!$BY$2&amp;BL33&amp;BM33,0)</f>
        <v>Fiche infoA5</v>
      </c>
      <c r="GE33" s="129" t="str">
        <f t="shared" si="19"/>
        <v/>
      </c>
      <c r="GF33" s="225" t="str">
        <f t="shared" si="41"/>
        <v/>
      </c>
      <c r="GG33" s="1469" t="str">
        <f>+'Retenue Fev'!D31</f>
        <v/>
      </c>
      <c r="GH33" s="1469">
        <f>+'Retenue Fev'!BF31</f>
        <v>0</v>
      </c>
      <c r="GI33" s="1469"/>
      <c r="GJ33" s="1530" t="str">
        <f t="shared" si="42"/>
        <v/>
      </c>
      <c r="GK33" s="225" t="str">
        <f t="shared" si="43"/>
        <v/>
      </c>
      <c r="GL33" s="225" t="str">
        <f t="shared" si="44"/>
        <v/>
      </c>
      <c r="GM33" s="1529">
        <f t="shared" si="45"/>
        <v>0</v>
      </c>
      <c r="GN33" s="1469"/>
      <c r="GO33" s="1469">
        <f t="shared" si="20"/>
        <v>0</v>
      </c>
      <c r="GP33" s="1469" t="str">
        <f t="shared" si="46"/>
        <v/>
      </c>
      <c r="GQ33" s="1469" t="str">
        <f t="shared" si="47"/>
        <v/>
      </c>
      <c r="GR33" s="1469"/>
      <c r="GS33" s="1469"/>
      <c r="GT33" s="1469"/>
      <c r="GU33" s="1469"/>
      <c r="GV33" s="1469"/>
    </row>
    <row r="34" spans="1:204"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45703</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45703</v>
      </c>
      <c r="AX34" s="1878"/>
      <c r="AY34" s="332"/>
      <c r="AZ34" s="1126"/>
      <c r="BA34" s="993"/>
      <c r="BB34" s="561"/>
      <c r="BC34" s="566">
        <f t="shared" si="23"/>
        <v>0</v>
      </c>
      <c r="BD34" s="1126"/>
      <c r="BE34" s="825">
        <f t="shared" si="24"/>
        <v>0</v>
      </c>
      <c r="BF34" s="1150"/>
      <c r="BG34" s="224"/>
      <c r="BH34" s="566" t="str">
        <f t="shared" si="25"/>
        <v/>
      </c>
      <c r="BI34" s="1150"/>
      <c r="BJ34" s="129" t="str">
        <f t="shared" si="26"/>
        <v>Fiche infoA6</v>
      </c>
      <c r="BK34" s="129">
        <f t="shared" si="49"/>
        <v>7</v>
      </c>
      <c r="BL34" s="129" t="str">
        <f t="shared" si="4"/>
        <v>A</v>
      </c>
      <c r="BM34" s="129">
        <f t="shared" si="50"/>
        <v>6</v>
      </c>
      <c r="BN34" s="225" t="str">
        <f t="shared" si="60"/>
        <v>Fiche info</v>
      </c>
      <c r="BO34" s="332" t="str">
        <f t="shared" si="51"/>
        <v/>
      </c>
      <c r="BP34" s="198" t="str">
        <f t="shared" si="52"/>
        <v/>
      </c>
      <c r="BQ34" s="198"/>
      <c r="BZ34" s="676" t="s">
        <v>450</v>
      </c>
      <c r="CA34" s="677">
        <f>+IF(AND(DP14=1,OR(DP29="NON",DP29=0)),0,SUM(CA28:CA33))</f>
        <v>0</v>
      </c>
      <c r="CB34" s="465"/>
      <c r="CC34" s="465"/>
      <c r="CD34" s="465"/>
      <c r="CE34" s="465"/>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45703</v>
      </c>
      <c r="ER34" s="767">
        <f t="shared" si="10"/>
        <v>0</v>
      </c>
      <c r="ES34" s="768">
        <f t="shared" si="11"/>
        <v>0</v>
      </c>
      <c r="ET34" s="767">
        <f t="shared" si="12"/>
        <v>0</v>
      </c>
      <c r="EU34" s="768">
        <f t="shared" si="13"/>
        <v>0</v>
      </c>
      <c r="EV34" s="767" t="str">
        <f t="shared" si="14"/>
        <v/>
      </c>
      <c r="EW34" s="769">
        <f t="shared" si="29"/>
        <v>45703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7</v>
      </c>
      <c r="GA34" s="129">
        <f t="shared" si="39"/>
        <v>2025</v>
      </c>
      <c r="GB34" s="129" t="str">
        <f t="shared" si="40"/>
        <v>72025</v>
      </c>
      <c r="GC34" s="225">
        <f>IF(AND($GD$53=S.CAL!$P$3,$GD$52=FZ34),GE34,IF(BH34="",0,BH34))</f>
        <v>0</v>
      </c>
      <c r="GD34" s="129" t="str">
        <f>IFERROR(+Mars!$BY$2&amp;BL34&amp;BM34,0)</f>
        <v>Fiche infoA6</v>
      </c>
      <c r="GE34" s="129" t="str">
        <f t="shared" si="19"/>
        <v/>
      </c>
      <c r="GF34" s="225" t="str">
        <f t="shared" si="41"/>
        <v/>
      </c>
      <c r="GG34" s="1469" t="str">
        <f>+'Retenue Fev'!D32</f>
        <v/>
      </c>
      <c r="GH34" s="1469">
        <f>+'Retenue Fev'!BF32</f>
        <v>0</v>
      </c>
      <c r="GI34" s="1469"/>
      <c r="GJ34" s="1530" t="str">
        <f t="shared" si="42"/>
        <v/>
      </c>
      <c r="GK34" s="225" t="str">
        <f t="shared" si="43"/>
        <v/>
      </c>
      <c r="GL34" s="225" t="str">
        <f t="shared" si="44"/>
        <v/>
      </c>
      <c r="GM34" s="1529">
        <f t="shared" si="45"/>
        <v>0</v>
      </c>
      <c r="GN34" s="1469"/>
      <c r="GO34" s="1469">
        <f t="shared" si="20"/>
        <v>0</v>
      </c>
      <c r="GP34" s="1469" t="str">
        <f t="shared" si="46"/>
        <v/>
      </c>
      <c r="GQ34" s="1469" t="str">
        <f t="shared" si="47"/>
        <v/>
      </c>
      <c r="GR34" s="1469"/>
      <c r="GS34" s="1469"/>
      <c r="GT34" s="1469"/>
      <c r="GU34" s="1469"/>
      <c r="GV34" s="1469"/>
    </row>
    <row r="35" spans="1:204"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45704</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45704</v>
      </c>
      <c r="AX35" s="1878"/>
      <c r="AY35" s="332"/>
      <c r="AZ35" s="1126"/>
      <c r="BA35" s="993"/>
      <c r="BB35" s="561"/>
      <c r="BC35" s="566">
        <f t="shared" si="23"/>
        <v>0</v>
      </c>
      <c r="BD35" s="1126"/>
      <c r="BE35" s="825">
        <f t="shared" si="24"/>
        <v>0</v>
      </c>
      <c r="BF35" s="1150"/>
      <c r="BG35" s="224"/>
      <c r="BH35" s="566" t="str">
        <f t="shared" si="25"/>
        <v/>
      </c>
      <c r="BI35" s="1150"/>
      <c r="BJ35" s="129" t="str">
        <f t="shared" si="26"/>
        <v>Fiche infoA7</v>
      </c>
      <c r="BK35" s="129">
        <f t="shared" si="49"/>
        <v>7</v>
      </c>
      <c r="BL35" s="129" t="str">
        <f t="shared" si="4"/>
        <v>A</v>
      </c>
      <c r="BM35" s="129">
        <f t="shared" si="50"/>
        <v>7</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45704</v>
      </c>
      <c r="ER35" s="767">
        <f t="shared" si="10"/>
        <v>0</v>
      </c>
      <c r="ES35" s="768">
        <f t="shared" si="11"/>
        <v>0</v>
      </c>
      <c r="ET35" s="767">
        <f t="shared" si="12"/>
        <v>0</v>
      </c>
      <c r="EU35" s="768">
        <f t="shared" si="13"/>
        <v>0</v>
      </c>
      <c r="EV35" s="767" t="str">
        <f t="shared" si="14"/>
        <v/>
      </c>
      <c r="EW35" s="769">
        <f t="shared" si="29"/>
        <v>45704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7</v>
      </c>
      <c r="GA35" s="129">
        <f t="shared" si="39"/>
        <v>2025</v>
      </c>
      <c r="GB35" s="129" t="str">
        <f t="shared" si="40"/>
        <v>72025</v>
      </c>
      <c r="GC35" s="225">
        <f>IF(AND($GD$53=S.CAL!$P$3,$GD$52=FZ35),GE35,IF(BH35="",0,BH35))</f>
        <v>0</v>
      </c>
      <c r="GD35" s="129" t="str">
        <f>IFERROR(+Mars!$BY$2&amp;BL35&amp;BM35,0)</f>
        <v>Fiche infoA7</v>
      </c>
      <c r="GE35" s="129" t="str">
        <f t="shared" si="19"/>
        <v/>
      </c>
      <c r="GF35" s="225" t="str">
        <f t="shared" si="41"/>
        <v/>
      </c>
      <c r="GG35" s="1469" t="str">
        <f>+'Retenue Fev'!D33</f>
        <v/>
      </c>
      <c r="GH35" s="1469">
        <f>+'Retenue Fev'!BF33</f>
        <v>0</v>
      </c>
      <c r="GI35" s="1469"/>
      <c r="GJ35" s="1530" t="str">
        <f t="shared" si="42"/>
        <v/>
      </c>
      <c r="GK35" s="225" t="str">
        <f t="shared" si="43"/>
        <v/>
      </c>
      <c r="GL35" s="225" t="str">
        <f t="shared" si="44"/>
        <v/>
      </c>
      <c r="GM35" s="1529">
        <f t="shared" si="45"/>
        <v>0</v>
      </c>
      <c r="GN35" s="1469"/>
      <c r="GO35" s="1469">
        <f t="shared" si="20"/>
        <v>0</v>
      </c>
      <c r="GP35" s="1469" t="str">
        <f t="shared" si="46"/>
        <v/>
      </c>
      <c r="GQ35" s="1469" t="str">
        <f t="shared" si="47"/>
        <v/>
      </c>
      <c r="GR35" s="1469"/>
      <c r="GS35" s="1469"/>
      <c r="GT35" s="1469"/>
      <c r="GU35" s="1469"/>
      <c r="GV35" s="1469"/>
    </row>
    <row r="36" spans="1:204" x14ac:dyDescent="0.2">
      <c r="X36" s="228"/>
      <c r="Y36" s="228"/>
      <c r="Z36" s="228"/>
      <c r="AA36" s="903" t="str">
        <f>IF(AND(BE36="OUI",$AR$13=S.CAL!$CU$2),"►",IF(AND(EV36="OUI",$AR$13=S.CAL!$CU$3),"►",""))</f>
        <v/>
      </c>
      <c r="AB36" s="1877">
        <f>+$X$3+16</f>
        <v>45705</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f t="shared" si="48"/>
        <v>8</v>
      </c>
      <c r="AQ36" s="340"/>
      <c r="AR36" s="1126"/>
      <c r="AS36" s="332">
        <f t="shared" si="3"/>
        <v>0</v>
      </c>
      <c r="AT36" s="1147"/>
      <c r="AU36" s="1147"/>
      <c r="AV36" s="332"/>
      <c r="AW36" s="2017">
        <f t="shared" si="22"/>
        <v>45705</v>
      </c>
      <c r="AX36" s="1878"/>
      <c r="AY36" s="332"/>
      <c r="AZ36" s="1126"/>
      <c r="BA36" s="993"/>
      <c r="BB36" s="561"/>
      <c r="BC36" s="566">
        <f t="shared" si="23"/>
        <v>0</v>
      </c>
      <c r="BD36" s="1126"/>
      <c r="BE36" s="825">
        <f t="shared" si="24"/>
        <v>0</v>
      </c>
      <c r="BF36" s="1150"/>
      <c r="BG36" s="224"/>
      <c r="BH36" s="566" t="str">
        <f t="shared" si="25"/>
        <v/>
      </c>
      <c r="BI36" s="1150"/>
      <c r="BJ36" s="129" t="str">
        <f t="shared" si="26"/>
        <v>Fiche infoA1</v>
      </c>
      <c r="BK36" s="129">
        <f t="shared" si="49"/>
        <v>8</v>
      </c>
      <c r="BL36" s="129" t="str">
        <f t="shared" si="4"/>
        <v>A</v>
      </c>
      <c r="BM36" s="129">
        <f t="shared" si="50"/>
        <v>1</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45705</v>
      </c>
      <c r="ER36" s="767">
        <f t="shared" si="10"/>
        <v>0</v>
      </c>
      <c r="ES36" s="768">
        <f t="shared" si="11"/>
        <v>0</v>
      </c>
      <c r="ET36" s="767">
        <f t="shared" si="12"/>
        <v>0</v>
      </c>
      <c r="EU36" s="768">
        <f t="shared" si="13"/>
        <v>0</v>
      </c>
      <c r="EV36" s="767" t="str">
        <f t="shared" si="14"/>
        <v/>
      </c>
      <c r="EW36" s="769">
        <f t="shared" si="29"/>
        <v>45705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8</v>
      </c>
      <c r="GA36" s="129">
        <f t="shared" si="39"/>
        <v>2025</v>
      </c>
      <c r="GB36" s="129" t="str">
        <f t="shared" si="40"/>
        <v>82025</v>
      </c>
      <c r="GC36" s="225">
        <f>IF(AND($GD$53=S.CAL!$P$3,$GD$52=FZ36),GE36,IF(BH36="",0,BH36))</f>
        <v>0</v>
      </c>
      <c r="GD36" s="129" t="str">
        <f>IFERROR(+Mars!$BY$2&amp;BL36&amp;BM36,0)</f>
        <v>Fiche infoA1</v>
      </c>
      <c r="GE36" s="129" t="str">
        <f t="shared" si="19"/>
        <v/>
      </c>
      <c r="GF36" s="225" t="str">
        <f t="shared" si="41"/>
        <v/>
      </c>
      <c r="GG36" s="1469" t="str">
        <f>+'Retenue Fev'!D34</f>
        <v/>
      </c>
      <c r="GH36" s="1469">
        <f>+'Retenue Fev'!BF34</f>
        <v>0</v>
      </c>
      <c r="GI36" s="1469"/>
      <c r="GJ36" s="1530" t="str">
        <f t="shared" si="42"/>
        <v/>
      </c>
      <c r="GK36" s="225" t="str">
        <f t="shared" si="43"/>
        <v/>
      </c>
      <c r="GL36" s="225" t="str">
        <f t="shared" si="44"/>
        <v/>
      </c>
      <c r="GM36" s="1529">
        <f t="shared" si="45"/>
        <v>0</v>
      </c>
      <c r="GN36" s="1469"/>
      <c r="GO36" s="1469">
        <f t="shared" si="20"/>
        <v>0</v>
      </c>
      <c r="GP36" s="1469" t="str">
        <f t="shared" si="46"/>
        <v/>
      </c>
      <c r="GQ36" s="1469" t="str">
        <f t="shared" si="47"/>
        <v/>
      </c>
      <c r="GR36" s="1469"/>
      <c r="GS36" s="1469"/>
      <c r="GT36" s="1469"/>
      <c r="GU36" s="1469"/>
      <c r="GV36" s="1469"/>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45706</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45706</v>
      </c>
      <c r="AX37" s="1878"/>
      <c r="AY37" s="332"/>
      <c r="AZ37" s="1126"/>
      <c r="BA37" s="993"/>
      <c r="BB37" s="561"/>
      <c r="BC37" s="566">
        <f t="shared" si="23"/>
        <v>0</v>
      </c>
      <c r="BD37" s="1126"/>
      <c r="BE37" s="825">
        <f t="shared" si="24"/>
        <v>0</v>
      </c>
      <c r="BF37" s="1150"/>
      <c r="BG37" s="224"/>
      <c r="BH37" s="566" t="str">
        <f t="shared" si="25"/>
        <v/>
      </c>
      <c r="BI37" s="1150"/>
      <c r="BJ37" s="129" t="str">
        <f t="shared" si="26"/>
        <v>Fiche infoA2</v>
      </c>
      <c r="BK37" s="129">
        <f t="shared" si="49"/>
        <v>8</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45706</v>
      </c>
      <c r="ER37" s="767">
        <f t="shared" si="10"/>
        <v>0</v>
      </c>
      <c r="ES37" s="768">
        <f t="shared" si="11"/>
        <v>0</v>
      </c>
      <c r="ET37" s="767">
        <f t="shared" si="12"/>
        <v>0</v>
      </c>
      <c r="EU37" s="768">
        <f t="shared" si="13"/>
        <v>0</v>
      </c>
      <c r="EV37" s="767" t="str">
        <f t="shared" si="14"/>
        <v/>
      </c>
      <c r="EW37" s="769">
        <f t="shared" si="29"/>
        <v>45706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8</v>
      </c>
      <c r="GA37" s="129">
        <f t="shared" si="39"/>
        <v>2025</v>
      </c>
      <c r="GB37" s="129" t="str">
        <f t="shared" si="40"/>
        <v>82025</v>
      </c>
      <c r="GC37" s="225">
        <f>IF(AND($GD$53=S.CAL!$P$3,$GD$52=FZ37),GE37,IF(BH37="",0,BH37))</f>
        <v>0</v>
      </c>
      <c r="GD37" s="129" t="str">
        <f>IFERROR(+Mars!$BY$2&amp;BL37&amp;BM37,0)</f>
        <v>Fiche infoA2</v>
      </c>
      <c r="GE37" s="129" t="str">
        <f t="shared" si="19"/>
        <v/>
      </c>
      <c r="GF37" s="225" t="str">
        <f t="shared" si="41"/>
        <v/>
      </c>
      <c r="GG37" s="1469" t="str">
        <f>+'Retenue Fev'!D35</f>
        <v/>
      </c>
      <c r="GH37" s="1469">
        <f>+'Retenue Fev'!BF35</f>
        <v>0</v>
      </c>
      <c r="GI37" s="1469"/>
      <c r="GJ37" s="1530" t="str">
        <f t="shared" si="42"/>
        <v/>
      </c>
      <c r="GK37" s="225" t="str">
        <f t="shared" si="43"/>
        <v/>
      </c>
      <c r="GL37" s="225" t="str">
        <f t="shared" si="44"/>
        <v/>
      </c>
      <c r="GM37" s="1529">
        <f t="shared" si="45"/>
        <v>0</v>
      </c>
      <c r="GN37" s="1469"/>
      <c r="GO37" s="1469">
        <f t="shared" si="20"/>
        <v>0</v>
      </c>
      <c r="GP37" s="1469" t="str">
        <f t="shared" si="46"/>
        <v/>
      </c>
      <c r="GQ37" s="1469" t="str">
        <f t="shared" si="47"/>
        <v/>
      </c>
      <c r="GR37" s="1469"/>
      <c r="GS37" s="1469"/>
      <c r="GT37" s="1469"/>
      <c r="GU37" s="1469"/>
      <c r="GV37" s="1469"/>
    </row>
    <row r="38" spans="1:204"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45707</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45707</v>
      </c>
      <c r="AX38" s="1878"/>
      <c r="AY38" s="332"/>
      <c r="AZ38" s="1126"/>
      <c r="BA38" s="993"/>
      <c r="BB38" s="561"/>
      <c r="BC38" s="566">
        <f t="shared" si="23"/>
        <v>0</v>
      </c>
      <c r="BD38" s="1126"/>
      <c r="BE38" s="825">
        <f t="shared" si="24"/>
        <v>0</v>
      </c>
      <c r="BF38" s="1150"/>
      <c r="BG38" s="224"/>
      <c r="BH38" s="566" t="str">
        <f t="shared" si="25"/>
        <v/>
      </c>
      <c r="BI38" s="1150"/>
      <c r="BJ38" s="129" t="str">
        <f t="shared" si="26"/>
        <v>Fiche infoA3</v>
      </c>
      <c r="BK38" s="129">
        <f t="shared" si="49"/>
        <v>8</v>
      </c>
      <c r="BL38" s="129" t="str">
        <f t="shared" si="4"/>
        <v>A</v>
      </c>
      <c r="BM38" s="129">
        <f t="shared" si="50"/>
        <v>3</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45707</v>
      </c>
      <c r="ER38" s="767">
        <f t="shared" si="10"/>
        <v>0</v>
      </c>
      <c r="ES38" s="768">
        <f t="shared" si="11"/>
        <v>0</v>
      </c>
      <c r="ET38" s="767">
        <f t="shared" si="12"/>
        <v>0</v>
      </c>
      <c r="EU38" s="768">
        <f t="shared" si="13"/>
        <v>0</v>
      </c>
      <c r="EV38" s="767" t="str">
        <f t="shared" si="14"/>
        <v/>
      </c>
      <c r="EW38" s="769">
        <f t="shared" si="29"/>
        <v>45707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8</v>
      </c>
      <c r="GA38" s="129">
        <f t="shared" si="39"/>
        <v>2025</v>
      </c>
      <c r="GB38" s="129" t="str">
        <f t="shared" si="40"/>
        <v>82025</v>
      </c>
      <c r="GC38" s="225">
        <f>IF(AND($GD$53=S.CAL!$P$3,$GD$52=FZ38),GE38,IF(BH38="",0,BH38))</f>
        <v>0</v>
      </c>
      <c r="GD38" s="129" t="str">
        <f>IFERROR(+Mars!$BY$2&amp;BL38&amp;BM38,0)</f>
        <v>Fiche infoA3</v>
      </c>
      <c r="GE38" s="129" t="str">
        <f t="shared" si="19"/>
        <v/>
      </c>
      <c r="GF38" s="225" t="str">
        <f t="shared" si="41"/>
        <v/>
      </c>
      <c r="GG38" s="1469" t="str">
        <f>+'Retenue Fev'!D36</f>
        <v/>
      </c>
      <c r="GH38" s="1469">
        <f>+'Retenue Fev'!BF36</f>
        <v>0</v>
      </c>
      <c r="GI38" s="1469"/>
      <c r="GJ38" s="1530" t="str">
        <f t="shared" si="42"/>
        <v/>
      </c>
      <c r="GK38" s="225" t="str">
        <f t="shared" si="43"/>
        <v/>
      </c>
      <c r="GL38" s="225" t="str">
        <f t="shared" si="44"/>
        <v/>
      </c>
      <c r="GM38" s="1529">
        <f t="shared" si="45"/>
        <v>0</v>
      </c>
      <c r="GN38" s="1469"/>
      <c r="GO38" s="1469">
        <f t="shared" si="20"/>
        <v>0</v>
      </c>
      <c r="GP38" s="1469" t="str">
        <f t="shared" si="46"/>
        <v/>
      </c>
      <c r="GQ38" s="1469" t="str">
        <f t="shared" si="47"/>
        <v/>
      </c>
      <c r="GR38" s="1469"/>
      <c r="GS38" s="1469"/>
      <c r="GT38" s="1469"/>
      <c r="GU38" s="1469"/>
      <c r="GV38" s="1469"/>
    </row>
    <row r="39" spans="1:204"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45708</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45708</v>
      </c>
      <c r="AX39" s="1878"/>
      <c r="AY39" s="332"/>
      <c r="AZ39" s="1126"/>
      <c r="BA39" s="993"/>
      <c r="BB39" s="561"/>
      <c r="BC39" s="566">
        <f t="shared" si="23"/>
        <v>0</v>
      </c>
      <c r="BD39" s="1126"/>
      <c r="BE39" s="825">
        <f t="shared" si="24"/>
        <v>0</v>
      </c>
      <c r="BF39" s="1150"/>
      <c r="BG39" s="224"/>
      <c r="BH39" s="566" t="str">
        <f t="shared" si="25"/>
        <v/>
      </c>
      <c r="BI39" s="1150"/>
      <c r="BJ39" s="129" t="str">
        <f t="shared" si="26"/>
        <v>Fiche infoA4</v>
      </c>
      <c r="BK39" s="129">
        <f t="shared" si="49"/>
        <v>8</v>
      </c>
      <c r="BL39" s="129" t="str">
        <f t="shared" si="4"/>
        <v>A</v>
      </c>
      <c r="BM39" s="129">
        <f t="shared" si="50"/>
        <v>4</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45708</v>
      </c>
      <c r="ER39" s="767">
        <f t="shared" si="10"/>
        <v>0</v>
      </c>
      <c r="ES39" s="768">
        <f t="shared" si="11"/>
        <v>0</v>
      </c>
      <c r="ET39" s="767">
        <f t="shared" si="12"/>
        <v>0</v>
      </c>
      <c r="EU39" s="768">
        <f t="shared" si="13"/>
        <v>0</v>
      </c>
      <c r="EV39" s="767" t="str">
        <f t="shared" si="14"/>
        <v/>
      </c>
      <c r="EW39" s="769">
        <f t="shared" si="29"/>
        <v>45708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8</v>
      </c>
      <c r="GA39" s="129">
        <f t="shared" si="39"/>
        <v>2025</v>
      </c>
      <c r="GB39" s="129" t="str">
        <f t="shared" si="40"/>
        <v>82025</v>
      </c>
      <c r="GC39" s="225">
        <f>IF(AND($GD$53=S.CAL!$P$3,$GD$52=FZ39),GE39,IF(BH39="",0,BH39))</f>
        <v>0</v>
      </c>
      <c r="GD39" s="129" t="str">
        <f>IFERROR(+Mars!$BY$2&amp;BL39&amp;BM39,0)</f>
        <v>Fiche infoA4</v>
      </c>
      <c r="GE39" s="129" t="str">
        <f t="shared" si="19"/>
        <v/>
      </c>
      <c r="GF39" s="225" t="str">
        <f t="shared" si="41"/>
        <v/>
      </c>
      <c r="GG39" s="1469" t="str">
        <f>+'Retenue Fev'!D37</f>
        <v/>
      </c>
      <c r="GH39" s="1469">
        <f>+'Retenue Fev'!BF37</f>
        <v>0</v>
      </c>
      <c r="GI39" s="1469"/>
      <c r="GJ39" s="1530" t="str">
        <f t="shared" si="42"/>
        <v/>
      </c>
      <c r="GK39" s="225" t="str">
        <f t="shared" si="43"/>
        <v/>
      </c>
      <c r="GL39" s="225" t="str">
        <f t="shared" si="44"/>
        <v/>
      </c>
      <c r="GM39" s="1529">
        <f t="shared" si="45"/>
        <v>0</v>
      </c>
      <c r="GN39" s="1469"/>
      <c r="GO39" s="1469">
        <f t="shared" si="20"/>
        <v>0</v>
      </c>
      <c r="GP39" s="1469" t="str">
        <f t="shared" si="46"/>
        <v/>
      </c>
      <c r="GQ39" s="1469" t="str">
        <f t="shared" si="47"/>
        <v/>
      </c>
      <c r="GR39" s="1469"/>
      <c r="GS39" s="1469"/>
      <c r="GT39" s="1469"/>
      <c r="GU39" s="1469"/>
      <c r="GV39" s="1469"/>
    </row>
    <row r="40" spans="1:204"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45709</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45709</v>
      </c>
      <c r="AX40" s="1878"/>
      <c r="AY40" s="332"/>
      <c r="AZ40" s="1126"/>
      <c r="BA40" s="993"/>
      <c r="BB40" s="561"/>
      <c r="BC40" s="566">
        <f t="shared" si="23"/>
        <v>0</v>
      </c>
      <c r="BD40" s="1126"/>
      <c r="BE40" s="825">
        <f t="shared" si="24"/>
        <v>0</v>
      </c>
      <c r="BF40" s="1150"/>
      <c r="BG40" s="224"/>
      <c r="BH40" s="566" t="str">
        <f t="shared" si="25"/>
        <v/>
      </c>
      <c r="BI40" s="1150"/>
      <c r="BJ40" s="129" t="str">
        <f t="shared" si="26"/>
        <v>Fiche infoA5</v>
      </c>
      <c r="BK40" s="129">
        <f t="shared" si="49"/>
        <v>8</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Fev'!P27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45709</v>
      </c>
      <c r="ER40" s="767">
        <f t="shared" si="10"/>
        <v>0</v>
      </c>
      <c r="ES40" s="768">
        <f t="shared" si="11"/>
        <v>0</v>
      </c>
      <c r="ET40" s="767">
        <f t="shared" si="12"/>
        <v>0</v>
      </c>
      <c r="EU40" s="768">
        <f t="shared" si="13"/>
        <v>0</v>
      </c>
      <c r="EV40" s="767" t="str">
        <f t="shared" si="14"/>
        <v/>
      </c>
      <c r="EW40" s="769">
        <f t="shared" si="29"/>
        <v>45709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8</v>
      </c>
      <c r="GA40" s="129">
        <f t="shared" si="39"/>
        <v>2025</v>
      </c>
      <c r="GB40" s="129" t="str">
        <f t="shared" si="40"/>
        <v>82025</v>
      </c>
      <c r="GC40" s="225">
        <f>IF(AND($GD$53=S.CAL!$P$3,$GD$52=FZ40),GE40,IF(BH40="",0,BH40))</f>
        <v>0</v>
      </c>
      <c r="GD40" s="129" t="str">
        <f>IFERROR(+Mars!$BY$2&amp;BL40&amp;BM40,0)</f>
        <v>Fiche infoA5</v>
      </c>
      <c r="GE40" s="129" t="str">
        <f t="shared" si="19"/>
        <v/>
      </c>
      <c r="GF40" s="225" t="str">
        <f t="shared" si="41"/>
        <v/>
      </c>
      <c r="GG40" s="1469" t="str">
        <f>+'Retenue Fev'!D38</f>
        <v/>
      </c>
      <c r="GH40" s="1469">
        <f>+'Retenue Fev'!BF38</f>
        <v>0</v>
      </c>
      <c r="GI40" s="1469"/>
      <c r="GJ40" s="1530" t="str">
        <f t="shared" si="42"/>
        <v/>
      </c>
      <c r="GK40" s="225" t="str">
        <f t="shared" si="43"/>
        <v/>
      </c>
      <c r="GL40" s="225" t="str">
        <f t="shared" si="44"/>
        <v/>
      </c>
      <c r="GM40" s="1529">
        <f t="shared" si="45"/>
        <v>0</v>
      </c>
      <c r="GN40" s="1469"/>
      <c r="GO40" s="1469">
        <f t="shared" si="20"/>
        <v>0</v>
      </c>
      <c r="GP40" s="1469" t="str">
        <f t="shared" si="46"/>
        <v/>
      </c>
      <c r="GQ40" s="1469" t="str">
        <f t="shared" si="47"/>
        <v/>
      </c>
      <c r="GR40" s="1469"/>
      <c r="GS40" s="1469"/>
      <c r="GT40" s="1469"/>
      <c r="GU40" s="1469"/>
      <c r="GV40" s="1469"/>
    </row>
    <row r="41" spans="1:204"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45710</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45710</v>
      </c>
      <c r="AX41" s="1878"/>
      <c r="AY41" s="332"/>
      <c r="AZ41" s="1126"/>
      <c r="BA41" s="993"/>
      <c r="BB41" s="561"/>
      <c r="BC41" s="566">
        <f t="shared" si="23"/>
        <v>0</v>
      </c>
      <c r="BD41" s="1126"/>
      <c r="BE41" s="825">
        <f t="shared" si="24"/>
        <v>0</v>
      </c>
      <c r="BF41" s="1150"/>
      <c r="BG41" s="224"/>
      <c r="BH41" s="566" t="str">
        <f t="shared" si="25"/>
        <v/>
      </c>
      <c r="BI41" s="1150"/>
      <c r="BJ41" s="129" t="str">
        <f t="shared" si="26"/>
        <v>Fiche infoA6</v>
      </c>
      <c r="BK41" s="129">
        <f t="shared" si="49"/>
        <v>8</v>
      </c>
      <c r="BL41" s="129" t="str">
        <f t="shared" si="4"/>
        <v>A</v>
      </c>
      <c r="BM41" s="129">
        <f t="shared" si="50"/>
        <v>6</v>
      </c>
      <c r="BN41" s="225" t="str">
        <f t="shared" si="60"/>
        <v>Fiche info</v>
      </c>
      <c r="BO41" s="332" t="str">
        <f t="shared" si="51"/>
        <v/>
      </c>
      <c r="BP41" s="198" t="str">
        <f t="shared" si="52"/>
        <v/>
      </c>
      <c r="BQ41" s="2142" t="s">
        <v>1063</v>
      </c>
      <c r="BR41" s="2142"/>
      <c r="BS41" s="2142"/>
      <c r="BT41" s="2142"/>
      <c r="BU41" s="2142"/>
      <c r="BV41" s="2142"/>
      <c r="BW41" s="621" t="str">
        <f>+IF(BX41="",Janvier!BW41,BX41)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45710</v>
      </c>
      <c r="ER41" s="767">
        <f t="shared" si="10"/>
        <v>0</v>
      </c>
      <c r="ES41" s="768">
        <f t="shared" si="11"/>
        <v>0</v>
      </c>
      <c r="ET41" s="767">
        <f t="shared" si="12"/>
        <v>0</v>
      </c>
      <c r="EU41" s="768">
        <f t="shared" si="13"/>
        <v>0</v>
      </c>
      <c r="EV41" s="767" t="str">
        <f t="shared" si="14"/>
        <v/>
      </c>
      <c r="EW41" s="769">
        <f t="shared" si="29"/>
        <v>45710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8</v>
      </c>
      <c r="GA41" s="129">
        <f t="shared" si="39"/>
        <v>2025</v>
      </c>
      <c r="GB41" s="129" t="str">
        <f t="shared" si="40"/>
        <v>82025</v>
      </c>
      <c r="GC41" s="225">
        <f>IF(AND($GD$53=S.CAL!$P$3,$GD$52=FZ41),GE41,IF(BH41="",0,BH41))</f>
        <v>0</v>
      </c>
      <c r="GD41" s="129" t="str">
        <f>IFERROR(+Mars!$BY$2&amp;BL41&amp;BM41,0)</f>
        <v>Fiche infoA6</v>
      </c>
      <c r="GE41" s="129" t="str">
        <f t="shared" si="19"/>
        <v/>
      </c>
      <c r="GF41" s="225" t="str">
        <f t="shared" si="41"/>
        <v/>
      </c>
      <c r="GG41" s="1469" t="str">
        <f>+'Retenue Fev'!D39</f>
        <v/>
      </c>
      <c r="GH41" s="1469">
        <f>+'Retenue Fev'!BF39</f>
        <v>0</v>
      </c>
      <c r="GI41" s="1469"/>
      <c r="GJ41" s="1530" t="str">
        <f t="shared" si="42"/>
        <v/>
      </c>
      <c r="GK41" s="225" t="str">
        <f t="shared" si="43"/>
        <v/>
      </c>
      <c r="GL41" s="225" t="str">
        <f t="shared" si="44"/>
        <v/>
      </c>
      <c r="GM41" s="1529">
        <f t="shared" si="45"/>
        <v>0</v>
      </c>
      <c r="GN41" s="1469"/>
      <c r="GO41" s="1469">
        <f t="shared" si="20"/>
        <v>0</v>
      </c>
      <c r="GP41" s="1469" t="str">
        <f t="shared" si="46"/>
        <v/>
      </c>
      <c r="GQ41" s="1469" t="str">
        <f t="shared" si="47"/>
        <v/>
      </c>
      <c r="GR41" s="1469"/>
      <c r="GS41" s="1469"/>
      <c r="GT41" s="1469"/>
      <c r="GU41" s="1469"/>
      <c r="GV41" s="1469"/>
    </row>
    <row r="42" spans="1:204"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45711</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45711</v>
      </c>
      <c r="AX42" s="1878"/>
      <c r="AY42" s="332"/>
      <c r="AZ42" s="1126"/>
      <c r="BA42" s="993"/>
      <c r="BB42" s="561"/>
      <c r="BC42" s="566">
        <f t="shared" si="23"/>
        <v>0</v>
      </c>
      <c r="BD42" s="1126"/>
      <c r="BE42" s="825">
        <f t="shared" si="24"/>
        <v>0</v>
      </c>
      <c r="BF42" s="1150"/>
      <c r="BG42" s="224"/>
      <c r="BH42" s="566" t="str">
        <f t="shared" si="25"/>
        <v/>
      </c>
      <c r="BI42" s="1150"/>
      <c r="BJ42" s="129" t="str">
        <f t="shared" si="26"/>
        <v>Fiche infoA7</v>
      </c>
      <c r="BK42" s="129">
        <f t="shared" si="49"/>
        <v>8</v>
      </c>
      <c r="BL42" s="129" t="str">
        <f t="shared" si="4"/>
        <v>A</v>
      </c>
      <c r="BM42" s="129">
        <f t="shared" si="50"/>
        <v>7</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45711</v>
      </c>
      <c r="ER42" s="767">
        <f t="shared" si="10"/>
        <v>0</v>
      </c>
      <c r="ES42" s="768">
        <f t="shared" si="11"/>
        <v>0</v>
      </c>
      <c r="ET42" s="767">
        <f t="shared" si="12"/>
        <v>0</v>
      </c>
      <c r="EU42" s="768">
        <f t="shared" si="13"/>
        <v>0</v>
      </c>
      <c r="EV42" s="767" t="str">
        <f t="shared" si="14"/>
        <v/>
      </c>
      <c r="EW42" s="769">
        <f t="shared" si="29"/>
        <v>45711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8</v>
      </c>
      <c r="GA42" s="129">
        <f t="shared" si="39"/>
        <v>2025</v>
      </c>
      <c r="GB42" s="129" t="str">
        <f t="shared" si="40"/>
        <v>82025</v>
      </c>
      <c r="GC42" s="225">
        <f>IF(AND($GD$53=S.CAL!$P$3,$GD$52=FZ42),GE42,IF(BH42="",0,BH42))</f>
        <v>0</v>
      </c>
      <c r="GD42" s="129" t="str">
        <f>IFERROR(+Mars!$BY$2&amp;BL42&amp;BM42,0)</f>
        <v>Fiche infoA7</v>
      </c>
      <c r="GE42" s="129" t="str">
        <f t="shared" si="19"/>
        <v/>
      </c>
      <c r="GF42" s="225" t="str">
        <f t="shared" si="41"/>
        <v/>
      </c>
      <c r="GG42" s="1469" t="str">
        <f>+'Retenue Fev'!D40</f>
        <v/>
      </c>
      <c r="GH42" s="1469">
        <f>+'Retenue Fev'!BF40</f>
        <v>0</v>
      </c>
      <c r="GI42" s="1469"/>
      <c r="GJ42" s="1530" t="str">
        <f t="shared" si="42"/>
        <v/>
      </c>
      <c r="GK42" s="225" t="str">
        <f t="shared" si="43"/>
        <v/>
      </c>
      <c r="GL42" s="225" t="str">
        <f t="shared" si="44"/>
        <v/>
      </c>
      <c r="GM42" s="1529">
        <f t="shared" si="45"/>
        <v>0</v>
      </c>
      <c r="GN42" s="1469"/>
      <c r="GO42" s="1469">
        <f t="shared" si="20"/>
        <v>0</v>
      </c>
      <c r="GP42" s="1469" t="str">
        <f t="shared" si="46"/>
        <v/>
      </c>
      <c r="GQ42" s="1469" t="str">
        <f t="shared" si="47"/>
        <v/>
      </c>
      <c r="GR42" s="1469"/>
      <c r="GS42" s="1469"/>
      <c r="GT42" s="1469"/>
      <c r="GU42" s="1469"/>
      <c r="GV42" s="1469"/>
    </row>
    <row r="43" spans="1:204"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45712</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f t="shared" si="48"/>
        <v>9</v>
      </c>
      <c r="AQ43" s="340"/>
      <c r="AR43" s="1126"/>
      <c r="AS43" s="332">
        <f t="shared" si="3"/>
        <v>0</v>
      </c>
      <c r="AT43" s="1147"/>
      <c r="AU43" s="1147"/>
      <c r="AV43" s="332"/>
      <c r="AW43" s="2017">
        <f t="shared" si="22"/>
        <v>45712</v>
      </c>
      <c r="AX43" s="1878"/>
      <c r="AY43" s="332"/>
      <c r="AZ43" s="1126"/>
      <c r="BA43" s="993"/>
      <c r="BB43" s="561"/>
      <c r="BC43" s="566">
        <f t="shared" si="23"/>
        <v>0</v>
      </c>
      <c r="BD43" s="1126"/>
      <c r="BE43" s="825">
        <f t="shared" si="24"/>
        <v>0</v>
      </c>
      <c r="BF43" s="1150"/>
      <c r="BG43" s="224"/>
      <c r="BH43" s="566" t="str">
        <f t="shared" si="25"/>
        <v/>
      </c>
      <c r="BI43" s="1150"/>
      <c r="BJ43" s="129" t="str">
        <f t="shared" si="26"/>
        <v>Fiche infoA1</v>
      </c>
      <c r="BK43" s="129">
        <f t="shared" si="49"/>
        <v>9</v>
      </c>
      <c r="BL43" s="129" t="str">
        <f t="shared" si="4"/>
        <v>A</v>
      </c>
      <c r="BM43" s="129">
        <f t="shared" si="50"/>
        <v>1</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45712</v>
      </c>
      <c r="ER43" s="767">
        <f t="shared" si="10"/>
        <v>0</v>
      </c>
      <c r="ES43" s="768">
        <f t="shared" si="11"/>
        <v>0</v>
      </c>
      <c r="ET43" s="767">
        <f t="shared" si="12"/>
        <v>0</v>
      </c>
      <c r="EU43" s="768">
        <f t="shared" si="13"/>
        <v>0</v>
      </c>
      <c r="EV43" s="767" t="str">
        <f t="shared" si="14"/>
        <v/>
      </c>
      <c r="EW43" s="769">
        <f t="shared" si="29"/>
        <v>45712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9</v>
      </c>
      <c r="GA43" s="129">
        <f t="shared" si="39"/>
        <v>2025</v>
      </c>
      <c r="GB43" s="129" t="str">
        <f t="shared" si="40"/>
        <v>92025</v>
      </c>
      <c r="GC43" s="225">
        <f>IF(AND($GD$53=S.CAL!$P$3,$GD$52=FZ43),GE43,IF(BH43="",0,BH43))</f>
        <v>0</v>
      </c>
      <c r="GD43" s="129" t="str">
        <f>IFERROR(+Mars!$BY$2&amp;BL43&amp;BM43,0)</f>
        <v>Fiche infoA1</v>
      </c>
      <c r="GE43" s="129" t="str">
        <f t="shared" si="19"/>
        <v/>
      </c>
      <c r="GF43" s="225" t="str">
        <f t="shared" si="41"/>
        <v/>
      </c>
      <c r="GG43" s="1469" t="str">
        <f>+'Retenue Fev'!D41</f>
        <v/>
      </c>
      <c r="GH43" s="1469">
        <f>+'Retenue Fev'!BF41</f>
        <v>0</v>
      </c>
      <c r="GI43" s="1469"/>
      <c r="GJ43" s="1530" t="str">
        <f t="shared" si="42"/>
        <v/>
      </c>
      <c r="GK43" s="225" t="str">
        <f t="shared" si="43"/>
        <v/>
      </c>
      <c r="GL43" s="225" t="str">
        <f t="shared" si="44"/>
        <v/>
      </c>
      <c r="GM43" s="1529">
        <f t="shared" si="45"/>
        <v>0</v>
      </c>
      <c r="GN43" s="1469"/>
      <c r="GO43" s="1469">
        <f t="shared" si="20"/>
        <v>0</v>
      </c>
      <c r="GP43" s="1469" t="str">
        <f t="shared" si="46"/>
        <v/>
      </c>
      <c r="GQ43" s="1469" t="str">
        <f t="shared" si="47"/>
        <v/>
      </c>
      <c r="GR43" s="1469"/>
      <c r="GS43" s="1469"/>
      <c r="GT43" s="1469"/>
      <c r="GU43" s="1469"/>
      <c r="GV43" s="1469"/>
    </row>
    <row r="44" spans="1:204"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45713</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45713</v>
      </c>
      <c r="AX44" s="1878"/>
      <c r="AY44" s="332"/>
      <c r="AZ44" s="1126"/>
      <c r="BA44" s="993"/>
      <c r="BB44" s="561"/>
      <c r="BC44" s="566">
        <f t="shared" si="23"/>
        <v>0</v>
      </c>
      <c r="BD44" s="1126"/>
      <c r="BE44" s="825">
        <f t="shared" si="24"/>
        <v>0</v>
      </c>
      <c r="BF44" s="1150"/>
      <c r="BG44" s="224"/>
      <c r="BH44" s="566" t="str">
        <f t="shared" si="25"/>
        <v/>
      </c>
      <c r="BI44" s="1150"/>
      <c r="BJ44" s="129" t="str">
        <f t="shared" si="26"/>
        <v>Fiche infoA2</v>
      </c>
      <c r="BK44" s="129">
        <f t="shared" si="49"/>
        <v>9</v>
      </c>
      <c r="BL44" s="129" t="str">
        <f t="shared" si="4"/>
        <v>A</v>
      </c>
      <c r="BM44" s="129">
        <f t="shared" si="50"/>
        <v>2</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+IF(CC45="",Janvier!CC44,CC45)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45713</v>
      </c>
      <c r="ER44" s="767">
        <f t="shared" si="10"/>
        <v>0</v>
      </c>
      <c r="ES44" s="768">
        <f t="shared" si="11"/>
        <v>0</v>
      </c>
      <c r="ET44" s="767">
        <f t="shared" si="12"/>
        <v>0</v>
      </c>
      <c r="EU44" s="768">
        <f t="shared" si="13"/>
        <v>0</v>
      </c>
      <c r="EV44" s="767" t="str">
        <f t="shared" si="14"/>
        <v/>
      </c>
      <c r="EW44" s="769">
        <f t="shared" si="29"/>
        <v>45713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9</v>
      </c>
      <c r="GA44" s="129">
        <f t="shared" si="39"/>
        <v>2025</v>
      </c>
      <c r="GB44" s="129" t="str">
        <f t="shared" si="40"/>
        <v>92025</v>
      </c>
      <c r="GC44" s="225">
        <f>IF(AND($GD$53=S.CAL!$P$3,$GD$52=FZ44),GE44,IF(BH44="",0,BH44))</f>
        <v>0</v>
      </c>
      <c r="GD44" s="129" t="str">
        <f>IFERROR(+Mars!$BY$2&amp;BL44&amp;BM44,0)</f>
        <v>Fiche infoA2</v>
      </c>
      <c r="GE44" s="129" t="str">
        <f t="shared" si="19"/>
        <v/>
      </c>
      <c r="GF44" s="225" t="str">
        <f t="shared" si="41"/>
        <v/>
      </c>
      <c r="GG44" s="1469" t="str">
        <f>+'Retenue Fev'!D42</f>
        <v/>
      </c>
      <c r="GH44" s="1469">
        <f>+'Retenue Fev'!BF42</f>
        <v>0</v>
      </c>
      <c r="GI44" s="1469"/>
      <c r="GJ44" s="1530" t="str">
        <f t="shared" si="42"/>
        <v/>
      </c>
      <c r="GK44" s="225" t="str">
        <f t="shared" si="43"/>
        <v/>
      </c>
      <c r="GL44" s="225" t="str">
        <f t="shared" si="44"/>
        <v/>
      </c>
      <c r="GM44" s="1529">
        <f t="shared" si="45"/>
        <v>0</v>
      </c>
      <c r="GN44" s="1469"/>
      <c r="GO44" s="1469">
        <f t="shared" si="20"/>
        <v>0</v>
      </c>
      <c r="GP44" s="1469" t="str">
        <f t="shared" si="46"/>
        <v/>
      </c>
      <c r="GQ44" s="1469" t="str">
        <f t="shared" si="47"/>
        <v/>
      </c>
      <c r="GR44" s="1469"/>
      <c r="GS44" s="1469"/>
      <c r="GT44" s="1469"/>
      <c r="GU44" s="1469"/>
      <c r="GV44" s="1469"/>
    </row>
    <row r="45" spans="1:204"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45714</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45714</v>
      </c>
      <c r="AX45" s="1878"/>
      <c r="AY45" s="332"/>
      <c r="AZ45" s="1126"/>
      <c r="BA45" s="993"/>
      <c r="BB45" s="561"/>
      <c r="BC45" s="566">
        <f t="shared" si="23"/>
        <v>0</v>
      </c>
      <c r="BD45" s="1126"/>
      <c r="BE45" s="825">
        <f t="shared" si="24"/>
        <v>0</v>
      </c>
      <c r="BF45" s="1150"/>
      <c r="BG45" s="224"/>
      <c r="BH45" s="566" t="str">
        <f t="shared" si="25"/>
        <v/>
      </c>
      <c r="BI45" s="1150"/>
      <c r="BJ45" s="129" t="str">
        <f t="shared" si="26"/>
        <v>Fiche infoA3</v>
      </c>
      <c r="BK45" s="129">
        <f t="shared" si="49"/>
        <v>9</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45714</v>
      </c>
      <c r="ER45" s="767">
        <f t="shared" si="10"/>
        <v>0</v>
      </c>
      <c r="ES45" s="768">
        <f t="shared" si="11"/>
        <v>0</v>
      </c>
      <c r="ET45" s="767">
        <f t="shared" si="12"/>
        <v>0</v>
      </c>
      <c r="EU45" s="768">
        <f t="shared" si="13"/>
        <v>0</v>
      </c>
      <c r="EV45" s="767" t="str">
        <f t="shared" si="14"/>
        <v/>
      </c>
      <c r="EW45" s="769">
        <f t="shared" si="29"/>
        <v>45714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9</v>
      </c>
      <c r="GA45" s="129">
        <f t="shared" si="39"/>
        <v>2025</v>
      </c>
      <c r="GB45" s="129" t="str">
        <f t="shared" si="40"/>
        <v>92025</v>
      </c>
      <c r="GC45" s="225">
        <f>IF(AND($GD$53=S.CAL!$P$3,$GD$52=FZ45),GE45,IF(BH45="",0,BH45))</f>
        <v>0</v>
      </c>
      <c r="GD45" s="129" t="str">
        <f>IFERROR(+Mars!$BY$2&amp;BL45&amp;BM45,0)</f>
        <v>Fiche infoA3</v>
      </c>
      <c r="GE45" s="129" t="str">
        <f t="shared" si="19"/>
        <v/>
      </c>
      <c r="GF45" s="225" t="str">
        <f t="shared" si="41"/>
        <v/>
      </c>
      <c r="GG45" s="1469" t="str">
        <f>+'Retenue Fev'!D43</f>
        <v/>
      </c>
      <c r="GH45" s="1469">
        <f>+'Retenue Fev'!BF43</f>
        <v>0</v>
      </c>
      <c r="GI45" s="1469"/>
      <c r="GJ45" s="1530" t="str">
        <f t="shared" si="42"/>
        <v/>
      </c>
      <c r="GK45" s="225" t="str">
        <f t="shared" si="43"/>
        <v/>
      </c>
      <c r="GL45" s="225" t="str">
        <f t="shared" si="44"/>
        <v/>
      </c>
      <c r="GM45" s="1529">
        <f t="shared" si="45"/>
        <v>0</v>
      </c>
      <c r="GN45" s="1469"/>
      <c r="GO45" s="1469">
        <f t="shared" si="20"/>
        <v>0</v>
      </c>
      <c r="GP45" s="1469" t="str">
        <f t="shared" si="46"/>
        <v/>
      </c>
      <c r="GQ45" s="1469" t="str">
        <f t="shared" si="47"/>
        <v/>
      </c>
      <c r="GR45" s="1469"/>
      <c r="GS45" s="1469"/>
      <c r="GT45" s="1469"/>
      <c r="GU45" s="1469"/>
      <c r="GV45" s="1469"/>
    </row>
    <row r="46" spans="1:204"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45715</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45715</v>
      </c>
      <c r="AX46" s="1878"/>
      <c r="AY46" s="332"/>
      <c r="AZ46" s="1126"/>
      <c r="BA46" s="993"/>
      <c r="BB46" s="561"/>
      <c r="BC46" s="566">
        <f t="shared" si="23"/>
        <v>0</v>
      </c>
      <c r="BD46" s="1126"/>
      <c r="BE46" s="825">
        <f t="shared" si="24"/>
        <v>0</v>
      </c>
      <c r="BF46" s="1150"/>
      <c r="BG46" s="224"/>
      <c r="BH46" s="566" t="str">
        <f t="shared" si="25"/>
        <v/>
      </c>
      <c r="BI46" s="1150"/>
      <c r="BJ46" s="129" t="str">
        <f t="shared" si="26"/>
        <v>Fiche infoA4</v>
      </c>
      <c r="BK46" s="129">
        <f t="shared" si="49"/>
        <v>9</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45715</v>
      </c>
      <c r="ER46" s="767">
        <f t="shared" si="10"/>
        <v>0</v>
      </c>
      <c r="ES46" s="768">
        <f t="shared" si="11"/>
        <v>0</v>
      </c>
      <c r="ET46" s="767">
        <f t="shared" si="12"/>
        <v>0</v>
      </c>
      <c r="EU46" s="768">
        <f t="shared" si="13"/>
        <v>0</v>
      </c>
      <c r="EV46" s="767" t="str">
        <f t="shared" si="14"/>
        <v/>
      </c>
      <c r="EW46" s="769">
        <f t="shared" si="29"/>
        <v>45715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9</v>
      </c>
      <c r="GA46" s="129">
        <f t="shared" si="39"/>
        <v>2025</v>
      </c>
      <c r="GB46" s="129" t="str">
        <f t="shared" si="40"/>
        <v>92025</v>
      </c>
      <c r="GC46" s="225">
        <f>IF(AND($GD$53=S.CAL!$P$3,$GD$52=FZ46),GE46,IF(BH46="",0,BH46))</f>
        <v>0</v>
      </c>
      <c r="GD46" s="129" t="str">
        <f>IFERROR(+Mars!$BY$2&amp;BL46&amp;BM46,0)</f>
        <v>Fiche infoA4</v>
      </c>
      <c r="GE46" s="129" t="str">
        <f t="shared" si="19"/>
        <v/>
      </c>
      <c r="GF46" s="225" t="str">
        <f t="shared" si="41"/>
        <v/>
      </c>
      <c r="GG46" s="1469" t="str">
        <f>+'Retenue Fev'!D44</f>
        <v/>
      </c>
      <c r="GH46" s="1469">
        <f>+'Retenue Fev'!BF44</f>
        <v>0</v>
      </c>
      <c r="GI46" s="1469"/>
      <c r="GJ46" s="1530" t="str">
        <f t="shared" si="42"/>
        <v/>
      </c>
      <c r="GK46" s="225" t="str">
        <f t="shared" si="43"/>
        <v/>
      </c>
      <c r="GL46" s="225" t="str">
        <f t="shared" si="44"/>
        <v/>
      </c>
      <c r="GM46" s="1529">
        <f t="shared" si="45"/>
        <v>0</v>
      </c>
      <c r="GN46" s="1469"/>
      <c r="GO46" s="1469">
        <f t="shared" si="20"/>
        <v>0</v>
      </c>
      <c r="GP46" s="1469" t="str">
        <f t="shared" si="46"/>
        <v/>
      </c>
      <c r="GQ46" s="1469" t="str">
        <f t="shared" si="47"/>
        <v/>
      </c>
      <c r="GR46" s="1469"/>
      <c r="GS46" s="1469"/>
      <c r="GT46" s="1469"/>
      <c r="GU46" s="1469"/>
      <c r="GV46" s="1469"/>
    </row>
    <row r="47" spans="1:204"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45716</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45716</v>
      </c>
      <c r="AX47" s="1878"/>
      <c r="AY47" s="332"/>
      <c r="AZ47" s="1126"/>
      <c r="BA47" s="993"/>
      <c r="BB47" s="561"/>
      <c r="BC47" s="566">
        <f t="shared" si="23"/>
        <v>0</v>
      </c>
      <c r="BD47" s="1126"/>
      <c r="BE47" s="825">
        <f t="shared" si="24"/>
        <v>0</v>
      </c>
      <c r="BF47" s="1150"/>
      <c r="BG47" s="224"/>
      <c r="BH47" s="566" t="str">
        <f t="shared" si="25"/>
        <v/>
      </c>
      <c r="BI47" s="1150"/>
      <c r="BJ47" s="129" t="str">
        <f t="shared" si="26"/>
        <v>Fiche infoA5</v>
      </c>
      <c r="BK47" s="129">
        <f t="shared" si="49"/>
        <v>9</v>
      </c>
      <c r="BL47" s="129" t="str">
        <f t="shared" si="4"/>
        <v>A</v>
      </c>
      <c r="BM47" s="129">
        <f t="shared" si="50"/>
        <v>5</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IF(CF47="",Janvier!CE47,CF47)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45716</v>
      </c>
      <c r="ER47" s="767">
        <f t="shared" si="10"/>
        <v>0</v>
      </c>
      <c r="ES47" s="768">
        <f t="shared" si="11"/>
        <v>0</v>
      </c>
      <c r="ET47" s="767">
        <f t="shared" si="12"/>
        <v>0</v>
      </c>
      <c r="EU47" s="768">
        <f t="shared" si="13"/>
        <v>0</v>
      </c>
      <c r="EV47" s="767" t="str">
        <f t="shared" si="14"/>
        <v/>
      </c>
      <c r="EW47" s="769">
        <f t="shared" si="29"/>
        <v>45716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9</v>
      </c>
      <c r="GA47" s="129">
        <f t="shared" si="39"/>
        <v>2025</v>
      </c>
      <c r="GB47" s="129" t="str">
        <f t="shared" si="40"/>
        <v>92025</v>
      </c>
      <c r="GC47" s="225">
        <f>IF(AND($GD$53=S.CAL!$P$3,$GD$52=FZ47),GE47,IF(BH47="",0,BH47))</f>
        <v>0</v>
      </c>
      <c r="GD47" s="129" t="str">
        <f>IFERROR(+Mars!$BY$2&amp;BL47&amp;BM47,0)</f>
        <v>Fiche infoA5</v>
      </c>
      <c r="GE47" s="129" t="str">
        <f t="shared" si="19"/>
        <v/>
      </c>
      <c r="GF47" s="225" t="str">
        <f t="shared" si="41"/>
        <v/>
      </c>
      <c r="GG47" s="1469" t="str">
        <f>+'Retenue Fev'!D45</f>
        <v/>
      </c>
      <c r="GH47" s="1469">
        <f>+'Retenue Fev'!BF45</f>
        <v>0</v>
      </c>
      <c r="GI47" s="1469"/>
      <c r="GJ47" s="1530" t="str">
        <f t="shared" si="42"/>
        <v/>
      </c>
      <c r="GK47" s="225" t="str">
        <f t="shared" si="43"/>
        <v/>
      </c>
      <c r="GL47" s="225" t="str">
        <f t="shared" si="44"/>
        <v/>
      </c>
      <c r="GM47" s="1529">
        <f t="shared" si="45"/>
        <v>0</v>
      </c>
      <c r="GN47" s="1469"/>
      <c r="GO47" s="1469">
        <f t="shared" si="20"/>
        <v>0</v>
      </c>
      <c r="GP47" s="1469" t="str">
        <f t="shared" si="46"/>
        <v/>
      </c>
      <c r="GQ47" s="1469" t="str">
        <f t="shared" si="47"/>
        <v/>
      </c>
      <c r="GR47" s="1469"/>
      <c r="GS47" s="1469"/>
      <c r="GT47" s="1469"/>
      <c r="GU47" s="1469"/>
      <c r="GV47" s="1469"/>
    </row>
    <row r="48" spans="1:204"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t="str">
        <f>IF(AB20+28&lt;DATE(YEAR(AB20),MONTH(AB20)+1,DAY(AB20)),AB20+28,"")</f>
        <v/>
      </c>
      <c r="AC48" s="1878"/>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t="str">
        <f t="shared" si="22"/>
        <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infoA0</v>
      </c>
      <c r="BK48" s="129" t="str">
        <f t="shared" si="49"/>
        <v/>
      </c>
      <c r="BL48" s="129" t="str">
        <f t="shared" si="4"/>
        <v>A</v>
      </c>
      <c r="BM48" s="129">
        <f>IFERROR(WEEKDAY(AB48,2),0)</f>
        <v>0</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t="str">
        <f t="shared" si="53"/>
        <v/>
      </c>
      <c r="ER48" s="767">
        <f t="shared" si="10"/>
        <v>0</v>
      </c>
      <c r="ES48" s="768">
        <f t="shared" si="11"/>
        <v>0</v>
      </c>
      <c r="ET48" s="767">
        <f t="shared" si="12"/>
        <v>0</v>
      </c>
      <c r="EU48" s="768">
        <f t="shared" si="13"/>
        <v>0</v>
      </c>
      <c r="EV48" s="767" t="str">
        <f t="shared" si="14"/>
        <v/>
      </c>
      <c r="EW48" s="769" t="str">
        <f t="shared" si="29"/>
        <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t="str">
        <f t="shared" si="38"/>
        <v/>
      </c>
      <c r="GA48" s="129">
        <f t="shared" si="39"/>
        <v>2025</v>
      </c>
      <c r="GB48" s="129" t="str">
        <f t="shared" si="40"/>
        <v>2025</v>
      </c>
      <c r="GC48" s="225">
        <f>IF(AND($GD$53=S.CAL!$P$3,$GD$52=FZ48),GE48,IF(BH48="",0,BH48))</f>
        <v>0</v>
      </c>
      <c r="GD48" s="129" t="str">
        <f>IFERROR(+Mars!$BY$2&amp;BL48&amp;BM48,0)</f>
        <v>Fiche infoA0</v>
      </c>
      <c r="GE48" s="129" t="str">
        <f t="shared" si="19"/>
        <v/>
      </c>
      <c r="GF48" s="225" t="str">
        <f t="shared" si="41"/>
        <v/>
      </c>
      <c r="GG48" s="1469" t="str">
        <f>+'Retenue Fev'!D46</f>
        <v/>
      </c>
      <c r="GH48" s="1469">
        <f>+'Retenue Fev'!BF46</f>
        <v>0</v>
      </c>
      <c r="GI48" s="1469"/>
      <c r="GJ48" s="1530" t="str">
        <f t="shared" si="42"/>
        <v/>
      </c>
      <c r="GK48" s="225" t="str">
        <f t="shared" si="43"/>
        <v/>
      </c>
      <c r="GL48" s="225" t="str">
        <f t="shared" si="44"/>
        <v/>
      </c>
      <c r="GM48" s="1529">
        <f t="shared" si="45"/>
        <v>0</v>
      </c>
      <c r="GN48" s="1469"/>
      <c r="GO48" s="1469">
        <f t="shared" si="20"/>
        <v>0</v>
      </c>
      <c r="GP48" s="1469" t="str">
        <f t="shared" si="46"/>
        <v/>
      </c>
      <c r="GQ48" s="1469" t="str">
        <f t="shared" si="47"/>
        <v/>
      </c>
      <c r="GR48" s="1469"/>
      <c r="GS48" s="1469"/>
      <c r="GT48" s="1469"/>
      <c r="GU48" s="1469"/>
      <c r="GV48" s="1469"/>
    </row>
    <row r="49" spans="1:204"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t="str">
        <f>IF(AB20+29&lt;DATE(YEAR(AB20),MONTH(AB20)+1,DAY(AB20)),AB20+29,"")</f>
        <v/>
      </c>
      <c r="AC49" s="1878"/>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t="str">
        <f t="shared" si="22"/>
        <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infoA0</v>
      </c>
      <c r="BK49" s="129" t="str">
        <f t="shared" si="49"/>
        <v/>
      </c>
      <c r="BL49" s="129" t="str">
        <f t="shared" si="4"/>
        <v>A</v>
      </c>
      <c r="BM49" s="129">
        <f>IFERROR(WEEKDAY(AB49,2),0)</f>
        <v>0</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IF(CF49="",Janvier!CE49,CF49)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t="str">
        <f t="shared" si="53"/>
        <v/>
      </c>
      <c r="ER49" s="767">
        <f t="shared" si="10"/>
        <v>0</v>
      </c>
      <c r="ES49" s="768">
        <f t="shared" si="11"/>
        <v>0</v>
      </c>
      <c r="ET49" s="767">
        <f t="shared" si="12"/>
        <v>0</v>
      </c>
      <c r="EU49" s="768">
        <f t="shared" si="13"/>
        <v>0</v>
      </c>
      <c r="EV49" s="767" t="str">
        <f t="shared" si="14"/>
        <v/>
      </c>
      <c r="EW49" s="769" t="str">
        <f t="shared" si="29"/>
        <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t="str">
        <f t="shared" si="38"/>
        <v/>
      </c>
      <c r="GA49" s="129">
        <f t="shared" si="39"/>
        <v>2025</v>
      </c>
      <c r="GB49" s="129" t="str">
        <f t="shared" ref="GB49:GB50" si="69">+FZ49&amp;GA49</f>
        <v>2025</v>
      </c>
      <c r="GC49" s="225">
        <f>IF(AND($GD$53=S.CAL!$P$3,$GD$52=FZ49),GE49,IF(BH49="",0,BH49))</f>
        <v>0</v>
      </c>
      <c r="GD49" s="129" t="str">
        <f>IFERROR(+Mars!$BY$2&amp;BL49&amp;BM49,0)</f>
        <v>Fiche infoA0</v>
      </c>
      <c r="GE49" s="129" t="str">
        <f t="shared" si="19"/>
        <v/>
      </c>
      <c r="GF49" s="225" t="str">
        <f t="shared" ref="GF49:GF50" si="70">IF(FP49=1,GG49,AM49)</f>
        <v/>
      </c>
      <c r="GG49" s="1469" t="str">
        <f>+'Retenue Fev'!D47</f>
        <v/>
      </c>
      <c r="GH49" s="1469">
        <f>+'Retenue Fev'!BF47</f>
        <v>0</v>
      </c>
      <c r="GI49" s="1469"/>
      <c r="GJ49" s="1530" t="str">
        <f t="shared" si="42"/>
        <v/>
      </c>
      <c r="GK49" s="225" t="str">
        <f t="shared" si="43"/>
        <v/>
      </c>
      <c r="GL49" s="225" t="str">
        <f t="shared" si="44"/>
        <v/>
      </c>
      <c r="GM49" s="1529">
        <f t="shared" si="45"/>
        <v>0</v>
      </c>
      <c r="GN49" s="1469"/>
      <c r="GO49" s="1469">
        <f t="shared" si="20"/>
        <v>0</v>
      </c>
      <c r="GP49" s="1469" t="str">
        <f t="shared" si="46"/>
        <v/>
      </c>
      <c r="GQ49" s="1469" t="str">
        <f t="shared" si="47"/>
        <v/>
      </c>
      <c r="GR49" s="1469"/>
      <c r="GS49" s="1469"/>
      <c r="GT49" s="1469"/>
      <c r="GU49" s="1469"/>
      <c r="GV49" s="1469"/>
    </row>
    <row r="50" spans="1:204"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t="str">
        <f>IF(AB20+30&lt;DATE(YEAR(AB20),MONTH(AB20)+1,DAY(AB20)),AB20+30,"")</f>
        <v/>
      </c>
      <c r="AC50" s="1878"/>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t="str">
        <f t="shared" si="22"/>
        <v/>
      </c>
      <c r="AX50" s="2097"/>
      <c r="AY50" s="332"/>
      <c r="AZ50" s="1127"/>
      <c r="BA50" s="994"/>
      <c r="BB50" s="561"/>
      <c r="BC50" s="564">
        <f t="shared" si="23"/>
        <v>0</v>
      </c>
      <c r="BD50" s="1127"/>
      <c r="BE50" s="826">
        <f t="shared" si="24"/>
        <v>0</v>
      </c>
      <c r="BF50" s="1151"/>
      <c r="BG50" s="224"/>
      <c r="BH50" s="564" t="str">
        <f t="shared" si="25"/>
        <v/>
      </c>
      <c r="BI50" s="1151"/>
      <c r="BJ50" s="129" t="str">
        <f t="shared" si="68"/>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9"/>
        <v>2025</v>
      </c>
      <c r="GC50" s="225">
        <f>IF(AND($GD$53=S.CAL!$P$3,$GD$52=FZ50),GE50,IF(BH50="",0,BH50))</f>
        <v>0</v>
      </c>
      <c r="GD50" s="129" t="str">
        <f>IFERROR(+Mars!$BY$2&amp;BL50&amp;BM50,0)</f>
        <v>Fiche infoA0</v>
      </c>
      <c r="GE50" s="129" t="str">
        <f t="shared" si="19"/>
        <v/>
      </c>
      <c r="GF50" s="225" t="str">
        <f t="shared" si="70"/>
        <v/>
      </c>
      <c r="GG50" s="1469" t="str">
        <f>+'Retenue Fev'!D48</f>
        <v/>
      </c>
      <c r="GH50" s="1469">
        <f>+'Retenue Fev'!BF48</f>
        <v>0</v>
      </c>
      <c r="GI50" s="1469"/>
      <c r="GJ50" s="1530" t="str">
        <f t="shared" si="42"/>
        <v/>
      </c>
      <c r="GK50" s="225" t="str">
        <f t="shared" si="43"/>
        <v/>
      </c>
      <c r="GL50" s="225" t="str">
        <f t="shared" si="44"/>
        <v/>
      </c>
      <c r="GM50" s="1529">
        <f t="shared" si="45"/>
        <v>0</v>
      </c>
      <c r="GN50" s="1469"/>
      <c r="GO50" s="1469">
        <f t="shared" si="20"/>
        <v>0</v>
      </c>
      <c r="GP50" s="1469" t="str">
        <f t="shared" si="46"/>
        <v/>
      </c>
      <c r="GQ50" s="1469" t="str">
        <f t="shared" si="47"/>
        <v/>
      </c>
      <c r="GR50" s="1469"/>
      <c r="GS50" s="1469"/>
      <c r="GT50" s="1469"/>
      <c r="GU50" s="1469"/>
      <c r="GV50" s="1469"/>
    </row>
    <row r="51" spans="1:204"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204"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4.0500000000000001E-2</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9</v>
      </c>
      <c r="GJ52" s="1531"/>
      <c r="GK52" s="214"/>
      <c r="GL52" s="214"/>
      <c r="GM52" s="1532">
        <f>SUM(GM20:GM50)</f>
        <v>0</v>
      </c>
    </row>
    <row r="53" spans="1:204"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IF(CF53="",+Janvier!CE53,CF53)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204"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IF(CF54="",Janvier!CE54,CF54)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204"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IF(CF55&gt;0,CF55,IF(AND(CE53=Janvier!CE53,CE54=Janvier!CE54),Janvier!CE55,IF(OR(CE53&lt;&gt;Janvier!CE53,CE54&lt;&gt;Janvier!CE54),CE53/CE54)))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204"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Fev'!E52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+IF(BY57="",Janvier!BY56,BY57)</f>
        <v>24</v>
      </c>
      <c r="BZ56" s="629" t="s">
        <v>1065</v>
      </c>
      <c r="CA56" s="632">
        <f>+IF(CA57="",Janvier!CA56,CA57)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IF(CF57="",+Janvier!CE57,CF57)</f>
        <v>0</v>
      </c>
      <c r="CF57" s="1319"/>
      <c r="FP57" s="129">
        <f>SUM(FP20:FP50)</f>
        <v>0</v>
      </c>
      <c r="GO57" s="1469">
        <f>SUM(GO20:GO52)</f>
        <v>0</v>
      </c>
    </row>
    <row r="58" spans="1:204"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IF(CF58="",Janvier!CE58,CF58)</f>
        <v>0</v>
      </c>
      <c r="CF58" s="1369"/>
      <c r="FG58" s="333">
        <f t="array" ref="FG58">IFERROR(+INDEX($FG$20:$FG$50,MATCH(0,INDEX(COUNTIF($FG$57:FG57,$FG$20:$FG$50),0,0),0)),0)</f>
        <v>0</v>
      </c>
    </row>
    <row r="59" spans="1:204"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204"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+IF(CA61="",Janvier!CA60,CA61)</f>
        <v>0</v>
      </c>
      <c r="FG60" s="333">
        <f t="array" ref="FG60">IFERROR(+INDEX($FG$20:$FG$50,MATCH(0,INDEX(COUNTIF($FG$57:FG59,$FG$20:$FG$50),0,0),0)),0)</f>
        <v>0</v>
      </c>
    </row>
    <row r="61" spans="1:204"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204"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204"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204"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+IF(BA65="",Janvier!K67,BA65)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961"/>
      <c r="AB67" s="222"/>
      <c r="AC67" s="961"/>
      <c r="AD67" s="961"/>
      <c r="AE67" s="961"/>
      <c r="AF67" s="961"/>
      <c r="AG67" s="961"/>
      <c r="AH67" s="961"/>
      <c r="AI67" s="961"/>
      <c r="AJ67" s="961"/>
      <c r="AK67" s="961"/>
      <c r="AL67" s="961"/>
      <c r="AM67" s="961"/>
      <c r="AN67" s="961"/>
      <c r="AO67" s="961"/>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+IF(BA68="",Janvier!K68,BA68)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2252" t="s">
        <v>1280</v>
      </c>
      <c r="AV72" s="2253"/>
      <c r="AW72" s="2253"/>
      <c r="AX72" s="2253"/>
      <c r="AY72" s="2253"/>
      <c r="AZ72" s="2253"/>
      <c r="BA72" s="2253"/>
      <c r="BB72" s="2254"/>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E74+Janvier!H74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915"/>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E75+Janvier!H75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Fev'!EH51=0,"",'Retenue Fev'!EH51),AX76)</f>
        <v/>
      </c>
      <c r="AZ75" s="2043"/>
      <c r="BA75" s="936" t="str">
        <f>+IF(BA76="",IF('Retenue Fev'!EF51=0,"",'Retenue Fev'!EF51),BA76)</f>
        <v/>
      </c>
      <c r="BB75" s="937"/>
      <c r="BC75" s="938" t="str">
        <f>IF(BC76="",IF(+'Retenue Fev'!EG51=0,"",'Retenue Fev'!EG51),BC76)</f>
        <v/>
      </c>
      <c r="BD75" s="972"/>
      <c r="BE75" s="234"/>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E76+Janvier!H76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234"/>
      <c r="BF76" s="129"/>
      <c r="BG76" s="129"/>
      <c r="BH76" s="129"/>
      <c r="BI76" s="129"/>
    </row>
    <row r="77" spans="1:83" ht="15.75" customHeight="1" x14ac:dyDescent="0.2">
      <c r="A77" s="2192" t="s">
        <v>74</v>
      </c>
      <c r="B77" s="2193"/>
      <c r="C77" s="2193"/>
      <c r="D77" s="2194"/>
      <c r="E77" s="2159">
        <f>ROUND(+T19+T20+T21+T22+T26,2)</f>
        <v>0</v>
      </c>
      <c r="F77" s="2160"/>
      <c r="G77" s="2161"/>
      <c r="H77" s="2159">
        <f ca="1">+E77+Janvier!H77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6"/>
      <c r="AV77" s="916"/>
      <c r="AW77" s="916"/>
      <c r="AX77" s="933"/>
      <c r="AY77" s="933"/>
      <c r="AZ77" s="927"/>
      <c r="BA77" s="934"/>
      <c r="BB77" s="934"/>
      <c r="BC77" s="934"/>
      <c r="BD77" s="934"/>
      <c r="BE77" s="234"/>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+IF(AR78="",Janvier!AL78,AR78)</f>
        <v>0</v>
      </c>
      <c r="AM78" s="2179"/>
      <c r="AN78" s="2179"/>
      <c r="AO78" s="2179"/>
      <c r="AQ78" s="438" t="s">
        <v>762</v>
      </c>
      <c r="AR78" s="2304"/>
      <c r="AS78" s="2304"/>
      <c r="AT78" s="2041" t="str">
        <f>IFERROR(VLOOKUP(AY78,'Liste des Libellés'!$A$4:$F$32,6,FALSE),"")</f>
        <v/>
      </c>
      <c r="AU78" s="2041"/>
      <c r="AV78" s="2041"/>
      <c r="AW78" s="2041"/>
      <c r="AX78" s="935"/>
      <c r="AY78" s="2043" t="str">
        <f>+IF(AX79="",IF('Retenue Fev'!EH53=0,"",'Retenue Fev'!EH53),AX79)</f>
        <v/>
      </c>
      <c r="AZ78" s="2043"/>
      <c r="BA78" s="936" t="str">
        <f>+IF(BA79="",IF('Retenue Fev'!EF53=0,"",'Retenue Fev'!EF53),BA79)</f>
        <v/>
      </c>
      <c r="BB78" s="937"/>
      <c r="BC78" s="938" t="str">
        <f>IF(BC79="",IF(+'Retenue Fev'!EG53=0,"",'Retenue Fev'!EG53),BC79)</f>
        <v/>
      </c>
      <c r="BD78" s="972"/>
      <c r="BE78" s="234"/>
      <c r="BF78" s="129"/>
      <c r="BG78" s="129"/>
      <c r="BH78" s="129"/>
      <c r="BI78" s="129"/>
      <c r="CA78" s="663"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234"/>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2303"/>
      <c r="F80" s="2189" t="str">
        <f>+Janvier!F80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06/"&amp;Identification!B60-2002&amp;" à 05/"&amp;Identification!B60-2001</f>
        <v>Année préc. de 06/23 à 05/24</v>
      </c>
      <c r="AI80" s="2047"/>
      <c r="AJ80" s="2047"/>
      <c r="AK80" s="2048"/>
      <c r="AL80" s="2046" t="str">
        <f>+"Année en cours de 06/"&amp;Identification!B60-2001&amp;" à 05/"&amp;Identification!B60-2000</f>
        <v>Année en cours de 06/24 à 05/25</v>
      </c>
      <c r="AM80" s="2047"/>
      <c r="AN80" s="2047"/>
      <c r="AO80" s="2048"/>
      <c r="AP80" s="218"/>
      <c r="AQ80" s="344"/>
      <c r="AR80" s="218"/>
      <c r="AU80" s="234"/>
      <c r="AV80" s="917"/>
      <c r="AW80" s="917"/>
      <c r="AX80" s="927"/>
      <c r="AY80" s="927"/>
      <c r="AZ80" s="927"/>
      <c r="BA80" s="934"/>
      <c r="BB80" s="934"/>
      <c r="BC80" s="934"/>
      <c r="BD80" s="934"/>
      <c r="BE80" s="234"/>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Fev'!EH55=0,"",'Retenue Fev'!EH55),AX82)</f>
        <v/>
      </c>
      <c r="AZ81" s="2043"/>
      <c r="BA81" s="936" t="str">
        <f>+IF(BA82="",IF('Retenue Fev'!EF55=0,"",'Retenue Fev'!EF55),BA82)</f>
        <v/>
      </c>
      <c r="BB81" s="937"/>
      <c r="BC81" s="938" t="str">
        <f>IF(BC82="",IF(+'Retenue Fev'!EG55=0,"",'Retenue Fev'!EG55),BC82)</f>
        <v/>
      </c>
      <c r="BD81" s="972"/>
      <c r="BE81" s="234"/>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234"/>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234"/>
      <c r="AV83" s="917"/>
      <c r="AW83" s="917"/>
      <c r="AX83" s="927"/>
      <c r="AY83" s="927"/>
      <c r="AZ83" s="927"/>
      <c r="BA83" s="934"/>
      <c r="BB83" s="934"/>
      <c r="BC83" s="934"/>
      <c r="BD83" s="934"/>
      <c r="BE83" s="234"/>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Fev'!EH57=0,"",'Retenue Fev'!EH57),AX85)</f>
        <v/>
      </c>
      <c r="AZ84" s="2043"/>
      <c r="BA84" s="936" t="str">
        <f>+IF(BA85="",IF('Retenue Fev'!EF57=0,"",'Retenue Fev'!EF57),BA85)</f>
        <v/>
      </c>
      <c r="BB84" s="937"/>
      <c r="BC84" s="938" t="str">
        <f>IF(BC85="",IF(+'Retenue Fev'!EG57=0,"",'Retenue Fev'!EG57),BC85)</f>
        <v/>
      </c>
      <c r="BD84" s="972"/>
      <c r="BE84" s="234"/>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234"/>
      <c r="BF85" s="129"/>
      <c r="BG85" s="129"/>
      <c r="BH85" s="129"/>
      <c r="BI85" s="129"/>
      <c r="CB85" s="2310"/>
    </row>
    <row r="86" spans="1:82" ht="14.25" customHeight="1" thickBot="1" x14ac:dyDescent="0.25">
      <c r="A86" s="1820" t="s">
        <v>81</v>
      </c>
      <c r="B86" s="1820"/>
      <c r="C86" s="1820"/>
      <c r="D86" s="1820"/>
      <c r="E86" s="1820"/>
      <c r="F86" s="2155">
        <f>+Janvier!F86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IF(AR86="",+Janvier!AH86,AR86)</f>
        <v>0</v>
      </c>
      <c r="AI86" s="1732"/>
      <c r="AJ86" s="1732"/>
      <c r="AK86" s="1733"/>
      <c r="AL86" s="1731">
        <f>IF(AS86="",IF(DP8=52,+EI29+Janvier!AL86,+EI25+Janvier!AL86),IF(DP8=52,+EI29+Janvier!AL86+AS86,+EI25+Janvier!AL86+AS86))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45716</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+Janvier!AH87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+Janvier!AH89+Janvier!AH90</f>
        <v>0</v>
      </c>
      <c r="AI89" s="1732"/>
      <c r="AJ89" s="1732"/>
      <c r="AK89" s="1733"/>
      <c r="AL89" s="1731">
        <f>+Janvier!AL89+Janvier!AL90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440" t="s">
        <v>1050</v>
      </c>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+IF(AR93="",Janvier!AH93-COUNTIF(AD20:AF50,'Liste des Libellés'!A18),AR93)</f>
        <v>0</v>
      </c>
      <c r="AI93" s="2163"/>
      <c r="AJ93" s="2163"/>
      <c r="AK93" s="2164"/>
      <c r="AL93" s="2162"/>
      <c r="AM93" s="2163"/>
      <c r="AN93" s="2163"/>
      <c r="AO93" s="2164"/>
      <c r="AP93" s="1029"/>
      <c r="AQ93" s="1028" t="s">
        <v>762</v>
      </c>
      <c r="AR93" s="116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+DATE(YEAR(X3)-1,5,31)</f>
        <v>45443</v>
      </c>
      <c r="E99" s="2298"/>
      <c r="F99" s="2298"/>
      <c r="G99" s="2299">
        <f>+Janvier!G99</f>
        <v>0</v>
      </c>
      <c r="H99" s="1890"/>
      <c r="I99" s="189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+Janvier!G100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Z107" s="1472" t="str">
        <f>+$BG$9</f>
        <v>52025</v>
      </c>
      <c r="BA107" s="1473">
        <f>+$AT$4</f>
        <v>5</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62025</v>
      </c>
      <c r="BA108" s="1478">
        <f>+$AT$5</f>
        <v>6</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72025</v>
      </c>
      <c r="BA109" s="1478">
        <f>+$AT$6</f>
        <v>7</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82025</v>
      </c>
      <c r="BA110" s="1478">
        <f>+$AT$7</f>
        <v>8</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92025</v>
      </c>
      <c r="BA111" s="1478">
        <f>+$AT$8</f>
        <v>9</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2"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52025</v>
      </c>
      <c r="BA142" s="1473">
        <f>+$AT$4</f>
        <v>5</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62025</v>
      </c>
      <c r="BA143" s="1478">
        <f>+$AT$5</f>
        <v>6</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72025</v>
      </c>
      <c r="BA144" s="1478">
        <f>+$AT$6</f>
        <v>7</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82025</v>
      </c>
      <c r="BA145" s="1478">
        <f>+$AT$7</f>
        <v>8</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92025</v>
      </c>
      <c r="BA146" s="1478">
        <f>+$AT$8</f>
        <v>9</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PeNKAGiihCb691D93oD2NEyEBGuvQG16of+ejtnoGNSjGYSMXwqaalJCspfIG1wvVC3zVPYrFSH5br93CMmFzg==" saltValue="G+mjZJ+ViJWsu3g4Fb8aAg==" spinCount="100000" sheet="1" objects="1" scenarios="1" formatCells="0" formatColumns="0" formatRows="0" insertColumns="0" insertRows="0" insertHyperlinks="0" sort="0" autoFilter="0" pivotTables="0"/>
  <mergeCells count="795">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 ref="BQ36:CA36"/>
    <mergeCell ref="A49:G49"/>
    <mergeCell ref="A52:G52"/>
    <mergeCell ref="H52:J52"/>
    <mergeCell ref="K52:M52"/>
    <mergeCell ref="AL73:AO73"/>
    <mergeCell ref="Z74:AK74"/>
    <mergeCell ref="Z75:AK75"/>
    <mergeCell ref="Z73:AK73"/>
    <mergeCell ref="Y73:Y75"/>
    <mergeCell ref="AC69:AC71"/>
    <mergeCell ref="A54:G54"/>
    <mergeCell ref="H54:J54"/>
    <mergeCell ref="N49:P49"/>
    <mergeCell ref="H55:J55"/>
    <mergeCell ref="H59:J59"/>
    <mergeCell ref="H58:J58"/>
    <mergeCell ref="K58:M58"/>
    <mergeCell ref="R62:T62"/>
    <mergeCell ref="X61:Z61"/>
    <mergeCell ref="N64:P64"/>
    <mergeCell ref="N61:P61"/>
    <mergeCell ref="K64:M64"/>
    <mergeCell ref="K54:M54"/>
    <mergeCell ref="X60:Z60"/>
    <mergeCell ref="BS30:BX30"/>
    <mergeCell ref="BS29:BX29"/>
    <mergeCell ref="AW27:AX27"/>
    <mergeCell ref="BA139:BA140"/>
    <mergeCell ref="BB139:BC140"/>
    <mergeCell ref="BD139:BD140"/>
    <mergeCell ref="BE139:BE140"/>
    <mergeCell ref="BA137:BH137"/>
    <mergeCell ref="BA102:BH102"/>
    <mergeCell ref="AR69:AZ69"/>
    <mergeCell ref="AT75:AW75"/>
    <mergeCell ref="AU61:AW61"/>
    <mergeCell ref="AU60:AW60"/>
    <mergeCell ref="N47:P47"/>
    <mergeCell ref="X47:Z47"/>
    <mergeCell ref="K47:M47"/>
    <mergeCell ref="BY26:BY27"/>
    <mergeCell ref="CA26:CA27"/>
    <mergeCell ref="BY44:BY45"/>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R48:T48"/>
    <mergeCell ref="K50:M50"/>
    <mergeCell ref="H50:J50"/>
    <mergeCell ref="X50:Z50"/>
    <mergeCell ref="N50:P50"/>
    <mergeCell ref="N55:P55"/>
    <mergeCell ref="N48:P48"/>
    <mergeCell ref="X55:Z55"/>
    <mergeCell ref="V82:Y82"/>
    <mergeCell ref="V80:AF81"/>
    <mergeCell ref="N59:P59"/>
    <mergeCell ref="R59:T59"/>
    <mergeCell ref="R63:S63"/>
    <mergeCell ref="AB57:AL57"/>
    <mergeCell ref="R57:T57"/>
    <mergeCell ref="R58:T58"/>
    <mergeCell ref="R56:T56"/>
    <mergeCell ref="U58:W58"/>
    <mergeCell ref="N62:P62"/>
    <mergeCell ref="AB56:AL56"/>
    <mergeCell ref="R49:T49"/>
    <mergeCell ref="N60:P60"/>
    <mergeCell ref="R60:T60"/>
    <mergeCell ref="U60:W60"/>
    <mergeCell ref="AH84:AK84"/>
    <mergeCell ref="AH87:AK87"/>
    <mergeCell ref="Z71:AB71"/>
    <mergeCell ref="AB46:AC46"/>
    <mergeCell ref="AD46:AF46"/>
    <mergeCell ref="AD44:AF44"/>
    <mergeCell ref="H49:J49"/>
    <mergeCell ref="H51:J51"/>
    <mergeCell ref="K51:M51"/>
    <mergeCell ref="H53:J53"/>
    <mergeCell ref="X58:Z58"/>
    <mergeCell ref="H65:J65"/>
    <mergeCell ref="R65:S65"/>
    <mergeCell ref="H62:M62"/>
    <mergeCell ref="H61:M61"/>
    <mergeCell ref="H56:J56"/>
    <mergeCell ref="K53:M53"/>
    <mergeCell ref="K49:M49"/>
    <mergeCell ref="N54:P54"/>
    <mergeCell ref="X53:Z53"/>
    <mergeCell ref="U48:W48"/>
    <mergeCell ref="X48:Z48"/>
    <mergeCell ref="AD49:AF49"/>
    <mergeCell ref="U56:W56"/>
    <mergeCell ref="AL80:AO82"/>
    <mergeCell ref="Q76:T76"/>
    <mergeCell ref="AD69:AK69"/>
    <mergeCell ref="AL69:AO69"/>
    <mergeCell ref="U49:W49"/>
    <mergeCell ref="X49:Z49"/>
    <mergeCell ref="AJ62:AL62"/>
    <mergeCell ref="AD36:AF36"/>
    <mergeCell ref="AD35:AF35"/>
    <mergeCell ref="U39:W39"/>
    <mergeCell ref="U41:W41"/>
    <mergeCell ref="AJ46:AL46"/>
    <mergeCell ref="AD40:AF40"/>
    <mergeCell ref="X45:Z45"/>
    <mergeCell ref="X40:Z40"/>
    <mergeCell ref="X44:Z44"/>
    <mergeCell ref="U43:W43"/>
    <mergeCell ref="U45:W45"/>
    <mergeCell ref="U42:W42"/>
    <mergeCell ref="U44:W44"/>
    <mergeCell ref="U40:W40"/>
    <mergeCell ref="AJ43:AL43"/>
    <mergeCell ref="AJ42:AL42"/>
    <mergeCell ref="X39:Z39"/>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H43:J43"/>
    <mergeCell ref="A48:G48"/>
    <mergeCell ref="X46:Z46"/>
    <mergeCell ref="N42:P42"/>
    <mergeCell ref="H47:J47"/>
    <mergeCell ref="R47:T47"/>
    <mergeCell ref="R43:T43"/>
    <mergeCell ref="K42:M42"/>
    <mergeCell ref="R46:T46"/>
    <mergeCell ref="A43:G43"/>
    <mergeCell ref="A42:G42"/>
    <mergeCell ref="H45:J45"/>
    <mergeCell ref="A44:G44"/>
    <mergeCell ref="K44:M44"/>
    <mergeCell ref="A46:G46"/>
    <mergeCell ref="H44:J44"/>
    <mergeCell ref="N45:P45"/>
    <mergeCell ref="N43:P43"/>
    <mergeCell ref="A45:G45"/>
    <mergeCell ref="H48:J48"/>
    <mergeCell ref="K48:M48"/>
    <mergeCell ref="K45:M45"/>
    <mergeCell ref="R44:T44"/>
    <mergeCell ref="A47:G47"/>
    <mergeCell ref="AM37:AO37"/>
    <mergeCell ref="AM38:AO38"/>
    <mergeCell ref="AM35:AO35"/>
    <mergeCell ref="AJ35:AL35"/>
    <mergeCell ref="AG35:AI35"/>
    <mergeCell ref="AJ36:AL36"/>
    <mergeCell ref="AG36:AI36"/>
    <mergeCell ref="AJ32:AL32"/>
    <mergeCell ref="AM30:AO30"/>
    <mergeCell ref="AM36:AO36"/>
    <mergeCell ref="AM32:AO32"/>
    <mergeCell ref="AJ37:AL37"/>
    <mergeCell ref="AJ38:AL38"/>
    <mergeCell ref="AG31:AI31"/>
    <mergeCell ref="AM34:AO34"/>
    <mergeCell ref="AM31:AO31"/>
    <mergeCell ref="AJ31:AL31"/>
    <mergeCell ref="AJ33:AL33"/>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B28:AC28"/>
    <mergeCell ref="P25:S25"/>
    <mergeCell ref="AB27:AC27"/>
    <mergeCell ref="B34:K34"/>
    <mergeCell ref="T35:W35"/>
    <mergeCell ref="R40:T40"/>
    <mergeCell ref="A39:G39"/>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A55:G55"/>
    <mergeCell ref="A51:G51"/>
    <mergeCell ref="A53:G53"/>
    <mergeCell ref="A50:G50"/>
    <mergeCell ref="U55:W55"/>
    <mergeCell ref="U52:W52"/>
    <mergeCell ref="X52:Z52"/>
    <mergeCell ref="R51:T51"/>
    <mergeCell ref="R54:T54"/>
    <mergeCell ref="R55:T55"/>
    <mergeCell ref="X51:Z51"/>
    <mergeCell ref="R52:T52"/>
    <mergeCell ref="U51:W51"/>
    <mergeCell ref="K55:M55"/>
    <mergeCell ref="H69:J69"/>
    <mergeCell ref="K70:M70"/>
    <mergeCell ref="B68:G68"/>
    <mergeCell ref="N58:P58"/>
    <mergeCell ref="B67:G67"/>
    <mergeCell ref="K59:M59"/>
    <mergeCell ref="A59:G59"/>
    <mergeCell ref="A56:G56"/>
    <mergeCell ref="A58:G58"/>
    <mergeCell ref="B66:G66"/>
    <mergeCell ref="B65:G65"/>
    <mergeCell ref="A64:G64"/>
    <mergeCell ref="A65:A70"/>
    <mergeCell ref="B69:G69"/>
    <mergeCell ref="A57:G57"/>
    <mergeCell ref="H64:J64"/>
    <mergeCell ref="H68:J68"/>
    <mergeCell ref="K68:M68"/>
    <mergeCell ref="H67:J67"/>
    <mergeCell ref="K67:M67"/>
    <mergeCell ref="A60:G60"/>
    <mergeCell ref="H60:J60"/>
    <mergeCell ref="K60:M60"/>
    <mergeCell ref="N67:P67"/>
    <mergeCell ref="AG63:AI63"/>
    <mergeCell ref="AJ63:AL63"/>
    <mergeCell ref="AM62:AO62"/>
    <mergeCell ref="K56:M56"/>
    <mergeCell ref="K57:M57"/>
    <mergeCell ref="H57:J57"/>
    <mergeCell ref="AM57:AO57"/>
    <mergeCell ref="R61:W61"/>
    <mergeCell ref="R67:S67"/>
    <mergeCell ref="K66:M66"/>
    <mergeCell ref="AM63:AO63"/>
    <mergeCell ref="N57:P57"/>
    <mergeCell ref="H66:J66"/>
    <mergeCell ref="N56:P56"/>
    <mergeCell ref="K65:M65"/>
    <mergeCell ref="R64:S64"/>
    <mergeCell ref="X56:Z56"/>
    <mergeCell ref="B71:G71"/>
    <mergeCell ref="C70:G70"/>
    <mergeCell ref="N69:P69"/>
    <mergeCell ref="K71:M71"/>
    <mergeCell ref="K69:M69"/>
    <mergeCell ref="AY81:AZ81"/>
    <mergeCell ref="H71:J71"/>
    <mergeCell ref="H70:J70"/>
    <mergeCell ref="AQ62:AU62"/>
    <mergeCell ref="AQ63:AU63"/>
    <mergeCell ref="AX62:AY62"/>
    <mergeCell ref="AX63:AY63"/>
    <mergeCell ref="T63:Z63"/>
    <mergeCell ref="AA63:AF63"/>
    <mergeCell ref="N68:P68"/>
    <mergeCell ref="N66:P66"/>
    <mergeCell ref="N65:P65"/>
    <mergeCell ref="AM65:AO65"/>
    <mergeCell ref="R66:S66"/>
    <mergeCell ref="T64:Z64"/>
    <mergeCell ref="AJ64:AL64"/>
    <mergeCell ref="AJ66:AL66"/>
    <mergeCell ref="AA65:AF65"/>
    <mergeCell ref="AA64:AF64"/>
    <mergeCell ref="I85:P85"/>
    <mergeCell ref="Q85:T85"/>
    <mergeCell ref="AL75:AO75"/>
    <mergeCell ref="AL77:AO77"/>
    <mergeCell ref="Z77:AK77"/>
    <mergeCell ref="L78:P78"/>
    <mergeCell ref="L76:P76"/>
    <mergeCell ref="AT81:AW81"/>
    <mergeCell ref="AR78:AS78"/>
    <mergeCell ref="AQ81:AS81"/>
    <mergeCell ref="H77:K77"/>
    <mergeCell ref="F81:H81"/>
    <mergeCell ref="F80:H80"/>
    <mergeCell ref="H76:K76"/>
    <mergeCell ref="H75:K75"/>
    <mergeCell ref="AT84:AW84"/>
    <mergeCell ref="F82:H82"/>
    <mergeCell ref="V84:AG84"/>
    <mergeCell ref="V85:AG85"/>
    <mergeCell ref="AQ77:AT77"/>
    <mergeCell ref="V83:AG83"/>
    <mergeCell ref="AL84:AO84"/>
    <mergeCell ref="AL83:AO83"/>
    <mergeCell ref="AL78:AO78"/>
    <mergeCell ref="E73:G73"/>
    <mergeCell ref="AH83:AK83"/>
    <mergeCell ref="A83:E83"/>
    <mergeCell ref="A82:E82"/>
    <mergeCell ref="A74:D74"/>
    <mergeCell ref="A77:D77"/>
    <mergeCell ref="AT78:AW78"/>
    <mergeCell ref="H74:K74"/>
    <mergeCell ref="H73:K73"/>
    <mergeCell ref="E75:G75"/>
    <mergeCell ref="E74:G74"/>
    <mergeCell ref="E77:G77"/>
    <mergeCell ref="A81:E81"/>
    <mergeCell ref="A80:E80"/>
    <mergeCell ref="A76:D76"/>
    <mergeCell ref="E76:G76"/>
    <mergeCell ref="A75:D75"/>
    <mergeCell ref="F83:H83"/>
    <mergeCell ref="AU73:BB73"/>
    <mergeCell ref="L74:P74"/>
    <mergeCell ref="Q74:T74"/>
    <mergeCell ref="AX82:AY82"/>
    <mergeCell ref="AY78:AZ78"/>
    <mergeCell ref="AX79:AY79"/>
    <mergeCell ref="N72:P72"/>
    <mergeCell ref="N70:P70"/>
    <mergeCell ref="N71:P71"/>
    <mergeCell ref="R71:Y71"/>
    <mergeCell ref="Z70:AB70"/>
    <mergeCell ref="AL71:AO71"/>
    <mergeCell ref="U47:W47"/>
    <mergeCell ref="AJ65:AL65"/>
    <mergeCell ref="AM66:AO66"/>
    <mergeCell ref="AB51:AC51"/>
    <mergeCell ref="AD51:AF51"/>
    <mergeCell ref="N52:P52"/>
    <mergeCell ref="U50:W50"/>
    <mergeCell ref="R50:T50"/>
    <mergeCell ref="AM56:AO56"/>
    <mergeCell ref="U53:W53"/>
    <mergeCell ref="X57:Z57"/>
    <mergeCell ref="U57:W57"/>
    <mergeCell ref="N51:P51"/>
    <mergeCell ref="N53:P53"/>
    <mergeCell ref="AB47:AC47"/>
    <mergeCell ref="AG51:AI51"/>
    <mergeCell ref="AJ51:AL51"/>
    <mergeCell ref="AJ48:AL48"/>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A6:D6"/>
    <mergeCell ref="A7:D7"/>
    <mergeCell ref="P15:X15"/>
    <mergeCell ref="N15:O15"/>
    <mergeCell ref="C15:M15"/>
    <mergeCell ref="O14:T14"/>
    <mergeCell ref="E8:R8"/>
    <mergeCell ref="V10:Y10"/>
    <mergeCell ref="V11:Y11"/>
    <mergeCell ref="U14:X14"/>
    <mergeCell ref="A10:M11"/>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M26:AO26"/>
    <mergeCell ref="AM27:AO27"/>
    <mergeCell ref="AD34:AF34"/>
    <mergeCell ref="AJ30:AL30"/>
    <mergeCell ref="AB29:AC29"/>
    <mergeCell ref="A40:G40"/>
    <mergeCell ref="P30:S30"/>
    <mergeCell ref="P31:S31"/>
    <mergeCell ref="AD30:AF30"/>
    <mergeCell ref="AB36:AC36"/>
    <mergeCell ref="AB35:AC35"/>
    <mergeCell ref="AD29:AF29"/>
    <mergeCell ref="T29:W29"/>
    <mergeCell ref="AJ29:AL29"/>
    <mergeCell ref="AG29:AI29"/>
    <mergeCell ref="AM33:AO33"/>
    <mergeCell ref="AD31:AF31"/>
    <mergeCell ref="AD32:AF32"/>
    <mergeCell ref="T31:W31"/>
    <mergeCell ref="AG34:AI34"/>
    <mergeCell ref="AJ34:AL34"/>
    <mergeCell ref="R39:T39"/>
    <mergeCell ref="AB34:AC34"/>
    <mergeCell ref="AB39:AC39"/>
    <mergeCell ref="L32:O32"/>
    <mergeCell ref="L35:S35"/>
    <mergeCell ref="R69:AB69"/>
    <mergeCell ref="AG64:AI64"/>
    <mergeCell ref="AG65:AI65"/>
    <mergeCell ref="U59:W59"/>
    <mergeCell ref="X59:Z59"/>
    <mergeCell ref="T67:Z67"/>
    <mergeCell ref="T66:Z66"/>
    <mergeCell ref="U54:W54"/>
    <mergeCell ref="X54:Z54"/>
    <mergeCell ref="AB54:AO54"/>
    <mergeCell ref="AB55:AL55"/>
    <mergeCell ref="AM55:AO55"/>
    <mergeCell ref="AM48:AO48"/>
    <mergeCell ref="AD48:AF48"/>
    <mergeCell ref="AG48:AI48"/>
    <mergeCell ref="AG49:AI49"/>
    <mergeCell ref="AJ47:AL47"/>
    <mergeCell ref="AB37:AC37"/>
    <mergeCell ref="AG38:AI38"/>
    <mergeCell ref="AB43:AC43"/>
    <mergeCell ref="AD42:AF42"/>
    <mergeCell ref="AD41:AF41"/>
    <mergeCell ref="AJ40:AL40"/>
    <mergeCell ref="AJ50:AL50"/>
    <mergeCell ref="AB50:AC50"/>
    <mergeCell ref="AD50:AF50"/>
    <mergeCell ref="AJ49:AL49"/>
    <mergeCell ref="AB32:AC32"/>
    <mergeCell ref="AB31:AC31"/>
    <mergeCell ref="X43:Z43"/>
    <mergeCell ref="X41:Z41"/>
    <mergeCell ref="X42:Z42"/>
    <mergeCell ref="AB40:AC40"/>
    <mergeCell ref="AB42:AC42"/>
    <mergeCell ref="AD38:AF38"/>
    <mergeCell ref="AG37:AI37"/>
    <mergeCell ref="AD37:AF37"/>
    <mergeCell ref="AB49:AC49"/>
    <mergeCell ref="AD33:AF33"/>
    <mergeCell ref="AD39:AF39"/>
    <mergeCell ref="AB38:AC38"/>
    <mergeCell ref="R38:Z38"/>
    <mergeCell ref="P34:S34"/>
    <mergeCell ref="T33:W33"/>
    <mergeCell ref="AB45:AC45"/>
    <mergeCell ref="R42:T42"/>
    <mergeCell ref="B31:K31"/>
    <mergeCell ref="U46:W46"/>
    <mergeCell ref="P33:S33"/>
    <mergeCell ref="AB44:AC44"/>
    <mergeCell ref="T30:W30"/>
    <mergeCell ref="CE8:CF8"/>
    <mergeCell ref="AW44:AX44"/>
    <mergeCell ref="AM43:AO43"/>
    <mergeCell ref="AM39:AO39"/>
    <mergeCell ref="B32:K32"/>
    <mergeCell ref="AM46:AO46"/>
    <mergeCell ref="AG43:AI43"/>
    <mergeCell ref="AG39:AI39"/>
    <mergeCell ref="AG40:AI40"/>
    <mergeCell ref="AM40:AO40"/>
    <mergeCell ref="AG41:AI41"/>
    <mergeCell ref="AM41:AO41"/>
    <mergeCell ref="AJ45:AL45"/>
    <mergeCell ref="AJ44:AL44"/>
    <mergeCell ref="AG44:AI44"/>
    <mergeCell ref="AM44:AO44"/>
    <mergeCell ref="AM45:AO45"/>
    <mergeCell ref="AJ41:AL41"/>
    <mergeCell ref="AM42:AO42"/>
    <mergeCell ref="AG47:AI47"/>
    <mergeCell ref="AB48:AC48"/>
    <mergeCell ref="AG50:AI50"/>
    <mergeCell ref="AM47:AO47"/>
    <mergeCell ref="R53:T53"/>
    <mergeCell ref="AJ131:AK131"/>
    <mergeCell ref="AL131:AN131"/>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L74:AO74"/>
    <mergeCell ref="R70:Y70"/>
    <mergeCell ref="AG66:AI66"/>
    <mergeCell ref="AD135:AE135"/>
    <mergeCell ref="AG135:AI135"/>
    <mergeCell ref="AJ135:AK135"/>
    <mergeCell ref="AC133:AD133"/>
    <mergeCell ref="AE133:AG133"/>
    <mergeCell ref="AH133:AI133"/>
    <mergeCell ref="CE3:CF3"/>
    <mergeCell ref="H42:J42"/>
    <mergeCell ref="R45:T45"/>
    <mergeCell ref="K46:M46"/>
    <mergeCell ref="K43:M43"/>
    <mergeCell ref="H46:J46"/>
    <mergeCell ref="AB41:AC41"/>
    <mergeCell ref="AG45:AI45"/>
    <mergeCell ref="AG46:AI46"/>
    <mergeCell ref="AD45:AF45"/>
    <mergeCell ref="AD43:AF43"/>
    <mergeCell ref="AG42:AI42"/>
    <mergeCell ref="N46:P46"/>
    <mergeCell ref="N44:P44"/>
    <mergeCell ref="CE5:CF5"/>
    <mergeCell ref="AG33:AI33"/>
    <mergeCell ref="BV21:BZ23"/>
    <mergeCell ref="BS28:BX28"/>
  </mergeCells>
  <conditionalFormatting sqref="A20:W20">
    <cfRule type="expression" dxfId="3955" priority="16">
      <formula>$U$14=0</formula>
    </cfRule>
  </conditionalFormatting>
  <conditionalFormatting sqref="B26:K26">
    <cfRule type="expression" dxfId="3954" priority="26">
      <formula>$U$14=0</formula>
    </cfRule>
  </conditionalFormatting>
  <conditionalFormatting sqref="B29:K29">
    <cfRule type="cellIs" dxfId="3953" priority="13" operator="greaterThan">
      <formula>0</formula>
    </cfRule>
  </conditionalFormatting>
  <conditionalFormatting sqref="C70:G70">
    <cfRule type="cellIs" dxfId="3952" priority="7" operator="greaterThan">
      <formula>0</formula>
    </cfRule>
  </conditionalFormatting>
  <conditionalFormatting sqref="F87:I87">
    <cfRule type="cellIs" dxfId="3951" priority="2" operator="greaterThan">
      <formula>0</formula>
    </cfRule>
  </conditionalFormatting>
  <conditionalFormatting sqref="F86:L86">
    <cfRule type="cellIs" dxfId="3950" priority="3" operator="greaterThan">
      <formula>0</formula>
    </cfRule>
  </conditionalFormatting>
  <conditionalFormatting sqref="H65:J65">
    <cfRule type="expression" dxfId="3949" priority="40">
      <formula>AND($AX$60="Oui",$AZ$62="hrs")</formula>
    </cfRule>
    <cfRule type="expression" dxfId="3948" priority="38">
      <formula>AND($AX$60="Oui",$AZ$62="")</formula>
    </cfRule>
  </conditionalFormatting>
  <conditionalFormatting sqref="H66:J66">
    <cfRule type="expression" dxfId="3947" priority="37">
      <formula>AND($BW$41="Oui",$AX$61="Non")</formula>
    </cfRule>
    <cfRule type="expression" dxfId="3946" priority="36">
      <formula>AND($BW$41="Non",$AX$61="Non")</formula>
    </cfRule>
    <cfRule type="expression" dxfId="3945" priority="35">
      <formula>AND($AX$61="Oui",$AZ$63="jrs")</formula>
    </cfRule>
    <cfRule type="expression" dxfId="3944" priority="34">
      <formula>AND($AX$61="Oui",$AZ$63="")</formula>
    </cfRule>
  </conditionalFormatting>
  <conditionalFormatting sqref="H70:J71">
    <cfRule type="cellIs" dxfId="3943" priority="6" operator="greaterThan">
      <formula>0</formula>
    </cfRule>
  </conditionalFormatting>
  <conditionalFormatting sqref="H65:K66">
    <cfRule type="cellIs" dxfId="3942" priority="33" operator="equal">
      <formula>0</formula>
    </cfRule>
  </conditionalFormatting>
  <conditionalFormatting sqref="H67:M68">
    <cfRule type="cellIs" dxfId="3941" priority="54" operator="equal">
      <formula>0</formula>
    </cfRule>
  </conditionalFormatting>
  <conditionalFormatting sqref="H69:M69">
    <cfRule type="cellIs" dxfId="3940" priority="8" operator="greaterThan">
      <formula>0</formula>
    </cfRule>
  </conditionalFormatting>
  <conditionalFormatting sqref="H40:Z60">
    <cfRule type="cellIs" dxfId="3939" priority="32" operator="equal">
      <formula>0</formula>
    </cfRule>
  </conditionalFormatting>
  <conditionalFormatting sqref="K81:K82 L82:T83 K88:T88 K89:Q90">
    <cfRule type="expression" dxfId="3938" priority="618">
      <formula>$EO$6="OUI"</formula>
    </cfRule>
  </conditionalFormatting>
  <conditionalFormatting sqref="K87">
    <cfRule type="expression" dxfId="3937" priority="4">
      <formula>$EO$6="OUI"</formula>
    </cfRule>
  </conditionalFormatting>
  <conditionalFormatting sqref="L18:O19">
    <cfRule type="cellIs" dxfId="3936" priority="20" operator="equal">
      <formula>0</formula>
    </cfRule>
  </conditionalFormatting>
  <conditionalFormatting sqref="L21:O22">
    <cfRule type="cellIs" dxfId="3935" priority="31" operator="equal">
      <formula>0</formula>
    </cfRule>
  </conditionalFormatting>
  <conditionalFormatting sqref="L27:O28">
    <cfRule type="cellIs" dxfId="3934" priority="14" operator="greaterThan">
      <formula>0</formula>
    </cfRule>
  </conditionalFormatting>
  <conditionalFormatting sqref="L30:O32">
    <cfRule type="cellIs" dxfId="3933" priority="12" operator="greaterThan">
      <formula>0</formula>
    </cfRule>
  </conditionalFormatting>
  <conditionalFormatting sqref="L34:O34">
    <cfRule type="cellIs" dxfId="3932" priority="10" operator="greaterThan">
      <formula>0</formula>
    </cfRule>
  </conditionalFormatting>
  <conditionalFormatting sqref="L23:S24">
    <cfRule type="cellIs" dxfId="3931" priority="15" operator="greaterThan">
      <formula>0</formula>
    </cfRule>
  </conditionalFormatting>
  <conditionalFormatting sqref="L25:S26">
    <cfRule type="containsErrors" dxfId="3930" priority="24">
      <formula>ISERROR(L25)</formula>
    </cfRule>
    <cfRule type="cellIs" dxfId="3929" priority="25" operator="equal">
      <formula>0</formula>
    </cfRule>
  </conditionalFormatting>
  <conditionalFormatting sqref="M87:T87">
    <cfRule type="expression" dxfId="3928" priority="615">
      <formula>$EO$6="OUI"</formula>
    </cfRule>
  </conditionalFormatting>
  <conditionalFormatting sqref="N65:P71">
    <cfRule type="cellIs" dxfId="3927" priority="60" operator="equal">
      <formula>0</formula>
    </cfRule>
  </conditionalFormatting>
  <conditionalFormatting sqref="O86">
    <cfRule type="expression" dxfId="3926" priority="619">
      <formula>EO6="OUI"</formula>
    </cfRule>
  </conditionalFormatting>
  <conditionalFormatting sqref="O14:T14">
    <cfRule type="expression" dxfId="3925" priority="201">
      <formula>$U$14=0</formula>
    </cfRule>
  </conditionalFormatting>
  <conditionalFormatting sqref="P20">
    <cfRule type="expression" dxfId="3924" priority="17">
      <formula>$DP$14=1</formula>
    </cfRule>
  </conditionalFormatting>
  <conditionalFormatting sqref="P18:S18">
    <cfRule type="expression" dxfId="3923" priority="21">
      <formula>$L$18=0</formula>
    </cfRule>
  </conditionalFormatting>
  <conditionalFormatting sqref="P19:S19">
    <cfRule type="expression" dxfId="3922" priority="19">
      <formula>$L$19=0</formula>
    </cfRule>
  </conditionalFormatting>
  <conditionalFormatting sqref="P21:S21">
    <cfRule type="expression" dxfId="3921" priority="30">
      <formula>$L$21=0</formula>
    </cfRule>
  </conditionalFormatting>
  <conditionalFormatting sqref="P22:S22">
    <cfRule type="expression" dxfId="3920" priority="29">
      <formula>$L$22=0</formula>
    </cfRule>
  </conditionalFormatting>
  <conditionalFormatting sqref="R87:T87">
    <cfRule type="expression" dxfId="3919" priority="614">
      <formula>$EO$7="OUI"</formula>
    </cfRule>
  </conditionalFormatting>
  <conditionalFormatting sqref="R89:T89">
    <cfRule type="expression" dxfId="3918" priority="610">
      <formula>$EO$6="OUI"</formula>
    </cfRule>
    <cfRule type="expression" dxfId="3917" priority="609">
      <formula>$EO$8="OUI"</formula>
    </cfRule>
  </conditionalFormatting>
  <conditionalFormatting sqref="R90:T90">
    <cfRule type="expression" dxfId="3916" priority="616">
      <formula>$EO$7="OUI"</formula>
    </cfRule>
    <cfRule type="expression" dxfId="3915" priority="617">
      <formula>$EO$6="OUI"</formula>
    </cfRule>
  </conditionalFormatting>
  <conditionalFormatting sqref="T20">
    <cfRule type="expression" dxfId="3914" priority="18">
      <formula>$DP$14=1</formula>
    </cfRule>
  </conditionalFormatting>
  <conditionalFormatting sqref="T30:T32">
    <cfRule type="cellIs" dxfId="3913" priority="28" operator="equal">
      <formula>0</formula>
    </cfRule>
  </conditionalFormatting>
  <conditionalFormatting sqref="T18:W19">
    <cfRule type="cellIs" dxfId="3912" priority="22" operator="equal">
      <formula>0</formula>
    </cfRule>
  </conditionalFormatting>
  <conditionalFormatting sqref="T21:W28">
    <cfRule type="cellIs" dxfId="3911" priority="27" operator="equal">
      <formula>0</formula>
    </cfRule>
  </conditionalFormatting>
  <conditionalFormatting sqref="T29:W29">
    <cfRule type="cellIs" dxfId="3910" priority="11" operator="greaterThan">
      <formula>0</formula>
    </cfRule>
  </conditionalFormatting>
  <conditionalFormatting sqref="T33:W33">
    <cfRule type="cellIs" dxfId="3909" priority="9" operator="greaterThan">
      <formula>0</formula>
    </cfRule>
  </conditionalFormatting>
  <conditionalFormatting sqref="T34:W34">
    <cfRule type="cellIs" dxfId="3908" priority="23" operator="equal">
      <formula>0</formula>
    </cfRule>
  </conditionalFormatting>
  <conditionalFormatting sqref="U14:X14">
    <cfRule type="cellIs" dxfId="3907" priority="199" operator="equal">
      <formula>0</formula>
    </cfRule>
  </conditionalFormatting>
  <conditionalFormatting sqref="V80:AF81">
    <cfRule type="cellIs" dxfId="3906" priority="1" operator="notEqual">
      <formula>"Commentaires :"</formula>
    </cfRule>
  </conditionalFormatting>
  <conditionalFormatting sqref="Y73:AO75">
    <cfRule type="expression" dxfId="3905" priority="64">
      <formula>$DP$8=52</formula>
    </cfRule>
  </conditionalFormatting>
  <conditionalFormatting sqref="AB20:AC50">
    <cfRule type="expression" dxfId="3904" priority="525">
      <formula>WEEKDAY(AB20,2)=7</formula>
    </cfRule>
    <cfRule type="expression" dxfId="3903" priority="526">
      <formula>OR(WEEKDAY(AB20,2)=6,WEEKDAY(AB20,2)=7)</formula>
    </cfRule>
    <cfRule type="expression" dxfId="3902" priority="527">
      <formula>VLOOKUP(AB20,base_feries,1,FALSE)</formula>
    </cfRule>
  </conditionalFormatting>
  <conditionalFormatting sqref="AD20:AF50">
    <cfRule type="expression" dxfId="3901" priority="294">
      <formula>FC20="oui"</formula>
    </cfRule>
    <cfRule type="cellIs" dxfId="3900" priority="295" operator="equal">
      <formula>0</formula>
    </cfRule>
  </conditionalFormatting>
  <conditionalFormatting sqref="AG20:AI50">
    <cfRule type="expression" dxfId="3899" priority="296">
      <formula>FC20="oui"</formula>
    </cfRule>
  </conditionalFormatting>
  <conditionalFormatting sqref="AH83:AH84">
    <cfRule type="cellIs" dxfId="3898" priority="631" stopIfTrue="1" operator="equal">
      <formula>0</formula>
    </cfRule>
  </conditionalFormatting>
  <conditionalFormatting sqref="AH89:AH91">
    <cfRule type="cellIs" dxfId="3897" priority="69" stopIfTrue="1" operator="equal">
      <formula>0</formula>
    </cfRule>
  </conditionalFormatting>
  <conditionalFormatting sqref="AH93:AK93">
    <cfRule type="cellIs" dxfId="3896" priority="623" operator="equal">
      <formula>0</formula>
    </cfRule>
  </conditionalFormatting>
  <conditionalFormatting sqref="AH86:AL87">
    <cfRule type="cellIs" dxfId="3895" priority="65" stopIfTrue="1" operator="equal">
      <formula>0</formula>
    </cfRule>
  </conditionalFormatting>
  <conditionalFormatting sqref="AH92:AO92">
    <cfRule type="cellIs" dxfId="3894" priority="231" operator="lessThan">
      <formula>-0.001</formula>
    </cfRule>
  </conditionalFormatting>
  <conditionalFormatting sqref="AJ20:AL50">
    <cfRule type="expression" dxfId="3893" priority="297">
      <formula>FC20="oui"</formula>
    </cfRule>
  </conditionalFormatting>
  <conditionalFormatting sqref="AL83">
    <cfRule type="cellIs" dxfId="3892" priority="630" stopIfTrue="1" operator="equal">
      <formula>0</formula>
    </cfRule>
  </conditionalFormatting>
  <conditionalFormatting sqref="AL89:AL91">
    <cfRule type="cellIs" dxfId="3891" priority="68" stopIfTrue="1" operator="equal">
      <formula>0</formula>
    </cfRule>
  </conditionalFormatting>
  <conditionalFormatting sqref="AL93">
    <cfRule type="cellIs" dxfId="3890" priority="632" stopIfTrue="1" operator="equal">
      <formula>0</formula>
    </cfRule>
  </conditionalFormatting>
  <conditionalFormatting sqref="AM20:AO50">
    <cfRule type="expression" dxfId="3889" priority="298">
      <formula>FC20="oui"</formula>
    </cfRule>
  </conditionalFormatting>
  <conditionalFormatting sqref="AP20:AP50">
    <cfRule type="expression" dxfId="3888" priority="152">
      <formula>BL20="E"</formula>
    </cfRule>
    <cfRule type="expression" dxfId="3887" priority="155">
      <formula>BL20="B"</formula>
    </cfRule>
    <cfRule type="expression" dxfId="3886" priority="154">
      <formula>BL20="C"</formula>
    </cfRule>
    <cfRule type="expression" dxfId="3885" priority="153">
      <formula>BL20="D"</formula>
    </cfRule>
    <cfRule type="expression" dxfId="3884" priority="150">
      <formula>BL20="G"</formula>
    </cfRule>
    <cfRule type="expression" dxfId="3883" priority="151">
      <formula>BL20="F"</formula>
    </cfRule>
    <cfRule type="expression" dxfId="3882" priority="149">
      <formula>BL20="H"</formula>
    </cfRule>
  </conditionalFormatting>
  <conditionalFormatting sqref="AQ62:AU62">
    <cfRule type="expression" dxfId="3881" priority="46">
      <formula>$AT$60="Non"</formula>
    </cfRule>
  </conditionalFormatting>
  <conditionalFormatting sqref="AQ63:AU63">
    <cfRule type="expression" dxfId="3880" priority="43">
      <formula>$AT$61="Non"</formula>
    </cfRule>
  </conditionalFormatting>
  <conditionalFormatting sqref="AR20:AR50">
    <cfRule type="expression" dxfId="3879" priority="184">
      <formula>AND(AR20&lt;&gt;"",AZ20&lt;&gt;"")</formula>
    </cfRule>
    <cfRule type="expression" dxfId="3878" priority="180">
      <formula>FN20=10</formula>
    </cfRule>
    <cfRule type="expression" dxfId="3877" priority="176">
      <formula>FC20="oui"</formula>
    </cfRule>
    <cfRule type="expression" dxfId="3876" priority="168">
      <formula>AB20=""</formula>
    </cfRule>
  </conditionalFormatting>
  <conditionalFormatting sqref="AR17:BJ50">
    <cfRule type="expression" dxfId="3875" priority="49">
      <formula>$EX$13="oui"</formula>
    </cfRule>
  </conditionalFormatting>
  <conditionalFormatting sqref="AS51:BJ51 DK51">
    <cfRule type="expression" dxfId="3874" priority="139">
      <formula>$EX$13="oui"</formula>
    </cfRule>
  </conditionalFormatting>
  <conditionalFormatting sqref="AT4:AT10">
    <cfRule type="expression" dxfId="3873" priority="549">
      <formula>AU4="D"</formula>
    </cfRule>
    <cfRule type="expression" dxfId="3872" priority="550">
      <formula>AU4="C"</formula>
    </cfRule>
    <cfRule type="expression" dxfId="3871" priority="551">
      <formula>AU4="B"</formula>
    </cfRule>
    <cfRule type="expression" dxfId="3870" priority="545">
      <formula>AU4="H"</formula>
    </cfRule>
    <cfRule type="expression" dxfId="3869" priority="546">
      <formula>AU4="G"</formula>
    </cfRule>
    <cfRule type="expression" dxfId="3868" priority="547">
      <formula>AU4="F"</formula>
    </cfRule>
    <cfRule type="expression" dxfId="3867" priority="548">
      <formula>AU4="E"</formula>
    </cfRule>
  </conditionalFormatting>
  <conditionalFormatting sqref="AT20:AT50">
    <cfRule type="expression" dxfId="3866" priority="179">
      <formula>FC20="oui"</formula>
    </cfRule>
    <cfRule type="expression" dxfId="3865" priority="175">
      <formula>AB20=""</formula>
    </cfRule>
  </conditionalFormatting>
  <conditionalFormatting sqref="AU4:AU10">
    <cfRule type="expression" dxfId="3864" priority="470">
      <formula>AT4=""</formula>
    </cfRule>
    <cfRule type="expression" dxfId="3863" priority="640">
      <formula>FG4="rouge"</formula>
    </cfRule>
  </conditionalFormatting>
  <conditionalFormatting sqref="AU20:AU50">
    <cfRule type="expression" dxfId="3862" priority="174">
      <formula>AB20=""</formula>
    </cfRule>
    <cfRule type="expression" dxfId="3861" priority="183">
      <formula>FC20="oui"</formula>
    </cfRule>
  </conditionalFormatting>
  <conditionalFormatting sqref="AW20:AX50">
    <cfRule type="expression" dxfId="3860" priority="188">
      <formula>VLOOKUP(AW20,base_feries,1,FALSE)</formula>
    </cfRule>
    <cfRule type="expression" dxfId="3859" priority="187">
      <formula>OR(WEEKDAY(AW20,2)=6,WEEKDAY(AW20,2)=7)</formula>
    </cfRule>
    <cfRule type="expression" dxfId="3858" priority="186">
      <formula>WEEKDAY(AW20,2)=7</formula>
    </cfRule>
  </conditionalFormatting>
  <conditionalFormatting sqref="AX62:AZ62">
    <cfRule type="expression" dxfId="3857" priority="45">
      <formula>$AX$60="Non"</formula>
    </cfRule>
  </conditionalFormatting>
  <conditionalFormatting sqref="AX63:AZ63">
    <cfRule type="expression" dxfId="3856" priority="42">
      <formula>$AX$61="Non"</formula>
    </cfRule>
  </conditionalFormatting>
  <conditionalFormatting sqref="AZ20:AZ50">
    <cfRule type="expression" dxfId="3855" priority="51">
      <formula>FC20="oui"</formula>
    </cfRule>
    <cfRule type="expression" dxfId="3854" priority="50">
      <formula>AB20=""</formula>
    </cfRule>
    <cfRule type="expression" dxfId="3853" priority="53">
      <formula>AND(AR20&lt;&gt;"",AZ20&lt;&gt;"")</formula>
    </cfRule>
    <cfRule type="expression" dxfId="3852" priority="52">
      <formula>FL20=10</formula>
    </cfRule>
  </conditionalFormatting>
  <conditionalFormatting sqref="BA20:BA50">
    <cfRule type="expression" dxfId="3851" priority="173">
      <formula>AB20=""</formula>
    </cfRule>
    <cfRule type="expression" dxfId="3850" priority="177">
      <formula>FC20="oui"</formula>
    </cfRule>
  </conditionalFormatting>
  <conditionalFormatting sqref="BA62">
    <cfRule type="expression" dxfId="3849" priority="44">
      <formula>$BA$60="Non"</formula>
    </cfRule>
  </conditionalFormatting>
  <conditionalFormatting sqref="BA63">
    <cfRule type="expression" dxfId="3848" priority="41">
      <formula>$BA$61="Non"</formula>
    </cfRule>
  </conditionalFormatting>
  <conditionalFormatting sqref="BA102 BA103:BH115">
    <cfRule type="expression" dxfId="3847" priority="98">
      <formula>$DP$8=52</formula>
    </cfRule>
  </conditionalFormatting>
  <conditionalFormatting sqref="BA137 BA138:BH149">
    <cfRule type="expression" dxfId="3846" priority="67">
      <formula>$DP$8=52</formula>
    </cfRule>
  </conditionalFormatting>
  <conditionalFormatting sqref="BC20:BC55">
    <cfRule type="expression" dxfId="3845" priority="170">
      <formula>AJ20=""</formula>
    </cfRule>
    <cfRule type="cellIs" dxfId="3844" priority="182" operator="equal">
      <formula>0</formula>
    </cfRule>
  </conditionalFormatting>
  <conditionalFormatting sqref="BC112:BH112">
    <cfRule type="expression" dxfId="3843" priority="97">
      <formula>$BA$112=""</formula>
    </cfRule>
  </conditionalFormatting>
  <conditionalFormatting sqref="BC147:BH147">
    <cfRule type="expression" dxfId="3842" priority="66">
      <formula>$BA$112=""</formula>
    </cfRule>
  </conditionalFormatting>
  <conditionalFormatting sqref="BD20:BD50">
    <cfRule type="expression" dxfId="3841" priority="171">
      <formula>FL20="oui"</formula>
    </cfRule>
  </conditionalFormatting>
  <conditionalFormatting sqref="BE20:BE50">
    <cfRule type="expression" dxfId="3840" priority="181">
      <formula>OR(BE20=0,BE20="")</formula>
    </cfRule>
  </conditionalFormatting>
  <conditionalFormatting sqref="BH20:BH50">
    <cfRule type="cellIs" dxfId="3839" priority="167" operator="equal">
      <formula>0</formula>
    </cfRule>
    <cfRule type="expression" dxfId="3838" priority="140">
      <formula>AO20=""</formula>
    </cfRule>
  </conditionalFormatting>
  <conditionalFormatting sqref="BI9:BI14">
    <cfRule type="cellIs" dxfId="3837" priority="106" operator="equal">
      <formula>0</formula>
    </cfRule>
  </conditionalFormatting>
  <conditionalFormatting sqref="BQ54">
    <cfRule type="expression" dxfId="3836" priority="522">
      <formula>$BW$41="Non"</formula>
    </cfRule>
  </conditionalFormatting>
  <conditionalFormatting sqref="BQ36:CA36">
    <cfRule type="expression" dxfId="3835" priority="523">
      <formula>$BW$41="Oui"</formula>
    </cfRule>
  </conditionalFormatting>
  <conditionalFormatting sqref="BS21:CA34">
    <cfRule type="expression" dxfId="3834" priority="84">
      <formula>$EO$12="NON"</formula>
    </cfRule>
  </conditionalFormatting>
  <conditionalFormatting sqref="BY28:BY33">
    <cfRule type="notContainsBlanks" dxfId="3833" priority="85">
      <formula>LEN(TRIM(BY28))&gt;0</formula>
    </cfRule>
  </conditionalFormatting>
  <conditionalFormatting sqref="BY56">
    <cfRule type="expression" dxfId="3832" priority="575">
      <formula>$BW$41="Oui"</formula>
    </cfRule>
    <cfRule type="duplicateValues" dxfId="3831" priority="576"/>
  </conditionalFormatting>
  <conditionalFormatting sqref="BY60">
    <cfRule type="expression" dxfId="3830" priority="569">
      <formula>$BW$41="Oui"</formula>
    </cfRule>
    <cfRule type="cellIs" dxfId="3829" priority="570" operator="lessThan">
      <formula>$BY$59</formula>
    </cfRule>
    <cfRule type="duplicateValues" dxfId="3828" priority="571"/>
  </conditionalFormatting>
  <conditionalFormatting sqref="CA56">
    <cfRule type="expression" dxfId="3827" priority="271">
      <formula>AND($CA$56&lt;$CE$47,$BW$41="Non")</formula>
    </cfRule>
  </conditionalFormatting>
  <conditionalFormatting sqref="CB78">
    <cfRule type="cellIs" dxfId="3826" priority="671" stopIfTrue="1" operator="equal">
      <formula>"NON"</formula>
    </cfRule>
    <cfRule type="cellIs" dxfId="3825" priority="672" stopIfTrue="1" operator="equal">
      <formula>"OUI"</formula>
    </cfRule>
  </conditionalFormatting>
  <conditionalFormatting sqref="CE53:CE54">
    <cfRule type="expression" dxfId="3824" priority="166">
      <formula>$BW$41="Non"</formula>
    </cfRule>
  </conditionalFormatting>
  <conditionalFormatting sqref="CE57:CE58">
    <cfRule type="expression" dxfId="3823" priority="165">
      <formula>$BW$41="Non"</formula>
    </cfRule>
  </conditionalFormatting>
  <conditionalFormatting sqref="CE3:CF3">
    <cfRule type="expression" dxfId="3822" priority="119">
      <formula>$CD$3=""</formula>
    </cfRule>
    <cfRule type="expression" dxfId="3821" priority="118">
      <formula>AND($CE$3="",$CE$5&lt;&gt;"")</formula>
    </cfRule>
    <cfRule type="expression" dxfId="3820" priority="117">
      <formula>$FX$3="vrai"</formula>
    </cfRule>
  </conditionalFormatting>
  <conditionalFormatting sqref="CE5:CF5">
    <cfRule type="expression" dxfId="3819" priority="126">
      <formula>OR(AND(CE5&lt;&gt;0,CE5&lt;AJ4),AND(CE5&lt;&gt;0,CE5&gt;EG5),AND(CE5&lt;&gt;0,CE5&lt;AB20))</formula>
    </cfRule>
    <cfRule type="expression" dxfId="3818" priority="125">
      <formula>CD5=""</formula>
    </cfRule>
    <cfRule type="expression" dxfId="3817" priority="124">
      <formula>$FX$5="vrai"</formula>
    </cfRule>
  </conditionalFormatting>
  <conditionalFormatting sqref="CE8:CF8">
    <cfRule type="cellIs" dxfId="3816" priority="123" operator="greaterThan">
      <formula>$CE$5</formula>
    </cfRule>
    <cfRule type="expression" dxfId="3815" priority="122">
      <formula>AND(CE8&lt;&gt;0,CE8&lt;AJ4)</formula>
    </cfRule>
    <cfRule type="expression" dxfId="3814" priority="121">
      <formula>CD8=""</formula>
    </cfRule>
    <cfRule type="expression" dxfId="3813" priority="120">
      <formula>$FX$8="vrai"</formula>
    </cfRule>
  </conditionalFormatting>
  <conditionalFormatting sqref="CF47">
    <cfRule type="notContainsBlanks" dxfId="3812" priority="504">
      <formula>LEN(TRIM(CF47))&gt;0</formula>
    </cfRule>
  </conditionalFormatting>
  <conditionalFormatting sqref="CF49">
    <cfRule type="notContainsBlanks" dxfId="3811" priority="503">
      <formula>LEN(TRIM(CF49))&gt;0</formula>
    </cfRule>
  </conditionalFormatting>
  <conditionalFormatting sqref="CF53:CF54">
    <cfRule type="expression" dxfId="3810" priority="160">
      <formula>$BW$41="Non"</formula>
    </cfRule>
  </conditionalFormatting>
  <conditionalFormatting sqref="CF57:CF58">
    <cfRule type="expression" dxfId="3809" priority="158">
      <formula>$BW$41="Non"</formula>
    </cfRule>
  </conditionalFormatting>
  <conditionalFormatting sqref="CG8:CI8">
    <cfRule type="expression" dxfId="3808" priority="239">
      <formula>CD8=""</formula>
    </cfRule>
  </conditionalFormatting>
  <conditionalFormatting sqref="GW16:HR16">
    <cfRule type="expression" dxfId="3807" priority="494">
      <formula>$AE$123="NON"</formula>
    </cfRule>
  </conditionalFormatting>
  <conditionalFormatting sqref="HG16:HJ16">
    <cfRule type="expression" dxfId="3806" priority="4956">
      <formula>AR123&gt;0</formula>
    </cfRule>
  </conditionalFormatting>
  <conditionalFormatting sqref="HK16:HN16">
    <cfRule type="expression" dxfId="3805" priority="4957">
      <formula>AR123&gt;0</formula>
    </cfRule>
  </conditionalFormatting>
  <dataValidations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0"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1"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6"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DATE(YEAR(Janvier!X3),MONTH(Janvier!X3)+2,DAY(Janvier!X3))</f>
        <v>45717</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9</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IF(Février!BY8="OUI","Contrat fini",BY2)</f>
        <v>Fiche info</v>
      </c>
      <c r="EF4" s="333" t="s">
        <v>1044</v>
      </c>
      <c r="EG4" s="755">
        <f>Identification!B95</f>
        <v>0</v>
      </c>
      <c r="FG4" s="333" t="str">
        <f>IFERROR(IF(VLOOKUP(AT4,Février!$AT$4:$AU$10,2,FALSE)&lt;&gt;Mars!AU4,"rouge","ok"),0)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45717</v>
      </c>
      <c r="Y5" s="1948"/>
      <c r="Z5" s="1953" t="s">
        <v>460</v>
      </c>
      <c r="AA5" s="1953"/>
      <c r="AB5" s="1948">
        <f>+IF(AND(DATE(YEAR(EG4),MONTH(EG4),DAY(EG4))&gt;=DATE(YEAR(X3),MONTH(X3),DAY(X3)),DATE(YEAR(EG4),MONTH(EG4),DAY(EG4))&lt;=DATE(YEAR(X3),MONTH(X3),DAY(EOMONTH(X3,0)))),EG4,EOMONTH(X3,0))</f>
        <v>45747</v>
      </c>
      <c r="AC5" s="1952"/>
      <c r="AP5" s="211"/>
      <c r="AQ5" s="336"/>
      <c r="AR5" s="211"/>
      <c r="AS5" s="212"/>
      <c r="AT5" s="319">
        <f t="array" ref="AT5">IFERROR(INDEX($BK$20:$BK$50,MATCH(0,INDEX(COUNTIF($AT$3:AT4,$BK$20:$BK$50),0,0),0)),"")</f>
        <v>10</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45747</v>
      </c>
      <c r="FG5" s="333">
        <f>IFERROR(IF(VLOOKUP(AT5,Février!$AT$4:$AU$10,2,FALSE)&lt;&gt;Mars!AU5,"rouge","ok"),0)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11</v>
      </c>
      <c r="AU6" s="1144" t="s">
        <v>235</v>
      </c>
      <c r="BQ6" s="596"/>
      <c r="BR6" s="596"/>
      <c r="BS6" s="596"/>
      <c r="BT6" s="596"/>
      <c r="BU6" s="596"/>
      <c r="BV6" s="596"/>
      <c r="BW6" s="596"/>
      <c r="BX6" s="597" t="s">
        <v>520</v>
      </c>
      <c r="BY6" s="598" t="str">
        <f>+IF(BZ6="",Février!BY6,BZ6)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IFERROR(IF(VLOOKUP(AT6,Février!$AT$4:$AU$10,2,FALSE)&lt;&gt;Mars!AU6,"rouge","ok"),0)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12</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IFERROR(IF(VLOOKUP(AT7,Février!$AT$4:$AU$10,2,FALSE)&lt;&gt;Mars!AU7,"rouge","ok"),0)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13</v>
      </c>
      <c r="AU8" s="1144" t="s">
        <v>235</v>
      </c>
      <c r="BG8" s="252"/>
      <c r="BH8" s="1462" t="str">
        <f>+AT3</f>
        <v>N° Sem.</v>
      </c>
      <c r="BI8" s="1463" t="s">
        <v>1580</v>
      </c>
      <c r="BQ8" s="2132" t="s">
        <v>219</v>
      </c>
      <c r="BR8" s="2133"/>
      <c r="BS8" s="2133"/>
      <c r="BT8" s="2133"/>
      <c r="BU8" s="2133"/>
      <c r="BV8" s="2133"/>
      <c r="BW8" s="2133"/>
      <c r="BX8" s="2133"/>
      <c r="BY8" s="985" t="str">
        <f>IF(BZ8="",Février!BY8,BZ8)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C8" s="755"/>
      <c r="FG8" s="333">
        <f>IFERROR(IF(VLOOKUP(AT8,Février!$AT$4:$AU$10,2,FALSE)&lt;&gt;Mars!AU8,"rouge","ok"),0)</f>
        <v>0</v>
      </c>
      <c r="FX8" s="129" t="str">
        <f>+IF(AND(CD8="",CE8&lt;&gt;""),"vrai","faux")</f>
        <v>faux</v>
      </c>
    </row>
    <row r="9" spans="1:226" ht="11.2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f t="array" ref="AT9">IFERROR(INDEX($BK$20:$BK$50,MATCH(0,INDEX(COUNTIF($AT$3:AT8,$BK$20:$BK$50),0,0),0)),"")</f>
        <v>14</v>
      </c>
      <c r="AU9" s="1144" t="s">
        <v>235</v>
      </c>
      <c r="BG9" s="1453" t="str">
        <f>+BH9&amp;$X$4</f>
        <v>92025</v>
      </c>
      <c r="BH9" s="1464">
        <f t="shared" ref="BH9:BH14" si="0">+AT4</f>
        <v>9</v>
      </c>
      <c r="BI9" s="1465">
        <f>IF($AR$13=S.CAL!$CU$2,+SUMIF(S.CAL!$FW$3:$FW$374,BG9,S.CAL!$FX$3:$FX$374),IF($AR$13=S.CAL!$CU$3,SUMIF(Feuilles_de_présence_planning!$EG$12:$EG$537,BG9,Feuilles_de_présence_planning!$EE$12:$EE$537),"err"))</f>
        <v>0</v>
      </c>
      <c r="BY9" s="198" t="str">
        <f>+IF(Février!BY8="OUI","FIN","O")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f>IFERROR(IF(VLOOKUP(AT9,Février!$AT$4:$AU$10,2,FALSE)&lt;&gt;Mars!AU9,"rouge","ok"),0)</f>
        <v>0</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102025</v>
      </c>
      <c r="BH10" s="1464">
        <f t="shared" si="0"/>
        <v>10</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IFERROR(IF(VLOOKUP(AT10,Février!$AT$4:$AU$10,2,FALSE)&lt;&gt;Mars!AU10,"rouge","ok"),0)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112025</v>
      </c>
      <c r="BH11" s="1464">
        <f t="shared" si="0"/>
        <v>11</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122025</v>
      </c>
      <c r="BH12" s="1464">
        <f t="shared" si="0"/>
        <v>12</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+IF(AJ4&lt;DATE(YEAR(EI21)-2,6,1),DATE(YEAR(EI21)-2,6,1),DATE(YEAR(AJ4),MONTH(AJ4),1))</f>
        <v>45078</v>
      </c>
      <c r="EG12" s="333">
        <f>IFERROR(+DATEDIF(EF12,DATE(YEAR(EH12),MONTH(EH12),DAY(EH12)),"m"),0)</f>
        <v>12</v>
      </c>
      <c r="EH12" s="755">
        <f>+IF(AJ4&lt;DATE(YEAR(EI21)-1,6,1),DATE(YEAR(EI21)-1,6,1),DATE(YEAR(AJ4),MONTH(AJ4),1))</f>
        <v>45444</v>
      </c>
      <c r="EI12" s="333">
        <f>IFERROR(+DATEDIF(EH12,DATE(YEAR(EI22),MONTH(EI22)+1,1),"m"),0)</f>
        <v>10</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IF(AR14="",Février!AR13,AR14)</f>
        <v>à partir du tableau ci-dessous</v>
      </c>
      <c r="AS13" s="2296"/>
      <c r="AT13" s="2296"/>
      <c r="AU13" s="2296"/>
      <c r="AV13" s="2296"/>
      <c r="AW13" s="2296"/>
      <c r="AX13" s="2296"/>
      <c r="AY13" s="2296"/>
      <c r="AZ13" s="2296"/>
      <c r="BA13" s="2308" t="s">
        <v>1102</v>
      </c>
      <c r="BB13" s="2308"/>
      <c r="BC13" s="2308"/>
      <c r="BD13" s="971"/>
      <c r="BG13" s="1453" t="str">
        <f t="shared" si="1"/>
        <v>132025</v>
      </c>
      <c r="BH13" s="1464">
        <f t="shared" si="0"/>
        <v>13</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W13" s="333" t="s">
        <v>979</v>
      </c>
      <c r="EX13" s="333" t="str">
        <f>+IF(AR13=S.CAL!CU3,"oui","non")</f>
        <v>non</v>
      </c>
    </row>
    <row r="14" spans="1:226" ht="12.7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142025</v>
      </c>
      <c r="BH14" s="1466">
        <f t="shared" si="0"/>
        <v>14</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+Février!EF16</f>
        <v>0</v>
      </c>
      <c r="EG16" s="759">
        <f>+Février!EG16</f>
        <v>0</v>
      </c>
      <c r="EH16" s="759">
        <f>+Février!EH16+Février!EH17</f>
        <v>0</v>
      </c>
      <c r="EI16" s="759">
        <f>+Février!EI16+Février!EI17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Mars'!D18:D48,"&gt;0")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45717</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9</v>
      </c>
      <c r="AQ20" s="340"/>
      <c r="AR20" s="1145"/>
      <c r="AS20" s="332">
        <f t="shared" ref="AS20:AS50" si="3">SUM(AD20:AL20)</f>
        <v>0</v>
      </c>
      <c r="AT20" s="1146"/>
      <c r="AU20" s="1146"/>
      <c r="AV20" s="332"/>
      <c r="AW20" s="1989">
        <f>AB20</f>
        <v>45717</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infoA6</v>
      </c>
      <c r="BK20" s="129">
        <f>IFERROR(WEEKNUM(AB20,21),"")</f>
        <v>9</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26</v>
      </c>
      <c r="EQ20" s="766">
        <f>+AB20</f>
        <v>45717</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45717</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9</v>
      </c>
      <c r="GA20" s="129">
        <f>+$X$4</f>
        <v>2025</v>
      </c>
      <c r="GB20" s="129" t="str">
        <f>+FZ20&amp;GA20</f>
        <v>92025</v>
      </c>
      <c r="GC20" s="225">
        <f>IF(AND($GD$53=S.CAL!$P$3,$GD$52=FZ20),GE20,IF(BH20="",0,BH20))</f>
        <v>0</v>
      </c>
      <c r="GD20" s="129" t="str">
        <f>IFERROR(+Avril!$BY$2&amp;BL20&amp;BM20,0)</f>
        <v>Fiche infoA6</v>
      </c>
      <c r="GE20" s="129" t="str">
        <f t="shared" ref="GE20:GE50" si="19">+IFERROR(VLOOKUP(GD20,Base_heures,6,FALSE),"")</f>
        <v/>
      </c>
      <c r="GF20" s="225" t="str">
        <f>IF(FP20=1,GG20,AM20)</f>
        <v/>
      </c>
      <c r="GG20" s="1469" t="str">
        <f>+'Retenue Mars'!D18</f>
        <v/>
      </c>
      <c r="GH20" s="1469">
        <f>+'Retenue Mars'!BF18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45718</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45718</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infoA7</v>
      </c>
      <c r="BK21" s="129">
        <f t="shared" ref="BK21" si="27">IFERROR(WEEKNUM(AB21,21),"")</f>
        <v>9</v>
      </c>
      <c r="BL21" s="129" t="str">
        <f t="shared" si="4"/>
        <v>A</v>
      </c>
      <c r="BM21" s="129">
        <f t="shared" si="5"/>
        <v>7</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45717</v>
      </c>
      <c r="EJ21" s="755"/>
      <c r="EK21" s="755"/>
      <c r="EQ21" s="766">
        <f t="shared" ref="EQ21" si="28">+AB21</f>
        <v>45718</v>
      </c>
      <c r="ER21" s="767">
        <f t="shared" si="10"/>
        <v>0</v>
      </c>
      <c r="ES21" s="768">
        <f t="shared" si="11"/>
        <v>0</v>
      </c>
      <c r="ET21" s="767">
        <f t="shared" si="12"/>
        <v>0</v>
      </c>
      <c r="EU21" s="768">
        <f t="shared" si="13"/>
        <v>0</v>
      </c>
      <c r="EV21" s="767" t="str">
        <f t="shared" si="14"/>
        <v/>
      </c>
      <c r="EW21" s="769">
        <f t="shared" ref="EW21:EW50" si="29">+EQ21</f>
        <v>45718</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9</v>
      </c>
      <c r="GA21" s="129">
        <f t="shared" ref="GA21:GA50" si="39">+$X$4</f>
        <v>2025</v>
      </c>
      <c r="GB21" s="129" t="str">
        <f t="shared" ref="GB21:GB48" si="40">+FZ21&amp;GA21</f>
        <v>92025</v>
      </c>
      <c r="GC21" s="225">
        <f>IF(AND($GD$53=S.CAL!$P$3,$GD$52=FZ21),GE21,IF(BH21="",0,BH21))</f>
        <v>0</v>
      </c>
      <c r="GD21" s="129" t="str">
        <f>IFERROR(+Avril!$BY$2&amp;BL21&amp;BM21,0)</f>
        <v>Fiche infoA7</v>
      </c>
      <c r="GE21" s="129" t="str">
        <f t="shared" si="19"/>
        <v/>
      </c>
      <c r="GF21" s="225" t="str">
        <f t="shared" ref="GF21:GF48" si="41">IF(FP21=1,GG21,AM21)</f>
        <v/>
      </c>
      <c r="GG21" s="1469" t="str">
        <f>+'Retenue Mars'!D19</f>
        <v/>
      </c>
      <c r="GH21" s="1469">
        <f>+'Retenue Mars'!BF19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45719</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f t="shared" ref="AP22:AP50" si="48">IFERROR(IF(WEEKDAY(AB22,11)=1,WEEKNUM(AB22,21),""),"")</f>
        <v>10</v>
      </c>
      <c r="AQ22" s="340"/>
      <c r="AR22" s="1126"/>
      <c r="AS22" s="332">
        <f t="shared" si="3"/>
        <v>0</v>
      </c>
      <c r="AT22" s="1147"/>
      <c r="AU22" s="1147"/>
      <c r="AV22" s="332"/>
      <c r="AW22" s="2017">
        <f t="shared" si="22"/>
        <v>45719</v>
      </c>
      <c r="AX22" s="1878"/>
      <c r="AY22" s="332"/>
      <c r="AZ22" s="1126"/>
      <c r="BA22" s="993"/>
      <c r="BB22" s="561"/>
      <c r="BC22" s="566">
        <f t="shared" si="23"/>
        <v>0</v>
      </c>
      <c r="BD22" s="1126"/>
      <c r="BE22" s="825">
        <f t="shared" si="24"/>
        <v>0</v>
      </c>
      <c r="BF22" s="1150"/>
      <c r="BG22" s="224"/>
      <c r="BH22" s="566" t="str">
        <f t="shared" si="25"/>
        <v/>
      </c>
      <c r="BI22" s="1150"/>
      <c r="BJ22" s="129" t="str">
        <f t="shared" si="26"/>
        <v>Fiche infoA1</v>
      </c>
      <c r="BK22" s="129">
        <f t="shared" ref="BK22:BK50" si="49">IFERROR(WEEKNUM(AB22,21),"")</f>
        <v>10</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45747</v>
      </c>
      <c r="EJ22" s="755"/>
      <c r="EK22" s="755"/>
      <c r="EQ22" s="766">
        <f t="shared" ref="EQ22:EQ50" si="53">+AB22</f>
        <v>45719</v>
      </c>
      <c r="ER22" s="767">
        <f t="shared" si="10"/>
        <v>0</v>
      </c>
      <c r="ES22" s="768">
        <f t="shared" si="11"/>
        <v>0</v>
      </c>
      <c r="ET22" s="767">
        <f t="shared" si="12"/>
        <v>0</v>
      </c>
      <c r="EU22" s="768">
        <f t="shared" si="13"/>
        <v>0</v>
      </c>
      <c r="EV22" s="767" t="str">
        <f t="shared" si="14"/>
        <v/>
      </c>
      <c r="EW22" s="769">
        <f t="shared" si="29"/>
        <v>45719</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10</v>
      </c>
      <c r="GA22" s="129">
        <f t="shared" si="39"/>
        <v>2025</v>
      </c>
      <c r="GB22" s="129" t="str">
        <f t="shared" si="40"/>
        <v>102025</v>
      </c>
      <c r="GC22" s="225">
        <f>IF(AND($GD$53=S.CAL!$P$3,$GD$52=FZ22),GE22,IF(BH22="",0,BH22))</f>
        <v>0</v>
      </c>
      <c r="GD22" s="129" t="str">
        <f>IFERROR(+Avril!$BY$2&amp;BL22&amp;BM22,0)</f>
        <v>Fiche infoA1</v>
      </c>
      <c r="GE22" s="129" t="str">
        <f t="shared" si="19"/>
        <v/>
      </c>
      <c r="GF22" s="225" t="str">
        <f t="shared" si="41"/>
        <v/>
      </c>
      <c r="GG22" s="1469" t="str">
        <f>+'Retenue Mars'!D20</f>
        <v/>
      </c>
      <c r="GH22" s="1469">
        <f>+'Retenue Mars'!BF20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45720</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45720</v>
      </c>
      <c r="AX23" s="1878"/>
      <c r="AY23" s="332"/>
      <c r="AZ23" s="1126"/>
      <c r="BA23" s="993"/>
      <c r="BB23" s="561"/>
      <c r="BC23" s="566">
        <f t="shared" si="23"/>
        <v>0</v>
      </c>
      <c r="BD23" s="1126"/>
      <c r="BE23" s="825">
        <f t="shared" si="24"/>
        <v>0</v>
      </c>
      <c r="BF23" s="1150"/>
      <c r="BG23" s="224"/>
      <c r="BH23" s="566" t="str">
        <f t="shared" si="25"/>
        <v/>
      </c>
      <c r="BI23" s="1150"/>
      <c r="BJ23" s="129" t="str">
        <f t="shared" si="26"/>
        <v>Fiche infoA2</v>
      </c>
      <c r="BK23" s="129">
        <f t="shared" si="49"/>
        <v>10</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45720</v>
      </c>
      <c r="ER23" s="767">
        <f t="shared" si="10"/>
        <v>0</v>
      </c>
      <c r="ES23" s="768">
        <f t="shared" si="11"/>
        <v>0</v>
      </c>
      <c r="ET23" s="767">
        <f t="shared" si="12"/>
        <v>0</v>
      </c>
      <c r="EU23" s="768">
        <f t="shared" si="13"/>
        <v>0</v>
      </c>
      <c r="EV23" s="767" t="str">
        <f t="shared" si="14"/>
        <v/>
      </c>
      <c r="EW23" s="769">
        <f t="shared" si="29"/>
        <v>45720</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10</v>
      </c>
      <c r="GA23" s="129">
        <f t="shared" si="39"/>
        <v>2025</v>
      </c>
      <c r="GB23" s="129" t="str">
        <f t="shared" si="40"/>
        <v>102025</v>
      </c>
      <c r="GC23" s="225">
        <f>IF(AND($GD$53=S.CAL!$P$3,$GD$52=FZ23),GE23,IF(BH23="",0,BH23))</f>
        <v>0</v>
      </c>
      <c r="GD23" s="129" t="str">
        <f>IFERROR(+Avril!$BY$2&amp;BL23&amp;BM23,0)</f>
        <v>Fiche infoA2</v>
      </c>
      <c r="GE23" s="129" t="str">
        <f t="shared" si="19"/>
        <v/>
      </c>
      <c r="GF23" s="225" t="str">
        <f t="shared" si="41"/>
        <v/>
      </c>
      <c r="GG23" s="1469" t="str">
        <f>+'Retenue Mars'!D21</f>
        <v/>
      </c>
      <c r="GH23" s="1469">
        <f>+'Retenue Mars'!BF21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45721</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45721</v>
      </c>
      <c r="AX24" s="1878"/>
      <c r="AY24" s="332"/>
      <c r="AZ24" s="1126"/>
      <c r="BA24" s="993"/>
      <c r="BB24" s="561"/>
      <c r="BC24" s="566">
        <f t="shared" si="23"/>
        <v>0</v>
      </c>
      <c r="BD24" s="1126"/>
      <c r="BE24" s="825">
        <f t="shared" si="24"/>
        <v>0</v>
      </c>
      <c r="BF24" s="1150"/>
      <c r="BG24" s="224"/>
      <c r="BH24" s="566" t="str">
        <f t="shared" si="25"/>
        <v/>
      </c>
      <c r="BI24" s="1150"/>
      <c r="BJ24" s="129" t="str">
        <f t="shared" si="26"/>
        <v>Fiche infoA3</v>
      </c>
      <c r="BK24" s="129">
        <f t="shared" si="49"/>
        <v>10</v>
      </c>
      <c r="BL24" s="129" t="str">
        <f t="shared" si="4"/>
        <v>A</v>
      </c>
      <c r="BM24" s="129">
        <f t="shared" si="50"/>
        <v>3</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45721</v>
      </c>
      <c r="ER24" s="767">
        <f t="shared" si="10"/>
        <v>0</v>
      </c>
      <c r="ES24" s="768">
        <f t="shared" si="11"/>
        <v>0</v>
      </c>
      <c r="ET24" s="767">
        <f t="shared" si="12"/>
        <v>0</v>
      </c>
      <c r="EU24" s="768">
        <f t="shared" si="13"/>
        <v>0</v>
      </c>
      <c r="EV24" s="767" t="str">
        <f t="shared" si="14"/>
        <v/>
      </c>
      <c r="EW24" s="769">
        <f t="shared" si="29"/>
        <v>45721</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10</v>
      </c>
      <c r="GA24" s="129">
        <f t="shared" si="39"/>
        <v>2025</v>
      </c>
      <c r="GB24" s="129" t="str">
        <f t="shared" si="40"/>
        <v>102025</v>
      </c>
      <c r="GC24" s="225">
        <f>IF(AND($GD$53=S.CAL!$P$3,$GD$52=FZ24),GE24,IF(BH24="",0,BH24))</f>
        <v>0</v>
      </c>
      <c r="GD24" s="129" t="str">
        <f>IFERROR(+Avril!$BY$2&amp;BL24&amp;BM24,0)</f>
        <v>Fiche infoA3</v>
      </c>
      <c r="GE24" s="129" t="str">
        <f t="shared" si="19"/>
        <v/>
      </c>
      <c r="GF24" s="225" t="str">
        <f t="shared" si="41"/>
        <v/>
      </c>
      <c r="GG24" s="1469" t="str">
        <f>+'Retenue Mars'!D22</f>
        <v/>
      </c>
      <c r="GH24" s="1469">
        <f>+'Retenue Mars'!BF22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Mars'!R48*-1)</f>
        <v>#DIV/0!</v>
      </c>
      <c r="M25" s="1811"/>
      <c r="N25" s="1811"/>
      <c r="O25" s="1812"/>
      <c r="P25" s="1816" t="e">
        <f>+IF(L25,T25/L25,0)</f>
        <v>#DIV/0!</v>
      </c>
      <c r="Q25" s="1817"/>
      <c r="R25" s="1817"/>
      <c r="S25" s="1818"/>
      <c r="T25" s="1913">
        <f>IF(A18="Salaire heures normales réelles",0,'Retenue Mars'!R52*-1)</f>
        <v>0</v>
      </c>
      <c r="U25" s="1914"/>
      <c r="V25" s="1914"/>
      <c r="W25" s="1915"/>
      <c r="X25" s="226"/>
      <c r="Y25" s="226"/>
      <c r="Z25" s="226"/>
      <c r="AA25" s="903" t="str">
        <f>IF(AND(BE25="OUI",$AR$13=S.CAL!$CU$2),"►",IF(AND(EV25="OUI",$AR$13=S.CAL!$CU$3),"►",""))</f>
        <v/>
      </c>
      <c r="AB25" s="1877">
        <f>+$X$3+5</f>
        <v>45722</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45722</v>
      </c>
      <c r="AX25" s="1878"/>
      <c r="AY25" s="332"/>
      <c r="AZ25" s="1126"/>
      <c r="BA25" s="993"/>
      <c r="BB25" s="561"/>
      <c r="BC25" s="566">
        <f t="shared" si="23"/>
        <v>0</v>
      </c>
      <c r="BD25" s="1126"/>
      <c r="BE25" s="825">
        <f t="shared" si="24"/>
        <v>0</v>
      </c>
      <c r="BF25" s="1150"/>
      <c r="BG25" s="224"/>
      <c r="BH25" s="566" t="str">
        <f t="shared" si="25"/>
        <v/>
      </c>
      <c r="BI25" s="1150"/>
      <c r="BJ25" s="129" t="str">
        <f t="shared" si="26"/>
        <v>Fiche infoA4</v>
      </c>
      <c r="BK25" s="129">
        <f t="shared" si="49"/>
        <v>10</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45722</v>
      </c>
      <c r="ER25" s="767">
        <f t="shared" si="10"/>
        <v>0</v>
      </c>
      <c r="ES25" s="768">
        <f t="shared" si="11"/>
        <v>0</v>
      </c>
      <c r="ET25" s="767">
        <f t="shared" si="12"/>
        <v>0</v>
      </c>
      <c r="EU25" s="768">
        <f t="shared" si="13"/>
        <v>0</v>
      </c>
      <c r="EV25" s="767" t="str">
        <f t="shared" si="14"/>
        <v/>
      </c>
      <c r="EW25" s="769">
        <f t="shared" si="29"/>
        <v>45722</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10</v>
      </c>
      <c r="GA25" s="129">
        <f t="shared" si="39"/>
        <v>2025</v>
      </c>
      <c r="GB25" s="129" t="str">
        <f t="shared" si="40"/>
        <v>102025</v>
      </c>
      <c r="GC25" s="225">
        <f>IF(AND($GD$53=S.CAL!$P$3,$GD$52=FZ25),GE25,IF(BH25="",0,BH25))</f>
        <v>0</v>
      </c>
      <c r="GD25" s="129" t="str">
        <f>IFERROR(+Avril!$BY$2&amp;BL25&amp;BM25,0)</f>
        <v>Fiche infoA4</v>
      </c>
      <c r="GE25" s="129" t="str">
        <f t="shared" si="19"/>
        <v/>
      </c>
      <c r="GF25" s="225" t="str">
        <f t="shared" si="41"/>
        <v/>
      </c>
      <c r="GG25" s="1469" t="str">
        <f>+'Retenue Mars'!D23</f>
        <v/>
      </c>
      <c r="GH25" s="1469">
        <f>+'Retenue Mars'!BF23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Mars'!R50*-1)</f>
        <v>#DIV/0!</v>
      </c>
      <c r="M26" s="1811"/>
      <c r="N26" s="1811"/>
      <c r="O26" s="1812"/>
      <c r="P26" s="1816" t="e">
        <f>+IF(L26,T26/L26,0)</f>
        <v>#DIV/0!</v>
      </c>
      <c r="Q26" s="1817"/>
      <c r="R26" s="1817"/>
      <c r="S26" s="1818"/>
      <c r="T26" s="1913">
        <f>IF(A18="Salaire heures normales réelles",0,'Retenue Mars'!R54*-1)</f>
        <v>0</v>
      </c>
      <c r="U26" s="1914"/>
      <c r="V26" s="1914"/>
      <c r="W26" s="1915"/>
      <c r="X26" s="223"/>
      <c r="Y26" s="223"/>
      <c r="Z26" s="223"/>
      <c r="AA26" s="903" t="str">
        <f>IF(AND(BE26="OUI",$AR$13=S.CAL!$CU$2),"►",IF(AND(EV26="OUI",$AR$13=S.CAL!$CU$3),"►",""))</f>
        <v/>
      </c>
      <c r="AB26" s="1877">
        <f>+$X$3+6</f>
        <v>45723</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45723</v>
      </c>
      <c r="AX26" s="1878"/>
      <c r="AY26" s="332"/>
      <c r="AZ26" s="1126"/>
      <c r="BA26" s="993"/>
      <c r="BB26" s="561"/>
      <c r="BC26" s="566">
        <f t="shared" si="23"/>
        <v>0</v>
      </c>
      <c r="BD26" s="1126"/>
      <c r="BE26" s="825">
        <f t="shared" si="24"/>
        <v>0</v>
      </c>
      <c r="BF26" s="1150"/>
      <c r="BG26" s="224"/>
      <c r="BH26" s="566" t="str">
        <f t="shared" si="25"/>
        <v/>
      </c>
      <c r="BI26" s="1150"/>
      <c r="BJ26" s="129" t="str">
        <f t="shared" si="26"/>
        <v>Fiche infoA5</v>
      </c>
      <c r="BK26" s="129">
        <f t="shared" si="49"/>
        <v>10</v>
      </c>
      <c r="BL26" s="129" t="str">
        <f t="shared" si="4"/>
        <v>A</v>
      </c>
      <c r="BM26" s="129">
        <f t="shared" si="50"/>
        <v>5</v>
      </c>
      <c r="BN26" s="225" t="str">
        <f t="shared" si="60"/>
        <v>Fiche info</v>
      </c>
      <c r="BO26" s="332" t="str">
        <f t="shared" si="51"/>
        <v/>
      </c>
      <c r="BP26" s="198" t="str">
        <f t="shared" si="52"/>
        <v/>
      </c>
      <c r="BQ26" s="208"/>
      <c r="BX26" s="595"/>
      <c r="BY26" s="2085" t="s">
        <v>1114</v>
      </c>
      <c r="BZ26" s="2085" t="s">
        <v>449</v>
      </c>
      <c r="CA26" s="2083" t="s">
        <v>1115</v>
      </c>
      <c r="CB26" s="198"/>
      <c r="CC26" s="198"/>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45723</v>
      </c>
      <c r="ER26" s="767">
        <f t="shared" si="10"/>
        <v>0</v>
      </c>
      <c r="ES26" s="768">
        <f t="shared" si="11"/>
        <v>0</v>
      </c>
      <c r="ET26" s="767">
        <f t="shared" si="12"/>
        <v>0</v>
      </c>
      <c r="EU26" s="768">
        <f t="shared" si="13"/>
        <v>0</v>
      </c>
      <c r="EV26" s="767" t="str">
        <f t="shared" si="14"/>
        <v/>
      </c>
      <c r="EW26" s="769">
        <f t="shared" si="29"/>
        <v>45723</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10</v>
      </c>
      <c r="GA26" s="129">
        <f t="shared" si="39"/>
        <v>2025</v>
      </c>
      <c r="GB26" s="129" t="str">
        <f t="shared" si="40"/>
        <v>102025</v>
      </c>
      <c r="GC26" s="225">
        <f>IF(AND($GD$53=S.CAL!$P$3,$GD$52=FZ26),GE26,IF(BH26="",0,BH26))</f>
        <v>0</v>
      </c>
      <c r="GD26" s="129" t="str">
        <f>IFERROR(+Avril!$BY$2&amp;BL26&amp;BM26,0)</f>
        <v>Fiche infoA5</v>
      </c>
      <c r="GE26" s="129" t="str">
        <f t="shared" si="19"/>
        <v/>
      </c>
      <c r="GF26" s="225" t="str">
        <f t="shared" si="41"/>
        <v/>
      </c>
      <c r="GG26" s="1469" t="str">
        <f>+'Retenue Mars'!D24</f>
        <v/>
      </c>
      <c r="GH26" s="1469">
        <f>+'Retenue Mars'!BF24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45724</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45724</v>
      </c>
      <c r="AX27" s="1878"/>
      <c r="AY27" s="332"/>
      <c r="AZ27" s="1126"/>
      <c r="BA27" s="993"/>
      <c r="BB27" s="561"/>
      <c r="BC27" s="566">
        <f t="shared" si="23"/>
        <v>0</v>
      </c>
      <c r="BD27" s="1126"/>
      <c r="BE27" s="825">
        <f t="shared" si="24"/>
        <v>0</v>
      </c>
      <c r="BF27" s="1150"/>
      <c r="BG27" s="224"/>
      <c r="BH27" s="566" t="str">
        <f t="shared" si="25"/>
        <v/>
      </c>
      <c r="BI27" s="1150"/>
      <c r="BJ27" s="129" t="str">
        <f t="shared" si="26"/>
        <v>Fiche infoA6</v>
      </c>
      <c r="BK27" s="129">
        <f t="shared" si="49"/>
        <v>10</v>
      </c>
      <c r="BL27" s="129" t="str">
        <f t="shared" si="4"/>
        <v>A</v>
      </c>
      <c r="BM27" s="129">
        <f t="shared" si="50"/>
        <v>6</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45724</v>
      </c>
      <c r="ER27" s="767">
        <f t="shared" si="10"/>
        <v>0</v>
      </c>
      <c r="ES27" s="768">
        <f t="shared" si="11"/>
        <v>0</v>
      </c>
      <c r="ET27" s="767">
        <f t="shared" si="12"/>
        <v>0</v>
      </c>
      <c r="EU27" s="768">
        <f t="shared" si="13"/>
        <v>0</v>
      </c>
      <c r="EV27" s="767" t="str">
        <f t="shared" si="14"/>
        <v/>
      </c>
      <c r="EW27" s="769">
        <f t="shared" si="29"/>
        <v>45724</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10</v>
      </c>
      <c r="GA27" s="129">
        <f t="shared" si="39"/>
        <v>2025</v>
      </c>
      <c r="GB27" s="129" t="str">
        <f t="shared" si="40"/>
        <v>102025</v>
      </c>
      <c r="GC27" s="225">
        <f>IF(AND($GD$53=S.CAL!$P$3,$GD$52=FZ27),GE27,IF(BH27="",0,BH27))</f>
        <v>0</v>
      </c>
      <c r="GD27" s="129" t="str">
        <f>IFERROR(+Avril!$BY$2&amp;BL27&amp;BM27,0)</f>
        <v>Fiche infoA6</v>
      </c>
      <c r="GE27" s="129" t="str">
        <f t="shared" si="19"/>
        <v/>
      </c>
      <c r="GF27" s="225" t="str">
        <f t="shared" si="41"/>
        <v/>
      </c>
      <c r="GG27" s="1469" t="str">
        <f>+'Retenue Mars'!D25</f>
        <v/>
      </c>
      <c r="GH27" s="1469">
        <f>+'Retenue Mars'!BF25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45725</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45725</v>
      </c>
      <c r="AX28" s="1878"/>
      <c r="AY28" s="332"/>
      <c r="AZ28" s="1126"/>
      <c r="BA28" s="993"/>
      <c r="BB28" s="561"/>
      <c r="BC28" s="566">
        <f t="shared" si="23"/>
        <v>0</v>
      </c>
      <c r="BD28" s="1126"/>
      <c r="BE28" s="825">
        <f t="shared" si="24"/>
        <v>0</v>
      </c>
      <c r="BF28" s="1150"/>
      <c r="BG28" s="224"/>
      <c r="BH28" s="566" t="str">
        <f t="shared" si="25"/>
        <v/>
      </c>
      <c r="BI28" s="1150"/>
      <c r="BJ28" s="129" t="str">
        <f t="shared" si="26"/>
        <v>Fiche infoA7</v>
      </c>
      <c r="BK28" s="129">
        <f t="shared" si="49"/>
        <v>10</v>
      </c>
      <c r="BL28" s="129" t="str">
        <f t="shared" si="4"/>
        <v>A</v>
      </c>
      <c r="BM28" s="129">
        <f t="shared" si="50"/>
        <v>7</v>
      </c>
      <c r="BN28" s="225" t="str">
        <f t="shared" si="60"/>
        <v>Fiche info</v>
      </c>
      <c r="BO28" s="332" t="str">
        <f t="shared" si="51"/>
        <v/>
      </c>
      <c r="BP28" s="198" t="str">
        <f t="shared" si="52"/>
        <v/>
      </c>
      <c r="BQ28" s="198"/>
      <c r="BS28" s="2012" t="str">
        <f>+"Semaine numéro : "&amp;AT4</f>
        <v>Semaine numéro : 9</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+SUMIF(Février!$BK$20:$BK$50,AT4,Février!$AM$20:$AO$50)</f>
        <v>0</v>
      </c>
      <c r="CD28" s="198">
        <f>+SUMIF(Avril!$BK$20:$BK$50,AT4,Avril!$AM$20:$AO$50)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45725</v>
      </c>
      <c r="ER28" s="767">
        <f t="shared" si="10"/>
        <v>0</v>
      </c>
      <c r="ES28" s="768">
        <f t="shared" si="11"/>
        <v>0</v>
      </c>
      <c r="ET28" s="767">
        <f t="shared" si="12"/>
        <v>0</v>
      </c>
      <c r="EU28" s="768">
        <f t="shared" si="13"/>
        <v>0</v>
      </c>
      <c r="EV28" s="767" t="str">
        <f t="shared" si="14"/>
        <v/>
      </c>
      <c r="EW28" s="769">
        <f t="shared" si="29"/>
        <v>45725</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10</v>
      </c>
      <c r="GA28" s="129">
        <f t="shared" si="39"/>
        <v>2025</v>
      </c>
      <c r="GB28" s="129" t="str">
        <f t="shared" si="40"/>
        <v>102025</v>
      </c>
      <c r="GC28" s="225">
        <f>IF(AND($GD$53=S.CAL!$P$3,$GD$52=FZ28),GE28,IF(BH28="",0,BH28))</f>
        <v>0</v>
      </c>
      <c r="GD28" s="129" t="str">
        <f>IFERROR(+Avril!$BY$2&amp;BL28&amp;BM28,0)</f>
        <v>Fiche infoA7</v>
      </c>
      <c r="GE28" s="129" t="str">
        <f t="shared" si="19"/>
        <v/>
      </c>
      <c r="GF28" s="225" t="str">
        <f t="shared" si="41"/>
        <v/>
      </c>
      <c r="GG28" s="1469" t="str">
        <f>+'Retenue Mars'!D26</f>
        <v/>
      </c>
      <c r="GH28" s="1469">
        <f>+'Retenue Mars'!BF26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45726</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f t="shared" si="48"/>
        <v>11</v>
      </c>
      <c r="AQ29" s="340"/>
      <c r="AR29" s="1126"/>
      <c r="AS29" s="332">
        <f t="shared" si="3"/>
        <v>0</v>
      </c>
      <c r="AT29" s="1147"/>
      <c r="AU29" s="1147"/>
      <c r="AV29" s="332"/>
      <c r="AW29" s="2017">
        <f t="shared" si="22"/>
        <v>45726</v>
      </c>
      <c r="AX29" s="1878"/>
      <c r="AY29" s="332"/>
      <c r="AZ29" s="1126"/>
      <c r="BA29" s="993"/>
      <c r="BB29" s="561"/>
      <c r="BC29" s="566">
        <f t="shared" si="23"/>
        <v>0</v>
      </c>
      <c r="BD29" s="1126"/>
      <c r="BE29" s="825">
        <f t="shared" si="24"/>
        <v>0</v>
      </c>
      <c r="BF29" s="1150"/>
      <c r="BG29" s="224"/>
      <c r="BH29" s="566" t="str">
        <f t="shared" si="25"/>
        <v/>
      </c>
      <c r="BI29" s="1150"/>
      <c r="BJ29" s="129" t="str">
        <f t="shared" si="26"/>
        <v>Fiche infoA1</v>
      </c>
      <c r="BK29" s="129">
        <f t="shared" si="49"/>
        <v>11</v>
      </c>
      <c r="BL29" s="129" t="str">
        <f t="shared" si="4"/>
        <v>A</v>
      </c>
      <c r="BM29" s="129">
        <f t="shared" si="50"/>
        <v>1</v>
      </c>
      <c r="BN29" s="225" t="str">
        <f t="shared" si="60"/>
        <v>Fiche info</v>
      </c>
      <c r="BO29" s="332" t="str">
        <f t="shared" si="51"/>
        <v/>
      </c>
      <c r="BP29" s="198" t="str">
        <f t="shared" si="52"/>
        <v/>
      </c>
      <c r="BQ29" s="198"/>
      <c r="BS29" s="2012" t="str">
        <f t="shared" ref="BS29:BS33" si="64">+"Semaine numéro : "&amp;AT5</f>
        <v>Semaine numéro : 10</v>
      </c>
      <c r="BT29" s="2013"/>
      <c r="BU29" s="2013"/>
      <c r="BV29" s="2013"/>
      <c r="BW29" s="2013"/>
      <c r="BX29" s="2014"/>
      <c r="BY29" s="1137"/>
      <c r="BZ29" s="674">
        <f t="shared" ref="BZ29:BZ33" si="65">+IF(BY29="",IF(AND(CC29&gt;0,CB29&gt;0),CC29+CB29,IF(CD29&gt;0,0,CB29)),BY29)</f>
        <v>0</v>
      </c>
      <c r="CA29" s="673">
        <f t="shared" si="62"/>
        <v>0</v>
      </c>
      <c r="CB29" s="198">
        <f t="shared" si="63"/>
        <v>0</v>
      </c>
      <c r="CC29" s="198">
        <f>+SUMIF(Février!$BK$20:$BK$50,AT5,Février!$AM$20:$AO$50)</f>
        <v>0</v>
      </c>
      <c r="CD29" s="198">
        <f>+SUMIF(Avril!$BK$20:$BK$50,AT5,Avril!$AM$20:$AO$50)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45726</v>
      </c>
      <c r="ER29" s="767">
        <f t="shared" si="10"/>
        <v>0</v>
      </c>
      <c r="ES29" s="768">
        <f t="shared" si="11"/>
        <v>0</v>
      </c>
      <c r="ET29" s="767">
        <f t="shared" si="12"/>
        <v>0</v>
      </c>
      <c r="EU29" s="768">
        <f t="shared" si="13"/>
        <v>0</v>
      </c>
      <c r="EV29" s="767" t="str">
        <f t="shared" si="14"/>
        <v/>
      </c>
      <c r="EW29" s="769">
        <f t="shared" si="29"/>
        <v>45726</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11</v>
      </c>
      <c r="GA29" s="129">
        <f t="shared" si="39"/>
        <v>2025</v>
      </c>
      <c r="GB29" s="129" t="str">
        <f t="shared" si="40"/>
        <v>112025</v>
      </c>
      <c r="GC29" s="225">
        <f>IF(AND($GD$53=S.CAL!$P$3,$GD$52=FZ29),GE29,IF(BH29="",0,BH29))</f>
        <v>0</v>
      </c>
      <c r="GD29" s="129" t="str">
        <f>IFERROR(+Avril!$BY$2&amp;BL29&amp;BM29,0)</f>
        <v>Fiche infoA1</v>
      </c>
      <c r="GE29" s="129" t="str">
        <f t="shared" si="19"/>
        <v/>
      </c>
      <c r="GF29" s="225" t="str">
        <f t="shared" si="41"/>
        <v/>
      </c>
      <c r="GG29" s="1469" t="str">
        <f>+'Retenue Mars'!D27</f>
        <v/>
      </c>
      <c r="GH29" s="1469">
        <f>+'Retenue Mars'!BF27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45727</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45727</v>
      </c>
      <c r="AX30" s="1878"/>
      <c r="AY30" s="332"/>
      <c r="AZ30" s="1126"/>
      <c r="BA30" s="993"/>
      <c r="BB30" s="561"/>
      <c r="BC30" s="566">
        <f t="shared" si="23"/>
        <v>0</v>
      </c>
      <c r="BD30" s="1126"/>
      <c r="BE30" s="825">
        <f t="shared" si="24"/>
        <v>0</v>
      </c>
      <c r="BF30" s="1150"/>
      <c r="BG30" s="224"/>
      <c r="BH30" s="566" t="str">
        <f t="shared" si="25"/>
        <v/>
      </c>
      <c r="BI30" s="1150"/>
      <c r="BJ30" s="129" t="str">
        <f t="shared" si="26"/>
        <v>Fiche infoA2</v>
      </c>
      <c r="BK30" s="129">
        <f t="shared" si="49"/>
        <v>11</v>
      </c>
      <c r="BL30" s="129" t="str">
        <f t="shared" si="4"/>
        <v>A</v>
      </c>
      <c r="BM30" s="129">
        <f t="shared" si="50"/>
        <v>2</v>
      </c>
      <c r="BN30" s="225" t="str">
        <f t="shared" si="60"/>
        <v>Fiche info</v>
      </c>
      <c r="BO30" s="332" t="str">
        <f t="shared" si="51"/>
        <v/>
      </c>
      <c r="BP30" s="198" t="str">
        <f t="shared" si="52"/>
        <v/>
      </c>
      <c r="BQ30" s="198"/>
      <c r="BS30" s="2012" t="str">
        <f t="shared" si="64"/>
        <v>Semaine numéro : 11</v>
      </c>
      <c r="BT30" s="2013"/>
      <c r="BU30" s="2013"/>
      <c r="BV30" s="2013"/>
      <c r="BW30" s="2013"/>
      <c r="BX30" s="2014"/>
      <c r="BY30" s="1137"/>
      <c r="BZ30" s="674">
        <f t="shared" si="65"/>
        <v>0</v>
      </c>
      <c r="CA30" s="673">
        <f t="shared" si="62"/>
        <v>0</v>
      </c>
      <c r="CB30" s="198">
        <f t="shared" si="63"/>
        <v>0</v>
      </c>
      <c r="CC30" s="198">
        <f>+SUMIF(Février!$BK$20:$BK$50,AT6,Février!$AM$20:$AO$50)</f>
        <v>0</v>
      </c>
      <c r="CD30" s="198">
        <f>+SUMIF(Avril!$BK$20:$BK$50,AT6,Avril!$AM$20:$AO$50)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45727</v>
      </c>
      <c r="ER30" s="767">
        <f t="shared" si="10"/>
        <v>0</v>
      </c>
      <c r="ES30" s="768">
        <f t="shared" si="11"/>
        <v>0</v>
      </c>
      <c r="ET30" s="767">
        <f t="shared" si="12"/>
        <v>0</v>
      </c>
      <c r="EU30" s="768">
        <f t="shared" si="13"/>
        <v>0</v>
      </c>
      <c r="EV30" s="767" t="str">
        <f t="shared" si="14"/>
        <v/>
      </c>
      <c r="EW30" s="769">
        <f t="shared" si="29"/>
        <v>45727</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11</v>
      </c>
      <c r="GA30" s="129">
        <f t="shared" si="39"/>
        <v>2025</v>
      </c>
      <c r="GB30" s="129" t="str">
        <f t="shared" si="40"/>
        <v>112025</v>
      </c>
      <c r="GC30" s="225">
        <f>IF(AND($GD$53=S.CAL!$P$3,$GD$52=FZ30),GE30,IF(BH30="",0,BH30))</f>
        <v>0</v>
      </c>
      <c r="GD30" s="129" t="str">
        <f>IFERROR(+Avril!$BY$2&amp;BL30&amp;BM30,0)</f>
        <v>Fiche infoA2</v>
      </c>
      <c r="GE30" s="129" t="str">
        <f t="shared" si="19"/>
        <v/>
      </c>
      <c r="GF30" s="225" t="str">
        <f t="shared" si="41"/>
        <v/>
      </c>
      <c r="GG30" s="1469" t="str">
        <f>+'Retenue Mars'!D28</f>
        <v/>
      </c>
      <c r="GH30" s="1469">
        <f>+'Retenue Mars'!BF28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45728</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45728</v>
      </c>
      <c r="AX31" s="1878"/>
      <c r="AY31" s="332"/>
      <c r="AZ31" s="1126"/>
      <c r="BA31" s="993"/>
      <c r="BB31" s="561"/>
      <c r="BC31" s="566">
        <f t="shared" si="23"/>
        <v>0</v>
      </c>
      <c r="BD31" s="1126"/>
      <c r="BE31" s="825">
        <f t="shared" si="24"/>
        <v>0</v>
      </c>
      <c r="BF31" s="1150"/>
      <c r="BG31" s="224"/>
      <c r="BH31" s="566" t="str">
        <f t="shared" si="25"/>
        <v/>
      </c>
      <c r="BI31" s="1150"/>
      <c r="BJ31" s="129" t="str">
        <f t="shared" si="26"/>
        <v>Fiche infoA3</v>
      </c>
      <c r="BK31" s="129">
        <f t="shared" si="49"/>
        <v>11</v>
      </c>
      <c r="BL31" s="129" t="str">
        <f t="shared" si="4"/>
        <v>A</v>
      </c>
      <c r="BM31" s="129">
        <f t="shared" si="50"/>
        <v>3</v>
      </c>
      <c r="BN31" s="225" t="str">
        <f t="shared" si="60"/>
        <v>Fiche info</v>
      </c>
      <c r="BO31" s="332" t="str">
        <f t="shared" si="51"/>
        <v/>
      </c>
      <c r="BP31" s="198" t="str">
        <f t="shared" si="52"/>
        <v/>
      </c>
      <c r="BQ31" s="198"/>
      <c r="BS31" s="2012" t="str">
        <f t="shared" si="64"/>
        <v>Semaine numéro : 12</v>
      </c>
      <c r="BT31" s="2013"/>
      <c r="BU31" s="2013"/>
      <c r="BV31" s="2013"/>
      <c r="BW31" s="2013"/>
      <c r="BX31" s="2014"/>
      <c r="BY31" s="1137"/>
      <c r="BZ31" s="674">
        <f t="shared" si="65"/>
        <v>0</v>
      </c>
      <c r="CA31" s="673">
        <f t="shared" si="62"/>
        <v>0</v>
      </c>
      <c r="CB31" s="198">
        <f t="shared" si="63"/>
        <v>0</v>
      </c>
      <c r="CC31" s="198">
        <f>+SUMIF(Février!$BK$20:$BK$50,AT7,Février!$AM$20:$AO$50)</f>
        <v>0</v>
      </c>
      <c r="CD31" s="198">
        <f>+SUMIF(Avril!$BK$20:$BK$50,AT7,Avril!$AM$20:$AO$50)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45728</v>
      </c>
      <c r="ER31" s="767">
        <f t="shared" si="10"/>
        <v>0</v>
      </c>
      <c r="ES31" s="768">
        <f t="shared" si="11"/>
        <v>0</v>
      </c>
      <c r="ET31" s="767">
        <f t="shared" si="12"/>
        <v>0</v>
      </c>
      <c r="EU31" s="768">
        <f t="shared" si="13"/>
        <v>0</v>
      </c>
      <c r="EV31" s="767" t="str">
        <f t="shared" si="14"/>
        <v/>
      </c>
      <c r="EW31" s="769">
        <f t="shared" si="29"/>
        <v>45728</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11</v>
      </c>
      <c r="GA31" s="129">
        <f t="shared" si="39"/>
        <v>2025</v>
      </c>
      <c r="GB31" s="129" t="str">
        <f t="shared" si="40"/>
        <v>112025</v>
      </c>
      <c r="GC31" s="225">
        <f>IF(AND($GD$53=S.CAL!$P$3,$GD$52=FZ31),GE31,IF(BH31="",0,BH31))</f>
        <v>0</v>
      </c>
      <c r="GD31" s="129" t="str">
        <f>IFERROR(+Avril!$BY$2&amp;BL31&amp;BM31,0)</f>
        <v>Fiche infoA3</v>
      </c>
      <c r="GE31" s="129" t="str">
        <f t="shared" si="19"/>
        <v/>
      </c>
      <c r="GF31" s="225" t="str">
        <f t="shared" si="41"/>
        <v/>
      </c>
      <c r="GG31" s="1469" t="str">
        <f>+'Retenue Mars'!D29</f>
        <v/>
      </c>
      <c r="GH31" s="1469">
        <f>+'Retenue Mars'!BF29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45729</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45729</v>
      </c>
      <c r="AX32" s="1878"/>
      <c r="AY32" s="332"/>
      <c r="AZ32" s="1126"/>
      <c r="BA32" s="993"/>
      <c r="BB32" s="561"/>
      <c r="BC32" s="566">
        <f t="shared" si="23"/>
        <v>0</v>
      </c>
      <c r="BD32" s="1126"/>
      <c r="BE32" s="825">
        <f t="shared" si="24"/>
        <v>0</v>
      </c>
      <c r="BF32" s="1150"/>
      <c r="BG32" s="224"/>
      <c r="BH32" s="566" t="str">
        <f t="shared" si="25"/>
        <v/>
      </c>
      <c r="BI32" s="1150"/>
      <c r="BJ32" s="129" t="str">
        <f t="shared" si="26"/>
        <v>Fiche infoA4</v>
      </c>
      <c r="BK32" s="129">
        <f t="shared" si="49"/>
        <v>11</v>
      </c>
      <c r="BL32" s="129" t="str">
        <f t="shared" si="4"/>
        <v>A</v>
      </c>
      <c r="BM32" s="129">
        <f t="shared" si="50"/>
        <v>4</v>
      </c>
      <c r="BN32" s="225" t="str">
        <f t="shared" si="60"/>
        <v>Fiche info</v>
      </c>
      <c r="BO32" s="332" t="str">
        <f t="shared" si="51"/>
        <v/>
      </c>
      <c r="BP32" s="198" t="str">
        <f t="shared" si="52"/>
        <v/>
      </c>
      <c r="BQ32" s="198"/>
      <c r="BS32" s="2012" t="str">
        <f t="shared" si="64"/>
        <v>Semaine numéro : 13</v>
      </c>
      <c r="BT32" s="2013"/>
      <c r="BU32" s="2013"/>
      <c r="BV32" s="2013"/>
      <c r="BW32" s="2013"/>
      <c r="BX32" s="2014"/>
      <c r="BY32" s="1137"/>
      <c r="BZ32" s="674">
        <f t="shared" si="65"/>
        <v>0</v>
      </c>
      <c r="CA32" s="673">
        <f t="shared" si="62"/>
        <v>0</v>
      </c>
      <c r="CB32" s="198">
        <f t="shared" si="63"/>
        <v>0</v>
      </c>
      <c r="CC32" s="198">
        <f>+SUMIF(Février!$BK$20:$BK$50,AT8,Février!$AM$20:$AO$50)</f>
        <v>0</v>
      </c>
      <c r="CD32" s="198">
        <f>+SUMIF(Avril!$BK$20:$BK$50,AT8,Avril!$AM$20:$AO$50)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45729</v>
      </c>
      <c r="ER32" s="767">
        <f t="shared" si="10"/>
        <v>0</v>
      </c>
      <c r="ES32" s="768">
        <f t="shared" si="11"/>
        <v>0</v>
      </c>
      <c r="ET32" s="767">
        <f t="shared" si="12"/>
        <v>0</v>
      </c>
      <c r="EU32" s="768">
        <f t="shared" si="13"/>
        <v>0</v>
      </c>
      <c r="EV32" s="767" t="str">
        <f t="shared" si="14"/>
        <v/>
      </c>
      <c r="EW32" s="769">
        <f t="shared" si="29"/>
        <v>45729</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11</v>
      </c>
      <c r="GA32" s="129">
        <f t="shared" si="39"/>
        <v>2025</v>
      </c>
      <c r="GB32" s="129" t="str">
        <f t="shared" si="40"/>
        <v>112025</v>
      </c>
      <c r="GC32" s="225">
        <f>IF(AND($GD$53=S.CAL!$P$3,$GD$52=FZ32),GE32,IF(BH32="",0,BH32))</f>
        <v>0</v>
      </c>
      <c r="GD32" s="129" t="str">
        <f>IFERROR(+Avril!$BY$2&amp;BL32&amp;BM32,0)</f>
        <v>Fiche infoA4</v>
      </c>
      <c r="GE32" s="129" t="str">
        <f t="shared" si="19"/>
        <v/>
      </c>
      <c r="GF32" s="225" t="str">
        <f t="shared" si="41"/>
        <v/>
      </c>
      <c r="GG32" s="1469" t="str">
        <f>+'Retenue Mars'!D30</f>
        <v/>
      </c>
      <c r="GH32" s="1469">
        <f>+'Retenue Mars'!BF30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45730</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45730</v>
      </c>
      <c r="AX33" s="1878"/>
      <c r="AY33" s="332"/>
      <c r="AZ33" s="1126"/>
      <c r="BA33" s="993"/>
      <c r="BB33" s="561"/>
      <c r="BC33" s="566">
        <f t="shared" si="23"/>
        <v>0</v>
      </c>
      <c r="BD33" s="1126"/>
      <c r="BE33" s="825">
        <f t="shared" si="24"/>
        <v>0</v>
      </c>
      <c r="BF33" s="1150"/>
      <c r="BG33" s="224"/>
      <c r="BH33" s="566" t="str">
        <f t="shared" si="25"/>
        <v/>
      </c>
      <c r="BI33" s="1150"/>
      <c r="BJ33" s="129" t="str">
        <f t="shared" si="26"/>
        <v>Fiche infoA5</v>
      </c>
      <c r="BK33" s="129">
        <f t="shared" si="49"/>
        <v>11</v>
      </c>
      <c r="BL33" s="129" t="str">
        <f t="shared" si="4"/>
        <v>A</v>
      </c>
      <c r="BM33" s="129">
        <f t="shared" si="50"/>
        <v>5</v>
      </c>
      <c r="BN33" s="225" t="str">
        <f t="shared" si="60"/>
        <v>Fiche info</v>
      </c>
      <c r="BO33" s="332" t="str">
        <f t="shared" si="51"/>
        <v/>
      </c>
      <c r="BP33" s="198" t="str">
        <f t="shared" si="52"/>
        <v/>
      </c>
      <c r="BQ33" s="198"/>
      <c r="BS33" s="2012" t="str">
        <f t="shared" si="64"/>
        <v>Semaine numéro : 14</v>
      </c>
      <c r="BT33" s="2013"/>
      <c r="BU33" s="2013"/>
      <c r="BV33" s="2013"/>
      <c r="BW33" s="2013"/>
      <c r="BX33" s="2014"/>
      <c r="BY33" s="1137"/>
      <c r="BZ33" s="674">
        <f t="shared" si="65"/>
        <v>0</v>
      </c>
      <c r="CA33" s="673">
        <f t="shared" si="62"/>
        <v>0</v>
      </c>
      <c r="CB33" s="198">
        <f t="shared" si="63"/>
        <v>0</v>
      </c>
      <c r="CC33" s="198">
        <f>+SUMIF(Février!$BK$20:$BK$50,AT9,Février!$AM$20:$AO$50)</f>
        <v>0</v>
      </c>
      <c r="CD33" s="198">
        <f>+SUMIF(Avril!$BK$20:$BK$50,AT9,Avril!$AM$20:$AO$50)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45730</v>
      </c>
      <c r="ER33" s="767">
        <f t="shared" si="10"/>
        <v>0</v>
      </c>
      <c r="ES33" s="768">
        <f t="shared" si="11"/>
        <v>0</v>
      </c>
      <c r="ET33" s="767">
        <f t="shared" si="12"/>
        <v>0</v>
      </c>
      <c r="EU33" s="768">
        <f t="shared" si="13"/>
        <v>0</v>
      </c>
      <c r="EV33" s="767" t="str">
        <f t="shared" si="14"/>
        <v/>
      </c>
      <c r="EW33" s="769">
        <f t="shared" si="29"/>
        <v>45730</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11</v>
      </c>
      <c r="GA33" s="129">
        <f t="shared" si="39"/>
        <v>2025</v>
      </c>
      <c r="GB33" s="129" t="str">
        <f t="shared" si="40"/>
        <v>112025</v>
      </c>
      <c r="GC33" s="225">
        <f>IF(AND($GD$53=S.CAL!$P$3,$GD$52=FZ33),GE33,IF(BH33="",0,BH33))</f>
        <v>0</v>
      </c>
      <c r="GD33" s="129" t="str">
        <f>IFERROR(+Avril!$BY$2&amp;BL33&amp;BM33,0)</f>
        <v>Fiche infoA5</v>
      </c>
      <c r="GE33" s="129" t="str">
        <f t="shared" si="19"/>
        <v/>
      </c>
      <c r="GF33" s="225" t="str">
        <f t="shared" si="41"/>
        <v/>
      </c>
      <c r="GG33" s="1469" t="str">
        <f>+'Retenue Mars'!D31</f>
        <v/>
      </c>
      <c r="GH33" s="1469">
        <f>+'Retenue Mars'!BF31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45731</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45731</v>
      </c>
      <c r="AX34" s="1878"/>
      <c r="AY34" s="332"/>
      <c r="AZ34" s="1126"/>
      <c r="BA34" s="993"/>
      <c r="BB34" s="561"/>
      <c r="BC34" s="566">
        <f t="shared" si="23"/>
        <v>0</v>
      </c>
      <c r="BD34" s="1126"/>
      <c r="BE34" s="825">
        <f t="shared" si="24"/>
        <v>0</v>
      </c>
      <c r="BF34" s="1150"/>
      <c r="BG34" s="224"/>
      <c r="BH34" s="566" t="str">
        <f t="shared" si="25"/>
        <v/>
      </c>
      <c r="BI34" s="1150"/>
      <c r="BJ34" s="129" t="str">
        <f t="shared" si="26"/>
        <v>Fiche infoA6</v>
      </c>
      <c r="BK34" s="129">
        <f t="shared" si="49"/>
        <v>11</v>
      </c>
      <c r="BL34" s="129" t="str">
        <f t="shared" si="4"/>
        <v>A</v>
      </c>
      <c r="BM34" s="129">
        <f t="shared" si="50"/>
        <v>6</v>
      </c>
      <c r="BN34" s="225" t="str">
        <f t="shared" si="60"/>
        <v>Fiche info</v>
      </c>
      <c r="BO34" s="332" t="str">
        <f t="shared" si="51"/>
        <v/>
      </c>
      <c r="BP34" s="198" t="str">
        <f t="shared" si="52"/>
        <v/>
      </c>
      <c r="BQ34" s="198"/>
      <c r="BZ34" s="676" t="s">
        <v>450</v>
      </c>
      <c r="CA34" s="677">
        <f>+IF(AND(DP14=1,OR(DP29="NON",DP29=0)),0,SUM(CA28:CA33))</f>
        <v>0</v>
      </c>
      <c r="CB34" s="465"/>
      <c r="CC34" s="465"/>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45731</v>
      </c>
      <c r="ER34" s="767">
        <f t="shared" si="10"/>
        <v>0</v>
      </c>
      <c r="ES34" s="768">
        <f t="shared" si="11"/>
        <v>0</v>
      </c>
      <c r="ET34" s="767">
        <f t="shared" si="12"/>
        <v>0</v>
      </c>
      <c r="EU34" s="768">
        <f t="shared" si="13"/>
        <v>0</v>
      </c>
      <c r="EV34" s="767" t="str">
        <f t="shared" si="14"/>
        <v/>
      </c>
      <c r="EW34" s="769">
        <f t="shared" si="29"/>
        <v>45731</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11</v>
      </c>
      <c r="GA34" s="129">
        <f t="shared" si="39"/>
        <v>2025</v>
      </c>
      <c r="GB34" s="129" t="str">
        <f t="shared" si="40"/>
        <v>112025</v>
      </c>
      <c r="GC34" s="225">
        <f>IF(AND($GD$53=S.CAL!$P$3,$GD$52=FZ34),GE34,IF(BH34="",0,BH34))</f>
        <v>0</v>
      </c>
      <c r="GD34" s="129" t="str">
        <f>IFERROR(+Avril!$BY$2&amp;BL34&amp;BM34,0)</f>
        <v>Fiche infoA6</v>
      </c>
      <c r="GE34" s="129" t="str">
        <f t="shared" si="19"/>
        <v/>
      </c>
      <c r="GF34" s="225" t="str">
        <f t="shared" si="41"/>
        <v/>
      </c>
      <c r="GG34" s="1469" t="str">
        <f>+'Retenue Mars'!D32</f>
        <v/>
      </c>
      <c r="GH34" s="1469">
        <f>+'Retenue Mars'!BF32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45732</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45732</v>
      </c>
      <c r="AX35" s="1878"/>
      <c r="AY35" s="332"/>
      <c r="AZ35" s="1126"/>
      <c r="BA35" s="993"/>
      <c r="BB35" s="561"/>
      <c r="BC35" s="566">
        <f t="shared" si="23"/>
        <v>0</v>
      </c>
      <c r="BD35" s="1126"/>
      <c r="BE35" s="825">
        <f t="shared" si="24"/>
        <v>0</v>
      </c>
      <c r="BF35" s="1150"/>
      <c r="BG35" s="224"/>
      <c r="BH35" s="566" t="str">
        <f t="shared" si="25"/>
        <v/>
      </c>
      <c r="BI35" s="1150"/>
      <c r="BJ35" s="129" t="str">
        <f t="shared" si="26"/>
        <v>Fiche infoA7</v>
      </c>
      <c r="BK35" s="129">
        <f t="shared" si="49"/>
        <v>11</v>
      </c>
      <c r="BL35" s="129" t="str">
        <f t="shared" si="4"/>
        <v>A</v>
      </c>
      <c r="BM35" s="129">
        <f t="shared" si="50"/>
        <v>7</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45732</v>
      </c>
      <c r="ER35" s="767">
        <f t="shared" si="10"/>
        <v>0</v>
      </c>
      <c r="ES35" s="768">
        <f t="shared" si="11"/>
        <v>0</v>
      </c>
      <c r="ET35" s="767">
        <f t="shared" si="12"/>
        <v>0</v>
      </c>
      <c r="EU35" s="768">
        <f t="shared" si="13"/>
        <v>0</v>
      </c>
      <c r="EV35" s="767" t="str">
        <f t="shared" si="14"/>
        <v/>
      </c>
      <c r="EW35" s="769">
        <f t="shared" si="29"/>
        <v>45732</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11</v>
      </c>
      <c r="GA35" s="129">
        <f t="shared" si="39"/>
        <v>2025</v>
      </c>
      <c r="GB35" s="129" t="str">
        <f t="shared" si="40"/>
        <v>112025</v>
      </c>
      <c r="GC35" s="225">
        <f>IF(AND($GD$53=S.CAL!$P$3,$GD$52=FZ35),GE35,IF(BH35="",0,BH35))</f>
        <v>0</v>
      </c>
      <c r="GD35" s="129" t="str">
        <f>IFERROR(+Avril!$BY$2&amp;BL35&amp;BM35,0)</f>
        <v>Fiche infoA7</v>
      </c>
      <c r="GE35" s="129" t="str">
        <f t="shared" si="19"/>
        <v/>
      </c>
      <c r="GF35" s="225" t="str">
        <f t="shared" si="41"/>
        <v/>
      </c>
      <c r="GG35" s="1469" t="str">
        <f>+'Retenue Mars'!D33</f>
        <v/>
      </c>
      <c r="GH35" s="1469">
        <f>+'Retenue Mars'!BF33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45733</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f t="shared" si="48"/>
        <v>12</v>
      </c>
      <c r="AQ36" s="340"/>
      <c r="AR36" s="1126"/>
      <c r="AS36" s="332">
        <f t="shared" si="3"/>
        <v>0</v>
      </c>
      <c r="AT36" s="1147"/>
      <c r="AU36" s="1147"/>
      <c r="AV36" s="332"/>
      <c r="AW36" s="2017">
        <f t="shared" si="22"/>
        <v>45733</v>
      </c>
      <c r="AX36" s="1878"/>
      <c r="AY36" s="332"/>
      <c r="AZ36" s="1126"/>
      <c r="BA36" s="993"/>
      <c r="BB36" s="561"/>
      <c r="BC36" s="566">
        <f t="shared" si="23"/>
        <v>0</v>
      </c>
      <c r="BD36" s="1126"/>
      <c r="BE36" s="825">
        <f t="shared" si="24"/>
        <v>0</v>
      </c>
      <c r="BF36" s="1150"/>
      <c r="BG36" s="224"/>
      <c r="BH36" s="566" t="str">
        <f t="shared" si="25"/>
        <v/>
      </c>
      <c r="BI36" s="1150"/>
      <c r="BJ36" s="129" t="str">
        <f t="shared" si="26"/>
        <v>Fiche infoA1</v>
      </c>
      <c r="BK36" s="129">
        <f t="shared" si="49"/>
        <v>12</v>
      </c>
      <c r="BL36" s="129" t="str">
        <f t="shared" si="4"/>
        <v>A</v>
      </c>
      <c r="BM36" s="129">
        <f t="shared" si="50"/>
        <v>1</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45733</v>
      </c>
      <c r="ER36" s="767">
        <f t="shared" si="10"/>
        <v>0</v>
      </c>
      <c r="ES36" s="768">
        <f t="shared" si="11"/>
        <v>0</v>
      </c>
      <c r="ET36" s="767">
        <f t="shared" si="12"/>
        <v>0</v>
      </c>
      <c r="EU36" s="768">
        <f t="shared" si="13"/>
        <v>0</v>
      </c>
      <c r="EV36" s="767" t="str">
        <f t="shared" si="14"/>
        <v/>
      </c>
      <c r="EW36" s="769">
        <f t="shared" si="29"/>
        <v>45733</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12</v>
      </c>
      <c r="GA36" s="129">
        <f t="shared" si="39"/>
        <v>2025</v>
      </c>
      <c r="GB36" s="129" t="str">
        <f t="shared" si="40"/>
        <v>122025</v>
      </c>
      <c r="GC36" s="225">
        <f>IF(AND($GD$53=S.CAL!$P$3,$GD$52=FZ36),GE36,IF(BH36="",0,BH36))</f>
        <v>0</v>
      </c>
      <c r="GD36" s="129" t="str">
        <f>IFERROR(+Avril!$BY$2&amp;BL36&amp;BM36,0)</f>
        <v>Fiche infoA1</v>
      </c>
      <c r="GE36" s="129" t="str">
        <f t="shared" si="19"/>
        <v/>
      </c>
      <c r="GF36" s="225" t="str">
        <f t="shared" si="41"/>
        <v/>
      </c>
      <c r="GG36" s="1469" t="str">
        <f>+'Retenue Mars'!D34</f>
        <v/>
      </c>
      <c r="GH36" s="1469">
        <f>+'Retenue Mars'!BF34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45734</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45734</v>
      </c>
      <c r="AX37" s="1878"/>
      <c r="AY37" s="332"/>
      <c r="AZ37" s="1126"/>
      <c r="BA37" s="993"/>
      <c r="BB37" s="561"/>
      <c r="BC37" s="566">
        <f t="shared" si="23"/>
        <v>0</v>
      </c>
      <c r="BD37" s="1126"/>
      <c r="BE37" s="825">
        <f t="shared" si="24"/>
        <v>0</v>
      </c>
      <c r="BF37" s="1150"/>
      <c r="BG37" s="224"/>
      <c r="BH37" s="566" t="str">
        <f t="shared" si="25"/>
        <v/>
      </c>
      <c r="BI37" s="1150"/>
      <c r="BJ37" s="129" t="str">
        <f t="shared" si="26"/>
        <v>Fiche infoA2</v>
      </c>
      <c r="BK37" s="129">
        <f t="shared" si="49"/>
        <v>12</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45734</v>
      </c>
      <c r="ER37" s="767">
        <f t="shared" si="10"/>
        <v>0</v>
      </c>
      <c r="ES37" s="768">
        <f t="shared" si="11"/>
        <v>0</v>
      </c>
      <c r="ET37" s="767">
        <f t="shared" si="12"/>
        <v>0</v>
      </c>
      <c r="EU37" s="768">
        <f t="shared" si="13"/>
        <v>0</v>
      </c>
      <c r="EV37" s="767" t="str">
        <f t="shared" si="14"/>
        <v/>
      </c>
      <c r="EW37" s="769">
        <f t="shared" si="29"/>
        <v>45734</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12</v>
      </c>
      <c r="GA37" s="129">
        <f t="shared" si="39"/>
        <v>2025</v>
      </c>
      <c r="GB37" s="129" t="str">
        <f t="shared" si="40"/>
        <v>122025</v>
      </c>
      <c r="GC37" s="225">
        <f>IF(AND($GD$53=S.CAL!$P$3,$GD$52=FZ37),GE37,IF(BH37="",0,BH37))</f>
        <v>0</v>
      </c>
      <c r="GD37" s="129" t="str">
        <f>IFERROR(+Avril!$BY$2&amp;BL37&amp;BM37,0)</f>
        <v>Fiche infoA2</v>
      </c>
      <c r="GE37" s="129" t="str">
        <f t="shared" si="19"/>
        <v/>
      </c>
      <c r="GF37" s="225" t="str">
        <f t="shared" si="41"/>
        <v/>
      </c>
      <c r="GG37" s="1469" t="str">
        <f>+'Retenue Mars'!D35</f>
        <v/>
      </c>
      <c r="GH37" s="1469">
        <f>+'Retenue Mars'!BF35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45735</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45735</v>
      </c>
      <c r="AX38" s="1878"/>
      <c r="AY38" s="332"/>
      <c r="AZ38" s="1126"/>
      <c r="BA38" s="993"/>
      <c r="BB38" s="561"/>
      <c r="BC38" s="566">
        <f t="shared" si="23"/>
        <v>0</v>
      </c>
      <c r="BD38" s="1126"/>
      <c r="BE38" s="825">
        <f t="shared" si="24"/>
        <v>0</v>
      </c>
      <c r="BF38" s="1150"/>
      <c r="BG38" s="224"/>
      <c r="BH38" s="566" t="str">
        <f t="shared" si="25"/>
        <v/>
      </c>
      <c r="BI38" s="1150"/>
      <c r="BJ38" s="129" t="str">
        <f t="shared" si="26"/>
        <v>Fiche infoA3</v>
      </c>
      <c r="BK38" s="129">
        <f t="shared" si="49"/>
        <v>12</v>
      </c>
      <c r="BL38" s="129" t="str">
        <f t="shared" si="4"/>
        <v>A</v>
      </c>
      <c r="BM38" s="129">
        <f t="shared" si="50"/>
        <v>3</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45735</v>
      </c>
      <c r="ER38" s="767">
        <f t="shared" si="10"/>
        <v>0</v>
      </c>
      <c r="ES38" s="768">
        <f t="shared" si="11"/>
        <v>0</v>
      </c>
      <c r="ET38" s="767">
        <f t="shared" si="12"/>
        <v>0</v>
      </c>
      <c r="EU38" s="768">
        <f t="shared" si="13"/>
        <v>0</v>
      </c>
      <c r="EV38" s="767" t="str">
        <f t="shared" si="14"/>
        <v/>
      </c>
      <c r="EW38" s="769">
        <f t="shared" si="29"/>
        <v>45735</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12</v>
      </c>
      <c r="GA38" s="129">
        <f t="shared" si="39"/>
        <v>2025</v>
      </c>
      <c r="GB38" s="129" t="str">
        <f t="shared" si="40"/>
        <v>122025</v>
      </c>
      <c r="GC38" s="225">
        <f>IF(AND($GD$53=S.CAL!$P$3,$GD$52=FZ38),GE38,IF(BH38="",0,BH38))</f>
        <v>0</v>
      </c>
      <c r="GD38" s="129" t="str">
        <f>IFERROR(+Avril!$BY$2&amp;BL38&amp;BM38,0)</f>
        <v>Fiche infoA3</v>
      </c>
      <c r="GE38" s="129" t="str">
        <f t="shared" si="19"/>
        <v/>
      </c>
      <c r="GF38" s="225" t="str">
        <f t="shared" si="41"/>
        <v/>
      </c>
      <c r="GG38" s="1469" t="str">
        <f>+'Retenue Mars'!D36</f>
        <v/>
      </c>
      <c r="GH38" s="1469">
        <f>+'Retenue Mars'!BF36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45736</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45736</v>
      </c>
      <c r="AX39" s="1878"/>
      <c r="AY39" s="332"/>
      <c r="AZ39" s="1126"/>
      <c r="BA39" s="993"/>
      <c r="BB39" s="561"/>
      <c r="BC39" s="566">
        <f t="shared" si="23"/>
        <v>0</v>
      </c>
      <c r="BD39" s="1126"/>
      <c r="BE39" s="825">
        <f t="shared" si="24"/>
        <v>0</v>
      </c>
      <c r="BF39" s="1150"/>
      <c r="BG39" s="224"/>
      <c r="BH39" s="566" t="str">
        <f t="shared" si="25"/>
        <v/>
      </c>
      <c r="BI39" s="1150"/>
      <c r="BJ39" s="129" t="str">
        <f t="shared" si="26"/>
        <v>Fiche infoA4</v>
      </c>
      <c r="BK39" s="129">
        <f t="shared" si="49"/>
        <v>12</v>
      </c>
      <c r="BL39" s="129" t="str">
        <f t="shared" si="4"/>
        <v>A</v>
      </c>
      <c r="BM39" s="129">
        <f t="shared" si="50"/>
        <v>4</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45736</v>
      </c>
      <c r="ER39" s="767">
        <f t="shared" si="10"/>
        <v>0</v>
      </c>
      <c r="ES39" s="768">
        <f t="shared" si="11"/>
        <v>0</v>
      </c>
      <c r="ET39" s="767">
        <f t="shared" si="12"/>
        <v>0</v>
      </c>
      <c r="EU39" s="768">
        <f t="shared" si="13"/>
        <v>0</v>
      </c>
      <c r="EV39" s="767" t="str">
        <f t="shared" si="14"/>
        <v/>
      </c>
      <c r="EW39" s="769">
        <f t="shared" si="29"/>
        <v>45736</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12</v>
      </c>
      <c r="GA39" s="129">
        <f t="shared" si="39"/>
        <v>2025</v>
      </c>
      <c r="GB39" s="129" t="str">
        <f t="shared" si="40"/>
        <v>122025</v>
      </c>
      <c r="GC39" s="225">
        <f>IF(AND($GD$53=S.CAL!$P$3,$GD$52=FZ39),GE39,IF(BH39="",0,BH39))</f>
        <v>0</v>
      </c>
      <c r="GD39" s="129" t="str">
        <f>IFERROR(+Avril!$BY$2&amp;BL39&amp;BM39,0)</f>
        <v>Fiche infoA4</v>
      </c>
      <c r="GE39" s="129" t="str">
        <f t="shared" si="19"/>
        <v/>
      </c>
      <c r="GF39" s="225" t="str">
        <f t="shared" si="41"/>
        <v/>
      </c>
      <c r="GG39" s="1469" t="str">
        <f>+'Retenue Mars'!D37</f>
        <v/>
      </c>
      <c r="GH39" s="1469">
        <f>+'Retenue Mars'!BF37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45737</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45737</v>
      </c>
      <c r="AX40" s="1878"/>
      <c r="AY40" s="332"/>
      <c r="AZ40" s="1126"/>
      <c r="BA40" s="993"/>
      <c r="BB40" s="561"/>
      <c r="BC40" s="566">
        <f t="shared" si="23"/>
        <v>0</v>
      </c>
      <c r="BD40" s="1126"/>
      <c r="BE40" s="825">
        <f t="shared" si="24"/>
        <v>0</v>
      </c>
      <c r="BF40" s="1150"/>
      <c r="BG40" s="224"/>
      <c r="BH40" s="566" t="str">
        <f t="shared" si="25"/>
        <v/>
      </c>
      <c r="BI40" s="1150"/>
      <c r="BJ40" s="129" t="str">
        <f t="shared" si="26"/>
        <v>Fiche infoA5</v>
      </c>
      <c r="BK40" s="129">
        <f t="shared" si="49"/>
        <v>12</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Mars'!P27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45737</v>
      </c>
      <c r="ER40" s="767">
        <f t="shared" si="10"/>
        <v>0</v>
      </c>
      <c r="ES40" s="768">
        <f t="shared" si="11"/>
        <v>0</v>
      </c>
      <c r="ET40" s="767">
        <f t="shared" si="12"/>
        <v>0</v>
      </c>
      <c r="EU40" s="768">
        <f t="shared" si="13"/>
        <v>0</v>
      </c>
      <c r="EV40" s="767" t="str">
        <f t="shared" si="14"/>
        <v/>
      </c>
      <c r="EW40" s="769">
        <f t="shared" si="29"/>
        <v>45737</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12</v>
      </c>
      <c r="GA40" s="129">
        <f t="shared" si="39"/>
        <v>2025</v>
      </c>
      <c r="GB40" s="129" t="str">
        <f t="shared" si="40"/>
        <v>122025</v>
      </c>
      <c r="GC40" s="225">
        <f>IF(AND($GD$53=S.CAL!$P$3,$GD$52=FZ40),GE40,IF(BH40="",0,BH40))</f>
        <v>0</v>
      </c>
      <c r="GD40" s="129" t="str">
        <f>IFERROR(+Avril!$BY$2&amp;BL40&amp;BM40,0)</f>
        <v>Fiche infoA5</v>
      </c>
      <c r="GE40" s="129" t="str">
        <f t="shared" si="19"/>
        <v/>
      </c>
      <c r="GF40" s="225" t="str">
        <f t="shared" si="41"/>
        <v/>
      </c>
      <c r="GG40" s="1469" t="str">
        <f>+'Retenue Mars'!D38</f>
        <v/>
      </c>
      <c r="GH40" s="1469">
        <f>+'Retenue Mars'!BF38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45738</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45738</v>
      </c>
      <c r="AX41" s="1878"/>
      <c r="AY41" s="332"/>
      <c r="AZ41" s="1126"/>
      <c r="BA41" s="993"/>
      <c r="BB41" s="561"/>
      <c r="BC41" s="566">
        <f t="shared" si="23"/>
        <v>0</v>
      </c>
      <c r="BD41" s="1126"/>
      <c r="BE41" s="825">
        <f t="shared" si="24"/>
        <v>0</v>
      </c>
      <c r="BF41" s="1150"/>
      <c r="BG41" s="224"/>
      <c r="BH41" s="566" t="str">
        <f t="shared" si="25"/>
        <v/>
      </c>
      <c r="BI41" s="1150"/>
      <c r="BJ41" s="129" t="str">
        <f t="shared" si="26"/>
        <v>Fiche infoA6</v>
      </c>
      <c r="BK41" s="129">
        <f t="shared" si="49"/>
        <v>12</v>
      </c>
      <c r="BL41" s="129" t="str">
        <f t="shared" si="4"/>
        <v>A</v>
      </c>
      <c r="BM41" s="129">
        <f t="shared" si="50"/>
        <v>6</v>
      </c>
      <c r="BN41" s="225" t="str">
        <f t="shared" si="60"/>
        <v>Fiche info</v>
      </c>
      <c r="BO41" s="332" t="str">
        <f t="shared" si="51"/>
        <v/>
      </c>
      <c r="BP41" s="198" t="str">
        <f t="shared" si="52"/>
        <v/>
      </c>
      <c r="BQ41" s="2142" t="s">
        <v>1063</v>
      </c>
      <c r="BR41" s="2142"/>
      <c r="BS41" s="2142"/>
      <c r="BT41" s="2142"/>
      <c r="BU41" s="2142"/>
      <c r="BV41" s="2142"/>
      <c r="BW41" s="601" t="str">
        <f>+IF(BX41="",Février!BW41,BX41)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45738</v>
      </c>
      <c r="ER41" s="767">
        <f t="shared" si="10"/>
        <v>0</v>
      </c>
      <c r="ES41" s="768">
        <f t="shared" si="11"/>
        <v>0</v>
      </c>
      <c r="ET41" s="767">
        <f t="shared" si="12"/>
        <v>0</v>
      </c>
      <c r="EU41" s="768">
        <f t="shared" si="13"/>
        <v>0</v>
      </c>
      <c r="EV41" s="767" t="str">
        <f t="shared" si="14"/>
        <v/>
      </c>
      <c r="EW41" s="769">
        <f t="shared" si="29"/>
        <v>45738</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12</v>
      </c>
      <c r="GA41" s="129">
        <f t="shared" si="39"/>
        <v>2025</v>
      </c>
      <c r="GB41" s="129" t="str">
        <f t="shared" si="40"/>
        <v>122025</v>
      </c>
      <c r="GC41" s="225">
        <f>IF(AND($GD$53=S.CAL!$P$3,$GD$52=FZ41),GE41,IF(BH41="",0,BH41))</f>
        <v>0</v>
      </c>
      <c r="GD41" s="129" t="str">
        <f>IFERROR(+Avril!$BY$2&amp;BL41&amp;BM41,0)</f>
        <v>Fiche infoA6</v>
      </c>
      <c r="GE41" s="129" t="str">
        <f t="shared" si="19"/>
        <v/>
      </c>
      <c r="GF41" s="225" t="str">
        <f t="shared" si="41"/>
        <v/>
      </c>
      <c r="GG41" s="1469" t="str">
        <f>+'Retenue Mars'!D39</f>
        <v/>
      </c>
      <c r="GH41" s="1469">
        <f>+'Retenue Mars'!BF39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45739</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45739</v>
      </c>
      <c r="AX42" s="1878"/>
      <c r="AY42" s="332"/>
      <c r="AZ42" s="1126"/>
      <c r="BA42" s="993"/>
      <c r="BB42" s="561"/>
      <c r="BC42" s="566">
        <f t="shared" si="23"/>
        <v>0</v>
      </c>
      <c r="BD42" s="1126"/>
      <c r="BE42" s="825">
        <f t="shared" si="24"/>
        <v>0</v>
      </c>
      <c r="BF42" s="1150"/>
      <c r="BG42" s="224"/>
      <c r="BH42" s="566" t="str">
        <f t="shared" si="25"/>
        <v/>
      </c>
      <c r="BI42" s="1150"/>
      <c r="BJ42" s="129" t="str">
        <f t="shared" si="26"/>
        <v>Fiche infoA7</v>
      </c>
      <c r="BK42" s="129">
        <f t="shared" si="49"/>
        <v>12</v>
      </c>
      <c r="BL42" s="129" t="str">
        <f t="shared" si="4"/>
        <v>A</v>
      </c>
      <c r="BM42" s="129">
        <f t="shared" si="50"/>
        <v>7</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45739</v>
      </c>
      <c r="ER42" s="767">
        <f t="shared" si="10"/>
        <v>0</v>
      </c>
      <c r="ES42" s="768">
        <f t="shared" si="11"/>
        <v>0</v>
      </c>
      <c r="ET42" s="767">
        <f t="shared" si="12"/>
        <v>0</v>
      </c>
      <c r="EU42" s="768">
        <f t="shared" si="13"/>
        <v>0</v>
      </c>
      <c r="EV42" s="767" t="str">
        <f t="shared" si="14"/>
        <v/>
      </c>
      <c r="EW42" s="769">
        <f t="shared" si="29"/>
        <v>45739</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12</v>
      </c>
      <c r="GA42" s="129">
        <f t="shared" si="39"/>
        <v>2025</v>
      </c>
      <c r="GB42" s="129" t="str">
        <f t="shared" si="40"/>
        <v>122025</v>
      </c>
      <c r="GC42" s="225">
        <f>IF(AND($GD$53=S.CAL!$P$3,$GD$52=FZ42),GE42,IF(BH42="",0,BH42))</f>
        <v>0</v>
      </c>
      <c r="GD42" s="129" t="str">
        <f>IFERROR(+Avril!$BY$2&amp;BL42&amp;BM42,0)</f>
        <v>Fiche infoA7</v>
      </c>
      <c r="GE42" s="129" t="str">
        <f t="shared" si="19"/>
        <v/>
      </c>
      <c r="GF42" s="225" t="str">
        <f t="shared" si="41"/>
        <v/>
      </c>
      <c r="GG42" s="1469" t="str">
        <f>+'Retenue Mars'!D40</f>
        <v/>
      </c>
      <c r="GH42" s="1469">
        <f>+'Retenue Mars'!BF40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45740</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f t="shared" si="48"/>
        <v>13</v>
      </c>
      <c r="AQ43" s="340"/>
      <c r="AR43" s="1126"/>
      <c r="AS43" s="332">
        <f t="shared" si="3"/>
        <v>0</v>
      </c>
      <c r="AT43" s="1147"/>
      <c r="AU43" s="1147"/>
      <c r="AV43" s="332"/>
      <c r="AW43" s="2017">
        <f t="shared" si="22"/>
        <v>45740</v>
      </c>
      <c r="AX43" s="1878"/>
      <c r="AY43" s="332"/>
      <c r="AZ43" s="1126"/>
      <c r="BA43" s="993"/>
      <c r="BB43" s="561"/>
      <c r="BC43" s="566">
        <f t="shared" si="23"/>
        <v>0</v>
      </c>
      <c r="BD43" s="1126"/>
      <c r="BE43" s="825">
        <f t="shared" si="24"/>
        <v>0</v>
      </c>
      <c r="BF43" s="1150"/>
      <c r="BG43" s="224"/>
      <c r="BH43" s="566" t="str">
        <f t="shared" si="25"/>
        <v/>
      </c>
      <c r="BI43" s="1150"/>
      <c r="BJ43" s="129" t="str">
        <f t="shared" si="26"/>
        <v>Fiche infoA1</v>
      </c>
      <c r="BK43" s="129">
        <f t="shared" si="49"/>
        <v>13</v>
      </c>
      <c r="BL43" s="129" t="str">
        <f t="shared" si="4"/>
        <v>A</v>
      </c>
      <c r="BM43" s="129">
        <f t="shared" si="50"/>
        <v>1</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45740</v>
      </c>
      <c r="ER43" s="767">
        <f t="shared" si="10"/>
        <v>0</v>
      </c>
      <c r="ES43" s="768">
        <f t="shared" si="11"/>
        <v>0</v>
      </c>
      <c r="ET43" s="767">
        <f t="shared" si="12"/>
        <v>0</v>
      </c>
      <c r="EU43" s="768">
        <f t="shared" si="13"/>
        <v>0</v>
      </c>
      <c r="EV43" s="767" t="str">
        <f t="shared" si="14"/>
        <v/>
      </c>
      <c r="EW43" s="769">
        <f t="shared" si="29"/>
        <v>45740</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13</v>
      </c>
      <c r="GA43" s="129">
        <f t="shared" si="39"/>
        <v>2025</v>
      </c>
      <c r="GB43" s="129" t="str">
        <f t="shared" si="40"/>
        <v>132025</v>
      </c>
      <c r="GC43" s="225">
        <f>IF(AND($GD$53=S.CAL!$P$3,$GD$52=FZ43),GE43,IF(BH43="",0,BH43))</f>
        <v>0</v>
      </c>
      <c r="GD43" s="129" t="str">
        <f>IFERROR(+Avril!$BY$2&amp;BL43&amp;BM43,0)</f>
        <v>Fiche infoA1</v>
      </c>
      <c r="GE43" s="129" t="str">
        <f t="shared" si="19"/>
        <v/>
      </c>
      <c r="GF43" s="225" t="str">
        <f t="shared" si="41"/>
        <v/>
      </c>
      <c r="GG43" s="1469" t="str">
        <f>+'Retenue Mars'!D41</f>
        <v/>
      </c>
      <c r="GH43" s="1469">
        <f>+'Retenue Mars'!BF41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45741</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45741</v>
      </c>
      <c r="AX44" s="1878"/>
      <c r="AY44" s="332"/>
      <c r="AZ44" s="1126"/>
      <c r="BA44" s="993"/>
      <c r="BB44" s="561"/>
      <c r="BC44" s="566">
        <f t="shared" si="23"/>
        <v>0</v>
      </c>
      <c r="BD44" s="1126"/>
      <c r="BE44" s="825">
        <f t="shared" si="24"/>
        <v>0</v>
      </c>
      <c r="BF44" s="1150"/>
      <c r="BG44" s="224"/>
      <c r="BH44" s="566" t="str">
        <f t="shared" si="25"/>
        <v/>
      </c>
      <c r="BI44" s="1150"/>
      <c r="BJ44" s="129" t="str">
        <f t="shared" si="26"/>
        <v>Fiche infoA2</v>
      </c>
      <c r="BK44" s="129">
        <f t="shared" si="49"/>
        <v>13</v>
      </c>
      <c r="BL44" s="129" t="str">
        <f t="shared" si="4"/>
        <v>A</v>
      </c>
      <c r="BM44" s="129">
        <f t="shared" si="50"/>
        <v>2</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+IF(CC45="",Février!CC44,CC45)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45741</v>
      </c>
      <c r="ER44" s="767">
        <f t="shared" si="10"/>
        <v>0</v>
      </c>
      <c r="ES44" s="768">
        <f t="shared" si="11"/>
        <v>0</v>
      </c>
      <c r="ET44" s="767">
        <f t="shared" si="12"/>
        <v>0</v>
      </c>
      <c r="EU44" s="768">
        <f t="shared" si="13"/>
        <v>0</v>
      </c>
      <c r="EV44" s="767" t="str">
        <f t="shared" si="14"/>
        <v/>
      </c>
      <c r="EW44" s="769">
        <f t="shared" si="29"/>
        <v>45741</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13</v>
      </c>
      <c r="GA44" s="129">
        <f t="shared" si="39"/>
        <v>2025</v>
      </c>
      <c r="GB44" s="129" t="str">
        <f t="shared" si="40"/>
        <v>132025</v>
      </c>
      <c r="GC44" s="225">
        <f>IF(AND($GD$53=S.CAL!$P$3,$GD$52=FZ44),GE44,IF(BH44="",0,BH44))</f>
        <v>0</v>
      </c>
      <c r="GD44" s="129" t="str">
        <f>IFERROR(+Avril!$BY$2&amp;BL44&amp;BM44,0)</f>
        <v>Fiche infoA2</v>
      </c>
      <c r="GE44" s="129" t="str">
        <f t="shared" si="19"/>
        <v/>
      </c>
      <c r="GF44" s="225" t="str">
        <f t="shared" si="41"/>
        <v/>
      </c>
      <c r="GG44" s="1469" t="str">
        <f>+'Retenue Mars'!D42</f>
        <v/>
      </c>
      <c r="GH44" s="1469">
        <f>+'Retenue Mars'!BF42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45742</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45742</v>
      </c>
      <c r="AX45" s="1878"/>
      <c r="AY45" s="332"/>
      <c r="AZ45" s="1126"/>
      <c r="BA45" s="993"/>
      <c r="BB45" s="561"/>
      <c r="BC45" s="566">
        <f t="shared" si="23"/>
        <v>0</v>
      </c>
      <c r="BD45" s="1126"/>
      <c r="BE45" s="825">
        <f t="shared" si="24"/>
        <v>0</v>
      </c>
      <c r="BF45" s="1150"/>
      <c r="BG45" s="224"/>
      <c r="BH45" s="566" t="str">
        <f t="shared" si="25"/>
        <v/>
      </c>
      <c r="BI45" s="1150"/>
      <c r="BJ45" s="129" t="str">
        <f t="shared" si="26"/>
        <v>Fiche infoA3</v>
      </c>
      <c r="BK45" s="129">
        <f t="shared" si="49"/>
        <v>13</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45742</v>
      </c>
      <c r="ER45" s="767">
        <f t="shared" si="10"/>
        <v>0</v>
      </c>
      <c r="ES45" s="768">
        <f t="shared" si="11"/>
        <v>0</v>
      </c>
      <c r="ET45" s="767">
        <f t="shared" si="12"/>
        <v>0</v>
      </c>
      <c r="EU45" s="768">
        <f t="shared" si="13"/>
        <v>0</v>
      </c>
      <c r="EV45" s="767" t="str">
        <f t="shared" si="14"/>
        <v/>
      </c>
      <c r="EW45" s="769">
        <f t="shared" si="29"/>
        <v>45742</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13</v>
      </c>
      <c r="GA45" s="129">
        <f t="shared" si="39"/>
        <v>2025</v>
      </c>
      <c r="GB45" s="129" t="str">
        <f t="shared" si="40"/>
        <v>132025</v>
      </c>
      <c r="GC45" s="225">
        <f>IF(AND($GD$53=S.CAL!$P$3,$GD$52=FZ45),GE45,IF(BH45="",0,BH45))</f>
        <v>0</v>
      </c>
      <c r="GD45" s="129" t="str">
        <f>IFERROR(+Avril!$BY$2&amp;BL45&amp;BM45,0)</f>
        <v>Fiche infoA3</v>
      </c>
      <c r="GE45" s="129" t="str">
        <f t="shared" si="19"/>
        <v/>
      </c>
      <c r="GF45" s="225" t="str">
        <f t="shared" si="41"/>
        <v/>
      </c>
      <c r="GG45" s="1469" t="str">
        <f>+'Retenue Mars'!D43</f>
        <v/>
      </c>
      <c r="GH45" s="1469">
        <f>+'Retenue Mars'!BF43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45743</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45743</v>
      </c>
      <c r="AX46" s="1878"/>
      <c r="AY46" s="332"/>
      <c r="AZ46" s="1126"/>
      <c r="BA46" s="993"/>
      <c r="BB46" s="561"/>
      <c r="BC46" s="566">
        <f t="shared" si="23"/>
        <v>0</v>
      </c>
      <c r="BD46" s="1126"/>
      <c r="BE46" s="825">
        <f t="shared" si="24"/>
        <v>0</v>
      </c>
      <c r="BF46" s="1150"/>
      <c r="BG46" s="224"/>
      <c r="BH46" s="566" t="str">
        <f t="shared" si="25"/>
        <v/>
      </c>
      <c r="BI46" s="1150"/>
      <c r="BJ46" s="129" t="str">
        <f t="shared" si="26"/>
        <v>Fiche infoA4</v>
      </c>
      <c r="BK46" s="129">
        <f t="shared" si="49"/>
        <v>13</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45743</v>
      </c>
      <c r="ER46" s="767">
        <f t="shared" si="10"/>
        <v>0</v>
      </c>
      <c r="ES46" s="768">
        <f t="shared" si="11"/>
        <v>0</v>
      </c>
      <c r="ET46" s="767">
        <f t="shared" si="12"/>
        <v>0</v>
      </c>
      <c r="EU46" s="768">
        <f t="shared" si="13"/>
        <v>0</v>
      </c>
      <c r="EV46" s="767" t="str">
        <f t="shared" si="14"/>
        <v/>
      </c>
      <c r="EW46" s="769">
        <f t="shared" si="29"/>
        <v>45743</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13</v>
      </c>
      <c r="GA46" s="129">
        <f t="shared" si="39"/>
        <v>2025</v>
      </c>
      <c r="GB46" s="129" t="str">
        <f t="shared" si="40"/>
        <v>132025</v>
      </c>
      <c r="GC46" s="225">
        <f>IF(AND($GD$53=S.CAL!$P$3,$GD$52=FZ46),GE46,IF(BH46="",0,BH46))</f>
        <v>0</v>
      </c>
      <c r="GD46" s="129" t="str">
        <f>IFERROR(+Avril!$BY$2&amp;BL46&amp;BM46,0)</f>
        <v>Fiche infoA4</v>
      </c>
      <c r="GE46" s="129" t="str">
        <f t="shared" si="19"/>
        <v/>
      </c>
      <c r="GF46" s="225" t="str">
        <f t="shared" si="41"/>
        <v/>
      </c>
      <c r="GG46" s="1469" t="str">
        <f>+'Retenue Mars'!D44</f>
        <v/>
      </c>
      <c r="GH46" s="1469">
        <f>+'Retenue Mars'!BF44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45744</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45744</v>
      </c>
      <c r="AX47" s="1878"/>
      <c r="AY47" s="332"/>
      <c r="AZ47" s="1126"/>
      <c r="BA47" s="993"/>
      <c r="BB47" s="561"/>
      <c r="BC47" s="566">
        <f t="shared" si="23"/>
        <v>0</v>
      </c>
      <c r="BD47" s="1126"/>
      <c r="BE47" s="825">
        <f t="shared" si="24"/>
        <v>0</v>
      </c>
      <c r="BF47" s="1150"/>
      <c r="BG47" s="224"/>
      <c r="BH47" s="566" t="str">
        <f t="shared" si="25"/>
        <v/>
      </c>
      <c r="BI47" s="1150"/>
      <c r="BJ47" s="129" t="str">
        <f t="shared" si="26"/>
        <v>Fiche infoA5</v>
      </c>
      <c r="BK47" s="129">
        <f t="shared" si="49"/>
        <v>13</v>
      </c>
      <c r="BL47" s="129" t="str">
        <f t="shared" si="4"/>
        <v>A</v>
      </c>
      <c r="BM47" s="129">
        <f t="shared" si="50"/>
        <v>5</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IF(CF47="",Février!CE47,CF47)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45744</v>
      </c>
      <c r="ER47" s="767">
        <f t="shared" si="10"/>
        <v>0</v>
      </c>
      <c r="ES47" s="768">
        <f t="shared" si="11"/>
        <v>0</v>
      </c>
      <c r="ET47" s="767">
        <f t="shared" si="12"/>
        <v>0</v>
      </c>
      <c r="EU47" s="768">
        <f t="shared" si="13"/>
        <v>0</v>
      </c>
      <c r="EV47" s="767" t="str">
        <f t="shared" si="14"/>
        <v/>
      </c>
      <c r="EW47" s="769">
        <f t="shared" si="29"/>
        <v>45744</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13</v>
      </c>
      <c r="GA47" s="129">
        <f t="shared" si="39"/>
        <v>2025</v>
      </c>
      <c r="GB47" s="129" t="str">
        <f t="shared" si="40"/>
        <v>132025</v>
      </c>
      <c r="GC47" s="225">
        <f>IF(AND($GD$53=S.CAL!$P$3,$GD$52=FZ47),GE47,IF(BH47="",0,BH47))</f>
        <v>0</v>
      </c>
      <c r="GD47" s="129" t="str">
        <f>IFERROR(+Avril!$BY$2&amp;BL47&amp;BM47,0)</f>
        <v>Fiche infoA5</v>
      </c>
      <c r="GE47" s="129" t="str">
        <f t="shared" si="19"/>
        <v/>
      </c>
      <c r="GF47" s="225" t="str">
        <f t="shared" si="41"/>
        <v/>
      </c>
      <c r="GG47" s="1469" t="str">
        <f>+'Retenue Mars'!D45</f>
        <v/>
      </c>
      <c r="GH47" s="1469">
        <f>+'Retenue Mars'!BF45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45745</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45745</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infoA6</v>
      </c>
      <c r="BK48" s="129">
        <f t="shared" si="49"/>
        <v>13</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45745</v>
      </c>
      <c r="ER48" s="767">
        <f t="shared" si="10"/>
        <v>0</v>
      </c>
      <c r="ES48" s="768">
        <f t="shared" si="11"/>
        <v>0</v>
      </c>
      <c r="ET48" s="767">
        <f t="shared" si="12"/>
        <v>0</v>
      </c>
      <c r="EU48" s="768">
        <f t="shared" si="13"/>
        <v>0</v>
      </c>
      <c r="EV48" s="767" t="str">
        <f t="shared" si="14"/>
        <v/>
      </c>
      <c r="EW48" s="769">
        <f t="shared" si="29"/>
        <v>45745</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13</v>
      </c>
      <c r="GA48" s="129">
        <f t="shared" si="39"/>
        <v>2025</v>
      </c>
      <c r="GB48" s="129" t="str">
        <f t="shared" si="40"/>
        <v>132025</v>
      </c>
      <c r="GC48" s="225">
        <f>IF(AND($GD$53=S.CAL!$P$3,$GD$52=FZ48),GE48,IF(BH48="",0,BH48))</f>
        <v>0</v>
      </c>
      <c r="GD48" s="129" t="str">
        <f>IFERROR(+Avril!$BY$2&amp;BL48&amp;BM48,0)</f>
        <v>Fiche infoA6</v>
      </c>
      <c r="GE48" s="129" t="str">
        <f t="shared" si="19"/>
        <v/>
      </c>
      <c r="GF48" s="225" t="str">
        <f t="shared" si="41"/>
        <v/>
      </c>
      <c r="GG48" s="1469" t="str">
        <f>+'Retenue Mars'!D46</f>
        <v/>
      </c>
      <c r="GH48" s="1469">
        <f>+'Retenue Mars'!BF46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45746</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45746</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infoA7</v>
      </c>
      <c r="BK49" s="129">
        <f t="shared" si="49"/>
        <v>13</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IF(CF49="",Février!CE49,CF49)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45746</v>
      </c>
      <c r="ER49" s="767">
        <f t="shared" si="10"/>
        <v>0</v>
      </c>
      <c r="ES49" s="768">
        <f t="shared" si="11"/>
        <v>0</v>
      </c>
      <c r="ET49" s="767">
        <f t="shared" si="12"/>
        <v>0</v>
      </c>
      <c r="EU49" s="768">
        <f t="shared" si="13"/>
        <v>0</v>
      </c>
      <c r="EV49" s="767" t="str">
        <f t="shared" si="14"/>
        <v/>
      </c>
      <c r="EW49" s="769">
        <f t="shared" si="29"/>
        <v>45746</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13</v>
      </c>
      <c r="GA49" s="129">
        <f t="shared" si="39"/>
        <v>2025</v>
      </c>
      <c r="GB49" s="129" t="str">
        <f t="shared" ref="GB49:GB50" si="69">+FZ49&amp;GA49</f>
        <v>132025</v>
      </c>
      <c r="GC49" s="225">
        <f>IF(AND($GD$53=S.CAL!$P$3,$GD$52=FZ49),GE49,IF(BH49="",0,BH49))</f>
        <v>0</v>
      </c>
      <c r="GD49" s="129" t="str">
        <f>IFERROR(+Avril!$BY$2&amp;BL49&amp;BM49,0)</f>
        <v>Fiche infoA7</v>
      </c>
      <c r="GE49" s="129" t="str">
        <f t="shared" si="19"/>
        <v/>
      </c>
      <c r="GF49" s="225" t="str">
        <f t="shared" ref="GF49:GF50" si="70">IF(FP49=1,GG49,AM49)</f>
        <v/>
      </c>
      <c r="GG49" s="1469" t="str">
        <f>+'Retenue Mars'!D47</f>
        <v/>
      </c>
      <c r="GH49" s="1469">
        <f>+'Retenue Mars'!BF47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45747</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f t="shared" si="48"/>
        <v>14</v>
      </c>
      <c r="AQ50" s="340"/>
      <c r="AR50" s="1127"/>
      <c r="AS50" s="332">
        <f t="shared" si="3"/>
        <v>0</v>
      </c>
      <c r="AT50" s="1148"/>
      <c r="AU50" s="1148"/>
      <c r="AV50" s="332"/>
      <c r="AW50" s="2096">
        <f t="shared" si="22"/>
        <v>45747</v>
      </c>
      <c r="AX50" s="2097"/>
      <c r="AY50" s="332"/>
      <c r="AZ50" s="1127"/>
      <c r="BA50" s="994"/>
      <c r="BB50" s="561"/>
      <c r="BC50" s="564">
        <f t="shared" si="23"/>
        <v>0</v>
      </c>
      <c r="BD50" s="1127"/>
      <c r="BE50" s="826">
        <f t="shared" si="24"/>
        <v>0</v>
      </c>
      <c r="BF50" s="1151"/>
      <c r="BG50" s="224"/>
      <c r="BH50" s="564" t="str">
        <f t="shared" si="25"/>
        <v/>
      </c>
      <c r="BI50" s="1151"/>
      <c r="BJ50" s="129" t="str">
        <f t="shared" si="68"/>
        <v>Fiche infoA1</v>
      </c>
      <c r="BK50" s="129">
        <f t="shared" si="49"/>
        <v>14</v>
      </c>
      <c r="BL50" s="129" t="str">
        <f t="shared" si="4"/>
        <v>A</v>
      </c>
      <c r="BM50" s="129">
        <f>IFERROR(WEEKDAY(AB50,2),0)</f>
        <v>1</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45747</v>
      </c>
      <c r="ER50" s="787">
        <f t="shared" si="10"/>
        <v>0</v>
      </c>
      <c r="ES50" s="788">
        <f t="shared" si="11"/>
        <v>0</v>
      </c>
      <c r="ET50" s="787">
        <f t="shared" si="12"/>
        <v>0</v>
      </c>
      <c r="EU50" s="788">
        <f t="shared" si="13"/>
        <v>0</v>
      </c>
      <c r="EV50" s="787" t="str">
        <f t="shared" si="14"/>
        <v/>
      </c>
      <c r="EW50" s="789">
        <f t="shared" si="29"/>
        <v>45747</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14</v>
      </c>
      <c r="GA50" s="129">
        <f t="shared" si="39"/>
        <v>2025</v>
      </c>
      <c r="GB50" s="129" t="str">
        <f t="shared" si="69"/>
        <v>142025</v>
      </c>
      <c r="GC50" s="225">
        <f>IF(AND($GD$53=S.CAL!$P$3,$GD$52=FZ50),GE50,IF(BH50="",0,BH50))</f>
        <v>0</v>
      </c>
      <c r="GD50" s="129" t="str">
        <f>IFERROR(+Avril!$BY$2&amp;BL50&amp;BM50,0)</f>
        <v>Fiche infoA1</v>
      </c>
      <c r="GE50" s="129" t="str">
        <f t="shared" si="19"/>
        <v/>
      </c>
      <c r="GF50" s="225" t="str">
        <f t="shared" si="70"/>
        <v/>
      </c>
      <c r="GG50" s="1469" t="str">
        <f>+'Retenue Mars'!D48</f>
        <v/>
      </c>
      <c r="GH50" s="1469">
        <f>+'Retenue Mars'!BF48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4.0500000000000001E-2</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14</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IF(CF53="",+Février!CE53,CF53)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IF(CF54="",Février!CE54,CF54)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IF(CF55&gt;0,CF55,IF(AND(CE53=Février!CE53,CE54=Février!CE54),Février!CE55,IF(OR(CE53&lt;&gt;Février!CE53,CE54&lt;&gt;Février!CE54),CE53/CE54)))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Mars'!E52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+IF(BY57="",Février!BY56,BY57)</f>
        <v>24</v>
      </c>
      <c r="BZ56" s="629" t="s">
        <v>1065</v>
      </c>
      <c r="CA56" s="632">
        <f>+IF(CA57="",Février!CA56,CA57)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IF(CF57="",+Février!CE57,CF57)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IF(CF58="",Février!CE58,CF58)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+IF(CA61="",Février!CA60,CA61)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+IF(BA65="",Février!K67,BA65)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+IF(BA68="",Février!K68,BA68)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E74+Février!H74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E75+Février!H75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Mars'!EH51=0,"",'Retenue Mars'!EH51),AX76)</f>
        <v/>
      </c>
      <c r="AZ75" s="2043"/>
      <c r="BA75" s="936" t="str">
        <f>+IF(BA76="",IF('Retenue Mars'!EF51=0,"",'Retenue Mars'!EF51),BA76)</f>
        <v/>
      </c>
      <c r="BB75" s="937"/>
      <c r="BC75" s="938" t="str">
        <f>IF(BC76="",IF(+'Retenue Mars'!EG51=0,"",'Retenue Mars'!EG51),BC76)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E76+Février!H76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+E77+Février!H77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+IF(AR78="",Février!AL78,AR78)</f>
        <v>0</v>
      </c>
      <c r="AM78" s="2179"/>
      <c r="AN78" s="2179"/>
      <c r="AO78" s="2179"/>
      <c r="AQ78" s="438" t="s">
        <v>762</v>
      </c>
      <c r="AR78" s="2304"/>
      <c r="AS78" s="2304"/>
      <c r="AT78" s="2041" t="str">
        <f>IFERROR(VLOOKUP(AY78,'Liste des Libellés'!$A$4:$F$32,6,FALSE),"")</f>
        <v/>
      </c>
      <c r="AU78" s="2041"/>
      <c r="AV78" s="2041"/>
      <c r="AW78" s="2041"/>
      <c r="AX78" s="935"/>
      <c r="AY78" s="2043" t="str">
        <f>+IF(AX79="",IF('Retenue Mars'!EH53=0,"",'Retenue Mars'!EH53),AX79)</f>
        <v/>
      </c>
      <c r="AZ78" s="2043"/>
      <c r="BA78" s="936" t="str">
        <f>+IF(BA79="",IF('Retenue Mars'!EF53=0,"",'Retenue Mars'!EF53),BA79)</f>
        <v/>
      </c>
      <c r="BB78" s="937"/>
      <c r="BC78" s="938" t="str">
        <f>IF(BC79="",IF(+'Retenue Mars'!EG53=0,"",'Retenue Mars'!EG53),BC79)</f>
        <v/>
      </c>
      <c r="BD78" s="972"/>
      <c r="BE78" s="129"/>
      <c r="BF78" s="129"/>
      <c r="BG78" s="129"/>
      <c r="BH78" s="129"/>
      <c r="BI78" s="129"/>
      <c r="CA78" s="663"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2303"/>
      <c r="F80" s="2189" t="str">
        <f>+Février!F80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06/"&amp;Identification!B60-2002&amp;" à 05/"&amp;Identification!B60-2001</f>
        <v>Année préc. de 06/23 à 05/24</v>
      </c>
      <c r="AI80" s="2047"/>
      <c r="AJ80" s="2047"/>
      <c r="AK80" s="2048"/>
      <c r="AL80" s="2046" t="str">
        <f>+"Année en cours de 06/"&amp;Identification!B60-2001&amp;" à 05/"&amp;Identification!B60-2000</f>
        <v>Année en cours de 06/24 à 05/25</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Mars'!EH55=0,"",'Retenue Mars'!EH55),AX82)</f>
        <v/>
      </c>
      <c r="AZ81" s="2043"/>
      <c r="BA81" s="936" t="str">
        <f>+IF(BA82="",IF('Retenue Mars'!EF55=0,"",'Retenue Mars'!EF55),BA82)</f>
        <v/>
      </c>
      <c r="BB81" s="937"/>
      <c r="BC81" s="938" t="str">
        <f>IF(BC82="",IF(+'Retenue Mars'!EG55=0,"",'Retenue Mars'!EG55),BC82)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Mars'!EH57=0,"",'Retenue Mars'!EH57),AX85)</f>
        <v/>
      </c>
      <c r="AZ84" s="2043"/>
      <c r="BA84" s="936" t="str">
        <f>+IF(BA85="",IF('Retenue Mars'!EF57=0,"",'Retenue Mars'!EF57),BA85)</f>
        <v/>
      </c>
      <c r="BB84" s="937"/>
      <c r="BC84" s="938" t="str">
        <f>IF(BC85="",IF(+'Retenue Mars'!EG57=0,"",'Retenue Mars'!EG57),BC85)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Février!F86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+IF(AR86="",+Février!AH86,AR86)</f>
        <v>0</v>
      </c>
      <c r="AI86" s="1732"/>
      <c r="AJ86" s="1732"/>
      <c r="AK86" s="1733"/>
      <c r="AL86" s="1731">
        <f>IF(AS86="",IF(DP8=52,+EI29+Février!AL86,+EI25+Février!AL86),IF(DP8=52,+EI29+Février!AL86+AS86,+EI25+Février!AL86+AS86))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45747</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+Février!AH87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+Février!AH89+Février!AH90</f>
        <v>0</v>
      </c>
      <c r="AI89" s="1732"/>
      <c r="AJ89" s="1732"/>
      <c r="AK89" s="1733"/>
      <c r="AL89" s="1731">
        <f>+Février!AL89+Février!AL90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440" t="s">
        <v>1050</v>
      </c>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+IF(AR93="",Février!AH93-COUNTIF(AD20:AF50,'Liste des Libellés'!A18),AR93)</f>
        <v>0</v>
      </c>
      <c r="AI93" s="2163"/>
      <c r="AJ93" s="2163"/>
      <c r="AK93" s="2164"/>
      <c r="AL93" s="2162"/>
      <c r="AM93" s="2163"/>
      <c r="AN93" s="2163"/>
      <c r="AO93" s="2164"/>
      <c r="AP93" s="1029"/>
      <c r="AQ93" s="1028" t="s">
        <v>762</v>
      </c>
      <c r="AR93" s="116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+DATE(YEAR(X3)-1,5,31)</f>
        <v>45443</v>
      </c>
      <c r="E99" s="2298"/>
      <c r="F99" s="2298"/>
      <c r="G99" s="2299">
        <f>+Janvier!G99</f>
        <v>0</v>
      </c>
      <c r="H99" s="1890"/>
      <c r="I99" s="189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+Février!G100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Z107" s="1472" t="str">
        <f>+$BG$9</f>
        <v>92025</v>
      </c>
      <c r="BA107" s="1473">
        <f>+$AT$4</f>
        <v>9</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102025</v>
      </c>
      <c r="BA108" s="1478">
        <f>+$AT$5</f>
        <v>10</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112025</v>
      </c>
      <c r="BA109" s="1478">
        <f>+$AT$6</f>
        <v>11</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122025</v>
      </c>
      <c r="BA110" s="1478">
        <f>+$AT$7</f>
        <v>12</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132025</v>
      </c>
      <c r="BA111" s="1478">
        <f>+$AT$8</f>
        <v>13</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142025</v>
      </c>
      <c r="BA112" s="1483">
        <f>+$AT$9</f>
        <v>14</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2"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92025</v>
      </c>
      <c r="BA142" s="1473">
        <f>+$AT$4</f>
        <v>9</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102025</v>
      </c>
      <c r="BA143" s="1478">
        <f>+$AT$5</f>
        <v>10</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112025</v>
      </c>
      <c r="BA144" s="1478">
        <f>+$AT$6</f>
        <v>11</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122025</v>
      </c>
      <c r="BA145" s="1478">
        <f>+$AT$7</f>
        <v>12</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132025</v>
      </c>
      <c r="BA146" s="1478">
        <f>+$AT$8</f>
        <v>13</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142025</v>
      </c>
      <c r="BA147" s="1483">
        <f>+$AT$9</f>
        <v>14</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vrdSGS2gUE3z/JfeTKZdztvI53jFdSzJoOl979yNY7I/UkUK53to2Y0l71sehs4cDMJyEryoUfWlsiV3fOcxEw==" saltValue="4hjdQv1jpaQhBUzTbkFJcQ=="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3800" priority="16">
      <formula>$U$14=0</formula>
    </cfRule>
  </conditionalFormatting>
  <conditionalFormatting sqref="B26:K26">
    <cfRule type="expression" dxfId="3799" priority="26">
      <formula>$U$14=0</formula>
    </cfRule>
  </conditionalFormatting>
  <conditionalFormatting sqref="B29:K29">
    <cfRule type="cellIs" dxfId="3798" priority="13" operator="greaterThan">
      <formula>0</formula>
    </cfRule>
  </conditionalFormatting>
  <conditionalFormatting sqref="C70:G70">
    <cfRule type="cellIs" dxfId="3797" priority="7" operator="greaterThan">
      <formula>0</formula>
    </cfRule>
  </conditionalFormatting>
  <conditionalFormatting sqref="F87:I87">
    <cfRule type="cellIs" dxfId="3796" priority="2" operator="greaterThan">
      <formula>0</formula>
    </cfRule>
  </conditionalFormatting>
  <conditionalFormatting sqref="F86:L86">
    <cfRule type="cellIs" dxfId="3795" priority="3" operator="greaterThan">
      <formula>0</formula>
    </cfRule>
  </conditionalFormatting>
  <conditionalFormatting sqref="H65:J65">
    <cfRule type="expression" dxfId="3794" priority="38">
      <formula>AND($AX$60="Oui",$AZ$62="")</formula>
    </cfRule>
    <cfRule type="expression" dxfId="3793" priority="40">
      <formula>AND($AX$60="Oui",$AZ$62="hrs")</formula>
    </cfRule>
  </conditionalFormatting>
  <conditionalFormatting sqref="H66:J66">
    <cfRule type="expression" dxfId="3792" priority="36">
      <formula>AND($BW$41="Non",$AX$61="Non")</formula>
    </cfRule>
    <cfRule type="expression" dxfId="3791" priority="35">
      <formula>AND($AX$61="Oui",$AZ$63="jrs")</formula>
    </cfRule>
    <cfRule type="expression" dxfId="3790" priority="37">
      <formula>AND($BW$41="Oui",$AX$61="Non")</formula>
    </cfRule>
    <cfRule type="expression" dxfId="3789" priority="34">
      <formula>AND($AX$61="Oui",$AZ$63="")</formula>
    </cfRule>
  </conditionalFormatting>
  <conditionalFormatting sqref="H70:J71">
    <cfRule type="cellIs" dxfId="3788" priority="6" operator="greaterThan">
      <formula>0</formula>
    </cfRule>
  </conditionalFormatting>
  <conditionalFormatting sqref="H65:K66">
    <cfRule type="cellIs" dxfId="3787" priority="33" operator="equal">
      <formula>0</formula>
    </cfRule>
  </conditionalFormatting>
  <conditionalFormatting sqref="H67:M68">
    <cfRule type="cellIs" dxfId="3786" priority="54" operator="equal">
      <formula>0</formula>
    </cfRule>
  </conditionalFormatting>
  <conditionalFormatting sqref="H69:M69">
    <cfRule type="cellIs" dxfId="3785" priority="8" operator="greaterThan">
      <formula>0</formula>
    </cfRule>
  </conditionalFormatting>
  <conditionalFormatting sqref="H40:Z60">
    <cfRule type="cellIs" dxfId="3784" priority="32" operator="equal">
      <formula>0</formula>
    </cfRule>
  </conditionalFormatting>
  <conditionalFormatting sqref="K81:K82 L82:T83 K88:T88 K89:Q90">
    <cfRule type="expression" dxfId="3783" priority="580">
      <formula>$EO$6="OUI"</formula>
    </cfRule>
  </conditionalFormatting>
  <conditionalFormatting sqref="K87">
    <cfRule type="expression" dxfId="3782" priority="4">
      <formula>$EO$6="OUI"</formula>
    </cfRule>
  </conditionalFormatting>
  <conditionalFormatting sqref="L18:O19">
    <cfRule type="cellIs" dxfId="3781" priority="20" operator="equal">
      <formula>0</formula>
    </cfRule>
  </conditionalFormatting>
  <conditionalFormatting sqref="L21:O22">
    <cfRule type="cellIs" dxfId="3780" priority="31" operator="equal">
      <formula>0</formula>
    </cfRule>
  </conditionalFormatting>
  <conditionalFormatting sqref="L27:O28">
    <cfRule type="cellIs" dxfId="3779" priority="14" operator="greaterThan">
      <formula>0</formula>
    </cfRule>
  </conditionalFormatting>
  <conditionalFormatting sqref="L30:O32">
    <cfRule type="cellIs" dxfId="3778" priority="12" operator="greaterThan">
      <formula>0</formula>
    </cfRule>
  </conditionalFormatting>
  <conditionalFormatting sqref="L34:O34">
    <cfRule type="cellIs" dxfId="3777" priority="10" operator="greaterThan">
      <formula>0</formula>
    </cfRule>
  </conditionalFormatting>
  <conditionalFormatting sqref="L23:S24">
    <cfRule type="cellIs" dxfId="3776" priority="15" operator="greaterThan">
      <formula>0</formula>
    </cfRule>
  </conditionalFormatting>
  <conditionalFormatting sqref="L25:S26">
    <cfRule type="containsErrors" dxfId="3775" priority="24">
      <formula>ISERROR(L25)</formula>
    </cfRule>
    <cfRule type="cellIs" dxfId="3774" priority="25" operator="equal">
      <formula>0</formula>
    </cfRule>
  </conditionalFormatting>
  <conditionalFormatting sqref="M87:T87">
    <cfRule type="expression" dxfId="3773" priority="577">
      <formula>$EO$6="OUI"</formula>
    </cfRule>
  </conditionalFormatting>
  <conditionalFormatting sqref="N65:P71">
    <cfRule type="cellIs" dxfId="3772" priority="60" operator="equal">
      <formula>0</formula>
    </cfRule>
  </conditionalFormatting>
  <conditionalFormatting sqref="O86">
    <cfRule type="expression" dxfId="3771" priority="581">
      <formula>EO6="OUI"</formula>
    </cfRule>
  </conditionalFormatting>
  <conditionalFormatting sqref="O14:T14">
    <cfRule type="expression" dxfId="3770" priority="214">
      <formula>$U$14=0</formula>
    </cfRule>
  </conditionalFormatting>
  <conditionalFormatting sqref="P20">
    <cfRule type="expression" dxfId="3769" priority="17">
      <formula>$DP$14=1</formula>
    </cfRule>
  </conditionalFormatting>
  <conditionalFormatting sqref="P18:S18">
    <cfRule type="expression" dxfId="3768" priority="21">
      <formula>$L$18=0</formula>
    </cfRule>
  </conditionalFormatting>
  <conditionalFormatting sqref="P19:S19">
    <cfRule type="expression" dxfId="3767" priority="19">
      <formula>$L$19=0</formula>
    </cfRule>
  </conditionalFormatting>
  <conditionalFormatting sqref="P21:S21">
    <cfRule type="expression" dxfId="3766" priority="30">
      <formula>$L$21=0</formula>
    </cfRule>
  </conditionalFormatting>
  <conditionalFormatting sqref="P22:S22">
    <cfRule type="expression" dxfId="3765" priority="29">
      <formula>$L$22=0</formula>
    </cfRule>
  </conditionalFormatting>
  <conditionalFormatting sqref="R87:T87">
    <cfRule type="expression" dxfId="3764" priority="576">
      <formula>$EO$7="OUI"</formula>
    </cfRule>
  </conditionalFormatting>
  <conditionalFormatting sqref="R89:T89">
    <cfRule type="expression" dxfId="3763" priority="571">
      <formula>$EO$8="OUI"</formula>
    </cfRule>
    <cfRule type="expression" dxfId="3762" priority="572">
      <formula>$EO$6="OUI"</formula>
    </cfRule>
  </conditionalFormatting>
  <conditionalFormatting sqref="R90:T90">
    <cfRule type="expression" dxfId="3761" priority="578">
      <formula>$EO$7="OUI"</formula>
    </cfRule>
    <cfRule type="expression" dxfId="3760" priority="579">
      <formula>$EO$6="OUI"</formula>
    </cfRule>
  </conditionalFormatting>
  <conditionalFormatting sqref="T20">
    <cfRule type="expression" dxfId="3759" priority="18">
      <formula>$DP$14=1</formula>
    </cfRule>
  </conditionalFormatting>
  <conditionalFormatting sqref="T30:T32">
    <cfRule type="cellIs" dxfId="3758" priority="28" operator="equal">
      <formula>0</formula>
    </cfRule>
  </conditionalFormatting>
  <conditionalFormatting sqref="T18:W19">
    <cfRule type="cellIs" dxfId="3757" priority="22" operator="equal">
      <formula>0</formula>
    </cfRule>
  </conditionalFormatting>
  <conditionalFormatting sqref="T21:W28">
    <cfRule type="cellIs" dxfId="3756" priority="27" operator="equal">
      <formula>0</formula>
    </cfRule>
  </conditionalFormatting>
  <conditionalFormatting sqref="T29:W29">
    <cfRule type="cellIs" dxfId="3755" priority="11" operator="greaterThan">
      <formula>0</formula>
    </cfRule>
  </conditionalFormatting>
  <conditionalFormatting sqref="T33:W33">
    <cfRule type="cellIs" dxfId="3754" priority="9" operator="greaterThan">
      <formula>0</formula>
    </cfRule>
  </conditionalFormatting>
  <conditionalFormatting sqref="T34:W34">
    <cfRule type="cellIs" dxfId="3753" priority="23" operator="equal">
      <formula>0</formula>
    </cfRule>
  </conditionalFormatting>
  <conditionalFormatting sqref="U14:X14">
    <cfRule type="cellIs" dxfId="3752" priority="212" operator="equal">
      <formula>0</formula>
    </cfRule>
  </conditionalFormatting>
  <conditionalFormatting sqref="V80:AF81">
    <cfRule type="cellIs" dxfId="3751" priority="1" operator="notEqual">
      <formula>"Commentaires :"</formula>
    </cfRule>
  </conditionalFormatting>
  <conditionalFormatting sqref="Y73:AO75">
    <cfRule type="expression" dxfId="3750" priority="64">
      <formula>$DP$8=52</formula>
    </cfRule>
  </conditionalFormatting>
  <conditionalFormatting sqref="AB20:AC50">
    <cfRule type="expression" dxfId="3749" priority="486">
      <formula>WEEKDAY(AB20,2)=7</formula>
    </cfRule>
    <cfRule type="expression" dxfId="3748" priority="487">
      <formula>OR(WEEKDAY(AB20,2)=6,WEEKDAY(AB20,2)=7)</formula>
    </cfRule>
    <cfRule type="expression" dxfId="3747" priority="488">
      <formula>VLOOKUP(AB20,base_feries,1,FALSE)</formula>
    </cfRule>
  </conditionalFormatting>
  <conditionalFormatting sqref="AD20:AF50">
    <cfRule type="cellIs" dxfId="3746" priority="309" operator="equal">
      <formula>0</formula>
    </cfRule>
    <cfRule type="expression" dxfId="3745" priority="308">
      <formula>FC20="oui"</formula>
    </cfRule>
  </conditionalFormatting>
  <conditionalFormatting sqref="AG20:AI50">
    <cfRule type="expression" dxfId="3744" priority="310">
      <formula>FC20="oui"</formula>
    </cfRule>
  </conditionalFormatting>
  <conditionalFormatting sqref="AH83:AH84">
    <cfRule type="cellIs" dxfId="3743" priority="590" stopIfTrue="1" operator="equal">
      <formula>0</formula>
    </cfRule>
  </conditionalFormatting>
  <conditionalFormatting sqref="AH89:AH91">
    <cfRule type="cellIs" dxfId="3742" priority="70" stopIfTrue="1" operator="equal">
      <formula>0</formula>
    </cfRule>
  </conditionalFormatting>
  <conditionalFormatting sqref="AH93:AK93">
    <cfRule type="cellIs" dxfId="3741" priority="582" operator="equal">
      <formula>0</formula>
    </cfRule>
  </conditionalFormatting>
  <conditionalFormatting sqref="AH86:AL87">
    <cfRule type="cellIs" dxfId="3740" priority="65" stopIfTrue="1" operator="equal">
      <formula>0</formula>
    </cfRule>
  </conditionalFormatting>
  <conditionalFormatting sqref="AH92:AO92">
    <cfRule type="cellIs" dxfId="3739" priority="244" operator="lessThan">
      <formula>-0.001</formula>
    </cfRule>
  </conditionalFormatting>
  <conditionalFormatting sqref="AJ20:AL50">
    <cfRule type="expression" dxfId="3738" priority="311">
      <formula>FC20="oui"</formula>
    </cfRule>
  </conditionalFormatting>
  <conditionalFormatting sqref="AL83">
    <cfRule type="cellIs" dxfId="3737" priority="589" stopIfTrue="1" operator="equal">
      <formula>0</formula>
    </cfRule>
  </conditionalFormatting>
  <conditionalFormatting sqref="AL89:AL91">
    <cfRule type="cellIs" dxfId="3736" priority="69" stopIfTrue="1" operator="equal">
      <formula>0</formula>
    </cfRule>
  </conditionalFormatting>
  <conditionalFormatting sqref="AL93">
    <cfRule type="cellIs" dxfId="3735" priority="591" stopIfTrue="1" operator="equal">
      <formula>0</formula>
    </cfRule>
  </conditionalFormatting>
  <conditionalFormatting sqref="AM20:AO50">
    <cfRule type="expression" dxfId="3734" priority="312">
      <formula>FC20="oui"</formula>
    </cfRule>
  </conditionalFormatting>
  <conditionalFormatting sqref="AP20:AP50">
    <cfRule type="expression" dxfId="3733" priority="152">
      <formula>BL20="E"</formula>
    </cfRule>
    <cfRule type="expression" dxfId="3732" priority="155">
      <formula>BL20="B"</formula>
    </cfRule>
    <cfRule type="expression" dxfId="3731" priority="154">
      <formula>BL20="C"</formula>
    </cfRule>
    <cfRule type="expression" dxfId="3730" priority="153">
      <formula>BL20="D"</formula>
    </cfRule>
    <cfRule type="expression" dxfId="3729" priority="149">
      <formula>BL20="H"</formula>
    </cfRule>
    <cfRule type="expression" dxfId="3728" priority="150">
      <formula>BL20="G"</formula>
    </cfRule>
    <cfRule type="expression" dxfId="3727" priority="151">
      <formula>BL20="F"</formula>
    </cfRule>
  </conditionalFormatting>
  <conditionalFormatting sqref="AQ62:AU62">
    <cfRule type="expression" dxfId="3726" priority="46">
      <formula>$AT$60="Non"</formula>
    </cfRule>
  </conditionalFormatting>
  <conditionalFormatting sqref="AQ63:AU63">
    <cfRule type="expression" dxfId="3725" priority="43">
      <formula>$AT$61="Non"</formula>
    </cfRule>
  </conditionalFormatting>
  <conditionalFormatting sqref="AR20:AR50">
    <cfRule type="expression" dxfId="3724" priority="190">
      <formula>FN20=10</formula>
    </cfRule>
    <cfRule type="expression" dxfId="3723" priority="194">
      <formula>AND(AR20&lt;&gt;"",AZ20&lt;&gt;"")</formula>
    </cfRule>
    <cfRule type="expression" dxfId="3722" priority="186">
      <formula>FC20="oui"</formula>
    </cfRule>
    <cfRule type="expression" dxfId="3721" priority="178">
      <formula>AB20=""</formula>
    </cfRule>
  </conditionalFormatting>
  <conditionalFormatting sqref="AR17:BJ50">
    <cfRule type="expression" dxfId="3720" priority="49">
      <formula>$EX$13="oui"</formula>
    </cfRule>
  </conditionalFormatting>
  <conditionalFormatting sqref="AS51:BJ51 DK51">
    <cfRule type="expression" dxfId="3719" priority="139">
      <formula>$EX$13="oui"</formula>
    </cfRule>
  </conditionalFormatting>
  <conditionalFormatting sqref="AT4:AT10">
    <cfRule type="expression" dxfId="3718" priority="506">
      <formula>AU4="H"</formula>
    </cfRule>
    <cfRule type="expression" dxfId="3717" priority="507">
      <formula>AU4="G"</formula>
    </cfRule>
    <cfRule type="expression" dxfId="3716" priority="508">
      <formula>AU4="F"</formula>
    </cfRule>
    <cfRule type="expression" dxfId="3715" priority="509">
      <formula>AU4="E"</formula>
    </cfRule>
    <cfRule type="expression" dxfId="3714" priority="510">
      <formula>AU4="D"</formula>
    </cfRule>
    <cfRule type="expression" dxfId="3713" priority="512">
      <formula>AU4="B"</formula>
    </cfRule>
    <cfRule type="expression" dxfId="3712" priority="511">
      <formula>AU4="C"</formula>
    </cfRule>
  </conditionalFormatting>
  <conditionalFormatting sqref="AT20:AT50">
    <cfRule type="expression" dxfId="3711" priority="189">
      <formula>FC20="oui"</formula>
    </cfRule>
    <cfRule type="expression" dxfId="3710" priority="185">
      <formula>AB20=""</formula>
    </cfRule>
  </conditionalFormatting>
  <conditionalFormatting sqref="AU4:AU10">
    <cfRule type="expression" dxfId="3709" priority="437">
      <formula>AT4=""</formula>
    </cfRule>
    <cfRule type="expression" dxfId="3708" priority="438">
      <formula>FG4="rouge"</formula>
    </cfRule>
  </conditionalFormatting>
  <conditionalFormatting sqref="AU20:AU50">
    <cfRule type="expression" dxfId="3707" priority="193">
      <formula>FC20="oui"</formula>
    </cfRule>
    <cfRule type="expression" dxfId="3706" priority="184">
      <formula>AB20=""</formula>
    </cfRule>
  </conditionalFormatting>
  <conditionalFormatting sqref="AW20:AX50">
    <cfRule type="expression" dxfId="3705" priority="198">
      <formula>VLOOKUP(AW20,base_feries,1,FALSE)</formula>
    </cfRule>
    <cfRule type="expression" dxfId="3704" priority="197">
      <formula>OR(WEEKDAY(AW20,2)=6,WEEKDAY(AW20,2)=7)</formula>
    </cfRule>
    <cfRule type="expression" dxfId="3703" priority="196">
      <formula>WEEKDAY(AW20,2)=7</formula>
    </cfRule>
  </conditionalFormatting>
  <conditionalFormatting sqref="AX62:AZ62">
    <cfRule type="expression" dxfId="3702" priority="45">
      <formula>$AX$60="Non"</formula>
    </cfRule>
  </conditionalFormatting>
  <conditionalFormatting sqref="AX63:AZ63">
    <cfRule type="expression" dxfId="3701" priority="42">
      <formula>$AX$61="Non"</formula>
    </cfRule>
  </conditionalFormatting>
  <conditionalFormatting sqref="AZ20:AZ50">
    <cfRule type="expression" dxfId="3700" priority="50">
      <formula>AB20=""</formula>
    </cfRule>
    <cfRule type="expression" dxfId="3699" priority="53">
      <formula>AND(AR20&lt;&gt;"",AZ20&lt;&gt;"")</formula>
    </cfRule>
    <cfRule type="expression" dxfId="3698" priority="52">
      <formula>FL20=10</formula>
    </cfRule>
    <cfRule type="expression" dxfId="3697" priority="51">
      <formula>FC20="oui"</formula>
    </cfRule>
  </conditionalFormatting>
  <conditionalFormatting sqref="BA20:BA50">
    <cfRule type="expression" dxfId="3696" priority="187">
      <formula>FC20="oui"</formula>
    </cfRule>
    <cfRule type="expression" dxfId="3695" priority="183">
      <formula>AB20=""</formula>
    </cfRule>
  </conditionalFormatting>
  <conditionalFormatting sqref="BA62">
    <cfRule type="expression" dxfId="3694" priority="44">
      <formula>$BA$60="Non"</formula>
    </cfRule>
  </conditionalFormatting>
  <conditionalFormatting sqref="BA63">
    <cfRule type="expression" dxfId="3693" priority="41">
      <formula>$BA$61="Non"</formula>
    </cfRule>
  </conditionalFormatting>
  <conditionalFormatting sqref="BA102 BA103:BH115">
    <cfRule type="expression" dxfId="3692" priority="99">
      <formula>$DP$8=52</formula>
    </cfRule>
  </conditionalFormatting>
  <conditionalFormatting sqref="BA137">
    <cfRule type="expression" dxfId="3691" priority="68">
      <formula>$DP$8=52</formula>
    </cfRule>
  </conditionalFormatting>
  <conditionalFormatting sqref="BA138:BH149">
    <cfRule type="expression" dxfId="3690" priority="66">
      <formula>$DP$8=52</formula>
    </cfRule>
  </conditionalFormatting>
  <conditionalFormatting sqref="BC20:BC55">
    <cfRule type="cellIs" dxfId="3689" priority="192" operator="equal">
      <formula>0</formula>
    </cfRule>
    <cfRule type="expression" dxfId="3688" priority="180">
      <formula>AJ20=""</formula>
    </cfRule>
  </conditionalFormatting>
  <conditionalFormatting sqref="BC112:BH112">
    <cfRule type="expression" dxfId="3687" priority="98">
      <formula>$BA$112=""</formula>
    </cfRule>
  </conditionalFormatting>
  <conditionalFormatting sqref="BC147:BH147">
    <cfRule type="expression" dxfId="3686" priority="67">
      <formula>$BA$112=""</formula>
    </cfRule>
  </conditionalFormatting>
  <conditionalFormatting sqref="BD20:BD50">
    <cfRule type="expression" dxfId="3685" priority="181">
      <formula>FL20="oui"</formula>
    </cfRule>
  </conditionalFormatting>
  <conditionalFormatting sqref="BE20:BE50">
    <cfRule type="expression" dxfId="3684" priority="191">
      <formula>OR(BE20=0,BE20="")</formula>
    </cfRule>
  </conditionalFormatting>
  <conditionalFormatting sqref="BH20:BH50">
    <cfRule type="expression" dxfId="3683" priority="140">
      <formula>AO20=""</formula>
    </cfRule>
    <cfRule type="cellIs" dxfId="3682" priority="177" operator="equal">
      <formula>0</formula>
    </cfRule>
  </conditionalFormatting>
  <conditionalFormatting sqref="BI9:BI14">
    <cfRule type="cellIs" dxfId="3681" priority="106" operator="equal">
      <formula>0</formula>
    </cfRule>
  </conditionalFormatting>
  <conditionalFormatting sqref="BQ54">
    <cfRule type="expression" dxfId="3680" priority="483">
      <formula>$BW$41="Non"</formula>
    </cfRule>
  </conditionalFormatting>
  <conditionalFormatting sqref="BQ36:CA36">
    <cfRule type="expression" dxfId="3679" priority="484">
      <formula>$BW$41="Oui"</formula>
    </cfRule>
  </conditionalFormatting>
  <conditionalFormatting sqref="BS21:CA34">
    <cfRule type="expression" dxfId="3678" priority="85">
      <formula>$EO$12="NON"</formula>
    </cfRule>
  </conditionalFormatting>
  <conditionalFormatting sqref="BY28:BY33">
    <cfRule type="notContainsBlanks" dxfId="3677" priority="86">
      <formula>LEN(TRIM(BY28))&gt;0</formula>
    </cfRule>
  </conditionalFormatting>
  <conditionalFormatting sqref="BY56">
    <cfRule type="duplicateValues" dxfId="3676" priority="537"/>
    <cfRule type="expression" dxfId="3675" priority="536">
      <formula>$BW$41="Oui"</formula>
    </cfRule>
  </conditionalFormatting>
  <conditionalFormatting sqref="BY60">
    <cfRule type="expression" dxfId="3674" priority="527">
      <formula>$BW$41="Oui"</formula>
    </cfRule>
    <cfRule type="cellIs" dxfId="3673" priority="528" operator="lessThan">
      <formula>$BY$59</formula>
    </cfRule>
    <cfRule type="duplicateValues" dxfId="3672" priority="529"/>
  </conditionalFormatting>
  <conditionalFormatting sqref="CA56">
    <cfRule type="expression" dxfId="3671" priority="285">
      <formula>AND($CA$56&lt;$CE$47,$BW$41="Non")</formula>
    </cfRule>
  </conditionalFormatting>
  <conditionalFormatting sqref="CB78">
    <cfRule type="cellIs" dxfId="3670" priority="630" stopIfTrue="1" operator="equal">
      <formula>"NON"</formula>
    </cfRule>
    <cfRule type="cellIs" dxfId="3669" priority="631" stopIfTrue="1" operator="equal">
      <formula>"OUI"</formula>
    </cfRule>
  </conditionalFormatting>
  <conditionalFormatting sqref="CE53:CE54">
    <cfRule type="expression" dxfId="3668" priority="158">
      <formula>$BW$41="Non"</formula>
    </cfRule>
  </conditionalFormatting>
  <conditionalFormatting sqref="CE57:CE58">
    <cfRule type="expression" dxfId="3667" priority="157">
      <formula>$BW$41="Non"</formula>
    </cfRule>
  </conditionalFormatting>
  <conditionalFormatting sqref="CE3:CF3">
    <cfRule type="expression" dxfId="3666" priority="119">
      <formula>$CD$3=""</formula>
    </cfRule>
    <cfRule type="expression" dxfId="3665" priority="118">
      <formula>AND($CE$3="",$CE$5&lt;&gt;"")</formula>
    </cfRule>
    <cfRule type="expression" dxfId="3664" priority="117">
      <formula>$FX$3="vrai"</formula>
    </cfRule>
  </conditionalFormatting>
  <conditionalFormatting sqref="CE5:CF5">
    <cfRule type="expression" dxfId="3663" priority="126">
      <formula>OR(AND(CE5&lt;&gt;0,CE5&lt;AJ4),AND(CE5&lt;&gt;0,CE5&gt;EG5),AND(CE5&lt;&gt;0,CE5&lt;AB20))</formula>
    </cfRule>
    <cfRule type="expression" dxfId="3662" priority="125">
      <formula>CD5=""</formula>
    </cfRule>
    <cfRule type="expression" dxfId="3661" priority="124">
      <formula>$FX$5="vrai"</formula>
    </cfRule>
  </conditionalFormatting>
  <conditionalFormatting sqref="CE8:CF8">
    <cfRule type="cellIs" dxfId="3660" priority="123" operator="greaterThan">
      <formula>$CE$5</formula>
    </cfRule>
    <cfRule type="expression" dxfId="3659" priority="122">
      <formula>AND(CE8&lt;&gt;0,CE8&lt;AJ4)</formula>
    </cfRule>
    <cfRule type="expression" dxfId="3658" priority="121">
      <formula>CD8=""</formula>
    </cfRule>
    <cfRule type="expression" dxfId="3657" priority="120">
      <formula>$FX$8="vrai"</formula>
    </cfRule>
  </conditionalFormatting>
  <conditionalFormatting sqref="CF47">
    <cfRule type="notContainsBlanks" dxfId="3656" priority="470">
      <formula>LEN(TRIM(CF47))&gt;0</formula>
    </cfRule>
  </conditionalFormatting>
  <conditionalFormatting sqref="CF49">
    <cfRule type="notContainsBlanks" dxfId="3655" priority="469">
      <formula>LEN(TRIM(CF49))&gt;0</formula>
    </cfRule>
  </conditionalFormatting>
  <conditionalFormatting sqref="CF53:CF54">
    <cfRule type="expression" dxfId="3654" priority="161">
      <formula>$BW$41="Non"</formula>
    </cfRule>
  </conditionalFormatting>
  <conditionalFormatting sqref="CF57:CF58">
    <cfRule type="expression" dxfId="3653" priority="159">
      <formula>$BW$41="Non"</formula>
    </cfRule>
  </conditionalFormatting>
  <conditionalFormatting sqref="CG8:CI8">
    <cfRule type="expression" dxfId="3652" priority="253">
      <formula>CD8=""</formula>
    </cfRule>
  </conditionalFormatting>
  <conditionalFormatting sqref="GW16:HR16">
    <cfRule type="expression" dxfId="3651" priority="460">
      <formula>$AE$123="NON"</formula>
    </cfRule>
  </conditionalFormatting>
  <conditionalFormatting sqref="HG16:HJ16">
    <cfRule type="expression" dxfId="3650" priority="4951">
      <formula>AR123&gt;0</formula>
    </cfRule>
  </conditionalFormatting>
  <conditionalFormatting sqref="HK16:HN16">
    <cfRule type="expression" dxfId="3649" priority="495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2"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2"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6"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DATE(YEAR(Janvier!X3),MONTH(Janvier!X3)+3,DAY(Janvier!X3))</f>
        <v>45748</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14</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IF(Mars!BY8="OUI","Contrat fini",BY2)</f>
        <v>Fiche info</v>
      </c>
      <c r="EF4" s="333" t="s">
        <v>1044</v>
      </c>
      <c r="EG4" s="755">
        <f>+Identification!B95</f>
        <v>0</v>
      </c>
      <c r="FG4" s="333" t="str">
        <f>IFERROR(IF(VLOOKUP(AT4,Mars!$AT$4:$AU$10,2,FALSE)&lt;&gt;Avril!AU4,"rouge","ok"),0)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45748</v>
      </c>
      <c r="Y5" s="1948"/>
      <c r="Z5" s="1953" t="s">
        <v>460</v>
      </c>
      <c r="AA5" s="1953"/>
      <c r="AB5" s="1948">
        <f>+IF(AND(DATE(YEAR(EG4),MONTH(EG4),DAY(EG4))&gt;=DATE(YEAR(X3),MONTH(X3),DAY(X3)),DATE(YEAR(EG4),MONTH(EG4),DAY(EG4))&lt;=DATE(YEAR(X3),MONTH(X3),DAY(EOMONTH(X3,0)))),EG4,EOMONTH(X3,0))</f>
        <v>45777</v>
      </c>
      <c r="AC5" s="1952"/>
      <c r="AP5" s="211"/>
      <c r="AQ5" s="336"/>
      <c r="AR5" s="211"/>
      <c r="AS5" s="212"/>
      <c r="AT5" s="319">
        <f t="array" ref="AT5">IFERROR(INDEX($BK$20:$BK$50,MATCH(0,INDEX(COUNTIF($AT$3:AT4,$BK$20:$BK$50),0,0),0)),"")</f>
        <v>15</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45777</v>
      </c>
      <c r="FG5" s="333">
        <f>IFERROR(IF(VLOOKUP(AT5,Mars!$AT$4:$AU$10,2,FALSE)&lt;&gt;Avril!AU5,"rouge","ok"),0)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16</v>
      </c>
      <c r="AU6" s="1144" t="s">
        <v>235</v>
      </c>
      <c r="BQ6" s="596"/>
      <c r="BR6" s="596"/>
      <c r="BS6" s="596"/>
      <c r="BT6" s="596"/>
      <c r="BU6" s="596"/>
      <c r="BV6" s="596"/>
      <c r="BW6" s="596"/>
      <c r="BX6" s="597" t="s">
        <v>520</v>
      </c>
      <c r="BY6" s="598" t="str">
        <f>+IF(BZ6="",Mars!BY6,BZ6)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IFERROR(IF(VLOOKUP(AT6,Mars!$AT$4:$AU$10,2,FALSE)&lt;&gt;Avril!AU6,"rouge","ok"),0)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17</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IFERROR(IF(VLOOKUP(AT7,Mars!$AT$4:$AU$10,2,FALSE)&lt;&gt;Avril!AU7,"rouge","ok"),0)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18</v>
      </c>
      <c r="AU8" s="1144" t="s">
        <v>235</v>
      </c>
      <c r="BG8" s="252"/>
      <c r="BH8" s="1462" t="str">
        <f>+AT3</f>
        <v>N° Sem.</v>
      </c>
      <c r="BI8" s="1463" t="s">
        <v>1580</v>
      </c>
      <c r="BQ8" s="2132" t="s">
        <v>219</v>
      </c>
      <c r="BR8" s="2133"/>
      <c r="BS8" s="2133"/>
      <c r="BT8" s="2133"/>
      <c r="BU8" s="2133"/>
      <c r="BV8" s="2133"/>
      <c r="BW8" s="2133"/>
      <c r="BX8" s="2133"/>
      <c r="BY8" s="985" t="str">
        <f>IF(BZ8="",Mars!BY8,BZ8)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IFERROR(IF(VLOOKUP(AT8,Mars!$AT$4:$AU$10,2,FALSE)&lt;&gt;Avril!AU8,"rouge","ok"),0)</f>
        <v>0</v>
      </c>
      <c r="FX8" s="129" t="str">
        <f>+IF(AND(CD8="",CE8&lt;&gt;""),"vrai","faux")</f>
        <v>faux</v>
      </c>
    </row>
    <row r="9" spans="1:226" ht="11.2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142025</v>
      </c>
      <c r="BH9" s="1464">
        <f t="shared" ref="BH9:BH14" si="0">+AT4</f>
        <v>14</v>
      </c>
      <c r="BI9" s="1465">
        <f>IF($AR$13=S.CAL!$CU$2,+SUMIF(S.CAL!$FW$3:$FW$374,BG9,S.CAL!$FX$3:$FX$374),IF($AR$13=S.CAL!$CU$3,SUMIF(Feuilles_de_présence_planning!$EG$12:$EG$537,BG9,Feuilles_de_présence_planning!$EE$12:$EE$537),"err"))</f>
        <v>0</v>
      </c>
      <c r="BY9" s="198" t="str">
        <f>+IF(Mars!BY8="OUI","FIN","O")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IFERROR(IF(VLOOKUP(AT9,Mars!$AT$4:$AU$10,2,FALSE)&lt;&gt;Avril!AU9,"rouge","ok"),0)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152025</v>
      </c>
      <c r="BH10" s="1464">
        <f t="shared" si="0"/>
        <v>15</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IFERROR(IF(VLOOKUP(AT10,Mars!$AT$4:$AU$10,2,FALSE)&lt;&gt;Avril!AU10,"rouge","ok"),0)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162025</v>
      </c>
      <c r="BH11" s="1464">
        <f t="shared" si="0"/>
        <v>16</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172025</v>
      </c>
      <c r="BH12" s="1464">
        <f t="shared" si="0"/>
        <v>17</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+IF(AJ4&lt;DATE(YEAR(EI21)-2,6,1),DATE(YEAR(EI21)-2,6,1),DATE(YEAR(AJ4),MONTH(AJ4),1))</f>
        <v>45078</v>
      </c>
      <c r="EG12" s="333">
        <f>IFERROR(+DATEDIF(EF12,DATE(YEAR(EH12),MONTH(EH12),DAY(EH12)),"m"),0)</f>
        <v>12</v>
      </c>
      <c r="EH12" s="755">
        <f>+IF(AJ4&lt;DATE(YEAR(EI21)-1,6,1),DATE(YEAR(EI21)-1,6,1),DATE(YEAR(AJ4),MONTH(AJ4),1))</f>
        <v>45444</v>
      </c>
      <c r="EI12" s="333">
        <f>IFERROR(+DATEDIF(EH12,DATE(YEAR(EI22),MONTH(EI22)+1,1),"m"),0)</f>
        <v>11</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IF(AR14="",Mars!AR13,AR14)</f>
        <v>à partir du tableau ci-dessous</v>
      </c>
      <c r="AS13" s="2296"/>
      <c r="AT13" s="2296"/>
      <c r="AU13" s="2296"/>
      <c r="AV13" s="2296"/>
      <c r="AW13" s="2296"/>
      <c r="AX13" s="2296"/>
      <c r="AY13" s="2296"/>
      <c r="AZ13" s="2296"/>
      <c r="BA13" s="2308" t="s">
        <v>1102</v>
      </c>
      <c r="BB13" s="2308"/>
      <c r="BC13" s="2308"/>
      <c r="BD13" s="971"/>
      <c r="BG13" s="1453" t="str">
        <f t="shared" si="1"/>
        <v>182025</v>
      </c>
      <c r="BH13" s="1464">
        <f t="shared" si="0"/>
        <v>18</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W13" s="333" t="s">
        <v>979</v>
      </c>
      <c r="EX13" s="333" t="str">
        <f>+IF(AR13=S.CAL!CU3,"oui","non")</f>
        <v>non</v>
      </c>
    </row>
    <row r="14" spans="1:226" ht="12.7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+Mars!EF16</f>
        <v>0</v>
      </c>
      <c r="EG16" s="759">
        <f>+Mars!EG16</f>
        <v>0</v>
      </c>
      <c r="EH16" s="759">
        <f>+Mars!EH16+Mars!EH17</f>
        <v>0</v>
      </c>
      <c r="EI16" s="759">
        <f>+Mars!EI16+Mars!EI17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Avril'!D18:D48,"&gt;0")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45748</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14</v>
      </c>
      <c r="AQ20" s="340"/>
      <c r="AR20" s="1145"/>
      <c r="AS20" s="332">
        <f t="shared" ref="AS20:AS50" si="3">SUM(AD20:AL20)</f>
        <v>0</v>
      </c>
      <c r="AT20" s="1146"/>
      <c r="AU20" s="1146"/>
      <c r="AV20" s="332"/>
      <c r="AW20" s="1989">
        <f>AB20</f>
        <v>45748</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infoA2</v>
      </c>
      <c r="BK20" s="129">
        <f>IFERROR(WEEKNUM(AB20,21),"")</f>
        <v>14</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26</v>
      </c>
      <c r="EQ20" s="766">
        <f>+AB20</f>
        <v>45748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45748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14</v>
      </c>
      <c r="GA20" s="129">
        <f>+$X$4</f>
        <v>2025</v>
      </c>
      <c r="GB20" s="129" t="str">
        <f>+FZ20&amp;GA20</f>
        <v>142025</v>
      </c>
      <c r="GC20" s="225">
        <f>IF(AND($GD$53=S.CAL!$P$3,$GD$52=FZ20),GE20,IF(BH20="",0,BH20))</f>
        <v>0</v>
      </c>
      <c r="GD20" s="129" t="str">
        <f>IFERROR(+Mai!$BY$2&amp;BL20&amp;BM20,0)</f>
        <v>Fiche infoA2</v>
      </c>
      <c r="GE20" s="129" t="str">
        <f t="shared" ref="GE20:GE50" si="19">+IFERROR(VLOOKUP(GD20,Base_heures,6,FALSE),"")</f>
        <v/>
      </c>
      <c r="GF20" s="225" t="str">
        <f>IF(FP20=1,GG20,AM20)</f>
        <v/>
      </c>
      <c r="GG20" s="1469" t="str">
        <f>+'Retenue Avril'!D18</f>
        <v/>
      </c>
      <c r="GH20" s="1469">
        <f>+'Retenue Avril'!BF18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45749</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45749</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infoA3</v>
      </c>
      <c r="BK21" s="129">
        <f t="shared" ref="BK21" si="27">IFERROR(WEEKNUM(AB21,21),"")</f>
        <v>14</v>
      </c>
      <c r="BL21" s="129" t="str">
        <f t="shared" si="4"/>
        <v>A</v>
      </c>
      <c r="BM21" s="129">
        <f t="shared" si="5"/>
        <v>3</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45748</v>
      </c>
      <c r="EJ21" s="755"/>
      <c r="EK21" s="755"/>
      <c r="EQ21" s="766">
        <f t="shared" ref="EQ21" si="28">+AB21</f>
        <v>45749</v>
      </c>
      <c r="ER21" s="767">
        <f t="shared" si="10"/>
        <v>0</v>
      </c>
      <c r="ES21" s="768">
        <f t="shared" si="11"/>
        <v>0</v>
      </c>
      <c r="ET21" s="767">
        <f t="shared" si="12"/>
        <v>0</v>
      </c>
      <c r="EU21" s="768">
        <f t="shared" si="13"/>
        <v>0</v>
      </c>
      <c r="EV21" s="767" t="str">
        <f t="shared" si="14"/>
        <v/>
      </c>
      <c r="EW21" s="769">
        <f t="shared" ref="EW21:EW50" si="29">+EQ21</f>
        <v>45749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14</v>
      </c>
      <c r="GA21" s="129">
        <f t="shared" ref="GA21:GA50" si="39">+$X$4</f>
        <v>2025</v>
      </c>
      <c r="GB21" s="129" t="str">
        <f t="shared" ref="GB21:GB48" si="40">+FZ21&amp;GA21</f>
        <v>142025</v>
      </c>
      <c r="GC21" s="225">
        <f>IF(AND($GD$53=S.CAL!$P$3,$GD$52=FZ21),GE21,IF(BH21="",0,BH21))</f>
        <v>0</v>
      </c>
      <c r="GD21" s="129" t="str">
        <f>IFERROR(+Mai!$BY$2&amp;BL21&amp;BM21,0)</f>
        <v>Fiche infoA3</v>
      </c>
      <c r="GE21" s="129" t="str">
        <f t="shared" si="19"/>
        <v/>
      </c>
      <c r="GF21" s="225" t="str">
        <f t="shared" ref="GF21:GF48" si="41">IF(FP21=1,GG21,AM21)</f>
        <v/>
      </c>
      <c r="GG21" s="1469" t="str">
        <f>+'Retenue Avril'!D19</f>
        <v/>
      </c>
      <c r="GH21" s="1469">
        <f>+'Retenue Avril'!BF19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45750</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45750</v>
      </c>
      <c r="AX22" s="1878"/>
      <c r="AY22" s="332"/>
      <c r="AZ22" s="1126"/>
      <c r="BA22" s="993"/>
      <c r="BB22" s="561"/>
      <c r="BC22" s="566">
        <f t="shared" si="23"/>
        <v>0</v>
      </c>
      <c r="BD22" s="1126"/>
      <c r="BE22" s="825">
        <f t="shared" si="24"/>
        <v>0</v>
      </c>
      <c r="BF22" s="1150"/>
      <c r="BG22" s="224"/>
      <c r="BH22" s="566" t="str">
        <f t="shared" si="25"/>
        <v/>
      </c>
      <c r="BI22" s="1150"/>
      <c r="BJ22" s="129" t="str">
        <f t="shared" si="26"/>
        <v>Fiche infoA4</v>
      </c>
      <c r="BK22" s="129">
        <f t="shared" ref="BK22:BK50" si="49">IFERROR(WEEKNUM(AB22,21),"")</f>
        <v>14</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45777</v>
      </c>
      <c r="EJ22" s="755"/>
      <c r="EK22" s="755"/>
      <c r="EQ22" s="766">
        <f t="shared" ref="EQ22:EQ50" si="53">+AB22</f>
        <v>45750</v>
      </c>
      <c r="ER22" s="767">
        <f t="shared" si="10"/>
        <v>0</v>
      </c>
      <c r="ES22" s="768">
        <f t="shared" si="11"/>
        <v>0</v>
      </c>
      <c r="ET22" s="767">
        <f t="shared" si="12"/>
        <v>0</v>
      </c>
      <c r="EU22" s="768">
        <f t="shared" si="13"/>
        <v>0</v>
      </c>
      <c r="EV22" s="767" t="str">
        <f t="shared" si="14"/>
        <v/>
      </c>
      <c r="EW22" s="769">
        <f t="shared" si="29"/>
        <v>45750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14</v>
      </c>
      <c r="GA22" s="129">
        <f t="shared" si="39"/>
        <v>2025</v>
      </c>
      <c r="GB22" s="129" t="str">
        <f t="shared" si="40"/>
        <v>142025</v>
      </c>
      <c r="GC22" s="225">
        <f>IF(AND($GD$53=S.CAL!$P$3,$GD$52=FZ22),GE22,IF(BH22="",0,BH22))</f>
        <v>0</v>
      </c>
      <c r="GD22" s="129" t="str">
        <f>IFERROR(+Mai!$BY$2&amp;BL22&amp;BM22,0)</f>
        <v>Fiche infoA4</v>
      </c>
      <c r="GE22" s="129" t="str">
        <f t="shared" si="19"/>
        <v/>
      </c>
      <c r="GF22" s="225" t="str">
        <f t="shared" si="41"/>
        <v/>
      </c>
      <c r="GG22" s="1469" t="str">
        <f>+'Retenue Avril'!D20</f>
        <v/>
      </c>
      <c r="GH22" s="1469">
        <f>+'Retenue Avril'!BF20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45751</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45751</v>
      </c>
      <c r="AX23" s="1878"/>
      <c r="AY23" s="332"/>
      <c r="AZ23" s="1126"/>
      <c r="BA23" s="993"/>
      <c r="BB23" s="561"/>
      <c r="BC23" s="566">
        <f t="shared" si="23"/>
        <v>0</v>
      </c>
      <c r="BD23" s="1126"/>
      <c r="BE23" s="825">
        <f t="shared" si="24"/>
        <v>0</v>
      </c>
      <c r="BF23" s="1150"/>
      <c r="BG23" s="224"/>
      <c r="BH23" s="566" t="str">
        <f t="shared" si="25"/>
        <v/>
      </c>
      <c r="BI23" s="1150"/>
      <c r="BJ23" s="129" t="str">
        <f t="shared" si="26"/>
        <v>Fiche infoA5</v>
      </c>
      <c r="BK23" s="129">
        <f t="shared" si="49"/>
        <v>14</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45751</v>
      </c>
      <c r="ER23" s="767">
        <f t="shared" si="10"/>
        <v>0</v>
      </c>
      <c r="ES23" s="768">
        <f t="shared" si="11"/>
        <v>0</v>
      </c>
      <c r="ET23" s="767">
        <f t="shared" si="12"/>
        <v>0</v>
      </c>
      <c r="EU23" s="768">
        <f t="shared" si="13"/>
        <v>0</v>
      </c>
      <c r="EV23" s="767" t="str">
        <f t="shared" si="14"/>
        <v/>
      </c>
      <c r="EW23" s="769">
        <f t="shared" si="29"/>
        <v>45751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14</v>
      </c>
      <c r="GA23" s="129">
        <f t="shared" si="39"/>
        <v>2025</v>
      </c>
      <c r="GB23" s="129" t="str">
        <f t="shared" si="40"/>
        <v>142025</v>
      </c>
      <c r="GC23" s="225">
        <f>IF(AND($GD$53=S.CAL!$P$3,$GD$52=FZ23),GE23,IF(BH23="",0,BH23))</f>
        <v>0</v>
      </c>
      <c r="GD23" s="129" t="str">
        <f>IFERROR(+Mai!$BY$2&amp;BL23&amp;BM23,0)</f>
        <v>Fiche infoA5</v>
      </c>
      <c r="GE23" s="129" t="str">
        <f t="shared" si="19"/>
        <v/>
      </c>
      <c r="GF23" s="225" t="str">
        <f t="shared" si="41"/>
        <v/>
      </c>
      <c r="GG23" s="1469" t="str">
        <f>+'Retenue Avril'!D21</f>
        <v/>
      </c>
      <c r="GH23" s="1469">
        <f>+'Retenue Avril'!BF21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45752</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45752</v>
      </c>
      <c r="AX24" s="1878"/>
      <c r="AY24" s="332"/>
      <c r="AZ24" s="1126"/>
      <c r="BA24" s="993"/>
      <c r="BB24" s="561"/>
      <c r="BC24" s="566">
        <f t="shared" si="23"/>
        <v>0</v>
      </c>
      <c r="BD24" s="1126"/>
      <c r="BE24" s="825">
        <f t="shared" si="24"/>
        <v>0</v>
      </c>
      <c r="BF24" s="1150"/>
      <c r="BG24" s="224"/>
      <c r="BH24" s="566" t="str">
        <f t="shared" si="25"/>
        <v/>
      </c>
      <c r="BI24" s="1150"/>
      <c r="BJ24" s="129" t="str">
        <f t="shared" si="26"/>
        <v>Fiche infoA6</v>
      </c>
      <c r="BK24" s="129">
        <f t="shared" si="49"/>
        <v>14</v>
      </c>
      <c r="BL24" s="129" t="str">
        <f t="shared" si="4"/>
        <v>A</v>
      </c>
      <c r="BM24" s="129">
        <f t="shared" si="50"/>
        <v>6</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45752</v>
      </c>
      <c r="ER24" s="767">
        <f t="shared" si="10"/>
        <v>0</v>
      </c>
      <c r="ES24" s="768">
        <f t="shared" si="11"/>
        <v>0</v>
      </c>
      <c r="ET24" s="767">
        <f t="shared" si="12"/>
        <v>0</v>
      </c>
      <c r="EU24" s="768">
        <f t="shared" si="13"/>
        <v>0</v>
      </c>
      <c r="EV24" s="767" t="str">
        <f t="shared" si="14"/>
        <v/>
      </c>
      <c r="EW24" s="769">
        <f t="shared" si="29"/>
        <v>45752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14</v>
      </c>
      <c r="GA24" s="129">
        <f t="shared" si="39"/>
        <v>2025</v>
      </c>
      <c r="GB24" s="129" t="str">
        <f t="shared" si="40"/>
        <v>142025</v>
      </c>
      <c r="GC24" s="225">
        <f>IF(AND($GD$53=S.CAL!$P$3,$GD$52=FZ24),GE24,IF(BH24="",0,BH24))</f>
        <v>0</v>
      </c>
      <c r="GD24" s="129" t="str">
        <f>IFERROR(+Mai!$BY$2&amp;BL24&amp;BM24,0)</f>
        <v>Fiche infoA6</v>
      </c>
      <c r="GE24" s="129" t="str">
        <f t="shared" si="19"/>
        <v/>
      </c>
      <c r="GF24" s="225" t="str">
        <f t="shared" si="41"/>
        <v/>
      </c>
      <c r="GG24" s="1469" t="str">
        <f>+'Retenue Avril'!D22</f>
        <v/>
      </c>
      <c r="GH24" s="1469">
        <f>+'Retenue Avril'!BF22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Avril'!R48*-1)</f>
        <v>#DIV/0!</v>
      </c>
      <c r="M25" s="1811"/>
      <c r="N25" s="1811"/>
      <c r="O25" s="1812"/>
      <c r="P25" s="1816" t="e">
        <f>+IF(L25,T25/L25,0)</f>
        <v>#DIV/0!</v>
      </c>
      <c r="Q25" s="1817"/>
      <c r="R25" s="1817"/>
      <c r="S25" s="1818"/>
      <c r="T25" s="1913">
        <f>IF(A18="Salaire heures normales réelles",0,'Retenue Avril'!R52*-1)</f>
        <v>0</v>
      </c>
      <c r="U25" s="1914"/>
      <c r="V25" s="1914"/>
      <c r="W25" s="1915"/>
      <c r="X25" s="226"/>
      <c r="Y25" s="226"/>
      <c r="Z25" s="226"/>
      <c r="AA25" s="903" t="str">
        <f>IF(AND(BE25="OUI",$AR$13=S.CAL!$CU$2),"►",IF(AND(EV25="OUI",$AR$13=S.CAL!$CU$3),"►",""))</f>
        <v/>
      </c>
      <c r="AB25" s="1877">
        <f>+$X$3+5</f>
        <v>45753</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45753</v>
      </c>
      <c r="AX25" s="1878"/>
      <c r="AY25" s="332"/>
      <c r="AZ25" s="1126"/>
      <c r="BA25" s="993"/>
      <c r="BB25" s="561"/>
      <c r="BC25" s="566">
        <f t="shared" si="23"/>
        <v>0</v>
      </c>
      <c r="BD25" s="1126"/>
      <c r="BE25" s="825">
        <f t="shared" si="24"/>
        <v>0</v>
      </c>
      <c r="BF25" s="1150"/>
      <c r="BG25" s="224"/>
      <c r="BH25" s="566" t="str">
        <f t="shared" si="25"/>
        <v/>
      </c>
      <c r="BI25" s="1150"/>
      <c r="BJ25" s="129" t="str">
        <f t="shared" si="26"/>
        <v>Fiche infoA7</v>
      </c>
      <c r="BK25" s="129">
        <f t="shared" si="49"/>
        <v>14</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45753</v>
      </c>
      <c r="ER25" s="767">
        <f t="shared" si="10"/>
        <v>0</v>
      </c>
      <c r="ES25" s="768">
        <f t="shared" si="11"/>
        <v>0</v>
      </c>
      <c r="ET25" s="767">
        <f t="shared" si="12"/>
        <v>0</v>
      </c>
      <c r="EU25" s="768">
        <f t="shared" si="13"/>
        <v>0</v>
      </c>
      <c r="EV25" s="767" t="str">
        <f t="shared" si="14"/>
        <v/>
      </c>
      <c r="EW25" s="769">
        <f t="shared" si="29"/>
        <v>45753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14</v>
      </c>
      <c r="GA25" s="129">
        <f t="shared" si="39"/>
        <v>2025</v>
      </c>
      <c r="GB25" s="129" t="str">
        <f t="shared" si="40"/>
        <v>142025</v>
      </c>
      <c r="GC25" s="225">
        <f>IF(AND($GD$53=S.CAL!$P$3,$GD$52=FZ25),GE25,IF(BH25="",0,BH25))</f>
        <v>0</v>
      </c>
      <c r="GD25" s="129" t="str">
        <f>IFERROR(+Mai!$BY$2&amp;BL25&amp;BM25,0)</f>
        <v>Fiche infoA7</v>
      </c>
      <c r="GE25" s="129" t="str">
        <f t="shared" si="19"/>
        <v/>
      </c>
      <c r="GF25" s="225" t="str">
        <f t="shared" si="41"/>
        <v/>
      </c>
      <c r="GG25" s="1469" t="str">
        <f>+'Retenue Avril'!D23</f>
        <v/>
      </c>
      <c r="GH25" s="1469">
        <f>+'Retenue Avril'!BF23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Avril'!R50*-1)</f>
        <v>#DIV/0!</v>
      </c>
      <c r="M26" s="1811"/>
      <c r="N26" s="1811"/>
      <c r="O26" s="1812"/>
      <c r="P26" s="1816" t="e">
        <f>+IF(L26,T26/L26,0)</f>
        <v>#DIV/0!</v>
      </c>
      <c r="Q26" s="1817"/>
      <c r="R26" s="1817"/>
      <c r="S26" s="1818"/>
      <c r="T26" s="1913">
        <f>IF(A18="Salaire heures normales réelles",0,'Retenue Avril'!R54*-1)</f>
        <v>0</v>
      </c>
      <c r="U26" s="1914"/>
      <c r="V26" s="1914"/>
      <c r="W26" s="1915"/>
      <c r="X26" s="223"/>
      <c r="Y26" s="223"/>
      <c r="Z26" s="223"/>
      <c r="AA26" s="903" t="str">
        <f>IF(AND(BE26="OUI",$AR$13=S.CAL!$CU$2),"►",IF(AND(EV26="OUI",$AR$13=S.CAL!$CU$3),"►",""))</f>
        <v/>
      </c>
      <c r="AB26" s="1877">
        <f>+$X$3+6</f>
        <v>45754</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f t="shared" si="48"/>
        <v>15</v>
      </c>
      <c r="AQ26" s="340"/>
      <c r="AR26" s="1126"/>
      <c r="AS26" s="332">
        <f t="shared" si="3"/>
        <v>0</v>
      </c>
      <c r="AT26" s="1147"/>
      <c r="AU26" s="1147"/>
      <c r="AV26" s="332"/>
      <c r="AW26" s="2017">
        <f t="shared" si="22"/>
        <v>45754</v>
      </c>
      <c r="AX26" s="1878"/>
      <c r="AY26" s="332"/>
      <c r="AZ26" s="1126"/>
      <c r="BA26" s="993"/>
      <c r="BB26" s="561"/>
      <c r="BC26" s="566">
        <f t="shared" si="23"/>
        <v>0</v>
      </c>
      <c r="BD26" s="1126"/>
      <c r="BE26" s="825">
        <f t="shared" si="24"/>
        <v>0</v>
      </c>
      <c r="BF26" s="1150"/>
      <c r="BG26" s="224"/>
      <c r="BH26" s="566" t="str">
        <f t="shared" si="25"/>
        <v/>
      </c>
      <c r="BI26" s="1150"/>
      <c r="BJ26" s="129" t="str">
        <f t="shared" si="26"/>
        <v>Fiche infoA1</v>
      </c>
      <c r="BK26" s="129">
        <f t="shared" si="49"/>
        <v>15</v>
      </c>
      <c r="BL26" s="129" t="str">
        <f t="shared" si="4"/>
        <v>A</v>
      </c>
      <c r="BM26" s="129">
        <f t="shared" si="50"/>
        <v>1</v>
      </c>
      <c r="BN26" s="225" t="str">
        <f t="shared" si="60"/>
        <v>Fiche info</v>
      </c>
      <c r="BO26" s="332" t="str">
        <f t="shared" si="51"/>
        <v/>
      </c>
      <c r="BP26" s="198" t="str">
        <f t="shared" si="52"/>
        <v/>
      </c>
      <c r="BQ26" s="208"/>
      <c r="BX26" s="595"/>
      <c r="BY26" s="2085" t="s">
        <v>1114</v>
      </c>
      <c r="BZ26" s="2085" t="s">
        <v>449</v>
      </c>
      <c r="CA26" s="2083" t="s">
        <v>1115</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45754</v>
      </c>
      <c r="ER26" s="767">
        <f t="shared" si="10"/>
        <v>0</v>
      </c>
      <c r="ES26" s="768">
        <f t="shared" si="11"/>
        <v>0</v>
      </c>
      <c r="ET26" s="767">
        <f t="shared" si="12"/>
        <v>0</v>
      </c>
      <c r="EU26" s="768">
        <f t="shared" si="13"/>
        <v>0</v>
      </c>
      <c r="EV26" s="767" t="str">
        <f t="shared" si="14"/>
        <v/>
      </c>
      <c r="EW26" s="769">
        <f t="shared" si="29"/>
        <v>45754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15</v>
      </c>
      <c r="GA26" s="129">
        <f t="shared" si="39"/>
        <v>2025</v>
      </c>
      <c r="GB26" s="129" t="str">
        <f t="shared" si="40"/>
        <v>152025</v>
      </c>
      <c r="GC26" s="225">
        <f>IF(AND($GD$53=S.CAL!$P$3,$GD$52=FZ26),GE26,IF(BH26="",0,BH26))</f>
        <v>0</v>
      </c>
      <c r="GD26" s="129" t="str">
        <f>IFERROR(+Mai!$BY$2&amp;BL26&amp;BM26,0)</f>
        <v>Fiche infoA1</v>
      </c>
      <c r="GE26" s="129" t="str">
        <f t="shared" si="19"/>
        <v/>
      </c>
      <c r="GF26" s="225" t="str">
        <f t="shared" si="41"/>
        <v/>
      </c>
      <c r="GG26" s="1469" t="str">
        <f>+'Retenue Avril'!D24</f>
        <v/>
      </c>
      <c r="GH26" s="1469">
        <f>+'Retenue Avril'!BF24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45755</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45755</v>
      </c>
      <c r="AX27" s="1878"/>
      <c r="AY27" s="332"/>
      <c r="AZ27" s="1126"/>
      <c r="BA27" s="993"/>
      <c r="BB27" s="561"/>
      <c r="BC27" s="566">
        <f t="shared" si="23"/>
        <v>0</v>
      </c>
      <c r="BD27" s="1126"/>
      <c r="BE27" s="825">
        <f t="shared" si="24"/>
        <v>0</v>
      </c>
      <c r="BF27" s="1150"/>
      <c r="BG27" s="224"/>
      <c r="BH27" s="566" t="str">
        <f t="shared" si="25"/>
        <v/>
      </c>
      <c r="BI27" s="1150"/>
      <c r="BJ27" s="129" t="str">
        <f t="shared" si="26"/>
        <v>Fiche infoA2</v>
      </c>
      <c r="BK27" s="129">
        <f t="shared" si="49"/>
        <v>15</v>
      </c>
      <c r="BL27" s="129" t="str">
        <f t="shared" si="4"/>
        <v>A</v>
      </c>
      <c r="BM27" s="129">
        <f t="shared" si="50"/>
        <v>2</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45755</v>
      </c>
      <c r="ER27" s="767">
        <f t="shared" si="10"/>
        <v>0</v>
      </c>
      <c r="ES27" s="768">
        <f t="shared" si="11"/>
        <v>0</v>
      </c>
      <c r="ET27" s="767">
        <f t="shared" si="12"/>
        <v>0</v>
      </c>
      <c r="EU27" s="768">
        <f t="shared" si="13"/>
        <v>0</v>
      </c>
      <c r="EV27" s="767" t="str">
        <f t="shared" si="14"/>
        <v/>
      </c>
      <c r="EW27" s="769">
        <f t="shared" si="29"/>
        <v>45755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15</v>
      </c>
      <c r="GA27" s="129">
        <f t="shared" si="39"/>
        <v>2025</v>
      </c>
      <c r="GB27" s="129" t="str">
        <f t="shared" si="40"/>
        <v>152025</v>
      </c>
      <c r="GC27" s="225">
        <f>IF(AND($GD$53=S.CAL!$P$3,$GD$52=FZ27),GE27,IF(BH27="",0,BH27))</f>
        <v>0</v>
      </c>
      <c r="GD27" s="129" t="str">
        <f>IFERROR(+Mai!$BY$2&amp;BL27&amp;BM27,0)</f>
        <v>Fiche infoA2</v>
      </c>
      <c r="GE27" s="129" t="str">
        <f t="shared" si="19"/>
        <v/>
      </c>
      <c r="GF27" s="225" t="str">
        <f t="shared" si="41"/>
        <v/>
      </c>
      <c r="GG27" s="1469" t="str">
        <f>+'Retenue Avril'!D25</f>
        <v/>
      </c>
      <c r="GH27" s="1469">
        <f>+'Retenue Avril'!BF25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45756</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45756</v>
      </c>
      <c r="AX28" s="1878"/>
      <c r="AY28" s="332"/>
      <c r="AZ28" s="1126"/>
      <c r="BA28" s="993"/>
      <c r="BB28" s="561"/>
      <c r="BC28" s="566">
        <f t="shared" si="23"/>
        <v>0</v>
      </c>
      <c r="BD28" s="1126"/>
      <c r="BE28" s="825">
        <f t="shared" si="24"/>
        <v>0</v>
      </c>
      <c r="BF28" s="1150"/>
      <c r="BG28" s="224"/>
      <c r="BH28" s="566" t="str">
        <f t="shared" si="25"/>
        <v/>
      </c>
      <c r="BI28" s="1150"/>
      <c r="BJ28" s="129" t="str">
        <f t="shared" si="26"/>
        <v>Fiche infoA3</v>
      </c>
      <c r="BK28" s="129">
        <f t="shared" si="49"/>
        <v>15</v>
      </c>
      <c r="BL28" s="129" t="str">
        <f t="shared" si="4"/>
        <v>A</v>
      </c>
      <c r="BM28" s="129">
        <f t="shared" si="50"/>
        <v>3</v>
      </c>
      <c r="BN28" s="225" t="str">
        <f t="shared" si="60"/>
        <v>Fiche info</v>
      </c>
      <c r="BO28" s="332" t="str">
        <f t="shared" si="51"/>
        <v/>
      </c>
      <c r="BP28" s="198" t="str">
        <f t="shared" si="52"/>
        <v/>
      </c>
      <c r="BQ28" s="198"/>
      <c r="BS28" s="2012" t="str">
        <f>+"Semaine numéro : "&amp;AT4</f>
        <v>Semaine numéro : 14</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+SUMIF(Mars!$BK$20:$BK$50,AT4,Mars!$AM$20:$AO$50)</f>
        <v>0</v>
      </c>
      <c r="CD28" s="198">
        <f>+SUMIF(Mai!$BK$20:$BK$50,AT4,Mai!$AM$20:$AO$50)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45756</v>
      </c>
      <c r="ER28" s="767">
        <f t="shared" si="10"/>
        <v>0</v>
      </c>
      <c r="ES28" s="768">
        <f t="shared" si="11"/>
        <v>0</v>
      </c>
      <c r="ET28" s="767">
        <f t="shared" si="12"/>
        <v>0</v>
      </c>
      <c r="EU28" s="768">
        <f t="shared" si="13"/>
        <v>0</v>
      </c>
      <c r="EV28" s="767" t="str">
        <f t="shared" si="14"/>
        <v/>
      </c>
      <c r="EW28" s="769">
        <f t="shared" si="29"/>
        <v>45756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15</v>
      </c>
      <c r="GA28" s="129">
        <f t="shared" si="39"/>
        <v>2025</v>
      </c>
      <c r="GB28" s="129" t="str">
        <f t="shared" si="40"/>
        <v>152025</v>
      </c>
      <c r="GC28" s="225">
        <f>IF(AND($GD$53=S.CAL!$P$3,$GD$52=FZ28),GE28,IF(BH28="",0,BH28))</f>
        <v>0</v>
      </c>
      <c r="GD28" s="129" t="str">
        <f>IFERROR(+Mai!$BY$2&amp;BL28&amp;BM28,0)</f>
        <v>Fiche infoA3</v>
      </c>
      <c r="GE28" s="129" t="str">
        <f t="shared" si="19"/>
        <v/>
      </c>
      <c r="GF28" s="225" t="str">
        <f t="shared" si="41"/>
        <v/>
      </c>
      <c r="GG28" s="1469" t="str">
        <f>+'Retenue Avril'!D26</f>
        <v/>
      </c>
      <c r="GH28" s="1469">
        <f>+'Retenue Avril'!BF26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45757</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45757</v>
      </c>
      <c r="AX29" s="1878"/>
      <c r="AY29" s="332"/>
      <c r="AZ29" s="1126"/>
      <c r="BA29" s="993"/>
      <c r="BB29" s="561"/>
      <c r="BC29" s="566">
        <f t="shared" si="23"/>
        <v>0</v>
      </c>
      <c r="BD29" s="1126"/>
      <c r="BE29" s="825">
        <f t="shared" si="24"/>
        <v>0</v>
      </c>
      <c r="BF29" s="1150"/>
      <c r="BG29" s="224"/>
      <c r="BH29" s="566" t="str">
        <f t="shared" si="25"/>
        <v/>
      </c>
      <c r="BI29" s="1150"/>
      <c r="BJ29" s="129" t="str">
        <f t="shared" si="26"/>
        <v>Fiche infoA4</v>
      </c>
      <c r="BK29" s="129">
        <f t="shared" si="49"/>
        <v>15</v>
      </c>
      <c r="BL29" s="129" t="str">
        <f t="shared" si="4"/>
        <v>A</v>
      </c>
      <c r="BM29" s="129">
        <f t="shared" si="50"/>
        <v>4</v>
      </c>
      <c r="BN29" s="225" t="str">
        <f t="shared" si="60"/>
        <v>Fiche info</v>
      </c>
      <c r="BO29" s="332" t="str">
        <f t="shared" si="51"/>
        <v/>
      </c>
      <c r="BP29" s="198" t="str">
        <f t="shared" si="52"/>
        <v/>
      </c>
      <c r="BQ29" s="198"/>
      <c r="BS29" s="2012" t="str">
        <f t="shared" ref="BS29:BS33" si="64">+"Semaine numéro : "&amp;AT5</f>
        <v>Semaine numéro : 15</v>
      </c>
      <c r="BT29" s="2013"/>
      <c r="BU29" s="2013"/>
      <c r="BV29" s="2013"/>
      <c r="BW29" s="2013"/>
      <c r="BX29" s="2014"/>
      <c r="BY29" s="1137"/>
      <c r="BZ29" s="674">
        <f t="shared" ref="BZ29:BZ33" si="65">+IF(BY29="",IF(AND(CC29&gt;0,CB29&gt;0),CC29+CB29,IF(CD29&gt;0,0,CB29)),BY29)</f>
        <v>0</v>
      </c>
      <c r="CA29" s="673">
        <f t="shared" si="62"/>
        <v>0</v>
      </c>
      <c r="CB29" s="198">
        <f t="shared" si="63"/>
        <v>0</v>
      </c>
      <c r="CC29" s="198">
        <f>+SUMIF(Mars!$BK$20:$BK$50,AT5,Mars!$AM$20:$AO$50)</f>
        <v>0</v>
      </c>
      <c r="CD29" s="198">
        <f>+SUMIF(Mai!$BK$20:$BK$50,AT5,Mai!$AM$20:$AO$50)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45757</v>
      </c>
      <c r="ER29" s="767">
        <f t="shared" si="10"/>
        <v>0</v>
      </c>
      <c r="ES29" s="768">
        <f t="shared" si="11"/>
        <v>0</v>
      </c>
      <c r="ET29" s="767">
        <f t="shared" si="12"/>
        <v>0</v>
      </c>
      <c r="EU29" s="768">
        <f t="shared" si="13"/>
        <v>0</v>
      </c>
      <c r="EV29" s="767" t="str">
        <f t="shared" si="14"/>
        <v/>
      </c>
      <c r="EW29" s="769">
        <f t="shared" si="29"/>
        <v>45757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15</v>
      </c>
      <c r="GA29" s="129">
        <f t="shared" si="39"/>
        <v>2025</v>
      </c>
      <c r="GB29" s="129" t="str">
        <f t="shared" si="40"/>
        <v>152025</v>
      </c>
      <c r="GC29" s="225">
        <f>IF(AND($GD$53=S.CAL!$P$3,$GD$52=FZ29),GE29,IF(BH29="",0,BH29))</f>
        <v>0</v>
      </c>
      <c r="GD29" s="129" t="str">
        <f>IFERROR(+Mai!$BY$2&amp;BL29&amp;BM29,0)</f>
        <v>Fiche infoA4</v>
      </c>
      <c r="GE29" s="129" t="str">
        <f t="shared" si="19"/>
        <v/>
      </c>
      <c r="GF29" s="225" t="str">
        <f t="shared" si="41"/>
        <v/>
      </c>
      <c r="GG29" s="1469" t="str">
        <f>+'Retenue Avril'!D27</f>
        <v/>
      </c>
      <c r="GH29" s="1469">
        <f>+'Retenue Avril'!BF27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45758</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45758</v>
      </c>
      <c r="AX30" s="1878"/>
      <c r="AY30" s="332"/>
      <c r="AZ30" s="1126"/>
      <c r="BA30" s="993"/>
      <c r="BB30" s="561"/>
      <c r="BC30" s="566">
        <f t="shared" si="23"/>
        <v>0</v>
      </c>
      <c r="BD30" s="1126"/>
      <c r="BE30" s="825">
        <f t="shared" si="24"/>
        <v>0</v>
      </c>
      <c r="BF30" s="1150"/>
      <c r="BG30" s="224"/>
      <c r="BH30" s="566" t="str">
        <f t="shared" si="25"/>
        <v/>
      </c>
      <c r="BI30" s="1150"/>
      <c r="BJ30" s="129" t="str">
        <f t="shared" si="26"/>
        <v>Fiche infoA5</v>
      </c>
      <c r="BK30" s="129">
        <f t="shared" si="49"/>
        <v>15</v>
      </c>
      <c r="BL30" s="129" t="str">
        <f t="shared" si="4"/>
        <v>A</v>
      </c>
      <c r="BM30" s="129">
        <f t="shared" si="50"/>
        <v>5</v>
      </c>
      <c r="BN30" s="225" t="str">
        <f t="shared" si="60"/>
        <v>Fiche info</v>
      </c>
      <c r="BO30" s="332" t="str">
        <f t="shared" si="51"/>
        <v/>
      </c>
      <c r="BP30" s="198" t="str">
        <f t="shared" si="52"/>
        <v/>
      </c>
      <c r="BQ30" s="198"/>
      <c r="BS30" s="2012" t="str">
        <f t="shared" si="64"/>
        <v>Semaine numéro : 16</v>
      </c>
      <c r="BT30" s="2013"/>
      <c r="BU30" s="2013"/>
      <c r="BV30" s="2013"/>
      <c r="BW30" s="2013"/>
      <c r="BX30" s="2014"/>
      <c r="BY30" s="1137"/>
      <c r="BZ30" s="674">
        <f t="shared" si="65"/>
        <v>0</v>
      </c>
      <c r="CA30" s="673">
        <f t="shared" si="62"/>
        <v>0</v>
      </c>
      <c r="CB30" s="198">
        <f t="shared" si="63"/>
        <v>0</v>
      </c>
      <c r="CC30" s="198">
        <f>+SUMIF(Mars!$BK$20:$BK$50,AT6,Mars!$AM$20:$AO$50)</f>
        <v>0</v>
      </c>
      <c r="CD30" s="198">
        <f>+SUMIF(Mai!$BK$20:$BK$50,AT6,Mai!$AM$20:$AO$50)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45758</v>
      </c>
      <c r="ER30" s="767">
        <f t="shared" si="10"/>
        <v>0</v>
      </c>
      <c r="ES30" s="768">
        <f t="shared" si="11"/>
        <v>0</v>
      </c>
      <c r="ET30" s="767">
        <f t="shared" si="12"/>
        <v>0</v>
      </c>
      <c r="EU30" s="768">
        <f t="shared" si="13"/>
        <v>0</v>
      </c>
      <c r="EV30" s="767" t="str">
        <f t="shared" si="14"/>
        <v/>
      </c>
      <c r="EW30" s="769">
        <f t="shared" si="29"/>
        <v>45758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15</v>
      </c>
      <c r="GA30" s="129">
        <f t="shared" si="39"/>
        <v>2025</v>
      </c>
      <c r="GB30" s="129" t="str">
        <f t="shared" si="40"/>
        <v>152025</v>
      </c>
      <c r="GC30" s="225">
        <f>IF(AND($GD$53=S.CAL!$P$3,$GD$52=FZ30),GE30,IF(BH30="",0,BH30))</f>
        <v>0</v>
      </c>
      <c r="GD30" s="129" t="str">
        <f>IFERROR(+Mai!$BY$2&amp;BL30&amp;BM30,0)</f>
        <v>Fiche infoA5</v>
      </c>
      <c r="GE30" s="129" t="str">
        <f t="shared" si="19"/>
        <v/>
      </c>
      <c r="GF30" s="225" t="str">
        <f t="shared" si="41"/>
        <v/>
      </c>
      <c r="GG30" s="1469" t="str">
        <f>+'Retenue Avril'!D28</f>
        <v/>
      </c>
      <c r="GH30" s="1469">
        <f>+'Retenue Avril'!BF28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45759</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45759</v>
      </c>
      <c r="AX31" s="1878"/>
      <c r="AY31" s="332"/>
      <c r="AZ31" s="1126"/>
      <c r="BA31" s="993"/>
      <c r="BB31" s="561"/>
      <c r="BC31" s="566">
        <f t="shared" si="23"/>
        <v>0</v>
      </c>
      <c r="BD31" s="1126"/>
      <c r="BE31" s="825">
        <f t="shared" si="24"/>
        <v>0</v>
      </c>
      <c r="BF31" s="1150"/>
      <c r="BG31" s="224"/>
      <c r="BH31" s="566" t="str">
        <f t="shared" si="25"/>
        <v/>
      </c>
      <c r="BI31" s="1150"/>
      <c r="BJ31" s="129" t="str">
        <f t="shared" si="26"/>
        <v>Fiche infoA6</v>
      </c>
      <c r="BK31" s="129">
        <f t="shared" si="49"/>
        <v>15</v>
      </c>
      <c r="BL31" s="129" t="str">
        <f t="shared" si="4"/>
        <v>A</v>
      </c>
      <c r="BM31" s="129">
        <f t="shared" si="50"/>
        <v>6</v>
      </c>
      <c r="BN31" s="225" t="str">
        <f t="shared" si="60"/>
        <v>Fiche info</v>
      </c>
      <c r="BO31" s="332" t="str">
        <f t="shared" si="51"/>
        <v/>
      </c>
      <c r="BP31" s="198" t="str">
        <f t="shared" si="52"/>
        <v/>
      </c>
      <c r="BQ31" s="198"/>
      <c r="BS31" s="2012" t="str">
        <f t="shared" si="64"/>
        <v>Semaine numéro : 17</v>
      </c>
      <c r="BT31" s="2013"/>
      <c r="BU31" s="2013"/>
      <c r="BV31" s="2013"/>
      <c r="BW31" s="2013"/>
      <c r="BX31" s="2014"/>
      <c r="BY31" s="1137"/>
      <c r="BZ31" s="674">
        <f t="shared" si="65"/>
        <v>0</v>
      </c>
      <c r="CA31" s="673">
        <f t="shared" si="62"/>
        <v>0</v>
      </c>
      <c r="CB31" s="198">
        <f t="shared" si="63"/>
        <v>0</v>
      </c>
      <c r="CC31" s="198">
        <f>+SUMIF(Mars!$BK$20:$BK$50,AT7,Mars!$AM$20:$AO$50)</f>
        <v>0</v>
      </c>
      <c r="CD31" s="198">
        <f>+SUMIF(Mai!$BK$20:$BK$50,AT7,Mai!$AM$20:$AO$50)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45759</v>
      </c>
      <c r="ER31" s="767">
        <f t="shared" si="10"/>
        <v>0</v>
      </c>
      <c r="ES31" s="768">
        <f t="shared" si="11"/>
        <v>0</v>
      </c>
      <c r="ET31" s="767">
        <f t="shared" si="12"/>
        <v>0</v>
      </c>
      <c r="EU31" s="768">
        <f t="shared" si="13"/>
        <v>0</v>
      </c>
      <c r="EV31" s="767" t="str">
        <f t="shared" si="14"/>
        <v/>
      </c>
      <c r="EW31" s="769">
        <f t="shared" si="29"/>
        <v>45759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15</v>
      </c>
      <c r="GA31" s="129">
        <f t="shared" si="39"/>
        <v>2025</v>
      </c>
      <c r="GB31" s="129" t="str">
        <f t="shared" si="40"/>
        <v>152025</v>
      </c>
      <c r="GC31" s="225">
        <f>IF(AND($GD$53=S.CAL!$P$3,$GD$52=FZ31),GE31,IF(BH31="",0,BH31))</f>
        <v>0</v>
      </c>
      <c r="GD31" s="129" t="str">
        <f>IFERROR(+Mai!$BY$2&amp;BL31&amp;BM31,0)</f>
        <v>Fiche infoA6</v>
      </c>
      <c r="GE31" s="129" t="str">
        <f t="shared" si="19"/>
        <v/>
      </c>
      <c r="GF31" s="225" t="str">
        <f t="shared" si="41"/>
        <v/>
      </c>
      <c r="GG31" s="1469" t="str">
        <f>+'Retenue Avril'!D29</f>
        <v/>
      </c>
      <c r="GH31" s="1469">
        <f>+'Retenue Avril'!BF29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45760</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45760</v>
      </c>
      <c r="AX32" s="1878"/>
      <c r="AY32" s="332"/>
      <c r="AZ32" s="1126"/>
      <c r="BA32" s="993"/>
      <c r="BB32" s="561"/>
      <c r="BC32" s="566">
        <f t="shared" si="23"/>
        <v>0</v>
      </c>
      <c r="BD32" s="1126"/>
      <c r="BE32" s="825">
        <f t="shared" si="24"/>
        <v>0</v>
      </c>
      <c r="BF32" s="1150"/>
      <c r="BG32" s="224"/>
      <c r="BH32" s="566" t="str">
        <f t="shared" si="25"/>
        <v/>
      </c>
      <c r="BI32" s="1150"/>
      <c r="BJ32" s="129" t="str">
        <f t="shared" si="26"/>
        <v>Fiche infoA7</v>
      </c>
      <c r="BK32" s="129">
        <f t="shared" si="49"/>
        <v>15</v>
      </c>
      <c r="BL32" s="129" t="str">
        <f t="shared" si="4"/>
        <v>A</v>
      </c>
      <c r="BM32" s="129">
        <f t="shared" si="50"/>
        <v>7</v>
      </c>
      <c r="BN32" s="225" t="str">
        <f t="shared" si="60"/>
        <v>Fiche info</v>
      </c>
      <c r="BO32" s="332" t="str">
        <f t="shared" si="51"/>
        <v/>
      </c>
      <c r="BP32" s="198" t="str">
        <f t="shared" si="52"/>
        <v/>
      </c>
      <c r="BQ32" s="198"/>
      <c r="BS32" s="2012" t="str">
        <f t="shared" si="64"/>
        <v>Semaine numéro : 18</v>
      </c>
      <c r="BT32" s="2013"/>
      <c r="BU32" s="2013"/>
      <c r="BV32" s="2013"/>
      <c r="BW32" s="2013"/>
      <c r="BX32" s="2014"/>
      <c r="BY32" s="1137"/>
      <c r="BZ32" s="674">
        <f t="shared" si="65"/>
        <v>0</v>
      </c>
      <c r="CA32" s="673">
        <f t="shared" si="62"/>
        <v>0</v>
      </c>
      <c r="CB32" s="198">
        <f t="shared" si="63"/>
        <v>0</v>
      </c>
      <c r="CC32" s="198">
        <f>+SUMIF(Mars!$BK$20:$BK$50,AT8,Mars!$AM$20:$AO$50)</f>
        <v>0</v>
      </c>
      <c r="CD32" s="198">
        <f>+SUMIF(Mai!$BK$20:$BK$50,AT8,Mai!$AM$20:$AO$50)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45760</v>
      </c>
      <c r="ER32" s="767">
        <f t="shared" si="10"/>
        <v>0</v>
      </c>
      <c r="ES32" s="768">
        <f t="shared" si="11"/>
        <v>0</v>
      </c>
      <c r="ET32" s="767">
        <f t="shared" si="12"/>
        <v>0</v>
      </c>
      <c r="EU32" s="768">
        <f t="shared" si="13"/>
        <v>0</v>
      </c>
      <c r="EV32" s="767" t="str">
        <f t="shared" si="14"/>
        <v/>
      </c>
      <c r="EW32" s="769">
        <f t="shared" si="29"/>
        <v>45760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15</v>
      </c>
      <c r="GA32" s="129">
        <f t="shared" si="39"/>
        <v>2025</v>
      </c>
      <c r="GB32" s="129" t="str">
        <f t="shared" si="40"/>
        <v>152025</v>
      </c>
      <c r="GC32" s="225">
        <f>IF(AND($GD$53=S.CAL!$P$3,$GD$52=FZ32),GE32,IF(BH32="",0,BH32))</f>
        <v>0</v>
      </c>
      <c r="GD32" s="129" t="str">
        <f>IFERROR(+Mai!$BY$2&amp;BL32&amp;BM32,0)</f>
        <v>Fiche infoA7</v>
      </c>
      <c r="GE32" s="129" t="str">
        <f t="shared" si="19"/>
        <v/>
      </c>
      <c r="GF32" s="225" t="str">
        <f t="shared" si="41"/>
        <v/>
      </c>
      <c r="GG32" s="1469" t="str">
        <f>+'Retenue Avril'!D30</f>
        <v/>
      </c>
      <c r="GH32" s="1469">
        <f>+'Retenue Avril'!BF30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45761</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f t="shared" si="48"/>
        <v>16</v>
      </c>
      <c r="AQ33" s="340"/>
      <c r="AR33" s="1126"/>
      <c r="AS33" s="332">
        <f t="shared" si="3"/>
        <v>0</v>
      </c>
      <c r="AT33" s="1147"/>
      <c r="AU33" s="1147"/>
      <c r="AV33" s="332"/>
      <c r="AW33" s="2017">
        <f t="shared" si="22"/>
        <v>45761</v>
      </c>
      <c r="AX33" s="1878"/>
      <c r="AY33" s="332"/>
      <c r="AZ33" s="1126"/>
      <c r="BA33" s="993"/>
      <c r="BB33" s="561"/>
      <c r="BC33" s="566">
        <f t="shared" si="23"/>
        <v>0</v>
      </c>
      <c r="BD33" s="1126"/>
      <c r="BE33" s="825">
        <f t="shared" si="24"/>
        <v>0</v>
      </c>
      <c r="BF33" s="1150"/>
      <c r="BG33" s="224"/>
      <c r="BH33" s="566" t="str">
        <f t="shared" si="25"/>
        <v/>
      </c>
      <c r="BI33" s="1150"/>
      <c r="BJ33" s="129" t="str">
        <f t="shared" si="26"/>
        <v>Fiche infoA1</v>
      </c>
      <c r="BK33" s="129">
        <f t="shared" si="49"/>
        <v>16</v>
      </c>
      <c r="BL33" s="129" t="str">
        <f t="shared" si="4"/>
        <v>A</v>
      </c>
      <c r="BM33" s="129">
        <f t="shared" si="50"/>
        <v>1</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+SUMIF(Mars!$BK$20:$BK$50,AT9,Mars!$AM$20:$AO$50)</f>
        <v>0</v>
      </c>
      <c r="CD33" s="198">
        <f>+SUMIF(Mai!$BK$20:$BK$50,AT9,Mai!$AM$20:$AO$50)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45761</v>
      </c>
      <c r="ER33" s="767">
        <f t="shared" si="10"/>
        <v>0</v>
      </c>
      <c r="ES33" s="768">
        <f t="shared" si="11"/>
        <v>0</v>
      </c>
      <c r="ET33" s="767">
        <f t="shared" si="12"/>
        <v>0</v>
      </c>
      <c r="EU33" s="768">
        <f t="shared" si="13"/>
        <v>0</v>
      </c>
      <c r="EV33" s="767" t="str">
        <f t="shared" si="14"/>
        <v/>
      </c>
      <c r="EW33" s="769">
        <f t="shared" si="29"/>
        <v>45761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16</v>
      </c>
      <c r="GA33" s="129">
        <f t="shared" si="39"/>
        <v>2025</v>
      </c>
      <c r="GB33" s="129" t="str">
        <f t="shared" si="40"/>
        <v>162025</v>
      </c>
      <c r="GC33" s="225">
        <f>IF(AND($GD$53=S.CAL!$P$3,$GD$52=FZ33),GE33,IF(BH33="",0,BH33))</f>
        <v>0</v>
      </c>
      <c r="GD33" s="129" t="str">
        <f>IFERROR(+Mai!$BY$2&amp;BL33&amp;BM33,0)</f>
        <v>Fiche infoA1</v>
      </c>
      <c r="GE33" s="129" t="str">
        <f t="shared" si="19"/>
        <v/>
      </c>
      <c r="GF33" s="225" t="str">
        <f t="shared" si="41"/>
        <v/>
      </c>
      <c r="GG33" s="1469" t="str">
        <f>+'Retenue Avril'!D31</f>
        <v/>
      </c>
      <c r="GH33" s="1469">
        <f>+'Retenue Avril'!BF31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45762</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45762</v>
      </c>
      <c r="AX34" s="1878"/>
      <c r="AY34" s="332"/>
      <c r="AZ34" s="1126"/>
      <c r="BA34" s="993"/>
      <c r="BB34" s="561"/>
      <c r="BC34" s="566">
        <f t="shared" si="23"/>
        <v>0</v>
      </c>
      <c r="BD34" s="1126"/>
      <c r="BE34" s="825">
        <f t="shared" si="24"/>
        <v>0</v>
      </c>
      <c r="BF34" s="1150"/>
      <c r="BG34" s="224"/>
      <c r="BH34" s="566" t="str">
        <f t="shared" si="25"/>
        <v/>
      </c>
      <c r="BI34" s="1150"/>
      <c r="BJ34" s="129" t="str">
        <f t="shared" si="26"/>
        <v>Fiche infoA2</v>
      </c>
      <c r="BK34" s="129">
        <f t="shared" si="49"/>
        <v>16</v>
      </c>
      <c r="BL34" s="129" t="str">
        <f t="shared" si="4"/>
        <v>A</v>
      </c>
      <c r="BM34" s="129">
        <f t="shared" si="50"/>
        <v>2</v>
      </c>
      <c r="BN34" s="225" t="str">
        <f t="shared" si="60"/>
        <v>Fiche info</v>
      </c>
      <c r="BO34" s="332" t="str">
        <f t="shared" si="51"/>
        <v/>
      </c>
      <c r="BP34" s="198" t="str">
        <f t="shared" si="52"/>
        <v/>
      </c>
      <c r="BQ34" s="198"/>
      <c r="BZ34" s="676" t="s">
        <v>450</v>
      </c>
      <c r="CA34" s="677">
        <f>+IF(AND(DP14=1,OR(DP29="NON",DP29=0)),0,SUM(CA28:CA33))</f>
        <v>0</v>
      </c>
      <c r="CB34" s="465"/>
      <c r="CC34" s="465"/>
      <c r="CD34" s="465"/>
      <c r="CE34" s="465"/>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45762</v>
      </c>
      <c r="ER34" s="767">
        <f t="shared" si="10"/>
        <v>0</v>
      </c>
      <c r="ES34" s="768">
        <f t="shared" si="11"/>
        <v>0</v>
      </c>
      <c r="ET34" s="767">
        <f t="shared" si="12"/>
        <v>0</v>
      </c>
      <c r="EU34" s="768">
        <f t="shared" si="13"/>
        <v>0</v>
      </c>
      <c r="EV34" s="767" t="str">
        <f t="shared" si="14"/>
        <v/>
      </c>
      <c r="EW34" s="769">
        <f t="shared" si="29"/>
        <v>45762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16</v>
      </c>
      <c r="GA34" s="129">
        <f t="shared" si="39"/>
        <v>2025</v>
      </c>
      <c r="GB34" s="129" t="str">
        <f t="shared" si="40"/>
        <v>162025</v>
      </c>
      <c r="GC34" s="225">
        <f>IF(AND($GD$53=S.CAL!$P$3,$GD$52=FZ34),GE34,IF(BH34="",0,BH34))</f>
        <v>0</v>
      </c>
      <c r="GD34" s="129" t="str">
        <f>IFERROR(+Mai!$BY$2&amp;BL34&amp;BM34,0)</f>
        <v>Fiche infoA2</v>
      </c>
      <c r="GE34" s="129" t="str">
        <f t="shared" si="19"/>
        <v/>
      </c>
      <c r="GF34" s="225" t="str">
        <f t="shared" si="41"/>
        <v/>
      </c>
      <c r="GG34" s="1469" t="str">
        <f>+'Retenue Avril'!D32</f>
        <v/>
      </c>
      <c r="GH34" s="1469">
        <f>+'Retenue Avril'!BF32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45763</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45763</v>
      </c>
      <c r="AX35" s="1878"/>
      <c r="AY35" s="332"/>
      <c r="AZ35" s="1126"/>
      <c r="BA35" s="993"/>
      <c r="BB35" s="561"/>
      <c r="BC35" s="566">
        <f t="shared" si="23"/>
        <v>0</v>
      </c>
      <c r="BD35" s="1126"/>
      <c r="BE35" s="825">
        <f t="shared" si="24"/>
        <v>0</v>
      </c>
      <c r="BF35" s="1150"/>
      <c r="BG35" s="224"/>
      <c r="BH35" s="566" t="str">
        <f t="shared" si="25"/>
        <v/>
      </c>
      <c r="BI35" s="1150"/>
      <c r="BJ35" s="129" t="str">
        <f t="shared" si="26"/>
        <v>Fiche infoA3</v>
      </c>
      <c r="BK35" s="129">
        <f t="shared" si="49"/>
        <v>16</v>
      </c>
      <c r="BL35" s="129" t="str">
        <f t="shared" si="4"/>
        <v>A</v>
      </c>
      <c r="BM35" s="129">
        <f t="shared" si="50"/>
        <v>3</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45763</v>
      </c>
      <c r="ER35" s="767">
        <f t="shared" si="10"/>
        <v>0</v>
      </c>
      <c r="ES35" s="768">
        <f t="shared" si="11"/>
        <v>0</v>
      </c>
      <c r="ET35" s="767">
        <f t="shared" si="12"/>
        <v>0</v>
      </c>
      <c r="EU35" s="768">
        <f t="shared" si="13"/>
        <v>0</v>
      </c>
      <c r="EV35" s="767" t="str">
        <f t="shared" si="14"/>
        <v/>
      </c>
      <c r="EW35" s="769">
        <f t="shared" si="29"/>
        <v>45763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16</v>
      </c>
      <c r="GA35" s="129">
        <f t="shared" si="39"/>
        <v>2025</v>
      </c>
      <c r="GB35" s="129" t="str">
        <f t="shared" si="40"/>
        <v>162025</v>
      </c>
      <c r="GC35" s="225">
        <f>IF(AND($GD$53=S.CAL!$P$3,$GD$52=FZ35),GE35,IF(BH35="",0,BH35))</f>
        <v>0</v>
      </c>
      <c r="GD35" s="129" t="str">
        <f>IFERROR(+Mai!$BY$2&amp;BL35&amp;BM35,0)</f>
        <v>Fiche infoA3</v>
      </c>
      <c r="GE35" s="129" t="str">
        <f t="shared" si="19"/>
        <v/>
      </c>
      <c r="GF35" s="225" t="str">
        <f t="shared" si="41"/>
        <v/>
      </c>
      <c r="GG35" s="1469" t="str">
        <f>+'Retenue Avril'!D33</f>
        <v/>
      </c>
      <c r="GH35" s="1469">
        <f>+'Retenue Avril'!BF33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45764</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45764</v>
      </c>
      <c r="AX36" s="1878"/>
      <c r="AY36" s="332"/>
      <c r="AZ36" s="1126"/>
      <c r="BA36" s="993"/>
      <c r="BB36" s="561"/>
      <c r="BC36" s="566">
        <f t="shared" si="23"/>
        <v>0</v>
      </c>
      <c r="BD36" s="1126"/>
      <c r="BE36" s="825">
        <f t="shared" si="24"/>
        <v>0</v>
      </c>
      <c r="BF36" s="1150"/>
      <c r="BG36" s="224"/>
      <c r="BH36" s="566" t="str">
        <f t="shared" si="25"/>
        <v/>
      </c>
      <c r="BI36" s="1150"/>
      <c r="BJ36" s="129" t="str">
        <f t="shared" si="26"/>
        <v>Fiche infoA4</v>
      </c>
      <c r="BK36" s="129">
        <f t="shared" si="49"/>
        <v>16</v>
      </c>
      <c r="BL36" s="129" t="str">
        <f t="shared" si="4"/>
        <v>A</v>
      </c>
      <c r="BM36" s="129">
        <f t="shared" si="50"/>
        <v>4</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45764</v>
      </c>
      <c r="ER36" s="767">
        <f t="shared" si="10"/>
        <v>0</v>
      </c>
      <c r="ES36" s="768">
        <f t="shared" si="11"/>
        <v>0</v>
      </c>
      <c r="ET36" s="767">
        <f t="shared" si="12"/>
        <v>0</v>
      </c>
      <c r="EU36" s="768">
        <f t="shared" si="13"/>
        <v>0</v>
      </c>
      <c r="EV36" s="767" t="str">
        <f t="shared" si="14"/>
        <v/>
      </c>
      <c r="EW36" s="769">
        <f t="shared" si="29"/>
        <v>45764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16</v>
      </c>
      <c r="GA36" s="129">
        <f t="shared" si="39"/>
        <v>2025</v>
      </c>
      <c r="GB36" s="129" t="str">
        <f t="shared" si="40"/>
        <v>162025</v>
      </c>
      <c r="GC36" s="225">
        <f>IF(AND($GD$53=S.CAL!$P$3,$GD$52=FZ36),GE36,IF(BH36="",0,BH36))</f>
        <v>0</v>
      </c>
      <c r="GD36" s="129" t="str">
        <f>IFERROR(+Mai!$BY$2&amp;BL36&amp;BM36,0)</f>
        <v>Fiche infoA4</v>
      </c>
      <c r="GE36" s="129" t="str">
        <f t="shared" si="19"/>
        <v/>
      </c>
      <c r="GF36" s="225" t="str">
        <f t="shared" si="41"/>
        <v/>
      </c>
      <c r="GG36" s="1469" t="str">
        <f>+'Retenue Avril'!D34</f>
        <v/>
      </c>
      <c r="GH36" s="1469">
        <f>+'Retenue Avril'!BF34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45765</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45765</v>
      </c>
      <c r="AX37" s="1878"/>
      <c r="AY37" s="332"/>
      <c r="AZ37" s="1126"/>
      <c r="BA37" s="993"/>
      <c r="BB37" s="561"/>
      <c r="BC37" s="566">
        <f t="shared" si="23"/>
        <v>0</v>
      </c>
      <c r="BD37" s="1126"/>
      <c r="BE37" s="825">
        <f t="shared" si="24"/>
        <v>0</v>
      </c>
      <c r="BF37" s="1150"/>
      <c r="BG37" s="224"/>
      <c r="BH37" s="566" t="str">
        <f t="shared" si="25"/>
        <v/>
      </c>
      <c r="BI37" s="1150"/>
      <c r="BJ37" s="129" t="str">
        <f t="shared" si="26"/>
        <v>Fiche infoA5</v>
      </c>
      <c r="BK37" s="129">
        <f t="shared" si="49"/>
        <v>16</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45765</v>
      </c>
      <c r="ER37" s="767">
        <f t="shared" si="10"/>
        <v>0</v>
      </c>
      <c r="ES37" s="768">
        <f t="shared" si="11"/>
        <v>0</v>
      </c>
      <c r="ET37" s="767">
        <f t="shared" si="12"/>
        <v>0</v>
      </c>
      <c r="EU37" s="768">
        <f t="shared" si="13"/>
        <v>0</v>
      </c>
      <c r="EV37" s="767" t="str">
        <f t="shared" si="14"/>
        <v/>
      </c>
      <c r="EW37" s="769">
        <f t="shared" si="29"/>
        <v>45765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16</v>
      </c>
      <c r="GA37" s="129">
        <f t="shared" si="39"/>
        <v>2025</v>
      </c>
      <c r="GB37" s="129" t="str">
        <f t="shared" si="40"/>
        <v>162025</v>
      </c>
      <c r="GC37" s="225">
        <f>IF(AND($GD$53=S.CAL!$P$3,$GD$52=FZ37),GE37,IF(BH37="",0,BH37))</f>
        <v>0</v>
      </c>
      <c r="GD37" s="129" t="str">
        <f>IFERROR(+Mai!$BY$2&amp;BL37&amp;BM37,0)</f>
        <v>Fiche infoA5</v>
      </c>
      <c r="GE37" s="129" t="str">
        <f t="shared" si="19"/>
        <v/>
      </c>
      <c r="GF37" s="225" t="str">
        <f t="shared" si="41"/>
        <v/>
      </c>
      <c r="GG37" s="1469" t="str">
        <f>+'Retenue Avril'!D35</f>
        <v/>
      </c>
      <c r="GH37" s="1469">
        <f>+'Retenue Avril'!BF35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45766</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45766</v>
      </c>
      <c r="AX38" s="1878"/>
      <c r="AY38" s="332"/>
      <c r="AZ38" s="1126"/>
      <c r="BA38" s="993"/>
      <c r="BB38" s="561"/>
      <c r="BC38" s="566">
        <f t="shared" si="23"/>
        <v>0</v>
      </c>
      <c r="BD38" s="1126"/>
      <c r="BE38" s="825">
        <f t="shared" si="24"/>
        <v>0</v>
      </c>
      <c r="BF38" s="1150"/>
      <c r="BG38" s="224"/>
      <c r="BH38" s="566" t="str">
        <f t="shared" si="25"/>
        <v/>
      </c>
      <c r="BI38" s="1150"/>
      <c r="BJ38" s="129" t="str">
        <f t="shared" si="26"/>
        <v>Fiche infoA6</v>
      </c>
      <c r="BK38" s="129">
        <f t="shared" si="49"/>
        <v>16</v>
      </c>
      <c r="BL38" s="129" t="str">
        <f t="shared" si="4"/>
        <v>A</v>
      </c>
      <c r="BM38" s="129">
        <f t="shared" si="50"/>
        <v>6</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45766</v>
      </c>
      <c r="ER38" s="767">
        <f t="shared" si="10"/>
        <v>0</v>
      </c>
      <c r="ES38" s="768">
        <f t="shared" si="11"/>
        <v>0</v>
      </c>
      <c r="ET38" s="767">
        <f t="shared" si="12"/>
        <v>0</v>
      </c>
      <c r="EU38" s="768">
        <f t="shared" si="13"/>
        <v>0</v>
      </c>
      <c r="EV38" s="767" t="str">
        <f t="shared" si="14"/>
        <v/>
      </c>
      <c r="EW38" s="769">
        <f t="shared" si="29"/>
        <v>45766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16</v>
      </c>
      <c r="GA38" s="129">
        <f t="shared" si="39"/>
        <v>2025</v>
      </c>
      <c r="GB38" s="129" t="str">
        <f t="shared" si="40"/>
        <v>162025</v>
      </c>
      <c r="GC38" s="225">
        <f>IF(AND($GD$53=S.CAL!$P$3,$GD$52=FZ38),GE38,IF(BH38="",0,BH38))</f>
        <v>0</v>
      </c>
      <c r="GD38" s="129" t="str">
        <f>IFERROR(+Mai!$BY$2&amp;BL38&amp;BM38,0)</f>
        <v>Fiche infoA6</v>
      </c>
      <c r="GE38" s="129" t="str">
        <f t="shared" si="19"/>
        <v/>
      </c>
      <c r="GF38" s="225" t="str">
        <f t="shared" si="41"/>
        <v/>
      </c>
      <c r="GG38" s="1469" t="str">
        <f>+'Retenue Avril'!D36</f>
        <v/>
      </c>
      <c r="GH38" s="1469">
        <f>+'Retenue Avril'!BF36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45767</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45767</v>
      </c>
      <c r="AX39" s="1878"/>
      <c r="AY39" s="332"/>
      <c r="AZ39" s="1126"/>
      <c r="BA39" s="993"/>
      <c r="BB39" s="561"/>
      <c r="BC39" s="566">
        <f t="shared" si="23"/>
        <v>0</v>
      </c>
      <c r="BD39" s="1126"/>
      <c r="BE39" s="825">
        <f t="shared" si="24"/>
        <v>0</v>
      </c>
      <c r="BF39" s="1150"/>
      <c r="BG39" s="224"/>
      <c r="BH39" s="566" t="str">
        <f t="shared" si="25"/>
        <v/>
      </c>
      <c r="BI39" s="1150"/>
      <c r="BJ39" s="129" t="str">
        <f t="shared" si="26"/>
        <v>Fiche infoA7</v>
      </c>
      <c r="BK39" s="129">
        <f t="shared" si="49"/>
        <v>16</v>
      </c>
      <c r="BL39" s="129" t="str">
        <f t="shared" si="4"/>
        <v>A</v>
      </c>
      <c r="BM39" s="129">
        <f t="shared" si="50"/>
        <v>7</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45767</v>
      </c>
      <c r="ER39" s="767">
        <f t="shared" si="10"/>
        <v>0</v>
      </c>
      <c r="ES39" s="768">
        <f t="shared" si="11"/>
        <v>0</v>
      </c>
      <c r="ET39" s="767">
        <f t="shared" si="12"/>
        <v>0</v>
      </c>
      <c r="EU39" s="768">
        <f t="shared" si="13"/>
        <v>0</v>
      </c>
      <c r="EV39" s="767" t="str">
        <f t="shared" si="14"/>
        <v/>
      </c>
      <c r="EW39" s="769">
        <f t="shared" si="29"/>
        <v>45767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16</v>
      </c>
      <c r="GA39" s="129">
        <f t="shared" si="39"/>
        <v>2025</v>
      </c>
      <c r="GB39" s="129" t="str">
        <f t="shared" si="40"/>
        <v>162025</v>
      </c>
      <c r="GC39" s="225">
        <f>IF(AND($GD$53=S.CAL!$P$3,$GD$52=FZ39),GE39,IF(BH39="",0,BH39))</f>
        <v>0</v>
      </c>
      <c r="GD39" s="129" t="str">
        <f>IFERROR(+Mai!$BY$2&amp;BL39&amp;BM39,0)</f>
        <v>Fiche infoA7</v>
      </c>
      <c r="GE39" s="129" t="str">
        <f t="shared" si="19"/>
        <v/>
      </c>
      <c r="GF39" s="225" t="str">
        <f t="shared" si="41"/>
        <v/>
      </c>
      <c r="GG39" s="1469" t="str">
        <f>+'Retenue Avril'!D37</f>
        <v/>
      </c>
      <c r="GH39" s="1469">
        <f>+'Retenue Avril'!BF37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45768</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f t="shared" si="48"/>
        <v>17</v>
      </c>
      <c r="AQ40" s="340"/>
      <c r="AR40" s="1126"/>
      <c r="AS40" s="332">
        <f t="shared" si="3"/>
        <v>0</v>
      </c>
      <c r="AT40" s="1147"/>
      <c r="AU40" s="1147"/>
      <c r="AV40" s="332"/>
      <c r="AW40" s="2017">
        <f t="shared" si="22"/>
        <v>45768</v>
      </c>
      <c r="AX40" s="1878"/>
      <c r="AY40" s="332"/>
      <c r="AZ40" s="1126"/>
      <c r="BA40" s="993"/>
      <c r="BB40" s="561"/>
      <c r="BC40" s="566">
        <f t="shared" si="23"/>
        <v>0</v>
      </c>
      <c r="BD40" s="1126"/>
      <c r="BE40" s="825">
        <f t="shared" si="24"/>
        <v>0</v>
      </c>
      <c r="BF40" s="1150"/>
      <c r="BG40" s="224"/>
      <c r="BH40" s="566" t="str">
        <f t="shared" si="25"/>
        <v/>
      </c>
      <c r="BI40" s="1150"/>
      <c r="BJ40" s="129" t="str">
        <f t="shared" si="26"/>
        <v>Fiche infoA1</v>
      </c>
      <c r="BK40" s="129">
        <f t="shared" si="49"/>
        <v>17</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Avril'!P27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45768</v>
      </c>
      <c r="ER40" s="767">
        <f t="shared" si="10"/>
        <v>0</v>
      </c>
      <c r="ES40" s="768">
        <f t="shared" si="11"/>
        <v>0</v>
      </c>
      <c r="ET40" s="767">
        <f t="shared" si="12"/>
        <v>0</v>
      </c>
      <c r="EU40" s="768">
        <f t="shared" si="13"/>
        <v>0</v>
      </c>
      <c r="EV40" s="767" t="str">
        <f t="shared" si="14"/>
        <v/>
      </c>
      <c r="EW40" s="769">
        <f t="shared" si="29"/>
        <v>45768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17</v>
      </c>
      <c r="GA40" s="129">
        <f t="shared" si="39"/>
        <v>2025</v>
      </c>
      <c r="GB40" s="129" t="str">
        <f t="shared" si="40"/>
        <v>172025</v>
      </c>
      <c r="GC40" s="225">
        <f>IF(AND($GD$53=S.CAL!$P$3,$GD$52=FZ40),GE40,IF(BH40="",0,BH40))</f>
        <v>0</v>
      </c>
      <c r="GD40" s="129" t="str">
        <f>IFERROR(+Mai!$BY$2&amp;BL40&amp;BM40,0)</f>
        <v>Fiche infoA1</v>
      </c>
      <c r="GE40" s="129" t="str">
        <f t="shared" si="19"/>
        <v/>
      </c>
      <c r="GF40" s="225" t="str">
        <f t="shared" si="41"/>
        <v/>
      </c>
      <c r="GG40" s="1469" t="str">
        <f>+'Retenue Avril'!D38</f>
        <v/>
      </c>
      <c r="GH40" s="1469">
        <f>+'Retenue Avril'!BF38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45769</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45769</v>
      </c>
      <c r="AX41" s="1878"/>
      <c r="AY41" s="332"/>
      <c r="AZ41" s="1126"/>
      <c r="BA41" s="993"/>
      <c r="BB41" s="561"/>
      <c r="BC41" s="566">
        <f t="shared" si="23"/>
        <v>0</v>
      </c>
      <c r="BD41" s="1126"/>
      <c r="BE41" s="825">
        <f t="shared" si="24"/>
        <v>0</v>
      </c>
      <c r="BF41" s="1150"/>
      <c r="BG41" s="224"/>
      <c r="BH41" s="566" t="str">
        <f t="shared" si="25"/>
        <v/>
      </c>
      <c r="BI41" s="1150"/>
      <c r="BJ41" s="129" t="str">
        <f t="shared" si="26"/>
        <v>Fiche infoA2</v>
      </c>
      <c r="BK41" s="129">
        <f t="shared" si="49"/>
        <v>17</v>
      </c>
      <c r="BL41" s="129" t="str">
        <f t="shared" si="4"/>
        <v>A</v>
      </c>
      <c r="BM41" s="129">
        <f t="shared" si="50"/>
        <v>2</v>
      </c>
      <c r="BN41" s="225" t="str">
        <f t="shared" si="60"/>
        <v>Fiche info</v>
      </c>
      <c r="BO41" s="332" t="str">
        <f t="shared" si="51"/>
        <v/>
      </c>
      <c r="BP41" s="198" t="str">
        <f t="shared" si="52"/>
        <v/>
      </c>
      <c r="BQ41" s="2142" t="s">
        <v>1063</v>
      </c>
      <c r="BR41" s="2142"/>
      <c r="BS41" s="2142"/>
      <c r="BT41" s="2142"/>
      <c r="BU41" s="2142"/>
      <c r="BV41" s="2142"/>
      <c r="BW41" s="601" t="str">
        <f>+IF(BX41="",Mars!BW41,BX41)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45769</v>
      </c>
      <c r="ER41" s="767">
        <f t="shared" si="10"/>
        <v>0</v>
      </c>
      <c r="ES41" s="768">
        <f t="shared" si="11"/>
        <v>0</v>
      </c>
      <c r="ET41" s="767">
        <f t="shared" si="12"/>
        <v>0</v>
      </c>
      <c r="EU41" s="768">
        <f t="shared" si="13"/>
        <v>0</v>
      </c>
      <c r="EV41" s="767" t="str">
        <f t="shared" si="14"/>
        <v/>
      </c>
      <c r="EW41" s="769">
        <f t="shared" si="29"/>
        <v>45769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17</v>
      </c>
      <c r="GA41" s="129">
        <f t="shared" si="39"/>
        <v>2025</v>
      </c>
      <c r="GB41" s="129" t="str">
        <f t="shared" si="40"/>
        <v>172025</v>
      </c>
      <c r="GC41" s="225">
        <f>IF(AND($GD$53=S.CAL!$P$3,$GD$52=FZ41),GE41,IF(BH41="",0,BH41))</f>
        <v>0</v>
      </c>
      <c r="GD41" s="129" t="str">
        <f>IFERROR(+Mai!$BY$2&amp;BL41&amp;BM41,0)</f>
        <v>Fiche infoA2</v>
      </c>
      <c r="GE41" s="129" t="str">
        <f t="shared" si="19"/>
        <v/>
      </c>
      <c r="GF41" s="225" t="str">
        <f t="shared" si="41"/>
        <v/>
      </c>
      <c r="GG41" s="1469" t="str">
        <f>+'Retenue Avril'!D39</f>
        <v/>
      </c>
      <c r="GH41" s="1469">
        <f>+'Retenue Avril'!BF39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45770</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45770</v>
      </c>
      <c r="AX42" s="1878"/>
      <c r="AY42" s="332"/>
      <c r="AZ42" s="1126"/>
      <c r="BA42" s="993"/>
      <c r="BB42" s="561"/>
      <c r="BC42" s="566">
        <f t="shared" si="23"/>
        <v>0</v>
      </c>
      <c r="BD42" s="1126"/>
      <c r="BE42" s="825">
        <f t="shared" si="24"/>
        <v>0</v>
      </c>
      <c r="BF42" s="1150"/>
      <c r="BG42" s="224"/>
      <c r="BH42" s="566" t="str">
        <f t="shared" si="25"/>
        <v/>
      </c>
      <c r="BI42" s="1150"/>
      <c r="BJ42" s="129" t="str">
        <f t="shared" si="26"/>
        <v>Fiche infoA3</v>
      </c>
      <c r="BK42" s="129">
        <f t="shared" si="49"/>
        <v>17</v>
      </c>
      <c r="BL42" s="129" t="str">
        <f t="shared" si="4"/>
        <v>A</v>
      </c>
      <c r="BM42" s="129">
        <f t="shared" si="50"/>
        <v>3</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45770</v>
      </c>
      <c r="ER42" s="767">
        <f t="shared" si="10"/>
        <v>0</v>
      </c>
      <c r="ES42" s="768">
        <f t="shared" si="11"/>
        <v>0</v>
      </c>
      <c r="ET42" s="767">
        <f t="shared" si="12"/>
        <v>0</v>
      </c>
      <c r="EU42" s="768">
        <f t="shared" si="13"/>
        <v>0</v>
      </c>
      <c r="EV42" s="767" t="str">
        <f t="shared" si="14"/>
        <v/>
      </c>
      <c r="EW42" s="769">
        <f t="shared" si="29"/>
        <v>45770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17</v>
      </c>
      <c r="GA42" s="129">
        <f t="shared" si="39"/>
        <v>2025</v>
      </c>
      <c r="GB42" s="129" t="str">
        <f t="shared" si="40"/>
        <v>172025</v>
      </c>
      <c r="GC42" s="225">
        <f>IF(AND($GD$53=S.CAL!$P$3,$GD$52=FZ42),GE42,IF(BH42="",0,BH42))</f>
        <v>0</v>
      </c>
      <c r="GD42" s="129" t="str">
        <f>IFERROR(+Mai!$BY$2&amp;BL42&amp;BM42,0)</f>
        <v>Fiche infoA3</v>
      </c>
      <c r="GE42" s="129" t="str">
        <f t="shared" si="19"/>
        <v/>
      </c>
      <c r="GF42" s="225" t="str">
        <f t="shared" si="41"/>
        <v/>
      </c>
      <c r="GG42" s="1469" t="str">
        <f>+'Retenue Avril'!D40</f>
        <v/>
      </c>
      <c r="GH42" s="1469">
        <f>+'Retenue Avril'!BF40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45771</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45771</v>
      </c>
      <c r="AX43" s="1878"/>
      <c r="AY43" s="332"/>
      <c r="AZ43" s="1126"/>
      <c r="BA43" s="993"/>
      <c r="BB43" s="561"/>
      <c r="BC43" s="566">
        <f t="shared" si="23"/>
        <v>0</v>
      </c>
      <c r="BD43" s="1126"/>
      <c r="BE43" s="825">
        <f t="shared" si="24"/>
        <v>0</v>
      </c>
      <c r="BF43" s="1150"/>
      <c r="BG43" s="224"/>
      <c r="BH43" s="566" t="str">
        <f t="shared" si="25"/>
        <v/>
      </c>
      <c r="BI43" s="1150"/>
      <c r="BJ43" s="129" t="str">
        <f t="shared" si="26"/>
        <v>Fiche infoA4</v>
      </c>
      <c r="BK43" s="129">
        <f t="shared" si="49"/>
        <v>17</v>
      </c>
      <c r="BL43" s="129" t="str">
        <f t="shared" si="4"/>
        <v>A</v>
      </c>
      <c r="BM43" s="129">
        <f t="shared" si="50"/>
        <v>4</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45771</v>
      </c>
      <c r="ER43" s="767">
        <f t="shared" si="10"/>
        <v>0</v>
      </c>
      <c r="ES43" s="768">
        <f t="shared" si="11"/>
        <v>0</v>
      </c>
      <c r="ET43" s="767">
        <f t="shared" si="12"/>
        <v>0</v>
      </c>
      <c r="EU43" s="768">
        <f t="shared" si="13"/>
        <v>0</v>
      </c>
      <c r="EV43" s="767" t="str">
        <f t="shared" si="14"/>
        <v/>
      </c>
      <c r="EW43" s="769">
        <f t="shared" si="29"/>
        <v>45771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17</v>
      </c>
      <c r="GA43" s="129">
        <f t="shared" si="39"/>
        <v>2025</v>
      </c>
      <c r="GB43" s="129" t="str">
        <f t="shared" si="40"/>
        <v>172025</v>
      </c>
      <c r="GC43" s="225">
        <f>IF(AND($GD$53=S.CAL!$P$3,$GD$52=FZ43),GE43,IF(BH43="",0,BH43))</f>
        <v>0</v>
      </c>
      <c r="GD43" s="129" t="str">
        <f>IFERROR(+Mai!$BY$2&amp;BL43&amp;BM43,0)</f>
        <v>Fiche infoA4</v>
      </c>
      <c r="GE43" s="129" t="str">
        <f t="shared" si="19"/>
        <v/>
      </c>
      <c r="GF43" s="225" t="str">
        <f t="shared" si="41"/>
        <v/>
      </c>
      <c r="GG43" s="1469" t="str">
        <f>+'Retenue Avril'!D41</f>
        <v/>
      </c>
      <c r="GH43" s="1469">
        <f>+'Retenue Avril'!BF41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45772</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45772</v>
      </c>
      <c r="AX44" s="1878"/>
      <c r="AY44" s="332"/>
      <c r="AZ44" s="1126"/>
      <c r="BA44" s="993"/>
      <c r="BB44" s="561"/>
      <c r="BC44" s="566">
        <f t="shared" si="23"/>
        <v>0</v>
      </c>
      <c r="BD44" s="1126"/>
      <c r="BE44" s="825">
        <f t="shared" si="24"/>
        <v>0</v>
      </c>
      <c r="BF44" s="1150"/>
      <c r="BG44" s="224"/>
      <c r="BH44" s="566" t="str">
        <f t="shared" si="25"/>
        <v/>
      </c>
      <c r="BI44" s="1150"/>
      <c r="BJ44" s="129" t="str">
        <f t="shared" si="26"/>
        <v>Fiche infoA5</v>
      </c>
      <c r="BK44" s="129">
        <f t="shared" si="49"/>
        <v>17</v>
      </c>
      <c r="BL44" s="129" t="str">
        <f t="shared" si="4"/>
        <v>A</v>
      </c>
      <c r="BM44" s="129">
        <f t="shared" si="50"/>
        <v>5</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+IF(CC45="",Mars!CC44,CC45)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45772</v>
      </c>
      <c r="ER44" s="767">
        <f t="shared" si="10"/>
        <v>0</v>
      </c>
      <c r="ES44" s="768">
        <f t="shared" si="11"/>
        <v>0</v>
      </c>
      <c r="ET44" s="767">
        <f t="shared" si="12"/>
        <v>0</v>
      </c>
      <c r="EU44" s="768">
        <f t="shared" si="13"/>
        <v>0</v>
      </c>
      <c r="EV44" s="767" t="str">
        <f t="shared" si="14"/>
        <v/>
      </c>
      <c r="EW44" s="769">
        <f t="shared" si="29"/>
        <v>45772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17</v>
      </c>
      <c r="GA44" s="129">
        <f t="shared" si="39"/>
        <v>2025</v>
      </c>
      <c r="GB44" s="129" t="str">
        <f t="shared" si="40"/>
        <v>172025</v>
      </c>
      <c r="GC44" s="225">
        <f>IF(AND($GD$53=S.CAL!$P$3,$GD$52=FZ44),GE44,IF(BH44="",0,BH44))</f>
        <v>0</v>
      </c>
      <c r="GD44" s="129" t="str">
        <f>IFERROR(+Mai!$BY$2&amp;BL44&amp;BM44,0)</f>
        <v>Fiche infoA5</v>
      </c>
      <c r="GE44" s="129" t="str">
        <f t="shared" si="19"/>
        <v/>
      </c>
      <c r="GF44" s="225" t="str">
        <f t="shared" si="41"/>
        <v/>
      </c>
      <c r="GG44" s="1469" t="str">
        <f>+'Retenue Avril'!D42</f>
        <v/>
      </c>
      <c r="GH44" s="1469">
        <f>+'Retenue Avril'!BF42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45773</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45773</v>
      </c>
      <c r="AX45" s="1878"/>
      <c r="AY45" s="332"/>
      <c r="AZ45" s="1126"/>
      <c r="BA45" s="993"/>
      <c r="BB45" s="561"/>
      <c r="BC45" s="566">
        <f t="shared" si="23"/>
        <v>0</v>
      </c>
      <c r="BD45" s="1126"/>
      <c r="BE45" s="825">
        <f t="shared" si="24"/>
        <v>0</v>
      </c>
      <c r="BF45" s="1150"/>
      <c r="BG45" s="224"/>
      <c r="BH45" s="566" t="str">
        <f t="shared" si="25"/>
        <v/>
      </c>
      <c r="BI45" s="1150"/>
      <c r="BJ45" s="129" t="str">
        <f t="shared" si="26"/>
        <v>Fiche infoA6</v>
      </c>
      <c r="BK45" s="129">
        <f t="shared" si="49"/>
        <v>17</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45773</v>
      </c>
      <c r="ER45" s="767">
        <f t="shared" si="10"/>
        <v>0</v>
      </c>
      <c r="ES45" s="768">
        <f t="shared" si="11"/>
        <v>0</v>
      </c>
      <c r="ET45" s="767">
        <f t="shared" si="12"/>
        <v>0</v>
      </c>
      <c r="EU45" s="768">
        <f t="shared" si="13"/>
        <v>0</v>
      </c>
      <c r="EV45" s="767" t="str">
        <f t="shared" si="14"/>
        <v/>
      </c>
      <c r="EW45" s="769">
        <f t="shared" si="29"/>
        <v>45773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17</v>
      </c>
      <c r="GA45" s="129">
        <f t="shared" si="39"/>
        <v>2025</v>
      </c>
      <c r="GB45" s="129" t="str">
        <f t="shared" si="40"/>
        <v>172025</v>
      </c>
      <c r="GC45" s="225">
        <f>IF(AND($GD$53=S.CAL!$P$3,$GD$52=FZ45),GE45,IF(BH45="",0,BH45))</f>
        <v>0</v>
      </c>
      <c r="GD45" s="129" t="str">
        <f>IFERROR(+Mai!$BY$2&amp;BL45&amp;BM45,0)</f>
        <v>Fiche infoA6</v>
      </c>
      <c r="GE45" s="129" t="str">
        <f t="shared" si="19"/>
        <v/>
      </c>
      <c r="GF45" s="225" t="str">
        <f t="shared" si="41"/>
        <v/>
      </c>
      <c r="GG45" s="1469" t="str">
        <f>+'Retenue Avril'!D43</f>
        <v/>
      </c>
      <c r="GH45" s="1469">
        <f>+'Retenue Avril'!BF43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45774</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45774</v>
      </c>
      <c r="AX46" s="1878"/>
      <c r="AY46" s="332"/>
      <c r="AZ46" s="1126"/>
      <c r="BA46" s="993"/>
      <c r="BB46" s="561"/>
      <c r="BC46" s="566">
        <f t="shared" si="23"/>
        <v>0</v>
      </c>
      <c r="BD46" s="1126"/>
      <c r="BE46" s="825">
        <f t="shared" si="24"/>
        <v>0</v>
      </c>
      <c r="BF46" s="1150"/>
      <c r="BG46" s="224"/>
      <c r="BH46" s="566" t="str">
        <f t="shared" si="25"/>
        <v/>
      </c>
      <c r="BI46" s="1150"/>
      <c r="BJ46" s="129" t="str">
        <f t="shared" si="26"/>
        <v>Fiche infoA7</v>
      </c>
      <c r="BK46" s="129">
        <f t="shared" si="49"/>
        <v>17</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45774</v>
      </c>
      <c r="ER46" s="767">
        <f t="shared" si="10"/>
        <v>0</v>
      </c>
      <c r="ES46" s="768">
        <f t="shared" si="11"/>
        <v>0</v>
      </c>
      <c r="ET46" s="767">
        <f t="shared" si="12"/>
        <v>0</v>
      </c>
      <c r="EU46" s="768">
        <f t="shared" si="13"/>
        <v>0</v>
      </c>
      <c r="EV46" s="767" t="str">
        <f t="shared" si="14"/>
        <v/>
      </c>
      <c r="EW46" s="769">
        <f t="shared" si="29"/>
        <v>45774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17</v>
      </c>
      <c r="GA46" s="129">
        <f t="shared" si="39"/>
        <v>2025</v>
      </c>
      <c r="GB46" s="129" t="str">
        <f t="shared" si="40"/>
        <v>172025</v>
      </c>
      <c r="GC46" s="225">
        <f>IF(AND($GD$53=S.CAL!$P$3,$GD$52=FZ46),GE46,IF(BH46="",0,BH46))</f>
        <v>0</v>
      </c>
      <c r="GD46" s="129" t="str">
        <f>IFERROR(+Mai!$BY$2&amp;BL46&amp;BM46,0)</f>
        <v>Fiche infoA7</v>
      </c>
      <c r="GE46" s="129" t="str">
        <f t="shared" si="19"/>
        <v/>
      </c>
      <c r="GF46" s="225" t="str">
        <f t="shared" si="41"/>
        <v/>
      </c>
      <c r="GG46" s="1469" t="str">
        <f>+'Retenue Avril'!D44</f>
        <v/>
      </c>
      <c r="GH46" s="1469">
        <f>+'Retenue Avril'!BF44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45775</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f t="shared" si="48"/>
        <v>18</v>
      </c>
      <c r="AQ47" s="340"/>
      <c r="AR47" s="1126"/>
      <c r="AS47" s="332">
        <f t="shared" si="3"/>
        <v>0</v>
      </c>
      <c r="AT47" s="1147"/>
      <c r="AU47" s="1147"/>
      <c r="AV47" s="332"/>
      <c r="AW47" s="2017">
        <f t="shared" si="22"/>
        <v>45775</v>
      </c>
      <c r="AX47" s="1878"/>
      <c r="AY47" s="332"/>
      <c r="AZ47" s="1126"/>
      <c r="BA47" s="993"/>
      <c r="BB47" s="561"/>
      <c r="BC47" s="566">
        <f t="shared" si="23"/>
        <v>0</v>
      </c>
      <c r="BD47" s="1126"/>
      <c r="BE47" s="825">
        <f t="shared" si="24"/>
        <v>0</v>
      </c>
      <c r="BF47" s="1150"/>
      <c r="BG47" s="224"/>
      <c r="BH47" s="566" t="str">
        <f t="shared" si="25"/>
        <v/>
      </c>
      <c r="BI47" s="1150"/>
      <c r="BJ47" s="129" t="str">
        <f t="shared" si="26"/>
        <v>Fiche infoA1</v>
      </c>
      <c r="BK47" s="129">
        <f t="shared" si="49"/>
        <v>18</v>
      </c>
      <c r="BL47" s="129" t="str">
        <f t="shared" si="4"/>
        <v>A</v>
      </c>
      <c r="BM47" s="129">
        <f t="shared" si="50"/>
        <v>1</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IF(CF47="",Mars!CE47,CF47)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45775</v>
      </c>
      <c r="ER47" s="767">
        <f t="shared" si="10"/>
        <v>0</v>
      </c>
      <c r="ES47" s="768">
        <f t="shared" si="11"/>
        <v>0</v>
      </c>
      <c r="ET47" s="767">
        <f t="shared" si="12"/>
        <v>0</v>
      </c>
      <c r="EU47" s="768">
        <f t="shared" si="13"/>
        <v>0</v>
      </c>
      <c r="EV47" s="767" t="str">
        <f t="shared" si="14"/>
        <v/>
      </c>
      <c r="EW47" s="769">
        <f t="shared" si="29"/>
        <v>45775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18</v>
      </c>
      <c r="GA47" s="129">
        <f t="shared" si="39"/>
        <v>2025</v>
      </c>
      <c r="GB47" s="129" t="str">
        <f t="shared" si="40"/>
        <v>182025</v>
      </c>
      <c r="GC47" s="225">
        <f>IF(AND($GD$53=S.CAL!$P$3,$GD$52=FZ47),GE47,IF(BH47="",0,BH47))</f>
        <v>0</v>
      </c>
      <c r="GD47" s="129" t="str">
        <f>IFERROR(+Mai!$BY$2&amp;BL47&amp;BM47,0)</f>
        <v>Fiche infoA1</v>
      </c>
      <c r="GE47" s="129" t="str">
        <f t="shared" si="19"/>
        <v/>
      </c>
      <c r="GF47" s="225" t="str">
        <f t="shared" si="41"/>
        <v/>
      </c>
      <c r="GG47" s="1469" t="str">
        <f>+'Retenue Avril'!D45</f>
        <v/>
      </c>
      <c r="GH47" s="1469">
        <f>+'Retenue Avril'!BF45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45776</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45776</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infoA2</v>
      </c>
      <c r="BK48" s="129">
        <f t="shared" si="49"/>
        <v>18</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45776</v>
      </c>
      <c r="ER48" s="767">
        <f t="shared" si="10"/>
        <v>0</v>
      </c>
      <c r="ES48" s="768">
        <f t="shared" si="11"/>
        <v>0</v>
      </c>
      <c r="ET48" s="767">
        <f t="shared" si="12"/>
        <v>0</v>
      </c>
      <c r="EU48" s="768">
        <f t="shared" si="13"/>
        <v>0</v>
      </c>
      <c r="EV48" s="767" t="str">
        <f t="shared" si="14"/>
        <v/>
      </c>
      <c r="EW48" s="769">
        <f t="shared" si="29"/>
        <v>45776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18</v>
      </c>
      <c r="GA48" s="129">
        <f t="shared" si="39"/>
        <v>2025</v>
      </c>
      <c r="GB48" s="129" t="str">
        <f t="shared" si="40"/>
        <v>182025</v>
      </c>
      <c r="GC48" s="225">
        <f>IF(AND($GD$53=S.CAL!$P$3,$GD$52=FZ48),GE48,IF(BH48="",0,BH48))</f>
        <v>0</v>
      </c>
      <c r="GD48" s="129" t="str">
        <f>IFERROR(+Mai!$BY$2&amp;BL48&amp;BM48,0)</f>
        <v>Fiche infoA2</v>
      </c>
      <c r="GE48" s="129" t="str">
        <f t="shared" si="19"/>
        <v/>
      </c>
      <c r="GF48" s="225" t="str">
        <f t="shared" si="41"/>
        <v/>
      </c>
      <c r="GG48" s="1469" t="str">
        <f>+'Retenue Avril'!D46</f>
        <v/>
      </c>
      <c r="GH48" s="1469">
        <f>+'Retenue Avril'!BF46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45777</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45777</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infoA3</v>
      </c>
      <c r="BK49" s="129">
        <f t="shared" si="49"/>
        <v>18</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IF(CF49="",Mars!CE49,CF49)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45777</v>
      </c>
      <c r="ER49" s="767">
        <f t="shared" si="10"/>
        <v>0</v>
      </c>
      <c r="ES49" s="768">
        <f t="shared" si="11"/>
        <v>0</v>
      </c>
      <c r="ET49" s="767">
        <f t="shared" si="12"/>
        <v>0</v>
      </c>
      <c r="EU49" s="768">
        <f t="shared" si="13"/>
        <v>0</v>
      </c>
      <c r="EV49" s="767" t="str">
        <f t="shared" si="14"/>
        <v/>
      </c>
      <c r="EW49" s="769">
        <f t="shared" si="29"/>
        <v>45777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18</v>
      </c>
      <c r="GA49" s="129">
        <f t="shared" si="39"/>
        <v>2025</v>
      </c>
      <c r="GB49" s="129" t="str">
        <f t="shared" ref="GB49:GB50" si="69">+FZ49&amp;GA49</f>
        <v>182025</v>
      </c>
      <c r="GC49" s="225">
        <f>IF(AND($GD$53=S.CAL!$P$3,$GD$52=FZ49),GE49,IF(BH49="",0,BH49))</f>
        <v>0</v>
      </c>
      <c r="GD49" s="129" t="str">
        <f>IFERROR(+Mai!$BY$2&amp;BL49&amp;BM49,0)</f>
        <v>Fiche infoA3</v>
      </c>
      <c r="GE49" s="129" t="str">
        <f t="shared" si="19"/>
        <v/>
      </c>
      <c r="GF49" s="225" t="str">
        <f t="shared" ref="GF49:GF50" si="70">IF(FP49=1,GG49,AM49)</f>
        <v/>
      </c>
      <c r="GG49" s="1469" t="str">
        <f>+'Retenue Avril'!D47</f>
        <v/>
      </c>
      <c r="GH49" s="1469">
        <f>+'Retenue Avril'!BF47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t="str">
        <f>IF(AB20+30&lt;DATE(YEAR(AB20),MONTH(AB20)+1,DAY(AB20)),AB20+30,"")</f>
        <v/>
      </c>
      <c r="AC50" s="1878"/>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t="str">
        <f t="shared" si="22"/>
        <v/>
      </c>
      <c r="AX50" s="2097"/>
      <c r="AY50" s="332"/>
      <c r="AZ50" s="1127"/>
      <c r="BA50" s="994"/>
      <c r="BB50" s="561"/>
      <c r="BC50" s="564">
        <f t="shared" si="23"/>
        <v>0</v>
      </c>
      <c r="BD50" s="1127"/>
      <c r="BE50" s="826">
        <f t="shared" si="24"/>
        <v>0</v>
      </c>
      <c r="BF50" s="1151"/>
      <c r="BG50" s="224"/>
      <c r="BH50" s="564" t="str">
        <f t="shared" si="25"/>
        <v/>
      </c>
      <c r="BI50" s="1151"/>
      <c r="BJ50" s="129" t="str">
        <f t="shared" si="68"/>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9"/>
        <v>2025</v>
      </c>
      <c r="GC50" s="225">
        <f>IF(AND($GD$53=S.CAL!$P$3,$GD$52=FZ50),GE50,IF(BH50="",0,BH50))</f>
        <v>0</v>
      </c>
      <c r="GD50" s="129" t="str">
        <f>IFERROR(+Mai!$BY$2&amp;BL50&amp;BM50,0)</f>
        <v>Fiche infoA0</v>
      </c>
      <c r="GE50" s="129" t="str">
        <f t="shared" si="19"/>
        <v/>
      </c>
      <c r="GF50" s="225" t="str">
        <f t="shared" si="70"/>
        <v/>
      </c>
      <c r="GG50" s="1469" t="str">
        <f>+'Retenue Avril'!D48</f>
        <v/>
      </c>
      <c r="GH50" s="1469">
        <f>+'Retenue Avril'!BF48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4.0500000000000001E-2</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18</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IF(CF53="",+Mars!CE53,CF53)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IF(CF54="",Mars!CE54,CF54)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IF(CF55&gt;0,CF55,IF(AND(CE53=Mars!CE53,CE54=Mars!CE54),Mars!CE55,IF(OR(CE53&lt;&gt;Mars!CE53,CE54&lt;&gt;Mars!CE54),CE53/CE54)))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Avril'!E52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+IF(BY57="",Mars!BY56,BY57)</f>
        <v>24</v>
      </c>
      <c r="BZ56" s="629" t="s">
        <v>1065</v>
      </c>
      <c r="CA56" s="632">
        <f>+IF(CA57="",Mars!CA56,CA57)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IF(CF57="",+Mars!CE57,CF57)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IF(CF58="",Mars!CE58,CF58)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+IF(CA61="",Mars!CA60,CA61)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+IF(BA65="",Mars!K67,BA65)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+IF(BA68="",Mars!K68,BA68)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E74+Mars!H74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E75+Mars!H75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Avril'!EH51=0,"",'Retenue Avril'!EH51),AX76)</f>
        <v/>
      </c>
      <c r="AZ75" s="2043"/>
      <c r="BA75" s="936" t="str">
        <f>+IF(BA76="",IF('Retenue Avril'!EF51=0,"",'Retenue Avril'!EF51),BA76)</f>
        <v/>
      </c>
      <c r="BB75" s="937"/>
      <c r="BC75" s="938" t="str">
        <f>IF(BC76="",IF(+'Retenue Avril'!EG51=0,"",'Retenue Avril'!EG51),BC76)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E76+Mars!H76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E77+Mars!H77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+IF(AR78="",Mars!AL78,AR78)</f>
        <v>0</v>
      </c>
      <c r="AM78" s="2179"/>
      <c r="AN78" s="2179"/>
      <c r="AO78" s="2179"/>
      <c r="AQ78" s="438" t="s">
        <v>762</v>
      </c>
      <c r="AR78" s="2304"/>
      <c r="AS78" s="2304"/>
      <c r="AT78" s="2041" t="str">
        <f>IFERROR(VLOOKUP(AY78,'Liste des Libellés'!$A$4:$F$32,6,FALSE),"")</f>
        <v/>
      </c>
      <c r="AU78" s="2041"/>
      <c r="AV78" s="2041"/>
      <c r="AW78" s="2041"/>
      <c r="AX78" s="935"/>
      <c r="AY78" s="2043" t="str">
        <f>+IF(AX79="",IF('Retenue Avril'!EH53=0,"",'Retenue Avril'!EH53),AX79)</f>
        <v/>
      </c>
      <c r="AZ78" s="2043"/>
      <c r="BA78" s="936" t="str">
        <f>+IF(BA79="",IF('Retenue Avril'!EF53=0,"",'Retenue Avril'!EF53),BA79)</f>
        <v/>
      </c>
      <c r="BB78" s="937"/>
      <c r="BC78" s="938" t="str">
        <f>IF(BC79="",IF(+'Retenue Avril'!EG53=0,"",'Retenue Avril'!EG53),BC79)</f>
        <v/>
      </c>
      <c r="BD78" s="972"/>
      <c r="BE78" s="129"/>
      <c r="BF78" s="129"/>
      <c r="BG78" s="129"/>
      <c r="BH78" s="129"/>
      <c r="BI78" s="129"/>
      <c r="CA78" s="663"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2303"/>
      <c r="F80" s="2189" t="str">
        <f>+Mars!F80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06/"&amp;Identification!B60-2002&amp;" à 05/"&amp;Identification!B60-2001</f>
        <v>Année préc. de 06/23 à 05/24</v>
      </c>
      <c r="AI80" s="2047"/>
      <c r="AJ80" s="2047"/>
      <c r="AK80" s="2048"/>
      <c r="AL80" s="2046" t="str">
        <f>+"Année en cours de 06/"&amp;Identification!B60-2001&amp;" à 05/"&amp;Identification!B60-2000</f>
        <v>Année en cours de 06/24 à 05/25</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Avril'!EH55=0,"",'Retenue Avril'!EH55),AX82)</f>
        <v/>
      </c>
      <c r="AZ81" s="2043"/>
      <c r="BA81" s="936" t="str">
        <f>+IF(BA82="",IF('Retenue Avril'!EF55=0,"",'Retenue Avril'!EF55),BA82)</f>
        <v/>
      </c>
      <c r="BB81" s="937"/>
      <c r="BC81" s="938" t="str">
        <f>IF(BC82="",IF(+'Retenue Avril'!EG55=0,"",'Retenue Avril'!EG55),BC82)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Avril'!EH57=0,"",'Retenue Avril'!EH57),AX85)</f>
        <v/>
      </c>
      <c r="AZ84" s="2043"/>
      <c r="BA84" s="936" t="str">
        <f>+IF(BA85="",IF('Retenue Avril'!EF57=0,"",'Retenue Avril'!EF57),BA85)</f>
        <v/>
      </c>
      <c r="BB84" s="937"/>
      <c r="BC84" s="938" t="str">
        <f>IF(BC85="",IF(+'Retenue Avril'!EG57=0,"",'Retenue Avril'!EG57),BC85)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Mars!F86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IF(AR86="",+Mars!AH86,AR86)</f>
        <v>0</v>
      </c>
      <c r="AI86" s="1732"/>
      <c r="AJ86" s="1732"/>
      <c r="AK86" s="1733"/>
      <c r="AL86" s="1731">
        <f>IF(AS86="",IF(DP8=52,+EI29+Mars!AL86,+EI25+Mars!AL86),IF(DP8=52,+EI29+Mars!AL86+AS86,+EI25+Mars!AL86+AS86))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45777</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+Mars!AH87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+Mars!AH89+Mars!AH90</f>
        <v>0</v>
      </c>
      <c r="AI89" s="1732"/>
      <c r="AJ89" s="1732"/>
      <c r="AK89" s="1733"/>
      <c r="AL89" s="1731">
        <f>+Mars!AL89+Mars!AL90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440" t="s">
        <v>1050</v>
      </c>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IF(AR93="",+Mars!AH93-COUNTIF(AD20:AF50,'Liste des Libellés'!A18),AR93)</f>
        <v>0</v>
      </c>
      <c r="AI93" s="2163"/>
      <c r="AJ93" s="2163"/>
      <c r="AK93" s="2164"/>
      <c r="AL93" s="2162"/>
      <c r="AM93" s="2163"/>
      <c r="AN93" s="2163"/>
      <c r="AO93" s="2164"/>
      <c r="AP93" s="1029"/>
      <c r="AQ93" s="1028" t="s">
        <v>762</v>
      </c>
      <c r="AR93" s="116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+DATE(YEAR(X3)-1,5,31)</f>
        <v>45443</v>
      </c>
      <c r="E99" s="2298"/>
      <c r="F99" s="2298"/>
      <c r="G99" s="2299">
        <f>+Mars!G99</f>
        <v>0</v>
      </c>
      <c r="H99" s="1890"/>
      <c r="I99" s="189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+Mars!G100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Z107" s="1472" t="str">
        <f>+$BG$9</f>
        <v>142025</v>
      </c>
      <c r="BA107" s="1473">
        <f>+$AT$4</f>
        <v>14</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152025</v>
      </c>
      <c r="BA108" s="1478">
        <f>+$AT$5</f>
        <v>15</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162025</v>
      </c>
      <c r="BA109" s="1478">
        <f>+$AT$6</f>
        <v>16</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172025</v>
      </c>
      <c r="BA110" s="1478">
        <f>+$AT$7</f>
        <v>17</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182025</v>
      </c>
      <c r="BA111" s="1478">
        <f>+$AT$8</f>
        <v>18</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2"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142025</v>
      </c>
      <c r="BA142" s="1473">
        <f>+$AT$4</f>
        <v>14</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152025</v>
      </c>
      <c r="BA143" s="1478">
        <f>+$AT$5</f>
        <v>15</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162025</v>
      </c>
      <c r="BA144" s="1478">
        <f>+$AT$6</f>
        <v>16</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172025</v>
      </c>
      <c r="BA145" s="1478">
        <f>+$AT$7</f>
        <v>17</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182025</v>
      </c>
      <c r="BA146" s="1478">
        <f>+$AT$8</f>
        <v>18</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ZZbmP4opfa5q+O1Q8CXeIpSe1Su6rZX6HyzOehDLuxAuqd2lfkAZfvTuQbpzDo5Gmsqgs6/WTn5vWoNwF7jh2g==" saltValue="k4DQawWVXUFPmYM6hI/dyg=="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3644" priority="16">
      <formula>$U$14=0</formula>
    </cfRule>
  </conditionalFormatting>
  <conditionalFormatting sqref="B26:K26">
    <cfRule type="expression" dxfId="3643" priority="26">
      <formula>$U$14=0</formula>
    </cfRule>
  </conditionalFormatting>
  <conditionalFormatting sqref="B29:K29">
    <cfRule type="cellIs" dxfId="3642" priority="13" operator="greaterThan">
      <formula>0</formula>
    </cfRule>
  </conditionalFormatting>
  <conditionalFormatting sqref="C70:G70">
    <cfRule type="cellIs" dxfId="3641" priority="7" operator="greaterThan">
      <formula>0</formula>
    </cfRule>
  </conditionalFormatting>
  <conditionalFormatting sqref="F87:I87">
    <cfRule type="cellIs" dxfId="3640" priority="2" operator="greaterThan">
      <formula>0</formula>
    </cfRule>
  </conditionalFormatting>
  <conditionalFormatting sqref="F86:L86">
    <cfRule type="cellIs" dxfId="3639" priority="3" operator="greaterThan">
      <formula>0</formula>
    </cfRule>
  </conditionalFormatting>
  <conditionalFormatting sqref="H65:J65">
    <cfRule type="expression" dxfId="3638" priority="38">
      <formula>AND($AX$60="Oui",$AZ$62="")</formula>
    </cfRule>
    <cfRule type="expression" dxfId="3637" priority="40">
      <formula>AND($AX$60="Oui",$AZ$62="hrs")</formula>
    </cfRule>
  </conditionalFormatting>
  <conditionalFormatting sqref="H66:J66">
    <cfRule type="expression" dxfId="3636" priority="36">
      <formula>AND($BW$41="Non",$AX$61="Non")</formula>
    </cfRule>
    <cfRule type="expression" dxfId="3635" priority="35">
      <formula>AND($AX$61="Oui",$AZ$63="jrs")</formula>
    </cfRule>
    <cfRule type="expression" dxfId="3634" priority="37">
      <formula>AND($BW$41="Oui",$AX$61="Non")</formula>
    </cfRule>
    <cfRule type="expression" dxfId="3633" priority="34">
      <formula>AND($AX$61="Oui",$AZ$63="")</formula>
    </cfRule>
  </conditionalFormatting>
  <conditionalFormatting sqref="H70:J71">
    <cfRule type="cellIs" dxfId="3632" priority="6" operator="greaterThan">
      <formula>0</formula>
    </cfRule>
  </conditionalFormatting>
  <conditionalFormatting sqref="H65:K66">
    <cfRule type="cellIs" dxfId="3631" priority="33" operator="equal">
      <formula>0</formula>
    </cfRule>
  </conditionalFormatting>
  <conditionalFormatting sqref="H67:M68">
    <cfRule type="cellIs" dxfId="3630" priority="54" operator="equal">
      <formula>0</formula>
    </cfRule>
  </conditionalFormatting>
  <conditionalFormatting sqref="H69:M69">
    <cfRule type="cellIs" dxfId="3629" priority="8" operator="greaterThan">
      <formula>0</formula>
    </cfRule>
  </conditionalFormatting>
  <conditionalFormatting sqref="H40:Z60">
    <cfRule type="cellIs" dxfId="3628" priority="32" operator="equal">
      <formula>0</formula>
    </cfRule>
  </conditionalFormatting>
  <conditionalFormatting sqref="K81:K82 L82:T83 K88:T88 K89:Q90">
    <cfRule type="expression" dxfId="3627" priority="523">
      <formula>$EO$6="OUI"</formula>
    </cfRule>
  </conditionalFormatting>
  <conditionalFormatting sqref="K87">
    <cfRule type="expression" dxfId="3626" priority="4">
      <formula>$EO$6="OUI"</formula>
    </cfRule>
  </conditionalFormatting>
  <conditionalFormatting sqref="L18:O19">
    <cfRule type="cellIs" dxfId="3625" priority="20" operator="equal">
      <formula>0</formula>
    </cfRule>
  </conditionalFormatting>
  <conditionalFormatting sqref="L21:O22">
    <cfRule type="cellIs" dxfId="3624" priority="31" operator="equal">
      <formula>0</formula>
    </cfRule>
  </conditionalFormatting>
  <conditionalFormatting sqref="L27:O28">
    <cfRule type="cellIs" dxfId="3623" priority="14" operator="greaterThan">
      <formula>0</formula>
    </cfRule>
  </conditionalFormatting>
  <conditionalFormatting sqref="L30:O32">
    <cfRule type="cellIs" dxfId="3622" priority="12" operator="greaterThan">
      <formula>0</formula>
    </cfRule>
  </conditionalFormatting>
  <conditionalFormatting sqref="L34:O34">
    <cfRule type="cellIs" dxfId="3621" priority="10" operator="greaterThan">
      <formula>0</formula>
    </cfRule>
  </conditionalFormatting>
  <conditionalFormatting sqref="L23:S24">
    <cfRule type="cellIs" dxfId="3620" priority="15" operator="greaterThan">
      <formula>0</formula>
    </cfRule>
  </conditionalFormatting>
  <conditionalFormatting sqref="L25:S26">
    <cfRule type="containsErrors" dxfId="3619" priority="24">
      <formula>ISERROR(L25)</formula>
    </cfRule>
    <cfRule type="cellIs" dxfId="3618" priority="25" operator="equal">
      <formula>0</formula>
    </cfRule>
  </conditionalFormatting>
  <conditionalFormatting sqref="M87:T87">
    <cfRule type="expression" dxfId="3617" priority="520">
      <formula>$EO$6="OUI"</formula>
    </cfRule>
  </conditionalFormatting>
  <conditionalFormatting sqref="N65:P71">
    <cfRule type="cellIs" dxfId="3616" priority="60" operator="equal">
      <formula>0</formula>
    </cfRule>
  </conditionalFormatting>
  <conditionalFormatting sqref="O86">
    <cfRule type="expression" dxfId="3615" priority="524">
      <formula>EO6="OUI"</formula>
    </cfRule>
  </conditionalFormatting>
  <conditionalFormatting sqref="O14:T14">
    <cfRule type="expression" dxfId="3614" priority="214">
      <formula>$U$14=0</formula>
    </cfRule>
  </conditionalFormatting>
  <conditionalFormatting sqref="P20">
    <cfRule type="expression" dxfId="3613" priority="17">
      <formula>$DP$14=1</formula>
    </cfRule>
  </conditionalFormatting>
  <conditionalFormatting sqref="P18:S18">
    <cfRule type="expression" dxfId="3612" priority="21">
      <formula>$L$18=0</formula>
    </cfRule>
  </conditionalFormatting>
  <conditionalFormatting sqref="P19:S19">
    <cfRule type="expression" dxfId="3611" priority="19">
      <formula>$L$19=0</formula>
    </cfRule>
  </conditionalFormatting>
  <conditionalFormatting sqref="P21:S21">
    <cfRule type="expression" dxfId="3610" priority="30">
      <formula>$L$21=0</formula>
    </cfRule>
  </conditionalFormatting>
  <conditionalFormatting sqref="P22:S22">
    <cfRule type="expression" dxfId="3609" priority="29">
      <formula>$L$22=0</formula>
    </cfRule>
  </conditionalFormatting>
  <conditionalFormatting sqref="R87:T87">
    <cfRule type="expression" dxfId="3608" priority="519">
      <formula>$EO$7="OUI"</formula>
    </cfRule>
  </conditionalFormatting>
  <conditionalFormatting sqref="R89:T89">
    <cfRule type="expression" dxfId="3607" priority="514">
      <formula>$EO$8="OUI"</formula>
    </cfRule>
    <cfRule type="expression" dxfId="3606" priority="515">
      <formula>$EO$6="OUI"</formula>
    </cfRule>
  </conditionalFormatting>
  <conditionalFormatting sqref="R90:T90">
    <cfRule type="expression" dxfId="3605" priority="521">
      <formula>$EO$7="OUI"</formula>
    </cfRule>
    <cfRule type="expression" dxfId="3604" priority="522">
      <formula>$EO$6="OUI"</formula>
    </cfRule>
  </conditionalFormatting>
  <conditionalFormatting sqref="T20">
    <cfRule type="expression" dxfId="3603" priority="18">
      <formula>$DP$14=1</formula>
    </cfRule>
  </conditionalFormatting>
  <conditionalFormatting sqref="T30:T32">
    <cfRule type="cellIs" dxfId="3602" priority="28" operator="equal">
      <formula>0</formula>
    </cfRule>
  </conditionalFormatting>
  <conditionalFormatting sqref="T18:W19">
    <cfRule type="cellIs" dxfId="3601" priority="22" operator="equal">
      <formula>0</formula>
    </cfRule>
  </conditionalFormatting>
  <conditionalFormatting sqref="T21:W28">
    <cfRule type="cellIs" dxfId="3600" priority="27" operator="equal">
      <formula>0</formula>
    </cfRule>
  </conditionalFormatting>
  <conditionalFormatting sqref="T29:W29">
    <cfRule type="cellIs" dxfId="3599" priority="11" operator="greaterThan">
      <formula>0</formula>
    </cfRule>
  </conditionalFormatting>
  <conditionalFormatting sqref="T33:W33">
    <cfRule type="cellIs" dxfId="3598" priority="9" operator="greaterThan">
      <formula>0</formula>
    </cfRule>
  </conditionalFormatting>
  <conditionalFormatting sqref="T34:W34">
    <cfRule type="cellIs" dxfId="3597" priority="23" operator="equal">
      <formula>0</formula>
    </cfRule>
  </conditionalFormatting>
  <conditionalFormatting sqref="U14:X14">
    <cfRule type="cellIs" dxfId="3596" priority="212" operator="equal">
      <formula>0</formula>
    </cfRule>
  </conditionalFormatting>
  <conditionalFormatting sqref="V80:AF81">
    <cfRule type="cellIs" dxfId="3595" priority="1" operator="notEqual">
      <formula>"Commentaires :"</formula>
    </cfRule>
  </conditionalFormatting>
  <conditionalFormatting sqref="Y73:AO75">
    <cfRule type="expression" dxfId="3594" priority="64">
      <formula>$DP$8=52</formula>
    </cfRule>
  </conditionalFormatting>
  <conditionalFormatting sqref="AB20:AC50">
    <cfRule type="expression" dxfId="3593" priority="437">
      <formula>WEEKDAY(AB20,2)=7</formula>
    </cfRule>
    <cfRule type="expression" dxfId="3592" priority="438">
      <formula>OR(WEEKDAY(AB20,2)=6,WEEKDAY(AB20,2)=7)</formula>
    </cfRule>
    <cfRule type="expression" dxfId="3591" priority="439">
      <formula>VLOOKUP(AB20,base_feries,1,FALSE)</formula>
    </cfRule>
  </conditionalFormatting>
  <conditionalFormatting sqref="AD20:AF50">
    <cfRule type="cellIs" dxfId="3590" priority="309" operator="equal">
      <formula>0</formula>
    </cfRule>
    <cfRule type="expression" dxfId="3589" priority="308">
      <formula>FC20="oui"</formula>
    </cfRule>
  </conditionalFormatting>
  <conditionalFormatting sqref="AG20:AI50">
    <cfRule type="expression" dxfId="3588" priority="310">
      <formula>FC20="oui"</formula>
    </cfRule>
  </conditionalFormatting>
  <conditionalFormatting sqref="AH83:AH84">
    <cfRule type="cellIs" dxfId="3587" priority="532" stopIfTrue="1" operator="equal">
      <formula>0</formula>
    </cfRule>
  </conditionalFormatting>
  <conditionalFormatting sqref="AH89:AH91">
    <cfRule type="cellIs" dxfId="3586" priority="70" stopIfTrue="1" operator="equal">
      <formula>0</formula>
    </cfRule>
  </conditionalFormatting>
  <conditionalFormatting sqref="AH93:AK93">
    <cfRule type="cellIs" dxfId="3585" priority="525" operator="equal">
      <formula>0</formula>
    </cfRule>
  </conditionalFormatting>
  <conditionalFormatting sqref="AH86:AL87">
    <cfRule type="cellIs" dxfId="3584" priority="65" stopIfTrue="1" operator="equal">
      <formula>0</formula>
    </cfRule>
  </conditionalFormatting>
  <conditionalFormatting sqref="AH92:AO92">
    <cfRule type="cellIs" dxfId="3583" priority="244" operator="lessThan">
      <formula>-0.001</formula>
    </cfRule>
  </conditionalFormatting>
  <conditionalFormatting sqref="AJ20:AL50">
    <cfRule type="expression" dxfId="3582" priority="311">
      <formula>FC20="oui"</formula>
    </cfRule>
  </conditionalFormatting>
  <conditionalFormatting sqref="AL83">
    <cfRule type="cellIs" dxfId="3581" priority="531" stopIfTrue="1" operator="equal">
      <formula>0</formula>
    </cfRule>
  </conditionalFormatting>
  <conditionalFormatting sqref="AL89:AL91">
    <cfRule type="cellIs" dxfId="3580" priority="69" stopIfTrue="1" operator="equal">
      <formula>0</formula>
    </cfRule>
  </conditionalFormatting>
  <conditionalFormatting sqref="AL93">
    <cfRule type="cellIs" dxfId="3579" priority="533" stopIfTrue="1" operator="equal">
      <formula>0</formula>
    </cfRule>
  </conditionalFormatting>
  <conditionalFormatting sqref="AM20:AO50">
    <cfRule type="expression" dxfId="3578" priority="312">
      <formula>FC20="oui"</formula>
    </cfRule>
  </conditionalFormatting>
  <conditionalFormatting sqref="AP20:AP50">
    <cfRule type="expression" dxfId="3577" priority="152">
      <formula>BL20="E"</formula>
    </cfRule>
    <cfRule type="expression" dxfId="3576" priority="155">
      <formula>BL20="B"</formula>
    </cfRule>
    <cfRule type="expression" dxfId="3575" priority="154">
      <formula>BL20="C"</formula>
    </cfRule>
    <cfRule type="expression" dxfId="3574" priority="153">
      <formula>BL20="D"</formula>
    </cfRule>
    <cfRule type="expression" dxfId="3573" priority="149">
      <formula>BL20="H"</formula>
    </cfRule>
    <cfRule type="expression" dxfId="3572" priority="150">
      <formula>BL20="G"</formula>
    </cfRule>
    <cfRule type="expression" dxfId="3571" priority="151">
      <formula>BL20="F"</formula>
    </cfRule>
  </conditionalFormatting>
  <conditionalFormatting sqref="AQ62:AU62">
    <cfRule type="expression" dxfId="3570" priority="46">
      <formula>$AT$60="Non"</formula>
    </cfRule>
  </conditionalFormatting>
  <conditionalFormatting sqref="AQ63:AU63">
    <cfRule type="expression" dxfId="3569" priority="43">
      <formula>$AT$61="Non"</formula>
    </cfRule>
  </conditionalFormatting>
  <conditionalFormatting sqref="AR20:AR50">
    <cfRule type="expression" dxfId="3568" priority="190">
      <formula>FN20=10</formula>
    </cfRule>
    <cfRule type="expression" dxfId="3567" priority="194">
      <formula>AND(AR20&lt;&gt;"",AZ20&lt;&gt;"")</formula>
    </cfRule>
    <cfRule type="expression" dxfId="3566" priority="186">
      <formula>FC20="oui"</formula>
    </cfRule>
    <cfRule type="expression" dxfId="3565" priority="178">
      <formula>AB20=""</formula>
    </cfRule>
  </conditionalFormatting>
  <conditionalFormatting sqref="AR17:BJ50">
    <cfRule type="expression" dxfId="3564" priority="49">
      <formula>$EX$13="oui"</formula>
    </cfRule>
  </conditionalFormatting>
  <conditionalFormatting sqref="AS51:BJ51 DK51">
    <cfRule type="expression" dxfId="3563" priority="139">
      <formula>$EX$13="oui"</formula>
    </cfRule>
  </conditionalFormatting>
  <conditionalFormatting sqref="AT4:AT10">
    <cfRule type="expression" dxfId="3562" priority="454">
      <formula>AU4="H"</formula>
    </cfRule>
    <cfRule type="expression" dxfId="3561" priority="455">
      <formula>AU4="G"</formula>
    </cfRule>
    <cfRule type="expression" dxfId="3560" priority="456">
      <formula>AU4="F"</formula>
    </cfRule>
    <cfRule type="expression" dxfId="3559" priority="457">
      <formula>AU4="E"</formula>
    </cfRule>
    <cfRule type="expression" dxfId="3558" priority="458">
      <formula>AU4="D"</formula>
    </cfRule>
    <cfRule type="expression" dxfId="3557" priority="460">
      <formula>AU4="B"</formula>
    </cfRule>
    <cfRule type="expression" dxfId="3556" priority="459">
      <formula>AU4="C"</formula>
    </cfRule>
  </conditionalFormatting>
  <conditionalFormatting sqref="AT20:AT50">
    <cfRule type="expression" dxfId="3555" priority="189">
      <formula>FC20="oui"</formula>
    </cfRule>
    <cfRule type="expression" dxfId="3554" priority="185">
      <formula>AB20=""</formula>
    </cfRule>
  </conditionalFormatting>
  <conditionalFormatting sqref="AU4:AU10">
    <cfRule type="expression" dxfId="3553" priority="389">
      <formula>AT4=""</formula>
    </cfRule>
    <cfRule type="expression" dxfId="3552" priority="390">
      <formula>FG4="rouge"</formula>
    </cfRule>
  </conditionalFormatting>
  <conditionalFormatting sqref="AU20:AU50">
    <cfRule type="expression" dxfId="3551" priority="193">
      <formula>FC20="oui"</formula>
    </cfRule>
    <cfRule type="expression" dxfId="3550" priority="184">
      <formula>AB20=""</formula>
    </cfRule>
  </conditionalFormatting>
  <conditionalFormatting sqref="AW20:AX50">
    <cfRule type="expression" dxfId="3549" priority="198">
      <formula>VLOOKUP(AW20,base_feries,1,FALSE)</formula>
    </cfRule>
    <cfRule type="expression" dxfId="3548" priority="197">
      <formula>OR(WEEKDAY(AW20,2)=6,WEEKDAY(AW20,2)=7)</formula>
    </cfRule>
    <cfRule type="expression" dxfId="3547" priority="196">
      <formula>WEEKDAY(AW20,2)=7</formula>
    </cfRule>
  </conditionalFormatting>
  <conditionalFormatting sqref="AX62:AZ62">
    <cfRule type="expression" dxfId="3546" priority="45">
      <formula>$AX$60="Non"</formula>
    </cfRule>
  </conditionalFormatting>
  <conditionalFormatting sqref="AX63:AZ63">
    <cfRule type="expression" dxfId="3545" priority="42">
      <formula>$AX$61="Non"</formula>
    </cfRule>
  </conditionalFormatting>
  <conditionalFormatting sqref="AZ20:AZ50">
    <cfRule type="expression" dxfId="3544" priority="50">
      <formula>AB20=""</formula>
    </cfRule>
    <cfRule type="expression" dxfId="3543" priority="53">
      <formula>AND(AR20&lt;&gt;"",AZ20&lt;&gt;"")</formula>
    </cfRule>
    <cfRule type="expression" dxfId="3542" priority="52">
      <formula>FL20=10</formula>
    </cfRule>
    <cfRule type="expression" dxfId="3541" priority="51">
      <formula>FC20="oui"</formula>
    </cfRule>
  </conditionalFormatting>
  <conditionalFormatting sqref="BA20:BA50">
    <cfRule type="expression" dxfId="3540" priority="187">
      <formula>FC20="oui"</formula>
    </cfRule>
    <cfRule type="expression" dxfId="3539" priority="183">
      <formula>AB20=""</formula>
    </cfRule>
  </conditionalFormatting>
  <conditionalFormatting sqref="BA62">
    <cfRule type="expression" dxfId="3538" priority="44">
      <formula>$BA$60="Non"</formula>
    </cfRule>
  </conditionalFormatting>
  <conditionalFormatting sqref="BA63">
    <cfRule type="expression" dxfId="3537" priority="41">
      <formula>$BA$61="Non"</formula>
    </cfRule>
  </conditionalFormatting>
  <conditionalFormatting sqref="BA102 BA103:BH115">
    <cfRule type="expression" dxfId="3536" priority="99">
      <formula>$DP$8=52</formula>
    </cfRule>
  </conditionalFormatting>
  <conditionalFormatting sqref="BA137">
    <cfRule type="expression" dxfId="3535" priority="68">
      <formula>$DP$8=52</formula>
    </cfRule>
  </conditionalFormatting>
  <conditionalFormatting sqref="BA138:BH149">
    <cfRule type="expression" dxfId="3534" priority="66">
      <formula>$DP$8=52</formula>
    </cfRule>
  </conditionalFormatting>
  <conditionalFormatting sqref="BC20:BC55">
    <cfRule type="cellIs" dxfId="3533" priority="192" operator="equal">
      <formula>0</formula>
    </cfRule>
    <cfRule type="expression" dxfId="3532" priority="180">
      <formula>AJ20=""</formula>
    </cfRule>
  </conditionalFormatting>
  <conditionalFormatting sqref="BC112:BH112">
    <cfRule type="expression" dxfId="3531" priority="98">
      <formula>$BA$112=""</formula>
    </cfRule>
  </conditionalFormatting>
  <conditionalFormatting sqref="BC147:BH147">
    <cfRule type="expression" dxfId="3530" priority="67">
      <formula>$BA$112=""</formula>
    </cfRule>
  </conditionalFormatting>
  <conditionalFormatting sqref="BD20:BD50">
    <cfRule type="expression" dxfId="3529" priority="181">
      <formula>FL20="oui"</formula>
    </cfRule>
  </conditionalFormatting>
  <conditionalFormatting sqref="BE20:BE50">
    <cfRule type="expression" dxfId="3528" priority="191">
      <formula>OR(BE20=0,BE20="")</formula>
    </cfRule>
  </conditionalFormatting>
  <conditionalFormatting sqref="BH20:BH50">
    <cfRule type="expression" dxfId="3527" priority="140">
      <formula>AO20=""</formula>
    </cfRule>
    <cfRule type="cellIs" dxfId="3526" priority="177" operator="equal">
      <formula>0</formula>
    </cfRule>
  </conditionalFormatting>
  <conditionalFormatting sqref="BI9:BI14">
    <cfRule type="cellIs" dxfId="3525" priority="105" operator="equal">
      <formula>0</formula>
    </cfRule>
  </conditionalFormatting>
  <conditionalFormatting sqref="BQ54">
    <cfRule type="expression" dxfId="3524" priority="434">
      <formula>$BW$41="Non"</formula>
    </cfRule>
  </conditionalFormatting>
  <conditionalFormatting sqref="BQ36:CA36">
    <cfRule type="expression" dxfId="3523" priority="435">
      <formula>$BW$41="Oui"</formula>
    </cfRule>
  </conditionalFormatting>
  <conditionalFormatting sqref="BS21:CA34">
    <cfRule type="expression" dxfId="3522" priority="85">
      <formula>$EO$12="NON"</formula>
    </cfRule>
  </conditionalFormatting>
  <conditionalFormatting sqref="BY28:BY33">
    <cfRule type="notContainsBlanks" dxfId="3521" priority="86">
      <formula>LEN(TRIM(BY28))&gt;0</formula>
    </cfRule>
  </conditionalFormatting>
  <conditionalFormatting sqref="BY56">
    <cfRule type="duplicateValues" dxfId="3520" priority="482"/>
    <cfRule type="expression" dxfId="3519" priority="481">
      <formula>$BW$41="Oui"</formula>
    </cfRule>
  </conditionalFormatting>
  <conditionalFormatting sqref="BY60">
    <cfRule type="expression" dxfId="3518" priority="475">
      <formula>$BW$41="Oui"</formula>
    </cfRule>
    <cfRule type="cellIs" dxfId="3517" priority="476" operator="lessThan">
      <formula>$BY$59</formula>
    </cfRule>
    <cfRule type="duplicateValues" dxfId="3516" priority="477"/>
  </conditionalFormatting>
  <conditionalFormatting sqref="CA56">
    <cfRule type="expression" dxfId="3515" priority="285">
      <formula>AND($CA$56&lt;$CE$47,$BW$41="Non")</formula>
    </cfRule>
  </conditionalFormatting>
  <conditionalFormatting sqref="CB78">
    <cfRule type="cellIs" dxfId="3514" priority="572" stopIfTrue="1" operator="equal">
      <formula>"NON"</formula>
    </cfRule>
    <cfRule type="cellIs" dxfId="3513" priority="573" stopIfTrue="1" operator="equal">
      <formula>"OUI"</formula>
    </cfRule>
  </conditionalFormatting>
  <conditionalFormatting sqref="CE53:CE54">
    <cfRule type="expression" dxfId="3512" priority="158">
      <formula>$BW$41="Non"</formula>
    </cfRule>
  </conditionalFormatting>
  <conditionalFormatting sqref="CE57:CE58">
    <cfRule type="expression" dxfId="3511" priority="157">
      <formula>$BW$41="Non"</formula>
    </cfRule>
  </conditionalFormatting>
  <conditionalFormatting sqref="CE3:CF3">
    <cfRule type="expression" dxfId="3510" priority="119">
      <formula>$CD$3=""</formula>
    </cfRule>
    <cfRule type="expression" dxfId="3509" priority="118">
      <formula>AND($CE$3="",$CE$5&lt;&gt;"")</formula>
    </cfRule>
    <cfRule type="expression" dxfId="3508" priority="117">
      <formula>$FX$3="vrai"</formula>
    </cfRule>
  </conditionalFormatting>
  <conditionalFormatting sqref="CE5:CF5">
    <cfRule type="expression" dxfId="3507" priority="126">
      <formula>OR(AND(CE5&lt;&gt;0,CE5&lt;AJ4),AND(CE5&lt;&gt;0,CE5&gt;EG5),AND(CE5&lt;&gt;0,CE5&lt;AB20))</formula>
    </cfRule>
    <cfRule type="expression" dxfId="3506" priority="125">
      <formula>CD5=""</formula>
    </cfRule>
    <cfRule type="expression" dxfId="3505" priority="124">
      <formula>$FX$5="vrai"</formula>
    </cfRule>
  </conditionalFormatting>
  <conditionalFormatting sqref="CE8:CF8">
    <cfRule type="cellIs" dxfId="3504" priority="123" operator="greaterThan">
      <formula>$CE$5</formula>
    </cfRule>
    <cfRule type="expression" dxfId="3503" priority="122">
      <formula>AND(CE8&lt;&gt;0,CE8&lt;AJ4)</formula>
    </cfRule>
    <cfRule type="expression" dxfId="3502" priority="121">
      <formula>CD8=""</formula>
    </cfRule>
    <cfRule type="expression" dxfId="3501" priority="120">
      <formula>$FX$8="vrai"</formula>
    </cfRule>
  </conditionalFormatting>
  <conditionalFormatting sqref="CF47">
    <cfRule type="notContainsBlanks" dxfId="3500" priority="421">
      <formula>LEN(TRIM(CF47))&gt;0</formula>
    </cfRule>
  </conditionalFormatting>
  <conditionalFormatting sqref="CF49">
    <cfRule type="notContainsBlanks" dxfId="3499" priority="420">
      <formula>LEN(TRIM(CF49))&gt;0</formula>
    </cfRule>
  </conditionalFormatting>
  <conditionalFormatting sqref="CF53:CF54">
    <cfRule type="expression" dxfId="3498" priority="161">
      <formula>$BW$41="Non"</formula>
    </cfRule>
  </conditionalFormatting>
  <conditionalFormatting sqref="CF57:CF58">
    <cfRule type="expression" dxfId="3497" priority="159">
      <formula>$BW$41="Non"</formula>
    </cfRule>
  </conditionalFormatting>
  <conditionalFormatting sqref="CG8:CI8">
    <cfRule type="expression" dxfId="3496" priority="253">
      <formula>CD8=""</formula>
    </cfRule>
  </conditionalFormatting>
  <conditionalFormatting sqref="GW16:HR16">
    <cfRule type="expression" dxfId="3495" priority="411">
      <formula>$AE$123="NON"</formula>
    </cfRule>
  </conditionalFormatting>
  <conditionalFormatting sqref="HG16:HJ16">
    <cfRule type="expression" dxfId="3494" priority="4945">
      <formula>AR123&gt;0</formula>
    </cfRule>
  </conditionalFormatting>
  <conditionalFormatting sqref="HK16:HN16">
    <cfRule type="expression" dxfId="3493" priority="494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5"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2"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6"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DATE(YEAR(Janvier!X3),MONTH(Janvier!X3)+4,DAY(Janvier!X3))</f>
        <v>45778</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18</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IF(Avril!BY8="OUI","Contrat fini",BY2)</f>
        <v>Fiche info</v>
      </c>
      <c r="EF4" s="333" t="s">
        <v>1044</v>
      </c>
      <c r="EG4" s="755">
        <f>+Identification!B95</f>
        <v>0</v>
      </c>
      <c r="FG4" s="333" t="str">
        <f>IFERROR(IF(VLOOKUP(AT4,Avril!$AT$4:$AU$10,2,FALSE)&lt;&gt;Mai!AU4,"rouge","ok"),0)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45778</v>
      </c>
      <c r="Y5" s="1948"/>
      <c r="Z5" s="1953" t="s">
        <v>460</v>
      </c>
      <c r="AA5" s="1953"/>
      <c r="AB5" s="1948">
        <f>+IF(AND(DATE(YEAR(EG4),MONTH(EG4),DAY(EG4))&gt;=DATE(YEAR(X3),MONTH(X3),DAY(X3)),DATE(YEAR(EG4),MONTH(EG4),DAY(EG4))&lt;=DATE(YEAR(X3),MONTH(X3),DAY(EOMONTH(X3,0)))),EG4,EOMONTH(X3,0))</f>
        <v>45808</v>
      </c>
      <c r="AC5" s="1952"/>
      <c r="AP5" s="211"/>
      <c r="AQ5" s="336"/>
      <c r="AR5" s="211"/>
      <c r="AS5" s="212"/>
      <c r="AT5" s="319">
        <f t="array" ref="AT5">IFERROR(INDEX($BK$20:$BK$50,MATCH(0,INDEX(COUNTIF($AT$3:AT4,$BK$20:$BK$50),0,0),0)),"")</f>
        <v>19</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45808</v>
      </c>
      <c r="FG5" s="333">
        <f>IFERROR(IF(VLOOKUP(AT5,Avril!$AT$4:$AU$10,2,FALSE)&lt;&gt;Mai!AU5,"rouge","ok"),0)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20</v>
      </c>
      <c r="AU6" s="1144" t="s">
        <v>235</v>
      </c>
      <c r="BQ6" s="596"/>
      <c r="BR6" s="596"/>
      <c r="BS6" s="596"/>
      <c r="BT6" s="596"/>
      <c r="BU6" s="596"/>
      <c r="BV6" s="596"/>
      <c r="BW6" s="596"/>
      <c r="BX6" s="597" t="s">
        <v>520</v>
      </c>
      <c r="BY6" s="598" t="str">
        <f>+IF(BZ6="",Avril!BY6,BZ6)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IFERROR(IF(VLOOKUP(AT6,Avril!$AT$4:$AU$10,2,FALSE)&lt;&gt;Mai!AU6,"rouge","ok"),0)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21</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IFERROR(IF(VLOOKUP(AT7,Avril!$AT$4:$AU$10,2,FALSE)&lt;&gt;Mai!AU7,"rouge","ok"),0)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22</v>
      </c>
      <c r="AU8" s="1144" t="s">
        <v>235</v>
      </c>
      <c r="BG8" s="252"/>
      <c r="BH8" s="1462" t="str">
        <f>+AT3</f>
        <v>N° Sem.</v>
      </c>
      <c r="BI8" s="1463" t="s">
        <v>1580</v>
      </c>
      <c r="BQ8" s="2132" t="s">
        <v>219</v>
      </c>
      <c r="BR8" s="2133"/>
      <c r="BS8" s="2133"/>
      <c r="BT8" s="2133"/>
      <c r="BU8" s="2133"/>
      <c r="BV8" s="2133"/>
      <c r="BW8" s="2133"/>
      <c r="BX8" s="2133"/>
      <c r="BY8" s="985" t="str">
        <f>IF(BZ8="",Avril!BY8,BZ8)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IFERROR(IF(VLOOKUP(AT8,Avril!$AT$4:$AU$10,2,FALSE)&lt;&gt;Mai!AU8,"rouge","ok"),0)</f>
        <v>0</v>
      </c>
      <c r="FX8" s="129" t="str">
        <f>+IF(AND(CD8="",CE8&lt;&gt;""),"vrai","faux")</f>
        <v>faux</v>
      </c>
    </row>
    <row r="9" spans="1:226" ht="11.2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182025</v>
      </c>
      <c r="BH9" s="1464">
        <f t="shared" ref="BH9:BH14" si="0">+AT4</f>
        <v>18</v>
      </c>
      <c r="BI9" s="1465">
        <f>IF($AR$13=S.CAL!$CU$2,+SUMIF(S.CAL!$FW$3:$FW$374,BG9,S.CAL!$FX$3:$FX$374),IF($AR$13=S.CAL!$CU$3,SUMIF(Feuilles_de_présence_planning!$EG$12:$EG$537,BG9,Feuilles_de_présence_planning!$EE$12:$EE$537),"err"))</f>
        <v>0</v>
      </c>
      <c r="BY9" s="198" t="str">
        <f>+IF(Avril!BY8="OUI","FIN","O")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IFERROR(IF(VLOOKUP(AT9,Avril!$AT$4:$AU$10,2,FALSE)&lt;&gt;Mai!AU9,"rouge","ok"),0)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192025</v>
      </c>
      <c r="BH10" s="1464">
        <f t="shared" si="0"/>
        <v>19</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IFERROR(IF(VLOOKUP(AT10,Avril!$AT$4:$AU$10,2,FALSE)&lt;&gt;Mai!AU10,"rouge","ok"),0)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202025</v>
      </c>
      <c r="BH11" s="1464">
        <f t="shared" si="0"/>
        <v>20</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212025</v>
      </c>
      <c r="BH12" s="1464">
        <f t="shared" si="0"/>
        <v>21</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+IF(AJ4&lt;DATE(YEAR(EI21)-2,6,1),DATE(YEAR(EI21)-2,6,1),DATE(YEAR(AJ4),MONTH(AJ4),1))</f>
        <v>45078</v>
      </c>
      <c r="EG12" s="333">
        <f>IFERROR(+DATEDIF(EF12,DATE(YEAR(EH12),MONTH(EH12),DAY(EH12)),"m"),0)</f>
        <v>12</v>
      </c>
      <c r="EH12" s="755">
        <f>+IF(AJ4&lt;DATE(YEAR(EI21)-1,6,1),DATE(YEAR(EI21)-1,6,1),DATE(YEAR(AJ4),MONTH(AJ4),1))</f>
        <v>45444</v>
      </c>
      <c r="EI12" s="333">
        <f>IFERROR(+DATEDIF(EH12,DATE(YEAR(EI22),MONTH(EI22)+1,1),"m"),0)</f>
        <v>12</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IF(AR14="",Avril!AR13,AR14)</f>
        <v>à partir du tableau ci-dessous</v>
      </c>
      <c r="AS13" s="2296"/>
      <c r="AT13" s="2296"/>
      <c r="AU13" s="2296"/>
      <c r="AV13" s="2296"/>
      <c r="AW13" s="2296"/>
      <c r="AX13" s="2296"/>
      <c r="AY13" s="2296"/>
      <c r="AZ13" s="2296"/>
      <c r="BA13" s="2308" t="s">
        <v>1102</v>
      </c>
      <c r="BB13" s="2308"/>
      <c r="BC13" s="2308"/>
      <c r="BD13" s="971"/>
      <c r="BG13" s="1453" t="str">
        <f t="shared" si="1"/>
        <v>222025</v>
      </c>
      <c r="BH13" s="1464">
        <f t="shared" si="0"/>
        <v>22</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W13" s="333" t="s">
        <v>979</v>
      </c>
      <c r="EX13" s="333" t="str">
        <f>+IF(AR13=S.CAL!CU3,"oui","non")</f>
        <v>non</v>
      </c>
    </row>
    <row r="14" spans="1:226" ht="12.7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+Avril!EF16</f>
        <v>0</v>
      </c>
      <c r="EG16" s="759">
        <f>+Avril!EG16</f>
        <v>0</v>
      </c>
      <c r="EH16" s="759">
        <f>+Avril!EH16+Avril!EH17</f>
        <v>0</v>
      </c>
      <c r="EI16" s="759">
        <f>+Avril!EI16+Avril!EI17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Mai'!D18:D48,"&gt;0")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45778</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18</v>
      </c>
      <c r="AQ20" s="340"/>
      <c r="AR20" s="1145"/>
      <c r="AS20" s="332">
        <f t="shared" ref="AS20:AS50" si="3">SUM(AD20:AL20)</f>
        <v>0</v>
      </c>
      <c r="AT20" s="1146"/>
      <c r="AU20" s="1146"/>
      <c r="AV20" s="332"/>
      <c r="AW20" s="1989">
        <f>AB20</f>
        <v>45778</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infoA4</v>
      </c>
      <c r="BK20" s="129">
        <f>IFERROR(WEEKNUM(AB20,21),"")</f>
        <v>18</v>
      </c>
      <c r="BL20" s="129" t="str">
        <f t="shared" ref="BL20:BL50" si="4">+VLOOKUP(BK20,$AT$4:$AU$10,2,)</f>
        <v>A</v>
      </c>
      <c r="BM20" s="129">
        <f t="shared" ref="BM20:BM21" si="5">WEEKDAY(AB20,2)</f>
        <v>4</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27</v>
      </c>
      <c r="EQ20" s="766">
        <f>+AB20</f>
        <v>45778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45778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18</v>
      </c>
      <c r="GA20" s="129">
        <f>+$X$4</f>
        <v>2025</v>
      </c>
      <c r="GB20" s="129" t="str">
        <f>+FZ20&amp;GA20</f>
        <v>182025</v>
      </c>
      <c r="GC20" s="225">
        <f>IF(AND($GD$53=S.CAL!$P$3,$GD$52=FZ20),GE20,IF(BH20="",0,BH20))</f>
        <v>0</v>
      </c>
      <c r="GD20" s="129" t="str">
        <f>IFERROR(+Juin!$BY$2&amp;BL20&amp;BM20,0)</f>
        <v>Fiche infoA4</v>
      </c>
      <c r="GE20" s="129" t="str">
        <f t="shared" ref="GE20:GE50" si="19">+IFERROR(VLOOKUP(GD20,Base_heures,6,FALSE),"")</f>
        <v/>
      </c>
      <c r="GF20" s="225" t="str">
        <f>IF(FP20=1,GG20,AM20)</f>
        <v/>
      </c>
      <c r="GG20" s="1469" t="str">
        <f>+'Retenue Mai'!D18</f>
        <v/>
      </c>
      <c r="GH20" s="1469">
        <f>+'Retenue Mai'!BF18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45779</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45779</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infoA5</v>
      </c>
      <c r="BK21" s="129">
        <f t="shared" ref="BK21" si="27">IFERROR(WEEKNUM(AB21,21),"")</f>
        <v>18</v>
      </c>
      <c r="BL21" s="129" t="str">
        <f t="shared" si="4"/>
        <v>A</v>
      </c>
      <c r="BM21" s="129">
        <f t="shared" si="5"/>
        <v>5</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45778</v>
      </c>
      <c r="EJ21" s="755"/>
      <c r="EK21" s="755"/>
      <c r="EQ21" s="766">
        <f t="shared" ref="EQ21" si="28">+AB21</f>
        <v>45779</v>
      </c>
      <c r="ER21" s="767">
        <f t="shared" si="10"/>
        <v>0</v>
      </c>
      <c r="ES21" s="768">
        <f t="shared" si="11"/>
        <v>0</v>
      </c>
      <c r="ET21" s="767">
        <f t="shared" si="12"/>
        <v>0</v>
      </c>
      <c r="EU21" s="768">
        <f t="shared" si="13"/>
        <v>0</v>
      </c>
      <c r="EV21" s="767" t="str">
        <f t="shared" si="14"/>
        <v/>
      </c>
      <c r="EW21" s="769">
        <f t="shared" ref="EW21:EW50" si="29">+EQ21</f>
        <v>45779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18</v>
      </c>
      <c r="GA21" s="129">
        <f t="shared" ref="GA21:GA50" si="39">+$X$4</f>
        <v>2025</v>
      </c>
      <c r="GB21" s="129" t="str">
        <f t="shared" ref="GB21:GB48" si="40">+FZ21&amp;GA21</f>
        <v>182025</v>
      </c>
      <c r="GC21" s="225">
        <f>IF(AND($GD$53=S.CAL!$P$3,$GD$52=FZ21),GE21,IF(BH21="",0,BH21))</f>
        <v>0</v>
      </c>
      <c r="GD21" s="129" t="str">
        <f>IFERROR(+Juin!$BY$2&amp;BL21&amp;BM21,0)</f>
        <v>Fiche infoA5</v>
      </c>
      <c r="GE21" s="129" t="str">
        <f t="shared" si="19"/>
        <v/>
      </c>
      <c r="GF21" s="225" t="str">
        <f t="shared" ref="GF21:GF48" si="41">IF(FP21=1,GG21,AM21)</f>
        <v/>
      </c>
      <c r="GG21" s="1469" t="str">
        <f>+'Retenue Mai'!D19</f>
        <v/>
      </c>
      <c r="GH21" s="1469">
        <f>+'Retenue Mai'!BF19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45780</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45780</v>
      </c>
      <c r="AX22" s="1878"/>
      <c r="AY22" s="332"/>
      <c r="AZ22" s="1126"/>
      <c r="BA22" s="993"/>
      <c r="BB22" s="561"/>
      <c r="BC22" s="566">
        <f t="shared" si="23"/>
        <v>0</v>
      </c>
      <c r="BD22" s="1126"/>
      <c r="BE22" s="825">
        <f t="shared" si="24"/>
        <v>0</v>
      </c>
      <c r="BF22" s="1150"/>
      <c r="BG22" s="224"/>
      <c r="BH22" s="566" t="str">
        <f t="shared" si="25"/>
        <v/>
      </c>
      <c r="BI22" s="1150"/>
      <c r="BJ22" s="129" t="str">
        <f t="shared" si="26"/>
        <v>Fiche infoA6</v>
      </c>
      <c r="BK22" s="129">
        <f t="shared" ref="BK22:BK50" si="49">IFERROR(WEEKNUM(AB22,21),"")</f>
        <v>18</v>
      </c>
      <c r="BL22" s="129" t="str">
        <f t="shared" si="4"/>
        <v>A</v>
      </c>
      <c r="BM22" s="129">
        <f t="shared" ref="BM22:BM47" si="50">WEEKDAY(AB22,2)</f>
        <v>6</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45808</v>
      </c>
      <c r="EJ22" s="755"/>
      <c r="EK22" s="755"/>
      <c r="EQ22" s="766">
        <f t="shared" ref="EQ22:EQ50" si="53">+AB22</f>
        <v>45780</v>
      </c>
      <c r="ER22" s="767">
        <f t="shared" si="10"/>
        <v>0</v>
      </c>
      <c r="ES22" s="768">
        <f t="shared" si="11"/>
        <v>0</v>
      </c>
      <c r="ET22" s="767">
        <f t="shared" si="12"/>
        <v>0</v>
      </c>
      <c r="EU22" s="768">
        <f t="shared" si="13"/>
        <v>0</v>
      </c>
      <c r="EV22" s="767" t="str">
        <f t="shared" si="14"/>
        <v/>
      </c>
      <c r="EW22" s="769">
        <f t="shared" si="29"/>
        <v>45780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18</v>
      </c>
      <c r="GA22" s="129">
        <f t="shared" si="39"/>
        <v>2025</v>
      </c>
      <c r="GB22" s="129" t="str">
        <f t="shared" si="40"/>
        <v>182025</v>
      </c>
      <c r="GC22" s="225">
        <f>IF(AND($GD$53=S.CAL!$P$3,$GD$52=FZ22),GE22,IF(BH22="",0,BH22))</f>
        <v>0</v>
      </c>
      <c r="GD22" s="129" t="str">
        <f>IFERROR(+Juin!$BY$2&amp;BL22&amp;BM22,0)</f>
        <v>Fiche infoA6</v>
      </c>
      <c r="GE22" s="129" t="str">
        <f t="shared" si="19"/>
        <v/>
      </c>
      <c r="GF22" s="225" t="str">
        <f t="shared" si="41"/>
        <v/>
      </c>
      <c r="GG22" s="1469" t="str">
        <f>+'Retenue Mai'!D20</f>
        <v/>
      </c>
      <c r="GH22" s="1469">
        <f>+'Retenue Mai'!BF20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45781</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45781</v>
      </c>
      <c r="AX23" s="1878"/>
      <c r="AY23" s="332"/>
      <c r="AZ23" s="1126"/>
      <c r="BA23" s="993"/>
      <c r="BB23" s="561"/>
      <c r="BC23" s="566">
        <f t="shared" si="23"/>
        <v>0</v>
      </c>
      <c r="BD23" s="1126"/>
      <c r="BE23" s="825">
        <f t="shared" si="24"/>
        <v>0</v>
      </c>
      <c r="BF23" s="1150"/>
      <c r="BG23" s="224"/>
      <c r="BH23" s="566" t="str">
        <f t="shared" si="25"/>
        <v/>
      </c>
      <c r="BI23" s="1150"/>
      <c r="BJ23" s="129" t="str">
        <f t="shared" si="26"/>
        <v>Fiche infoA7</v>
      </c>
      <c r="BK23" s="129">
        <f t="shared" si="49"/>
        <v>18</v>
      </c>
      <c r="BL23" s="129" t="str">
        <f t="shared" si="4"/>
        <v>A</v>
      </c>
      <c r="BM23" s="129">
        <f t="shared" si="50"/>
        <v>7</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45781</v>
      </c>
      <c r="ER23" s="767">
        <f t="shared" si="10"/>
        <v>0</v>
      </c>
      <c r="ES23" s="768">
        <f t="shared" si="11"/>
        <v>0</v>
      </c>
      <c r="ET23" s="767">
        <f t="shared" si="12"/>
        <v>0</v>
      </c>
      <c r="EU23" s="768">
        <f t="shared" si="13"/>
        <v>0</v>
      </c>
      <c r="EV23" s="767" t="str">
        <f t="shared" si="14"/>
        <v/>
      </c>
      <c r="EW23" s="769">
        <f t="shared" si="29"/>
        <v>45781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18</v>
      </c>
      <c r="GA23" s="129">
        <f t="shared" si="39"/>
        <v>2025</v>
      </c>
      <c r="GB23" s="129" t="str">
        <f t="shared" si="40"/>
        <v>182025</v>
      </c>
      <c r="GC23" s="225">
        <f>IF(AND($GD$53=S.CAL!$P$3,$GD$52=FZ23),GE23,IF(BH23="",0,BH23))</f>
        <v>0</v>
      </c>
      <c r="GD23" s="129" t="str">
        <f>IFERROR(+Juin!$BY$2&amp;BL23&amp;BM23,0)</f>
        <v>Fiche infoA7</v>
      </c>
      <c r="GE23" s="129" t="str">
        <f t="shared" si="19"/>
        <v/>
      </c>
      <c r="GF23" s="225" t="str">
        <f t="shared" si="41"/>
        <v/>
      </c>
      <c r="GG23" s="1469" t="str">
        <f>+'Retenue Mai'!D21</f>
        <v/>
      </c>
      <c r="GH23" s="1469">
        <f>+'Retenue Mai'!BF21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45782</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f t="shared" si="48"/>
        <v>19</v>
      </c>
      <c r="AQ24" s="340"/>
      <c r="AR24" s="1126"/>
      <c r="AS24" s="332">
        <f t="shared" si="3"/>
        <v>0</v>
      </c>
      <c r="AT24" s="1147"/>
      <c r="AU24" s="1147"/>
      <c r="AV24" s="332"/>
      <c r="AW24" s="2017">
        <f t="shared" si="22"/>
        <v>45782</v>
      </c>
      <c r="AX24" s="1878"/>
      <c r="AY24" s="332"/>
      <c r="AZ24" s="1126"/>
      <c r="BA24" s="993"/>
      <c r="BB24" s="561"/>
      <c r="BC24" s="566">
        <f t="shared" si="23"/>
        <v>0</v>
      </c>
      <c r="BD24" s="1126"/>
      <c r="BE24" s="825">
        <f t="shared" si="24"/>
        <v>0</v>
      </c>
      <c r="BF24" s="1150"/>
      <c r="BG24" s="224"/>
      <c r="BH24" s="566" t="str">
        <f t="shared" si="25"/>
        <v/>
      </c>
      <c r="BI24" s="1150"/>
      <c r="BJ24" s="129" t="str">
        <f t="shared" si="26"/>
        <v>Fiche infoA1</v>
      </c>
      <c r="BK24" s="129">
        <f t="shared" si="49"/>
        <v>19</v>
      </c>
      <c r="BL24" s="129" t="str">
        <f t="shared" si="4"/>
        <v>A</v>
      </c>
      <c r="BM24" s="129">
        <f t="shared" si="50"/>
        <v>1</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45782</v>
      </c>
      <c r="ER24" s="767">
        <f t="shared" si="10"/>
        <v>0</v>
      </c>
      <c r="ES24" s="768">
        <f t="shared" si="11"/>
        <v>0</v>
      </c>
      <c r="ET24" s="767">
        <f t="shared" si="12"/>
        <v>0</v>
      </c>
      <c r="EU24" s="768">
        <f t="shared" si="13"/>
        <v>0</v>
      </c>
      <c r="EV24" s="767" t="str">
        <f t="shared" si="14"/>
        <v/>
      </c>
      <c r="EW24" s="769">
        <f t="shared" si="29"/>
        <v>45782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19</v>
      </c>
      <c r="GA24" s="129">
        <f t="shared" si="39"/>
        <v>2025</v>
      </c>
      <c r="GB24" s="129" t="str">
        <f t="shared" si="40"/>
        <v>192025</v>
      </c>
      <c r="GC24" s="225">
        <f>IF(AND($GD$53=S.CAL!$P$3,$GD$52=FZ24),GE24,IF(BH24="",0,BH24))</f>
        <v>0</v>
      </c>
      <c r="GD24" s="129" t="str">
        <f>IFERROR(+Juin!$BY$2&amp;BL24&amp;BM24,0)</f>
        <v>Fiche infoA1</v>
      </c>
      <c r="GE24" s="129" t="str">
        <f t="shared" si="19"/>
        <v/>
      </c>
      <c r="GF24" s="225" t="str">
        <f t="shared" si="41"/>
        <v/>
      </c>
      <c r="GG24" s="1469" t="str">
        <f>+'Retenue Mai'!D22</f>
        <v/>
      </c>
      <c r="GH24" s="1469">
        <f>+'Retenue Mai'!BF22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Mai'!R48*-1)</f>
        <v>#DIV/0!</v>
      </c>
      <c r="M25" s="1811"/>
      <c r="N25" s="1811"/>
      <c r="O25" s="1812"/>
      <c r="P25" s="1816" t="e">
        <f>+IF(L25,T25/L25,0)</f>
        <v>#DIV/0!</v>
      </c>
      <c r="Q25" s="1817"/>
      <c r="R25" s="1817"/>
      <c r="S25" s="1818"/>
      <c r="T25" s="1913">
        <f>IF(A18="Salaire heures normales réelles",0,'Retenue Mai'!R52*-1)</f>
        <v>0</v>
      </c>
      <c r="U25" s="1914"/>
      <c r="V25" s="1914"/>
      <c r="W25" s="1915"/>
      <c r="X25" s="226"/>
      <c r="Y25" s="226"/>
      <c r="Z25" s="226"/>
      <c r="AA25" s="903" t="str">
        <f>IF(AND(BE25="OUI",$AR$13=S.CAL!$CU$2),"►",IF(AND(EV25="OUI",$AR$13=S.CAL!$CU$3),"►",""))</f>
        <v/>
      </c>
      <c r="AB25" s="1877">
        <f>+$X$3+5</f>
        <v>45783</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45783</v>
      </c>
      <c r="AX25" s="1878"/>
      <c r="AY25" s="332"/>
      <c r="AZ25" s="1126"/>
      <c r="BA25" s="993"/>
      <c r="BB25" s="561"/>
      <c r="BC25" s="566">
        <f t="shared" si="23"/>
        <v>0</v>
      </c>
      <c r="BD25" s="1126"/>
      <c r="BE25" s="825">
        <f t="shared" si="24"/>
        <v>0</v>
      </c>
      <c r="BF25" s="1150"/>
      <c r="BG25" s="224"/>
      <c r="BH25" s="566" t="str">
        <f t="shared" si="25"/>
        <v/>
      </c>
      <c r="BI25" s="1150"/>
      <c r="BJ25" s="129" t="str">
        <f t="shared" si="26"/>
        <v>Fiche infoA2</v>
      </c>
      <c r="BK25" s="129">
        <f t="shared" si="49"/>
        <v>19</v>
      </c>
      <c r="BL25" s="129" t="str">
        <f t="shared" si="4"/>
        <v>A</v>
      </c>
      <c r="BM25" s="129">
        <f t="shared" si="50"/>
        <v>2</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45783</v>
      </c>
      <c r="ER25" s="767">
        <f t="shared" si="10"/>
        <v>0</v>
      </c>
      <c r="ES25" s="768">
        <f t="shared" si="11"/>
        <v>0</v>
      </c>
      <c r="ET25" s="767">
        <f t="shared" si="12"/>
        <v>0</v>
      </c>
      <c r="EU25" s="768">
        <f t="shared" si="13"/>
        <v>0</v>
      </c>
      <c r="EV25" s="767" t="str">
        <f t="shared" si="14"/>
        <v/>
      </c>
      <c r="EW25" s="769">
        <f t="shared" si="29"/>
        <v>45783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19</v>
      </c>
      <c r="GA25" s="129">
        <f t="shared" si="39"/>
        <v>2025</v>
      </c>
      <c r="GB25" s="129" t="str">
        <f t="shared" si="40"/>
        <v>192025</v>
      </c>
      <c r="GC25" s="225">
        <f>IF(AND($GD$53=S.CAL!$P$3,$GD$52=FZ25),GE25,IF(BH25="",0,BH25))</f>
        <v>0</v>
      </c>
      <c r="GD25" s="129" t="str">
        <f>IFERROR(+Juin!$BY$2&amp;BL25&amp;BM25,0)</f>
        <v>Fiche infoA2</v>
      </c>
      <c r="GE25" s="129" t="str">
        <f t="shared" si="19"/>
        <v/>
      </c>
      <c r="GF25" s="225" t="str">
        <f t="shared" si="41"/>
        <v/>
      </c>
      <c r="GG25" s="1469" t="str">
        <f>+'Retenue Mai'!D23</f>
        <v/>
      </c>
      <c r="GH25" s="1469">
        <f>+'Retenue Mai'!BF23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Mai'!R50*-1)</f>
        <v>#DIV/0!</v>
      </c>
      <c r="M26" s="1811"/>
      <c r="N26" s="1811"/>
      <c r="O26" s="1812"/>
      <c r="P26" s="1816" t="e">
        <f>+IF(L26,T26/L26,0)</f>
        <v>#DIV/0!</v>
      </c>
      <c r="Q26" s="1817"/>
      <c r="R26" s="1817"/>
      <c r="S26" s="1818"/>
      <c r="T26" s="1913">
        <f>IF(A18="Salaire heures normales réelles",0,'Retenue Mai'!R54*-1)</f>
        <v>0</v>
      </c>
      <c r="U26" s="1914"/>
      <c r="V26" s="1914"/>
      <c r="W26" s="1915"/>
      <c r="X26" s="223"/>
      <c r="Y26" s="223"/>
      <c r="Z26" s="223"/>
      <c r="AA26" s="903" t="str">
        <f>IF(AND(BE26="OUI",$AR$13=S.CAL!$CU$2),"►",IF(AND(EV26="OUI",$AR$13=S.CAL!$CU$3),"►",""))</f>
        <v/>
      </c>
      <c r="AB26" s="1877">
        <f>+$X$3+6</f>
        <v>45784</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45784</v>
      </c>
      <c r="AX26" s="1878"/>
      <c r="AY26" s="332"/>
      <c r="AZ26" s="1126"/>
      <c r="BA26" s="993"/>
      <c r="BB26" s="561"/>
      <c r="BC26" s="566">
        <f t="shared" si="23"/>
        <v>0</v>
      </c>
      <c r="BD26" s="1126"/>
      <c r="BE26" s="825">
        <f t="shared" si="24"/>
        <v>0</v>
      </c>
      <c r="BF26" s="1150"/>
      <c r="BG26" s="224"/>
      <c r="BH26" s="566" t="str">
        <f t="shared" si="25"/>
        <v/>
      </c>
      <c r="BI26" s="1150"/>
      <c r="BJ26" s="129" t="str">
        <f t="shared" si="26"/>
        <v>Fiche infoA3</v>
      </c>
      <c r="BK26" s="129">
        <f t="shared" si="49"/>
        <v>19</v>
      </c>
      <c r="BL26" s="129" t="str">
        <f t="shared" si="4"/>
        <v>A</v>
      </c>
      <c r="BM26" s="129">
        <f t="shared" si="50"/>
        <v>3</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45784</v>
      </c>
      <c r="ER26" s="767">
        <f t="shared" si="10"/>
        <v>0</v>
      </c>
      <c r="ES26" s="768">
        <f t="shared" si="11"/>
        <v>0</v>
      </c>
      <c r="ET26" s="767">
        <f t="shared" si="12"/>
        <v>0</v>
      </c>
      <c r="EU26" s="768">
        <f t="shared" si="13"/>
        <v>0</v>
      </c>
      <c r="EV26" s="767" t="str">
        <f t="shared" si="14"/>
        <v/>
      </c>
      <c r="EW26" s="769">
        <f t="shared" si="29"/>
        <v>45784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19</v>
      </c>
      <c r="GA26" s="129">
        <f t="shared" si="39"/>
        <v>2025</v>
      </c>
      <c r="GB26" s="129" t="str">
        <f t="shared" si="40"/>
        <v>192025</v>
      </c>
      <c r="GC26" s="225">
        <f>IF(AND($GD$53=S.CAL!$P$3,$GD$52=FZ26),GE26,IF(BH26="",0,BH26))</f>
        <v>0</v>
      </c>
      <c r="GD26" s="129" t="str">
        <f>IFERROR(+Juin!$BY$2&amp;BL26&amp;BM26,0)</f>
        <v>Fiche infoA3</v>
      </c>
      <c r="GE26" s="129" t="str">
        <f t="shared" si="19"/>
        <v/>
      </c>
      <c r="GF26" s="225" t="str">
        <f t="shared" si="41"/>
        <v/>
      </c>
      <c r="GG26" s="1469" t="str">
        <f>+'Retenue Mai'!D24</f>
        <v/>
      </c>
      <c r="GH26" s="1469">
        <f>+'Retenue Mai'!BF24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45785</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45785</v>
      </c>
      <c r="AX27" s="1878"/>
      <c r="AY27" s="332"/>
      <c r="AZ27" s="1126"/>
      <c r="BA27" s="993"/>
      <c r="BB27" s="561"/>
      <c r="BC27" s="566">
        <f t="shared" si="23"/>
        <v>0</v>
      </c>
      <c r="BD27" s="1126"/>
      <c r="BE27" s="825">
        <f t="shared" si="24"/>
        <v>0</v>
      </c>
      <c r="BF27" s="1150"/>
      <c r="BG27" s="224"/>
      <c r="BH27" s="566" t="str">
        <f t="shared" si="25"/>
        <v/>
      </c>
      <c r="BI27" s="1150"/>
      <c r="BJ27" s="129" t="str">
        <f t="shared" si="26"/>
        <v>Fiche infoA4</v>
      </c>
      <c r="BK27" s="129">
        <f t="shared" si="49"/>
        <v>19</v>
      </c>
      <c r="BL27" s="129" t="str">
        <f t="shared" si="4"/>
        <v>A</v>
      </c>
      <c r="BM27" s="129">
        <f t="shared" si="50"/>
        <v>4</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45785</v>
      </c>
      <c r="ER27" s="767">
        <f t="shared" si="10"/>
        <v>0</v>
      </c>
      <c r="ES27" s="768">
        <f t="shared" si="11"/>
        <v>0</v>
      </c>
      <c r="ET27" s="767">
        <f t="shared" si="12"/>
        <v>0</v>
      </c>
      <c r="EU27" s="768">
        <f t="shared" si="13"/>
        <v>0</v>
      </c>
      <c r="EV27" s="767" t="str">
        <f t="shared" si="14"/>
        <v/>
      </c>
      <c r="EW27" s="769">
        <f t="shared" si="29"/>
        <v>45785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19</v>
      </c>
      <c r="GA27" s="129">
        <f t="shared" si="39"/>
        <v>2025</v>
      </c>
      <c r="GB27" s="129" t="str">
        <f t="shared" si="40"/>
        <v>192025</v>
      </c>
      <c r="GC27" s="225">
        <f>IF(AND($GD$53=S.CAL!$P$3,$GD$52=FZ27),GE27,IF(BH27="",0,BH27))</f>
        <v>0</v>
      </c>
      <c r="GD27" s="129" t="str">
        <f>IFERROR(+Juin!$BY$2&amp;BL27&amp;BM27,0)</f>
        <v>Fiche infoA4</v>
      </c>
      <c r="GE27" s="129" t="str">
        <f t="shared" si="19"/>
        <v/>
      </c>
      <c r="GF27" s="225" t="str">
        <f t="shared" si="41"/>
        <v/>
      </c>
      <c r="GG27" s="1469" t="str">
        <f>+'Retenue Mai'!D25</f>
        <v/>
      </c>
      <c r="GH27" s="1469">
        <f>+'Retenue Mai'!BF25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45786</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45786</v>
      </c>
      <c r="AX28" s="1878"/>
      <c r="AY28" s="332"/>
      <c r="AZ28" s="1126"/>
      <c r="BA28" s="993"/>
      <c r="BB28" s="561"/>
      <c r="BC28" s="566">
        <f t="shared" si="23"/>
        <v>0</v>
      </c>
      <c r="BD28" s="1126"/>
      <c r="BE28" s="825">
        <f t="shared" si="24"/>
        <v>0</v>
      </c>
      <c r="BF28" s="1150"/>
      <c r="BG28" s="224"/>
      <c r="BH28" s="566" t="str">
        <f t="shared" si="25"/>
        <v/>
      </c>
      <c r="BI28" s="1150"/>
      <c r="BJ28" s="129" t="str">
        <f t="shared" si="26"/>
        <v>Fiche infoA5</v>
      </c>
      <c r="BK28" s="129">
        <f t="shared" si="49"/>
        <v>19</v>
      </c>
      <c r="BL28" s="129" t="str">
        <f t="shared" si="4"/>
        <v>A</v>
      </c>
      <c r="BM28" s="129">
        <f t="shared" si="50"/>
        <v>5</v>
      </c>
      <c r="BN28" s="225" t="str">
        <f t="shared" si="60"/>
        <v>Fiche info</v>
      </c>
      <c r="BO28" s="332" t="str">
        <f t="shared" si="51"/>
        <v/>
      </c>
      <c r="BP28" s="198" t="str">
        <f t="shared" si="52"/>
        <v/>
      </c>
      <c r="BQ28" s="198"/>
      <c r="BS28" s="2012" t="str">
        <f>+"Semaine numéro : "&amp;AT4</f>
        <v>Semaine numéro : 18</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+SUMIF(Avril!$BK$20:$BK$50,AT4,Avril!$AM$20:$AO$50)</f>
        <v>0</v>
      </c>
      <c r="CD28" s="198">
        <f>+SUMIF(Juin!$BK$20:$BK$50,AT4,Juin!$AM$20:$AO$50)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45786</v>
      </c>
      <c r="ER28" s="767">
        <f t="shared" si="10"/>
        <v>0</v>
      </c>
      <c r="ES28" s="768">
        <f t="shared" si="11"/>
        <v>0</v>
      </c>
      <c r="ET28" s="767">
        <f t="shared" si="12"/>
        <v>0</v>
      </c>
      <c r="EU28" s="768">
        <f t="shared" si="13"/>
        <v>0</v>
      </c>
      <c r="EV28" s="767" t="str">
        <f t="shared" si="14"/>
        <v/>
      </c>
      <c r="EW28" s="769">
        <f t="shared" si="29"/>
        <v>45786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19</v>
      </c>
      <c r="GA28" s="129">
        <f t="shared" si="39"/>
        <v>2025</v>
      </c>
      <c r="GB28" s="129" t="str">
        <f t="shared" si="40"/>
        <v>192025</v>
      </c>
      <c r="GC28" s="225">
        <f>IF(AND($GD$53=S.CAL!$P$3,$GD$52=FZ28),GE28,IF(BH28="",0,BH28))</f>
        <v>0</v>
      </c>
      <c r="GD28" s="129" t="str">
        <f>IFERROR(+Juin!$BY$2&amp;BL28&amp;BM28,0)</f>
        <v>Fiche infoA5</v>
      </c>
      <c r="GE28" s="129" t="str">
        <f t="shared" si="19"/>
        <v/>
      </c>
      <c r="GF28" s="225" t="str">
        <f t="shared" si="41"/>
        <v/>
      </c>
      <c r="GG28" s="1469" t="str">
        <f>+'Retenue Mai'!D26</f>
        <v/>
      </c>
      <c r="GH28" s="1469">
        <f>+'Retenue Mai'!BF26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45787</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45787</v>
      </c>
      <c r="AX29" s="1878"/>
      <c r="AY29" s="332"/>
      <c r="AZ29" s="1126"/>
      <c r="BA29" s="993"/>
      <c r="BB29" s="561"/>
      <c r="BC29" s="566">
        <f t="shared" si="23"/>
        <v>0</v>
      </c>
      <c r="BD29" s="1126"/>
      <c r="BE29" s="825">
        <f t="shared" si="24"/>
        <v>0</v>
      </c>
      <c r="BF29" s="1150"/>
      <c r="BG29" s="224"/>
      <c r="BH29" s="566" t="str">
        <f t="shared" si="25"/>
        <v/>
      </c>
      <c r="BI29" s="1150"/>
      <c r="BJ29" s="129" t="str">
        <f t="shared" si="26"/>
        <v>Fiche infoA6</v>
      </c>
      <c r="BK29" s="129">
        <f t="shared" si="49"/>
        <v>19</v>
      </c>
      <c r="BL29" s="129" t="str">
        <f t="shared" si="4"/>
        <v>A</v>
      </c>
      <c r="BM29" s="129">
        <f t="shared" si="50"/>
        <v>6</v>
      </c>
      <c r="BN29" s="225" t="str">
        <f t="shared" si="60"/>
        <v>Fiche info</v>
      </c>
      <c r="BO29" s="332" t="str">
        <f t="shared" si="51"/>
        <v/>
      </c>
      <c r="BP29" s="198" t="str">
        <f t="shared" si="52"/>
        <v/>
      </c>
      <c r="BQ29" s="198"/>
      <c r="BS29" s="2012" t="str">
        <f t="shared" ref="BS29:BS33" si="64">+"Semaine numéro : "&amp;AT5</f>
        <v>Semaine numéro : 19</v>
      </c>
      <c r="BT29" s="2013"/>
      <c r="BU29" s="2013"/>
      <c r="BV29" s="2013"/>
      <c r="BW29" s="2013"/>
      <c r="BX29" s="2014"/>
      <c r="BY29" s="1137"/>
      <c r="BZ29" s="674">
        <f t="shared" ref="BZ29:BZ33" si="65">+IF(BY29="",IF(AND(CC29&gt;0,CB29&gt;0),CC29+CB29,IF(CD29&gt;0,0,CB29)),BY29)</f>
        <v>0</v>
      </c>
      <c r="CA29" s="673">
        <f t="shared" si="62"/>
        <v>0</v>
      </c>
      <c r="CB29" s="198">
        <f t="shared" si="63"/>
        <v>0</v>
      </c>
      <c r="CC29" s="198">
        <f>+SUMIF(Avril!$BK$20:$BK$50,AT5,Avril!$AM$20:$AO$50)</f>
        <v>0</v>
      </c>
      <c r="CD29" s="198">
        <f>+SUMIF(Juin!$BK$20:$BK$50,AT5,Juin!$AM$20:$AO$50)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45787</v>
      </c>
      <c r="ER29" s="767">
        <f t="shared" si="10"/>
        <v>0</v>
      </c>
      <c r="ES29" s="768">
        <f t="shared" si="11"/>
        <v>0</v>
      </c>
      <c r="ET29" s="767">
        <f t="shared" si="12"/>
        <v>0</v>
      </c>
      <c r="EU29" s="768">
        <f t="shared" si="13"/>
        <v>0</v>
      </c>
      <c r="EV29" s="767" t="str">
        <f t="shared" si="14"/>
        <v/>
      </c>
      <c r="EW29" s="769">
        <f t="shared" si="29"/>
        <v>45787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19</v>
      </c>
      <c r="GA29" s="129">
        <f t="shared" si="39"/>
        <v>2025</v>
      </c>
      <c r="GB29" s="129" t="str">
        <f t="shared" si="40"/>
        <v>192025</v>
      </c>
      <c r="GC29" s="225">
        <f>IF(AND($GD$53=S.CAL!$P$3,$GD$52=FZ29),GE29,IF(BH29="",0,BH29))</f>
        <v>0</v>
      </c>
      <c r="GD29" s="129" t="str">
        <f>IFERROR(+Juin!$BY$2&amp;BL29&amp;BM29,0)</f>
        <v>Fiche infoA6</v>
      </c>
      <c r="GE29" s="129" t="str">
        <f t="shared" si="19"/>
        <v/>
      </c>
      <c r="GF29" s="225" t="str">
        <f t="shared" si="41"/>
        <v/>
      </c>
      <c r="GG29" s="1469" t="str">
        <f>+'Retenue Mai'!D27</f>
        <v/>
      </c>
      <c r="GH29" s="1469">
        <f>+'Retenue Mai'!BF27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45788</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45788</v>
      </c>
      <c r="AX30" s="1878"/>
      <c r="AY30" s="332"/>
      <c r="AZ30" s="1126"/>
      <c r="BA30" s="993"/>
      <c r="BB30" s="561"/>
      <c r="BC30" s="566">
        <f t="shared" si="23"/>
        <v>0</v>
      </c>
      <c r="BD30" s="1126"/>
      <c r="BE30" s="825">
        <f t="shared" si="24"/>
        <v>0</v>
      </c>
      <c r="BF30" s="1150"/>
      <c r="BG30" s="224"/>
      <c r="BH30" s="566" t="str">
        <f t="shared" si="25"/>
        <v/>
      </c>
      <c r="BI30" s="1150"/>
      <c r="BJ30" s="129" t="str">
        <f t="shared" si="26"/>
        <v>Fiche infoA7</v>
      </c>
      <c r="BK30" s="129">
        <f t="shared" si="49"/>
        <v>19</v>
      </c>
      <c r="BL30" s="129" t="str">
        <f t="shared" si="4"/>
        <v>A</v>
      </c>
      <c r="BM30" s="129">
        <f t="shared" si="50"/>
        <v>7</v>
      </c>
      <c r="BN30" s="225" t="str">
        <f t="shared" si="60"/>
        <v>Fiche info</v>
      </c>
      <c r="BO30" s="332" t="str">
        <f t="shared" si="51"/>
        <v/>
      </c>
      <c r="BP30" s="198" t="str">
        <f t="shared" si="52"/>
        <v/>
      </c>
      <c r="BQ30" s="198"/>
      <c r="BS30" s="2012" t="str">
        <f t="shared" si="64"/>
        <v>Semaine numéro : 20</v>
      </c>
      <c r="BT30" s="2013"/>
      <c r="BU30" s="2013"/>
      <c r="BV30" s="2013"/>
      <c r="BW30" s="2013"/>
      <c r="BX30" s="2014"/>
      <c r="BY30" s="1137"/>
      <c r="BZ30" s="674">
        <f t="shared" si="65"/>
        <v>0</v>
      </c>
      <c r="CA30" s="673">
        <f t="shared" si="62"/>
        <v>0</v>
      </c>
      <c r="CB30" s="198">
        <f t="shared" si="63"/>
        <v>0</v>
      </c>
      <c r="CC30" s="198">
        <f>+SUMIF(Avril!$BK$20:$BK$50,AT6,Avril!$AM$20:$AO$50)</f>
        <v>0</v>
      </c>
      <c r="CD30" s="198">
        <f>+SUMIF(Juin!$BK$20:$BK$50,AT6,Juin!$AM$20:$AO$50)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45788</v>
      </c>
      <c r="ER30" s="767">
        <f t="shared" si="10"/>
        <v>0</v>
      </c>
      <c r="ES30" s="768">
        <f t="shared" si="11"/>
        <v>0</v>
      </c>
      <c r="ET30" s="767">
        <f t="shared" si="12"/>
        <v>0</v>
      </c>
      <c r="EU30" s="768">
        <f t="shared" si="13"/>
        <v>0</v>
      </c>
      <c r="EV30" s="767" t="str">
        <f t="shared" si="14"/>
        <v/>
      </c>
      <c r="EW30" s="769">
        <f t="shared" si="29"/>
        <v>45788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19</v>
      </c>
      <c r="GA30" s="129">
        <f t="shared" si="39"/>
        <v>2025</v>
      </c>
      <c r="GB30" s="129" t="str">
        <f t="shared" si="40"/>
        <v>192025</v>
      </c>
      <c r="GC30" s="225">
        <f>IF(AND($GD$53=S.CAL!$P$3,$GD$52=FZ30),GE30,IF(BH30="",0,BH30))</f>
        <v>0</v>
      </c>
      <c r="GD30" s="129" t="str">
        <f>IFERROR(+Juin!$BY$2&amp;BL30&amp;BM30,0)</f>
        <v>Fiche infoA7</v>
      </c>
      <c r="GE30" s="129" t="str">
        <f t="shared" si="19"/>
        <v/>
      </c>
      <c r="GF30" s="225" t="str">
        <f t="shared" si="41"/>
        <v/>
      </c>
      <c r="GG30" s="1469" t="str">
        <f>+'Retenue Mai'!D28</f>
        <v/>
      </c>
      <c r="GH30" s="1469">
        <f>+'Retenue Mai'!BF28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45789</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f t="shared" si="48"/>
        <v>20</v>
      </c>
      <c r="AQ31" s="340"/>
      <c r="AR31" s="1126"/>
      <c r="AS31" s="332">
        <f t="shared" si="3"/>
        <v>0</v>
      </c>
      <c r="AT31" s="1147"/>
      <c r="AU31" s="1147"/>
      <c r="AV31" s="332"/>
      <c r="AW31" s="2017">
        <f t="shared" si="22"/>
        <v>45789</v>
      </c>
      <c r="AX31" s="1878"/>
      <c r="AY31" s="332"/>
      <c r="AZ31" s="1126"/>
      <c r="BA31" s="993"/>
      <c r="BB31" s="561"/>
      <c r="BC31" s="566">
        <f t="shared" si="23"/>
        <v>0</v>
      </c>
      <c r="BD31" s="1126"/>
      <c r="BE31" s="825">
        <f t="shared" si="24"/>
        <v>0</v>
      </c>
      <c r="BF31" s="1150"/>
      <c r="BG31" s="224"/>
      <c r="BH31" s="566" t="str">
        <f t="shared" si="25"/>
        <v/>
      </c>
      <c r="BI31" s="1150"/>
      <c r="BJ31" s="129" t="str">
        <f t="shared" si="26"/>
        <v>Fiche infoA1</v>
      </c>
      <c r="BK31" s="129">
        <f t="shared" si="49"/>
        <v>20</v>
      </c>
      <c r="BL31" s="129" t="str">
        <f t="shared" si="4"/>
        <v>A</v>
      </c>
      <c r="BM31" s="129">
        <f t="shared" si="50"/>
        <v>1</v>
      </c>
      <c r="BN31" s="225" t="str">
        <f t="shared" si="60"/>
        <v>Fiche info</v>
      </c>
      <c r="BO31" s="332" t="str">
        <f t="shared" si="51"/>
        <v/>
      </c>
      <c r="BP31" s="198" t="str">
        <f t="shared" si="52"/>
        <v/>
      </c>
      <c r="BQ31" s="198"/>
      <c r="BS31" s="2012" t="str">
        <f t="shared" si="64"/>
        <v>Semaine numéro : 21</v>
      </c>
      <c r="BT31" s="2013"/>
      <c r="BU31" s="2013"/>
      <c r="BV31" s="2013"/>
      <c r="BW31" s="2013"/>
      <c r="BX31" s="2014"/>
      <c r="BY31" s="1137"/>
      <c r="BZ31" s="674">
        <f t="shared" si="65"/>
        <v>0</v>
      </c>
      <c r="CA31" s="673">
        <f t="shared" si="62"/>
        <v>0</v>
      </c>
      <c r="CB31" s="198">
        <f t="shared" si="63"/>
        <v>0</v>
      </c>
      <c r="CC31" s="198">
        <f>+SUMIF(Avril!$BK$20:$BK$50,AT7,Avril!$AM$20:$AO$50)</f>
        <v>0</v>
      </c>
      <c r="CD31" s="198">
        <f>+SUMIF(Juin!$BK$20:$BK$50,AT7,Juin!$AM$20:$AO$50)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45789</v>
      </c>
      <c r="ER31" s="767">
        <f t="shared" si="10"/>
        <v>0</v>
      </c>
      <c r="ES31" s="768">
        <f t="shared" si="11"/>
        <v>0</v>
      </c>
      <c r="ET31" s="767">
        <f t="shared" si="12"/>
        <v>0</v>
      </c>
      <c r="EU31" s="768">
        <f t="shared" si="13"/>
        <v>0</v>
      </c>
      <c r="EV31" s="767" t="str">
        <f t="shared" si="14"/>
        <v/>
      </c>
      <c r="EW31" s="769">
        <f t="shared" si="29"/>
        <v>45789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20</v>
      </c>
      <c r="GA31" s="129">
        <f t="shared" si="39"/>
        <v>2025</v>
      </c>
      <c r="GB31" s="129" t="str">
        <f t="shared" si="40"/>
        <v>202025</v>
      </c>
      <c r="GC31" s="225">
        <f>IF(AND($GD$53=S.CAL!$P$3,$GD$52=FZ31),GE31,IF(BH31="",0,BH31))</f>
        <v>0</v>
      </c>
      <c r="GD31" s="129" t="str">
        <f>IFERROR(+Juin!$BY$2&amp;BL31&amp;BM31,0)</f>
        <v>Fiche infoA1</v>
      </c>
      <c r="GE31" s="129" t="str">
        <f t="shared" si="19"/>
        <v/>
      </c>
      <c r="GF31" s="225" t="str">
        <f t="shared" si="41"/>
        <v/>
      </c>
      <c r="GG31" s="1469" t="str">
        <f>+'Retenue Mai'!D29</f>
        <v/>
      </c>
      <c r="GH31" s="1469">
        <f>+'Retenue Mai'!BF29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45790</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45790</v>
      </c>
      <c r="AX32" s="1878"/>
      <c r="AY32" s="332"/>
      <c r="AZ32" s="1126"/>
      <c r="BA32" s="993"/>
      <c r="BB32" s="561"/>
      <c r="BC32" s="566">
        <f t="shared" si="23"/>
        <v>0</v>
      </c>
      <c r="BD32" s="1126"/>
      <c r="BE32" s="825">
        <f t="shared" si="24"/>
        <v>0</v>
      </c>
      <c r="BF32" s="1150"/>
      <c r="BG32" s="224"/>
      <c r="BH32" s="566" t="str">
        <f t="shared" si="25"/>
        <v/>
      </c>
      <c r="BI32" s="1150"/>
      <c r="BJ32" s="129" t="str">
        <f t="shared" si="26"/>
        <v>Fiche infoA2</v>
      </c>
      <c r="BK32" s="129">
        <f t="shared" si="49"/>
        <v>20</v>
      </c>
      <c r="BL32" s="129" t="str">
        <f t="shared" si="4"/>
        <v>A</v>
      </c>
      <c r="BM32" s="129">
        <f t="shared" si="50"/>
        <v>2</v>
      </c>
      <c r="BN32" s="225" t="str">
        <f t="shared" si="60"/>
        <v>Fiche info</v>
      </c>
      <c r="BO32" s="332" t="str">
        <f t="shared" si="51"/>
        <v/>
      </c>
      <c r="BP32" s="198" t="str">
        <f t="shared" si="52"/>
        <v/>
      </c>
      <c r="BQ32" s="198"/>
      <c r="BS32" s="2012" t="str">
        <f t="shared" si="64"/>
        <v>Semaine numéro : 22</v>
      </c>
      <c r="BT32" s="2013"/>
      <c r="BU32" s="2013"/>
      <c r="BV32" s="2013"/>
      <c r="BW32" s="2013"/>
      <c r="BX32" s="2014"/>
      <c r="BY32" s="1137"/>
      <c r="BZ32" s="674">
        <f t="shared" si="65"/>
        <v>0</v>
      </c>
      <c r="CA32" s="673">
        <f t="shared" si="62"/>
        <v>0</v>
      </c>
      <c r="CB32" s="198">
        <f t="shared" si="63"/>
        <v>0</v>
      </c>
      <c r="CC32" s="198">
        <f>+SUMIF(Avril!$BK$20:$BK$50,AT8,Avril!$AM$20:$AO$50)</f>
        <v>0</v>
      </c>
      <c r="CD32" s="198">
        <f>+SUMIF(Juin!$BK$20:$BK$50,AT8,Juin!$AM$20:$AO$50)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45790</v>
      </c>
      <c r="ER32" s="767">
        <f t="shared" si="10"/>
        <v>0</v>
      </c>
      <c r="ES32" s="768">
        <f t="shared" si="11"/>
        <v>0</v>
      </c>
      <c r="ET32" s="767">
        <f t="shared" si="12"/>
        <v>0</v>
      </c>
      <c r="EU32" s="768">
        <f t="shared" si="13"/>
        <v>0</v>
      </c>
      <c r="EV32" s="767" t="str">
        <f t="shared" si="14"/>
        <v/>
      </c>
      <c r="EW32" s="769">
        <f t="shared" si="29"/>
        <v>45790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20</v>
      </c>
      <c r="GA32" s="129">
        <f t="shared" si="39"/>
        <v>2025</v>
      </c>
      <c r="GB32" s="129" t="str">
        <f t="shared" si="40"/>
        <v>202025</v>
      </c>
      <c r="GC32" s="225">
        <f>IF(AND($GD$53=S.CAL!$P$3,$GD$52=FZ32),GE32,IF(BH32="",0,BH32))</f>
        <v>0</v>
      </c>
      <c r="GD32" s="129" t="str">
        <f>IFERROR(+Juin!$BY$2&amp;BL32&amp;BM32,0)</f>
        <v>Fiche infoA2</v>
      </c>
      <c r="GE32" s="129" t="str">
        <f t="shared" si="19"/>
        <v/>
      </c>
      <c r="GF32" s="225" t="str">
        <f t="shared" si="41"/>
        <v/>
      </c>
      <c r="GG32" s="1469" t="str">
        <f>+'Retenue Mai'!D30</f>
        <v/>
      </c>
      <c r="GH32" s="1469">
        <f>+'Retenue Mai'!BF30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45791</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45791</v>
      </c>
      <c r="AX33" s="1878"/>
      <c r="AY33" s="332"/>
      <c r="AZ33" s="1126"/>
      <c r="BA33" s="993"/>
      <c r="BB33" s="561"/>
      <c r="BC33" s="566">
        <f t="shared" si="23"/>
        <v>0</v>
      </c>
      <c r="BD33" s="1126"/>
      <c r="BE33" s="825">
        <f t="shared" si="24"/>
        <v>0</v>
      </c>
      <c r="BF33" s="1150"/>
      <c r="BG33" s="224"/>
      <c r="BH33" s="566" t="str">
        <f t="shared" si="25"/>
        <v/>
      </c>
      <c r="BI33" s="1150"/>
      <c r="BJ33" s="129" t="str">
        <f t="shared" si="26"/>
        <v>Fiche infoA3</v>
      </c>
      <c r="BK33" s="129">
        <f t="shared" si="49"/>
        <v>20</v>
      </c>
      <c r="BL33" s="129" t="str">
        <f t="shared" si="4"/>
        <v>A</v>
      </c>
      <c r="BM33" s="129">
        <f t="shared" si="50"/>
        <v>3</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+SUMIF(Avril!$BK$20:$BK$50,AT9,Avril!$AM$20:$AO$50)</f>
        <v>0</v>
      </c>
      <c r="CD33" s="198">
        <f>+SUMIF(Juin!$BK$20:$BK$50,AT9,Juin!$AM$20:$AO$50)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45791</v>
      </c>
      <c r="ER33" s="767">
        <f t="shared" si="10"/>
        <v>0</v>
      </c>
      <c r="ES33" s="768">
        <f t="shared" si="11"/>
        <v>0</v>
      </c>
      <c r="ET33" s="767">
        <f t="shared" si="12"/>
        <v>0</v>
      </c>
      <c r="EU33" s="768">
        <f t="shared" si="13"/>
        <v>0</v>
      </c>
      <c r="EV33" s="767" t="str">
        <f t="shared" si="14"/>
        <v/>
      </c>
      <c r="EW33" s="769">
        <f t="shared" si="29"/>
        <v>45791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20</v>
      </c>
      <c r="GA33" s="129">
        <f t="shared" si="39"/>
        <v>2025</v>
      </c>
      <c r="GB33" s="129" t="str">
        <f t="shared" si="40"/>
        <v>202025</v>
      </c>
      <c r="GC33" s="225">
        <f>IF(AND($GD$53=S.CAL!$P$3,$GD$52=FZ33),GE33,IF(BH33="",0,BH33))</f>
        <v>0</v>
      </c>
      <c r="GD33" s="129" t="str">
        <f>IFERROR(+Juin!$BY$2&amp;BL33&amp;BM33,0)</f>
        <v>Fiche infoA3</v>
      </c>
      <c r="GE33" s="129" t="str">
        <f t="shared" si="19"/>
        <v/>
      </c>
      <c r="GF33" s="225" t="str">
        <f t="shared" si="41"/>
        <v/>
      </c>
      <c r="GG33" s="1469" t="str">
        <f>+'Retenue Mai'!D31</f>
        <v/>
      </c>
      <c r="GH33" s="1469">
        <f>+'Retenue Mai'!BF31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45792</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45792</v>
      </c>
      <c r="AX34" s="1878"/>
      <c r="AY34" s="332"/>
      <c r="AZ34" s="1126"/>
      <c r="BA34" s="993"/>
      <c r="BB34" s="561"/>
      <c r="BC34" s="566">
        <f t="shared" si="23"/>
        <v>0</v>
      </c>
      <c r="BD34" s="1126"/>
      <c r="BE34" s="825">
        <f t="shared" si="24"/>
        <v>0</v>
      </c>
      <c r="BF34" s="1150"/>
      <c r="BG34" s="224"/>
      <c r="BH34" s="566" t="str">
        <f t="shared" si="25"/>
        <v/>
      </c>
      <c r="BI34" s="1150"/>
      <c r="BJ34" s="129" t="str">
        <f t="shared" si="26"/>
        <v>Fiche infoA4</v>
      </c>
      <c r="BK34" s="129">
        <f t="shared" si="49"/>
        <v>20</v>
      </c>
      <c r="BL34" s="129" t="str">
        <f t="shared" si="4"/>
        <v>A</v>
      </c>
      <c r="BM34" s="129">
        <f t="shared" si="50"/>
        <v>4</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45792</v>
      </c>
      <c r="ER34" s="767">
        <f t="shared" si="10"/>
        <v>0</v>
      </c>
      <c r="ES34" s="768">
        <f t="shared" si="11"/>
        <v>0</v>
      </c>
      <c r="ET34" s="767">
        <f t="shared" si="12"/>
        <v>0</v>
      </c>
      <c r="EU34" s="768">
        <f t="shared" si="13"/>
        <v>0</v>
      </c>
      <c r="EV34" s="767" t="str">
        <f t="shared" si="14"/>
        <v/>
      </c>
      <c r="EW34" s="769">
        <f t="shared" si="29"/>
        <v>45792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20</v>
      </c>
      <c r="GA34" s="129">
        <f t="shared" si="39"/>
        <v>2025</v>
      </c>
      <c r="GB34" s="129" t="str">
        <f t="shared" si="40"/>
        <v>202025</v>
      </c>
      <c r="GC34" s="225">
        <f>IF(AND($GD$53=S.CAL!$P$3,$GD$52=FZ34),GE34,IF(BH34="",0,BH34))</f>
        <v>0</v>
      </c>
      <c r="GD34" s="129" t="str">
        <f>IFERROR(+Juin!$BY$2&amp;BL34&amp;BM34,0)</f>
        <v>Fiche infoA4</v>
      </c>
      <c r="GE34" s="129" t="str">
        <f t="shared" si="19"/>
        <v/>
      </c>
      <c r="GF34" s="225" t="str">
        <f t="shared" si="41"/>
        <v/>
      </c>
      <c r="GG34" s="1469" t="str">
        <f>+'Retenue Mai'!D32</f>
        <v/>
      </c>
      <c r="GH34" s="1469">
        <f>+'Retenue Mai'!BF32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45793</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45793</v>
      </c>
      <c r="AX35" s="1878"/>
      <c r="AY35" s="332"/>
      <c r="AZ35" s="1126"/>
      <c r="BA35" s="993"/>
      <c r="BB35" s="561"/>
      <c r="BC35" s="566">
        <f t="shared" si="23"/>
        <v>0</v>
      </c>
      <c r="BD35" s="1126"/>
      <c r="BE35" s="825">
        <f t="shared" si="24"/>
        <v>0</v>
      </c>
      <c r="BF35" s="1150"/>
      <c r="BG35" s="224"/>
      <c r="BH35" s="566" t="str">
        <f t="shared" si="25"/>
        <v/>
      </c>
      <c r="BI35" s="1150"/>
      <c r="BJ35" s="129" t="str">
        <f t="shared" si="26"/>
        <v>Fiche infoA5</v>
      </c>
      <c r="BK35" s="129">
        <f t="shared" si="49"/>
        <v>20</v>
      </c>
      <c r="BL35" s="129" t="str">
        <f t="shared" si="4"/>
        <v>A</v>
      </c>
      <c r="BM35" s="129">
        <f t="shared" si="50"/>
        <v>5</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45793</v>
      </c>
      <c r="ER35" s="767">
        <f t="shared" si="10"/>
        <v>0</v>
      </c>
      <c r="ES35" s="768">
        <f t="shared" si="11"/>
        <v>0</v>
      </c>
      <c r="ET35" s="767">
        <f t="shared" si="12"/>
        <v>0</v>
      </c>
      <c r="EU35" s="768">
        <f t="shared" si="13"/>
        <v>0</v>
      </c>
      <c r="EV35" s="767" t="str">
        <f t="shared" si="14"/>
        <v/>
      </c>
      <c r="EW35" s="769">
        <f t="shared" si="29"/>
        <v>45793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20</v>
      </c>
      <c r="GA35" s="129">
        <f t="shared" si="39"/>
        <v>2025</v>
      </c>
      <c r="GB35" s="129" t="str">
        <f t="shared" si="40"/>
        <v>202025</v>
      </c>
      <c r="GC35" s="225">
        <f>IF(AND($GD$53=S.CAL!$P$3,$GD$52=FZ35),GE35,IF(BH35="",0,BH35))</f>
        <v>0</v>
      </c>
      <c r="GD35" s="129" t="str">
        <f>IFERROR(+Juin!$BY$2&amp;BL35&amp;BM35,0)</f>
        <v>Fiche infoA5</v>
      </c>
      <c r="GE35" s="129" t="str">
        <f t="shared" si="19"/>
        <v/>
      </c>
      <c r="GF35" s="225" t="str">
        <f t="shared" si="41"/>
        <v/>
      </c>
      <c r="GG35" s="1469" t="str">
        <f>+'Retenue Mai'!D33</f>
        <v/>
      </c>
      <c r="GH35" s="1469">
        <f>+'Retenue Mai'!BF33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45794</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45794</v>
      </c>
      <c r="AX36" s="1878"/>
      <c r="AY36" s="332"/>
      <c r="AZ36" s="1126"/>
      <c r="BA36" s="993"/>
      <c r="BB36" s="561"/>
      <c r="BC36" s="566">
        <f t="shared" si="23"/>
        <v>0</v>
      </c>
      <c r="BD36" s="1126"/>
      <c r="BE36" s="825">
        <f t="shared" si="24"/>
        <v>0</v>
      </c>
      <c r="BF36" s="1150"/>
      <c r="BG36" s="224"/>
      <c r="BH36" s="566" t="str">
        <f t="shared" si="25"/>
        <v/>
      </c>
      <c r="BI36" s="1150"/>
      <c r="BJ36" s="129" t="str">
        <f t="shared" si="26"/>
        <v>Fiche infoA6</v>
      </c>
      <c r="BK36" s="129">
        <f t="shared" si="49"/>
        <v>20</v>
      </c>
      <c r="BL36" s="129" t="str">
        <f t="shared" si="4"/>
        <v>A</v>
      </c>
      <c r="BM36" s="129">
        <f t="shared" si="50"/>
        <v>6</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45794</v>
      </c>
      <c r="ER36" s="767">
        <f t="shared" si="10"/>
        <v>0</v>
      </c>
      <c r="ES36" s="768">
        <f t="shared" si="11"/>
        <v>0</v>
      </c>
      <c r="ET36" s="767">
        <f t="shared" si="12"/>
        <v>0</v>
      </c>
      <c r="EU36" s="768">
        <f t="shared" si="13"/>
        <v>0</v>
      </c>
      <c r="EV36" s="767" t="str">
        <f t="shared" si="14"/>
        <v/>
      </c>
      <c r="EW36" s="769">
        <f t="shared" si="29"/>
        <v>45794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20</v>
      </c>
      <c r="GA36" s="129">
        <f t="shared" si="39"/>
        <v>2025</v>
      </c>
      <c r="GB36" s="129" t="str">
        <f t="shared" si="40"/>
        <v>202025</v>
      </c>
      <c r="GC36" s="225">
        <f>IF(AND($GD$53=S.CAL!$P$3,$GD$52=FZ36),GE36,IF(BH36="",0,BH36))</f>
        <v>0</v>
      </c>
      <c r="GD36" s="129" t="str">
        <f>IFERROR(+Juin!$BY$2&amp;BL36&amp;BM36,0)</f>
        <v>Fiche infoA6</v>
      </c>
      <c r="GE36" s="129" t="str">
        <f t="shared" si="19"/>
        <v/>
      </c>
      <c r="GF36" s="225" t="str">
        <f t="shared" si="41"/>
        <v/>
      </c>
      <c r="GG36" s="1469" t="str">
        <f>+'Retenue Mai'!D34</f>
        <v/>
      </c>
      <c r="GH36" s="1469">
        <f>+'Retenue Mai'!BF34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45795</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45795</v>
      </c>
      <c r="AX37" s="1878"/>
      <c r="AY37" s="332"/>
      <c r="AZ37" s="1126"/>
      <c r="BA37" s="993"/>
      <c r="BB37" s="561"/>
      <c r="BC37" s="566">
        <f t="shared" si="23"/>
        <v>0</v>
      </c>
      <c r="BD37" s="1126"/>
      <c r="BE37" s="825">
        <f t="shared" si="24"/>
        <v>0</v>
      </c>
      <c r="BF37" s="1150"/>
      <c r="BG37" s="224"/>
      <c r="BH37" s="566" t="str">
        <f t="shared" si="25"/>
        <v/>
      </c>
      <c r="BI37" s="1150"/>
      <c r="BJ37" s="129" t="str">
        <f t="shared" si="26"/>
        <v>Fiche infoA7</v>
      </c>
      <c r="BK37" s="129">
        <f t="shared" si="49"/>
        <v>20</v>
      </c>
      <c r="BL37" s="129" t="str">
        <f t="shared" si="4"/>
        <v>A</v>
      </c>
      <c r="BM37" s="129">
        <f t="shared" si="50"/>
        <v>7</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45795</v>
      </c>
      <c r="ER37" s="767">
        <f t="shared" si="10"/>
        <v>0</v>
      </c>
      <c r="ES37" s="768">
        <f t="shared" si="11"/>
        <v>0</v>
      </c>
      <c r="ET37" s="767">
        <f t="shared" si="12"/>
        <v>0</v>
      </c>
      <c r="EU37" s="768">
        <f t="shared" si="13"/>
        <v>0</v>
      </c>
      <c r="EV37" s="767" t="str">
        <f t="shared" si="14"/>
        <v/>
      </c>
      <c r="EW37" s="769">
        <f t="shared" si="29"/>
        <v>45795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20</v>
      </c>
      <c r="GA37" s="129">
        <f t="shared" si="39"/>
        <v>2025</v>
      </c>
      <c r="GB37" s="129" t="str">
        <f t="shared" si="40"/>
        <v>202025</v>
      </c>
      <c r="GC37" s="225">
        <f>IF(AND($GD$53=S.CAL!$P$3,$GD$52=FZ37),GE37,IF(BH37="",0,BH37))</f>
        <v>0</v>
      </c>
      <c r="GD37" s="129" t="str">
        <f>IFERROR(+Juin!$BY$2&amp;BL37&amp;BM37,0)</f>
        <v>Fiche infoA7</v>
      </c>
      <c r="GE37" s="129" t="str">
        <f t="shared" si="19"/>
        <v/>
      </c>
      <c r="GF37" s="225" t="str">
        <f t="shared" si="41"/>
        <v/>
      </c>
      <c r="GG37" s="1469" t="str">
        <f>+'Retenue Mai'!D35</f>
        <v/>
      </c>
      <c r="GH37" s="1469">
        <f>+'Retenue Mai'!BF35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45796</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f t="shared" si="48"/>
        <v>21</v>
      </c>
      <c r="AQ38" s="340"/>
      <c r="AR38" s="1126"/>
      <c r="AS38" s="332">
        <f t="shared" si="3"/>
        <v>0</v>
      </c>
      <c r="AT38" s="1147"/>
      <c r="AU38" s="1147"/>
      <c r="AV38" s="332"/>
      <c r="AW38" s="2017">
        <f t="shared" si="22"/>
        <v>45796</v>
      </c>
      <c r="AX38" s="1878"/>
      <c r="AY38" s="332"/>
      <c r="AZ38" s="1126"/>
      <c r="BA38" s="993"/>
      <c r="BB38" s="561"/>
      <c r="BC38" s="566">
        <f t="shared" si="23"/>
        <v>0</v>
      </c>
      <c r="BD38" s="1126"/>
      <c r="BE38" s="825">
        <f t="shared" si="24"/>
        <v>0</v>
      </c>
      <c r="BF38" s="1150"/>
      <c r="BG38" s="224"/>
      <c r="BH38" s="566" t="str">
        <f t="shared" si="25"/>
        <v/>
      </c>
      <c r="BI38" s="1150"/>
      <c r="BJ38" s="129" t="str">
        <f t="shared" si="26"/>
        <v>Fiche infoA1</v>
      </c>
      <c r="BK38" s="129">
        <f t="shared" si="49"/>
        <v>21</v>
      </c>
      <c r="BL38" s="129" t="str">
        <f t="shared" si="4"/>
        <v>A</v>
      </c>
      <c r="BM38" s="129">
        <f t="shared" si="50"/>
        <v>1</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45796</v>
      </c>
      <c r="ER38" s="767">
        <f t="shared" si="10"/>
        <v>0</v>
      </c>
      <c r="ES38" s="768">
        <f t="shared" si="11"/>
        <v>0</v>
      </c>
      <c r="ET38" s="767">
        <f t="shared" si="12"/>
        <v>0</v>
      </c>
      <c r="EU38" s="768">
        <f t="shared" si="13"/>
        <v>0</v>
      </c>
      <c r="EV38" s="767" t="str">
        <f t="shared" si="14"/>
        <v/>
      </c>
      <c r="EW38" s="769">
        <f t="shared" si="29"/>
        <v>45796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21</v>
      </c>
      <c r="GA38" s="129">
        <f t="shared" si="39"/>
        <v>2025</v>
      </c>
      <c r="GB38" s="129" t="str">
        <f t="shared" si="40"/>
        <v>212025</v>
      </c>
      <c r="GC38" s="225">
        <f>IF(AND($GD$53=S.CAL!$P$3,$GD$52=FZ38),GE38,IF(BH38="",0,BH38))</f>
        <v>0</v>
      </c>
      <c r="GD38" s="129" t="str">
        <f>IFERROR(+Juin!$BY$2&amp;BL38&amp;BM38,0)</f>
        <v>Fiche infoA1</v>
      </c>
      <c r="GE38" s="129" t="str">
        <f t="shared" si="19"/>
        <v/>
      </c>
      <c r="GF38" s="225" t="str">
        <f t="shared" si="41"/>
        <v/>
      </c>
      <c r="GG38" s="1469" t="str">
        <f>+'Retenue Mai'!D36</f>
        <v/>
      </c>
      <c r="GH38" s="1469">
        <f>+'Retenue Mai'!BF36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45797</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45797</v>
      </c>
      <c r="AX39" s="1878"/>
      <c r="AY39" s="332"/>
      <c r="AZ39" s="1126"/>
      <c r="BA39" s="993"/>
      <c r="BB39" s="561"/>
      <c r="BC39" s="566">
        <f t="shared" si="23"/>
        <v>0</v>
      </c>
      <c r="BD39" s="1126"/>
      <c r="BE39" s="825">
        <f t="shared" si="24"/>
        <v>0</v>
      </c>
      <c r="BF39" s="1150"/>
      <c r="BG39" s="224"/>
      <c r="BH39" s="566" t="str">
        <f t="shared" si="25"/>
        <v/>
      </c>
      <c r="BI39" s="1150"/>
      <c r="BJ39" s="129" t="str">
        <f t="shared" si="26"/>
        <v>Fiche infoA2</v>
      </c>
      <c r="BK39" s="129">
        <f t="shared" si="49"/>
        <v>21</v>
      </c>
      <c r="BL39" s="129" t="str">
        <f t="shared" si="4"/>
        <v>A</v>
      </c>
      <c r="BM39" s="129">
        <f t="shared" si="50"/>
        <v>2</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45797</v>
      </c>
      <c r="ER39" s="767">
        <f t="shared" si="10"/>
        <v>0</v>
      </c>
      <c r="ES39" s="768">
        <f t="shared" si="11"/>
        <v>0</v>
      </c>
      <c r="ET39" s="767">
        <f t="shared" si="12"/>
        <v>0</v>
      </c>
      <c r="EU39" s="768">
        <f t="shared" si="13"/>
        <v>0</v>
      </c>
      <c r="EV39" s="767" t="str">
        <f t="shared" si="14"/>
        <v/>
      </c>
      <c r="EW39" s="769">
        <f t="shared" si="29"/>
        <v>45797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21</v>
      </c>
      <c r="GA39" s="129">
        <f t="shared" si="39"/>
        <v>2025</v>
      </c>
      <c r="GB39" s="129" t="str">
        <f t="shared" si="40"/>
        <v>212025</v>
      </c>
      <c r="GC39" s="225">
        <f>IF(AND($GD$53=S.CAL!$P$3,$GD$52=FZ39),GE39,IF(BH39="",0,BH39))</f>
        <v>0</v>
      </c>
      <c r="GD39" s="129" t="str">
        <f>IFERROR(+Juin!$BY$2&amp;BL39&amp;BM39,0)</f>
        <v>Fiche infoA2</v>
      </c>
      <c r="GE39" s="129" t="str">
        <f t="shared" si="19"/>
        <v/>
      </c>
      <c r="GF39" s="225" t="str">
        <f t="shared" si="41"/>
        <v/>
      </c>
      <c r="GG39" s="1469" t="str">
        <f>+'Retenue Mai'!D37</f>
        <v/>
      </c>
      <c r="GH39" s="1469">
        <f>+'Retenue Mai'!BF37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45798</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45798</v>
      </c>
      <c r="AX40" s="1878"/>
      <c r="AY40" s="332"/>
      <c r="AZ40" s="1126"/>
      <c r="BA40" s="993"/>
      <c r="BB40" s="561"/>
      <c r="BC40" s="566">
        <f t="shared" si="23"/>
        <v>0</v>
      </c>
      <c r="BD40" s="1126"/>
      <c r="BE40" s="825">
        <f t="shared" si="24"/>
        <v>0</v>
      </c>
      <c r="BF40" s="1150"/>
      <c r="BG40" s="224"/>
      <c r="BH40" s="566" t="str">
        <f t="shared" si="25"/>
        <v/>
      </c>
      <c r="BI40" s="1150"/>
      <c r="BJ40" s="129" t="str">
        <f t="shared" si="26"/>
        <v>Fiche infoA3</v>
      </c>
      <c r="BK40" s="129">
        <f t="shared" si="49"/>
        <v>21</v>
      </c>
      <c r="BL40" s="129" t="str">
        <f t="shared" si="4"/>
        <v>A</v>
      </c>
      <c r="BM40" s="129">
        <f t="shared" si="50"/>
        <v>3</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Mai'!P27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45798</v>
      </c>
      <c r="ER40" s="767">
        <f t="shared" si="10"/>
        <v>0</v>
      </c>
      <c r="ES40" s="768">
        <f t="shared" si="11"/>
        <v>0</v>
      </c>
      <c r="ET40" s="767">
        <f t="shared" si="12"/>
        <v>0</v>
      </c>
      <c r="EU40" s="768">
        <f t="shared" si="13"/>
        <v>0</v>
      </c>
      <c r="EV40" s="767" t="str">
        <f t="shared" si="14"/>
        <v/>
      </c>
      <c r="EW40" s="769">
        <f t="shared" si="29"/>
        <v>45798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21</v>
      </c>
      <c r="GA40" s="129">
        <f t="shared" si="39"/>
        <v>2025</v>
      </c>
      <c r="GB40" s="129" t="str">
        <f t="shared" si="40"/>
        <v>212025</v>
      </c>
      <c r="GC40" s="225">
        <f>IF(AND($GD$53=S.CAL!$P$3,$GD$52=FZ40),GE40,IF(BH40="",0,BH40))</f>
        <v>0</v>
      </c>
      <c r="GD40" s="129" t="str">
        <f>IFERROR(+Juin!$BY$2&amp;BL40&amp;BM40,0)</f>
        <v>Fiche infoA3</v>
      </c>
      <c r="GE40" s="129" t="str">
        <f t="shared" si="19"/>
        <v/>
      </c>
      <c r="GF40" s="225" t="str">
        <f t="shared" si="41"/>
        <v/>
      </c>
      <c r="GG40" s="1469" t="str">
        <f>+'Retenue Mai'!D38</f>
        <v/>
      </c>
      <c r="GH40" s="1469">
        <f>+'Retenue Mai'!BF38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45799</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45799</v>
      </c>
      <c r="AX41" s="1878"/>
      <c r="AY41" s="332"/>
      <c r="AZ41" s="1126"/>
      <c r="BA41" s="993"/>
      <c r="BB41" s="561"/>
      <c r="BC41" s="566">
        <f t="shared" si="23"/>
        <v>0</v>
      </c>
      <c r="BD41" s="1126"/>
      <c r="BE41" s="825">
        <f t="shared" si="24"/>
        <v>0</v>
      </c>
      <c r="BF41" s="1150"/>
      <c r="BG41" s="224"/>
      <c r="BH41" s="566" t="str">
        <f t="shared" si="25"/>
        <v/>
      </c>
      <c r="BI41" s="1150"/>
      <c r="BJ41" s="129" t="str">
        <f t="shared" si="26"/>
        <v>Fiche infoA4</v>
      </c>
      <c r="BK41" s="129">
        <f t="shared" si="49"/>
        <v>21</v>
      </c>
      <c r="BL41" s="129" t="str">
        <f t="shared" si="4"/>
        <v>A</v>
      </c>
      <c r="BM41" s="129">
        <f t="shared" si="50"/>
        <v>4</v>
      </c>
      <c r="BN41" s="225" t="str">
        <f t="shared" si="60"/>
        <v>Fiche info</v>
      </c>
      <c r="BO41" s="332" t="str">
        <f t="shared" si="51"/>
        <v/>
      </c>
      <c r="BP41" s="198" t="str">
        <f t="shared" si="52"/>
        <v/>
      </c>
      <c r="BQ41" s="2142" t="s">
        <v>1063</v>
      </c>
      <c r="BR41" s="2142"/>
      <c r="BS41" s="2142"/>
      <c r="BT41" s="2142"/>
      <c r="BU41" s="2142"/>
      <c r="BV41" s="2142"/>
      <c r="BW41" s="601" t="str">
        <f>+IF(BX41="",Avril!BW41,BX41)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45799</v>
      </c>
      <c r="ER41" s="767">
        <f t="shared" si="10"/>
        <v>0</v>
      </c>
      <c r="ES41" s="768">
        <f t="shared" si="11"/>
        <v>0</v>
      </c>
      <c r="ET41" s="767">
        <f t="shared" si="12"/>
        <v>0</v>
      </c>
      <c r="EU41" s="768">
        <f t="shared" si="13"/>
        <v>0</v>
      </c>
      <c r="EV41" s="767" t="str">
        <f t="shared" si="14"/>
        <v/>
      </c>
      <c r="EW41" s="769">
        <f t="shared" si="29"/>
        <v>45799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21</v>
      </c>
      <c r="GA41" s="129">
        <f t="shared" si="39"/>
        <v>2025</v>
      </c>
      <c r="GB41" s="129" t="str">
        <f t="shared" si="40"/>
        <v>212025</v>
      </c>
      <c r="GC41" s="225">
        <f>IF(AND($GD$53=S.CAL!$P$3,$GD$52=FZ41),GE41,IF(BH41="",0,BH41))</f>
        <v>0</v>
      </c>
      <c r="GD41" s="129" t="str">
        <f>IFERROR(+Juin!$BY$2&amp;BL41&amp;BM41,0)</f>
        <v>Fiche infoA4</v>
      </c>
      <c r="GE41" s="129" t="str">
        <f t="shared" si="19"/>
        <v/>
      </c>
      <c r="GF41" s="225" t="str">
        <f t="shared" si="41"/>
        <v/>
      </c>
      <c r="GG41" s="1469" t="str">
        <f>+'Retenue Mai'!D39</f>
        <v/>
      </c>
      <c r="GH41" s="1469">
        <f>+'Retenue Mai'!BF39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45800</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45800</v>
      </c>
      <c r="AX42" s="1878"/>
      <c r="AY42" s="332"/>
      <c r="AZ42" s="1126"/>
      <c r="BA42" s="993"/>
      <c r="BB42" s="561"/>
      <c r="BC42" s="566">
        <f t="shared" si="23"/>
        <v>0</v>
      </c>
      <c r="BD42" s="1126"/>
      <c r="BE42" s="825">
        <f t="shared" si="24"/>
        <v>0</v>
      </c>
      <c r="BF42" s="1150"/>
      <c r="BG42" s="224"/>
      <c r="BH42" s="566" t="str">
        <f t="shared" si="25"/>
        <v/>
      </c>
      <c r="BI42" s="1150"/>
      <c r="BJ42" s="129" t="str">
        <f t="shared" si="26"/>
        <v>Fiche infoA5</v>
      </c>
      <c r="BK42" s="129">
        <f t="shared" si="49"/>
        <v>21</v>
      </c>
      <c r="BL42" s="129" t="str">
        <f t="shared" si="4"/>
        <v>A</v>
      </c>
      <c r="BM42" s="129">
        <f t="shared" si="50"/>
        <v>5</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45800</v>
      </c>
      <c r="ER42" s="767">
        <f t="shared" si="10"/>
        <v>0</v>
      </c>
      <c r="ES42" s="768">
        <f t="shared" si="11"/>
        <v>0</v>
      </c>
      <c r="ET42" s="767">
        <f t="shared" si="12"/>
        <v>0</v>
      </c>
      <c r="EU42" s="768">
        <f t="shared" si="13"/>
        <v>0</v>
      </c>
      <c r="EV42" s="767" t="str">
        <f t="shared" si="14"/>
        <v/>
      </c>
      <c r="EW42" s="769">
        <f t="shared" si="29"/>
        <v>45800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21</v>
      </c>
      <c r="GA42" s="129">
        <f t="shared" si="39"/>
        <v>2025</v>
      </c>
      <c r="GB42" s="129" t="str">
        <f t="shared" si="40"/>
        <v>212025</v>
      </c>
      <c r="GC42" s="225">
        <f>IF(AND($GD$53=S.CAL!$P$3,$GD$52=FZ42),GE42,IF(BH42="",0,BH42))</f>
        <v>0</v>
      </c>
      <c r="GD42" s="129" t="str">
        <f>IFERROR(+Juin!$BY$2&amp;BL42&amp;BM42,0)</f>
        <v>Fiche infoA5</v>
      </c>
      <c r="GE42" s="129" t="str">
        <f t="shared" si="19"/>
        <v/>
      </c>
      <c r="GF42" s="225" t="str">
        <f t="shared" si="41"/>
        <v/>
      </c>
      <c r="GG42" s="1469" t="str">
        <f>+'Retenue Mai'!D40</f>
        <v/>
      </c>
      <c r="GH42" s="1469">
        <f>+'Retenue Mai'!BF40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45801</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45801</v>
      </c>
      <c r="AX43" s="1878"/>
      <c r="AY43" s="332"/>
      <c r="AZ43" s="1126"/>
      <c r="BA43" s="993"/>
      <c r="BB43" s="561"/>
      <c r="BC43" s="566">
        <f t="shared" si="23"/>
        <v>0</v>
      </c>
      <c r="BD43" s="1126"/>
      <c r="BE43" s="825">
        <f t="shared" si="24"/>
        <v>0</v>
      </c>
      <c r="BF43" s="1150"/>
      <c r="BG43" s="224"/>
      <c r="BH43" s="566" t="str">
        <f t="shared" si="25"/>
        <v/>
      </c>
      <c r="BI43" s="1150"/>
      <c r="BJ43" s="129" t="str">
        <f t="shared" si="26"/>
        <v>Fiche infoA6</v>
      </c>
      <c r="BK43" s="129">
        <f t="shared" si="49"/>
        <v>21</v>
      </c>
      <c r="BL43" s="129" t="str">
        <f t="shared" si="4"/>
        <v>A</v>
      </c>
      <c r="BM43" s="129">
        <f t="shared" si="50"/>
        <v>6</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45801</v>
      </c>
      <c r="ER43" s="767">
        <f t="shared" si="10"/>
        <v>0</v>
      </c>
      <c r="ES43" s="768">
        <f t="shared" si="11"/>
        <v>0</v>
      </c>
      <c r="ET43" s="767">
        <f t="shared" si="12"/>
        <v>0</v>
      </c>
      <c r="EU43" s="768">
        <f t="shared" si="13"/>
        <v>0</v>
      </c>
      <c r="EV43" s="767" t="str">
        <f t="shared" si="14"/>
        <v/>
      </c>
      <c r="EW43" s="769">
        <f t="shared" si="29"/>
        <v>45801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21</v>
      </c>
      <c r="GA43" s="129">
        <f t="shared" si="39"/>
        <v>2025</v>
      </c>
      <c r="GB43" s="129" t="str">
        <f t="shared" si="40"/>
        <v>212025</v>
      </c>
      <c r="GC43" s="225">
        <f>IF(AND($GD$53=S.CAL!$P$3,$GD$52=FZ43),GE43,IF(BH43="",0,BH43))</f>
        <v>0</v>
      </c>
      <c r="GD43" s="129" t="str">
        <f>IFERROR(+Juin!$BY$2&amp;BL43&amp;BM43,0)</f>
        <v>Fiche infoA6</v>
      </c>
      <c r="GE43" s="129" t="str">
        <f t="shared" si="19"/>
        <v/>
      </c>
      <c r="GF43" s="225" t="str">
        <f t="shared" si="41"/>
        <v/>
      </c>
      <c r="GG43" s="1469" t="str">
        <f>+'Retenue Mai'!D41</f>
        <v/>
      </c>
      <c r="GH43" s="1469">
        <f>+'Retenue Mai'!BF41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45802</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45802</v>
      </c>
      <c r="AX44" s="1878"/>
      <c r="AY44" s="332"/>
      <c r="AZ44" s="1126"/>
      <c r="BA44" s="993"/>
      <c r="BB44" s="561"/>
      <c r="BC44" s="566">
        <f t="shared" si="23"/>
        <v>0</v>
      </c>
      <c r="BD44" s="1126"/>
      <c r="BE44" s="825">
        <f t="shared" si="24"/>
        <v>0</v>
      </c>
      <c r="BF44" s="1150"/>
      <c r="BG44" s="224"/>
      <c r="BH44" s="566" t="str">
        <f t="shared" si="25"/>
        <v/>
      </c>
      <c r="BI44" s="1150"/>
      <c r="BJ44" s="129" t="str">
        <f t="shared" si="26"/>
        <v>Fiche infoA7</v>
      </c>
      <c r="BK44" s="129">
        <f t="shared" si="49"/>
        <v>21</v>
      </c>
      <c r="BL44" s="129" t="str">
        <f t="shared" si="4"/>
        <v>A</v>
      </c>
      <c r="BM44" s="129">
        <f t="shared" si="50"/>
        <v>7</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+IF(CC45="",Avril!CC44,CC45)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45802</v>
      </c>
      <c r="ER44" s="767">
        <f t="shared" si="10"/>
        <v>0</v>
      </c>
      <c r="ES44" s="768">
        <f t="shared" si="11"/>
        <v>0</v>
      </c>
      <c r="ET44" s="767">
        <f t="shared" si="12"/>
        <v>0</v>
      </c>
      <c r="EU44" s="768">
        <f t="shared" si="13"/>
        <v>0</v>
      </c>
      <c r="EV44" s="767" t="str">
        <f t="shared" si="14"/>
        <v/>
      </c>
      <c r="EW44" s="769">
        <f t="shared" si="29"/>
        <v>45802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21</v>
      </c>
      <c r="GA44" s="129">
        <f t="shared" si="39"/>
        <v>2025</v>
      </c>
      <c r="GB44" s="129" t="str">
        <f t="shared" si="40"/>
        <v>212025</v>
      </c>
      <c r="GC44" s="225">
        <f>IF(AND($GD$53=S.CAL!$P$3,$GD$52=FZ44),GE44,IF(BH44="",0,BH44))</f>
        <v>0</v>
      </c>
      <c r="GD44" s="129" t="str">
        <f>IFERROR(+Juin!$BY$2&amp;BL44&amp;BM44,0)</f>
        <v>Fiche infoA7</v>
      </c>
      <c r="GE44" s="129" t="str">
        <f t="shared" si="19"/>
        <v/>
      </c>
      <c r="GF44" s="225" t="str">
        <f t="shared" si="41"/>
        <v/>
      </c>
      <c r="GG44" s="1469" t="str">
        <f>+'Retenue Mai'!D42</f>
        <v/>
      </c>
      <c r="GH44" s="1469">
        <f>+'Retenue Mai'!BF42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45803</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f t="shared" si="48"/>
        <v>22</v>
      </c>
      <c r="AQ45" s="340"/>
      <c r="AR45" s="1126"/>
      <c r="AS45" s="332">
        <f t="shared" si="3"/>
        <v>0</v>
      </c>
      <c r="AT45" s="1147"/>
      <c r="AU45" s="1147"/>
      <c r="AV45" s="332"/>
      <c r="AW45" s="2017">
        <f t="shared" si="22"/>
        <v>45803</v>
      </c>
      <c r="AX45" s="1878"/>
      <c r="AY45" s="332"/>
      <c r="AZ45" s="1126"/>
      <c r="BA45" s="993"/>
      <c r="BB45" s="561"/>
      <c r="BC45" s="566">
        <f t="shared" si="23"/>
        <v>0</v>
      </c>
      <c r="BD45" s="1126"/>
      <c r="BE45" s="825">
        <f t="shared" si="24"/>
        <v>0</v>
      </c>
      <c r="BF45" s="1150"/>
      <c r="BG45" s="224"/>
      <c r="BH45" s="566" t="str">
        <f t="shared" si="25"/>
        <v/>
      </c>
      <c r="BI45" s="1150"/>
      <c r="BJ45" s="129" t="str">
        <f t="shared" si="26"/>
        <v>Fiche infoA1</v>
      </c>
      <c r="BK45" s="129">
        <f t="shared" si="49"/>
        <v>22</v>
      </c>
      <c r="BL45" s="129" t="str">
        <f t="shared" si="4"/>
        <v>A</v>
      </c>
      <c r="BM45" s="129">
        <f t="shared" si="50"/>
        <v>1</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45803</v>
      </c>
      <c r="ER45" s="767">
        <f t="shared" si="10"/>
        <v>0</v>
      </c>
      <c r="ES45" s="768">
        <f t="shared" si="11"/>
        <v>0</v>
      </c>
      <c r="ET45" s="767">
        <f t="shared" si="12"/>
        <v>0</v>
      </c>
      <c r="EU45" s="768">
        <f t="shared" si="13"/>
        <v>0</v>
      </c>
      <c r="EV45" s="767" t="str">
        <f t="shared" si="14"/>
        <v/>
      </c>
      <c r="EW45" s="769">
        <f t="shared" si="29"/>
        <v>45803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22</v>
      </c>
      <c r="GA45" s="129">
        <f t="shared" si="39"/>
        <v>2025</v>
      </c>
      <c r="GB45" s="129" t="str">
        <f t="shared" si="40"/>
        <v>222025</v>
      </c>
      <c r="GC45" s="225">
        <f>IF(AND($GD$53=S.CAL!$P$3,$GD$52=FZ45),GE45,IF(BH45="",0,BH45))</f>
        <v>0</v>
      </c>
      <c r="GD45" s="129" t="str">
        <f>IFERROR(+Juin!$BY$2&amp;BL45&amp;BM45,0)</f>
        <v>Fiche infoA1</v>
      </c>
      <c r="GE45" s="129" t="str">
        <f t="shared" si="19"/>
        <v/>
      </c>
      <c r="GF45" s="225" t="str">
        <f t="shared" si="41"/>
        <v/>
      </c>
      <c r="GG45" s="1469" t="str">
        <f>+'Retenue Mai'!D43</f>
        <v/>
      </c>
      <c r="GH45" s="1469">
        <f>+'Retenue Mai'!BF43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45804</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45804</v>
      </c>
      <c r="AX46" s="1878"/>
      <c r="AY46" s="332"/>
      <c r="AZ46" s="1126"/>
      <c r="BA46" s="993"/>
      <c r="BB46" s="561"/>
      <c r="BC46" s="566">
        <f t="shared" si="23"/>
        <v>0</v>
      </c>
      <c r="BD46" s="1126"/>
      <c r="BE46" s="825">
        <f t="shared" si="24"/>
        <v>0</v>
      </c>
      <c r="BF46" s="1150"/>
      <c r="BG46" s="224"/>
      <c r="BH46" s="566" t="str">
        <f t="shared" si="25"/>
        <v/>
      </c>
      <c r="BI46" s="1150"/>
      <c r="BJ46" s="129" t="str">
        <f t="shared" si="26"/>
        <v>Fiche infoA2</v>
      </c>
      <c r="BK46" s="129">
        <f t="shared" si="49"/>
        <v>22</v>
      </c>
      <c r="BL46" s="129" t="str">
        <f t="shared" si="4"/>
        <v>A</v>
      </c>
      <c r="BM46" s="129">
        <f t="shared" si="50"/>
        <v>2</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45804</v>
      </c>
      <c r="ER46" s="767">
        <f t="shared" si="10"/>
        <v>0</v>
      </c>
      <c r="ES46" s="768">
        <f t="shared" si="11"/>
        <v>0</v>
      </c>
      <c r="ET46" s="767">
        <f t="shared" si="12"/>
        <v>0</v>
      </c>
      <c r="EU46" s="768">
        <f t="shared" si="13"/>
        <v>0</v>
      </c>
      <c r="EV46" s="767" t="str">
        <f t="shared" si="14"/>
        <v/>
      </c>
      <c r="EW46" s="769">
        <f t="shared" si="29"/>
        <v>45804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22</v>
      </c>
      <c r="GA46" s="129">
        <f t="shared" si="39"/>
        <v>2025</v>
      </c>
      <c r="GB46" s="129" t="str">
        <f t="shared" si="40"/>
        <v>222025</v>
      </c>
      <c r="GC46" s="225">
        <f>IF(AND($GD$53=S.CAL!$P$3,$GD$52=FZ46),GE46,IF(BH46="",0,BH46))</f>
        <v>0</v>
      </c>
      <c r="GD46" s="129" t="str">
        <f>IFERROR(+Juin!$BY$2&amp;BL46&amp;BM46,0)</f>
        <v>Fiche infoA2</v>
      </c>
      <c r="GE46" s="129" t="str">
        <f t="shared" si="19"/>
        <v/>
      </c>
      <c r="GF46" s="225" t="str">
        <f t="shared" si="41"/>
        <v/>
      </c>
      <c r="GG46" s="1469" t="str">
        <f>+'Retenue Mai'!D44</f>
        <v/>
      </c>
      <c r="GH46" s="1469">
        <f>+'Retenue Mai'!BF44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45805</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45805</v>
      </c>
      <c r="AX47" s="1878"/>
      <c r="AY47" s="332"/>
      <c r="AZ47" s="1126"/>
      <c r="BA47" s="993"/>
      <c r="BB47" s="561"/>
      <c r="BC47" s="566">
        <f t="shared" si="23"/>
        <v>0</v>
      </c>
      <c r="BD47" s="1126"/>
      <c r="BE47" s="825">
        <f t="shared" si="24"/>
        <v>0</v>
      </c>
      <c r="BF47" s="1150"/>
      <c r="BG47" s="224"/>
      <c r="BH47" s="566" t="str">
        <f t="shared" si="25"/>
        <v/>
      </c>
      <c r="BI47" s="1150"/>
      <c r="BJ47" s="129" t="str">
        <f t="shared" si="26"/>
        <v>Fiche infoA3</v>
      </c>
      <c r="BK47" s="129">
        <f t="shared" si="49"/>
        <v>22</v>
      </c>
      <c r="BL47" s="129" t="str">
        <f t="shared" si="4"/>
        <v>A</v>
      </c>
      <c r="BM47" s="129">
        <f t="shared" si="50"/>
        <v>3</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IF(CF47="",Avril!CE47,CF47)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45805</v>
      </c>
      <c r="ER47" s="767">
        <f t="shared" si="10"/>
        <v>0</v>
      </c>
      <c r="ES47" s="768">
        <f t="shared" si="11"/>
        <v>0</v>
      </c>
      <c r="ET47" s="767">
        <f t="shared" si="12"/>
        <v>0</v>
      </c>
      <c r="EU47" s="768">
        <f t="shared" si="13"/>
        <v>0</v>
      </c>
      <c r="EV47" s="767" t="str">
        <f t="shared" si="14"/>
        <v/>
      </c>
      <c r="EW47" s="769">
        <f t="shared" si="29"/>
        <v>45805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22</v>
      </c>
      <c r="GA47" s="129">
        <f t="shared" si="39"/>
        <v>2025</v>
      </c>
      <c r="GB47" s="129" t="str">
        <f t="shared" si="40"/>
        <v>222025</v>
      </c>
      <c r="GC47" s="225">
        <f>IF(AND($GD$53=S.CAL!$P$3,$GD$52=FZ47),GE47,IF(BH47="",0,BH47))</f>
        <v>0</v>
      </c>
      <c r="GD47" s="129" t="str">
        <f>IFERROR(+Juin!$BY$2&amp;BL47&amp;BM47,0)</f>
        <v>Fiche infoA3</v>
      </c>
      <c r="GE47" s="129" t="str">
        <f t="shared" si="19"/>
        <v/>
      </c>
      <c r="GF47" s="225" t="str">
        <f t="shared" si="41"/>
        <v/>
      </c>
      <c r="GG47" s="1469" t="str">
        <f>+'Retenue Mai'!D45</f>
        <v/>
      </c>
      <c r="GH47" s="1469">
        <f>+'Retenue Mai'!BF45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45806</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45806</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infoA4</v>
      </c>
      <c r="BK48" s="129">
        <f t="shared" si="49"/>
        <v>22</v>
      </c>
      <c r="BL48" s="129" t="str">
        <f t="shared" si="4"/>
        <v>A</v>
      </c>
      <c r="BM48" s="129">
        <f>IFERROR(WEEKDAY(AB48,2),0)</f>
        <v>4</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45806</v>
      </c>
      <c r="ER48" s="767">
        <f t="shared" si="10"/>
        <v>0</v>
      </c>
      <c r="ES48" s="768">
        <f t="shared" si="11"/>
        <v>0</v>
      </c>
      <c r="ET48" s="767">
        <f t="shared" si="12"/>
        <v>0</v>
      </c>
      <c r="EU48" s="768">
        <f t="shared" si="13"/>
        <v>0</v>
      </c>
      <c r="EV48" s="767" t="str">
        <f t="shared" si="14"/>
        <v/>
      </c>
      <c r="EW48" s="769">
        <f t="shared" si="29"/>
        <v>45806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22</v>
      </c>
      <c r="GA48" s="129">
        <f t="shared" si="39"/>
        <v>2025</v>
      </c>
      <c r="GB48" s="129" t="str">
        <f t="shared" si="40"/>
        <v>222025</v>
      </c>
      <c r="GC48" s="225">
        <f>IF(AND($GD$53=S.CAL!$P$3,$GD$52=FZ48),GE48,IF(BH48="",0,BH48))</f>
        <v>0</v>
      </c>
      <c r="GD48" s="129" t="str">
        <f>IFERROR(+Juin!$BY$2&amp;BL48&amp;BM48,0)</f>
        <v>Fiche infoA4</v>
      </c>
      <c r="GE48" s="129" t="str">
        <f t="shared" si="19"/>
        <v/>
      </c>
      <c r="GF48" s="225" t="str">
        <f t="shared" si="41"/>
        <v/>
      </c>
      <c r="GG48" s="1469" t="str">
        <f>+'Retenue Mai'!D46</f>
        <v/>
      </c>
      <c r="GH48" s="1469">
        <f>+'Retenue Mai'!BF46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45807</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45807</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infoA5</v>
      </c>
      <c r="BK49" s="129">
        <f t="shared" si="49"/>
        <v>22</v>
      </c>
      <c r="BL49" s="129" t="str">
        <f t="shared" si="4"/>
        <v>A</v>
      </c>
      <c r="BM49" s="129">
        <f>IFERROR(WEEKDAY(AB49,2),0)</f>
        <v>5</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IF(CF49="",Avril!CE49,CF49)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45807</v>
      </c>
      <c r="ER49" s="767">
        <f t="shared" si="10"/>
        <v>0</v>
      </c>
      <c r="ES49" s="768">
        <f t="shared" si="11"/>
        <v>0</v>
      </c>
      <c r="ET49" s="767">
        <f t="shared" si="12"/>
        <v>0</v>
      </c>
      <c r="EU49" s="768">
        <f t="shared" si="13"/>
        <v>0</v>
      </c>
      <c r="EV49" s="767" t="str">
        <f t="shared" si="14"/>
        <v/>
      </c>
      <c r="EW49" s="769">
        <f t="shared" si="29"/>
        <v>45807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22</v>
      </c>
      <c r="GA49" s="129">
        <f t="shared" si="39"/>
        <v>2025</v>
      </c>
      <c r="GB49" s="129" t="str">
        <f t="shared" ref="GB49:GB50" si="69">+FZ49&amp;GA49</f>
        <v>222025</v>
      </c>
      <c r="GC49" s="225">
        <f>IF(AND($GD$53=S.CAL!$P$3,$GD$52=FZ49),GE49,IF(BH49="",0,BH49))</f>
        <v>0</v>
      </c>
      <c r="GD49" s="129" t="str">
        <f>IFERROR(+Juin!$BY$2&amp;BL49&amp;BM49,0)</f>
        <v>Fiche infoA5</v>
      </c>
      <c r="GE49" s="129" t="str">
        <f t="shared" si="19"/>
        <v/>
      </c>
      <c r="GF49" s="225" t="str">
        <f t="shared" ref="GF49:GF50" si="70">IF(FP49=1,GG49,AM49)</f>
        <v/>
      </c>
      <c r="GG49" s="1469" t="str">
        <f>+'Retenue Mai'!D47</f>
        <v/>
      </c>
      <c r="GH49" s="1469">
        <f>+'Retenue Mai'!BF47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45808</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f t="shared" si="22"/>
        <v>45808</v>
      </c>
      <c r="AX50" s="2097"/>
      <c r="AY50" s="332"/>
      <c r="AZ50" s="1127"/>
      <c r="BA50" s="994"/>
      <c r="BB50" s="561"/>
      <c r="BC50" s="564">
        <f t="shared" si="23"/>
        <v>0</v>
      </c>
      <c r="BD50" s="1127"/>
      <c r="BE50" s="826">
        <f t="shared" si="24"/>
        <v>0</v>
      </c>
      <c r="BF50" s="1151"/>
      <c r="BG50" s="224"/>
      <c r="BH50" s="564" t="str">
        <f t="shared" si="25"/>
        <v/>
      </c>
      <c r="BI50" s="1151"/>
      <c r="BJ50" s="129" t="str">
        <f t="shared" si="68"/>
        <v>Fiche infoA6</v>
      </c>
      <c r="BK50" s="129">
        <f t="shared" si="49"/>
        <v>22</v>
      </c>
      <c r="BL50" s="129" t="str">
        <f t="shared" si="4"/>
        <v>A</v>
      </c>
      <c r="BM50" s="129">
        <f>IFERROR(WEEKDAY(AB50,2),0)</f>
        <v>6</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45808</v>
      </c>
      <c r="ER50" s="787">
        <f t="shared" si="10"/>
        <v>0</v>
      </c>
      <c r="ES50" s="788">
        <f t="shared" si="11"/>
        <v>0</v>
      </c>
      <c r="ET50" s="787">
        <f t="shared" si="12"/>
        <v>0</v>
      </c>
      <c r="EU50" s="788">
        <f t="shared" si="13"/>
        <v>0</v>
      </c>
      <c r="EV50" s="787" t="str">
        <f t="shared" si="14"/>
        <v/>
      </c>
      <c r="EW50" s="789">
        <f t="shared" si="29"/>
        <v>45808</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22</v>
      </c>
      <c r="GA50" s="129">
        <f t="shared" si="39"/>
        <v>2025</v>
      </c>
      <c r="GB50" s="129" t="str">
        <f t="shared" si="69"/>
        <v>222025</v>
      </c>
      <c r="GC50" s="225">
        <f>IF(AND($GD$53=S.CAL!$P$3,$GD$52=FZ50),GE50,IF(BH50="",0,BH50))</f>
        <v>0</v>
      </c>
      <c r="GD50" s="129" t="str">
        <f>IFERROR(+Juin!$BY$2&amp;BL50&amp;BM50,0)</f>
        <v>Fiche infoA6</v>
      </c>
      <c r="GE50" s="129" t="str">
        <f t="shared" si="19"/>
        <v/>
      </c>
      <c r="GF50" s="225" t="str">
        <f t="shared" si="70"/>
        <v/>
      </c>
      <c r="GG50" s="1469" t="str">
        <f>+'Retenue Mai'!D48</f>
        <v/>
      </c>
      <c r="GH50" s="1469">
        <f>+'Retenue Mai'!BF48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22</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IF(CF53="",+Avril!CE53,CF53)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IF(CF54="",Avril!CE54,CF54)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IF(CF55&gt;0,CF55,IF(AND(CE53=Avril!CE53,CE54=Avril!CE54),Avril!CE55,IF(OR(CE53&lt;&gt;Avril!CE53,CE54&lt;&gt;Avril!CE54),CE53/CE54)))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Mai'!E52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+IF(BY57="",Avril!BY56,BY57)</f>
        <v>24</v>
      </c>
      <c r="BZ56" s="629" t="s">
        <v>1065</v>
      </c>
      <c r="CA56" s="632">
        <f>+IF(CA57="",Avril!CA56,CA57)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IF(CF57="",+Avril!CE57,CF57)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IF(CF58="",Avril!CE58,CF58)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+IF(CA61="",Avril!CA60,CA61)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+IF(BA65="",Avril!K67,BA65)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+IF(BA68="",Avril!K68,BA68)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E74+Avril!H74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E75+Avril!H75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Mai'!EH51=0,"",'Retenue Mai'!EH51),AX76)</f>
        <v/>
      </c>
      <c r="AZ75" s="2043"/>
      <c r="BA75" s="936" t="str">
        <f>+IF(BA76="",IF('Retenue Mai'!EF51=0,"",'Retenue Mai'!EF51),BA76)</f>
        <v/>
      </c>
      <c r="BB75" s="937"/>
      <c r="BC75" s="938" t="str">
        <f>IF(BC76="",IF(+'Retenue Mai'!EG51=0,"",'Retenue Mai'!EG51),BC76)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E76+Avril!H76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+E77+Avril!H77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IF(AR78="",+Avril!AL78,AR78)</f>
        <v>0</v>
      </c>
      <c r="AM78" s="2179"/>
      <c r="AN78" s="2179"/>
      <c r="AO78" s="2179"/>
      <c r="AQ78" s="438" t="s">
        <v>762</v>
      </c>
      <c r="AR78" s="2304"/>
      <c r="AS78" s="2304"/>
      <c r="AT78" s="2041" t="str">
        <f>IFERROR(VLOOKUP(AY78,'Liste des Libellés'!$A$4:$F$32,6,FALSE),"")</f>
        <v/>
      </c>
      <c r="AU78" s="2041"/>
      <c r="AV78" s="2041"/>
      <c r="AW78" s="2041"/>
      <c r="AX78" s="935"/>
      <c r="AY78" s="2043" t="str">
        <f>+IF(AX79="",IF('Retenue Mai'!EH53=0,"",'Retenue Mai'!EH53),AX79)</f>
        <v/>
      </c>
      <c r="AZ78" s="2043"/>
      <c r="BA78" s="936" t="str">
        <f>+IF(BA79="",IF('Retenue Mai'!EF53=0,"",'Retenue Mai'!EF53),BA79)</f>
        <v/>
      </c>
      <c r="BB78" s="937"/>
      <c r="BC78" s="938" t="str">
        <f>IF(BC79="",IF(+'Retenue Mai'!EG53=0,"",'Retenue Mai'!EG53),BC79)</f>
        <v/>
      </c>
      <c r="BD78" s="972"/>
      <c r="BE78" s="129"/>
      <c r="BF78" s="129"/>
      <c r="BG78" s="129"/>
      <c r="BH78" s="129"/>
      <c r="BI78" s="129"/>
      <c r="CA78" s="663"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2303"/>
      <c r="F80" s="2189" t="str">
        <f>+Avril!F80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06/"&amp;Identification!B60-2002&amp;" à 05/"&amp;Identification!B60-2001</f>
        <v>Année préc. de 06/23 à 05/24</v>
      </c>
      <c r="AI80" s="2047"/>
      <c r="AJ80" s="2047"/>
      <c r="AK80" s="2048"/>
      <c r="AL80" s="2046" t="str">
        <f>+"Année en cours de 06/"&amp;Identification!B60-2001&amp;" à 05/"&amp;Identification!B60-2000</f>
        <v>Année en cours de 06/24 à 05/25</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Mai'!EH55=0,"",'Retenue Mai'!EH55),AX82)</f>
        <v/>
      </c>
      <c r="AZ81" s="2043"/>
      <c r="BA81" s="936" t="str">
        <f>+IF(BA82="",IF('Retenue Mai'!EF55=0,"",'Retenue Mai'!EF55),BA82)</f>
        <v/>
      </c>
      <c r="BB81" s="937"/>
      <c r="BC81" s="938" t="str">
        <f>IF(BC82="",IF(+'Retenue Mai'!EG55=0,"",'Retenue Mai'!EG55),BC82)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Mai'!EH57=0,"",'Retenue Mai'!EH57),AX85)</f>
        <v/>
      </c>
      <c r="AZ84" s="2043"/>
      <c r="BA84" s="936" t="str">
        <f>+IF(BA85="",IF('Retenue Mai'!EF57=0,"",'Retenue Mai'!EF57),BA85)</f>
        <v/>
      </c>
      <c r="BB84" s="937"/>
      <c r="BC84" s="938" t="str">
        <f>IF(BC85="",IF(+'Retenue Mai'!EG57=0,"",'Retenue Mai'!EG57),BC85)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Avril!F86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IF(AR86="",+Avril!AH86,AR86)</f>
        <v>0</v>
      </c>
      <c r="AI86" s="1732"/>
      <c r="AJ86" s="1732"/>
      <c r="AK86" s="1733"/>
      <c r="AL86" s="1731">
        <f>IF(AS86="",IF(DP8=52,+EI29+Avril!AL86,+EI25+Avril!AL86),IF(DP8=52,+EI29+Avril!AL86+AS86,+EI25+Avril!AL86+AT86))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45808</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+Avril!AH87</f>
        <v>0</v>
      </c>
      <c r="AI87" s="1732"/>
      <c r="AJ87" s="1732"/>
      <c r="AK87" s="1733"/>
      <c r="AL87" s="1731">
        <f>+IF(AND(T32&gt;0,(CE5=DATE(YEAR(Identification!B61),5,31))),Juin!AH87,0)</f>
        <v>0</v>
      </c>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+Avril!AH89+Avril!AH90</f>
        <v>0</v>
      </c>
      <c r="AI89" s="1732"/>
      <c r="AJ89" s="1732"/>
      <c r="AK89" s="1733"/>
      <c r="AL89" s="1731">
        <f>+Avril!AL89+Avril!AL90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+DATE(YEAR(X3)-1,5,31)</f>
        <v>45443</v>
      </c>
      <c r="E99" s="2298"/>
      <c r="F99" s="2298"/>
      <c r="G99" s="2299">
        <f>+Avril!G99</f>
        <v>0</v>
      </c>
      <c r="H99" s="1890"/>
      <c r="I99" s="189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+Avril!G100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Z107" s="1472" t="str">
        <f>+$BG$9</f>
        <v>182025</v>
      </c>
      <c r="BA107" s="1473">
        <f>+$AT$4</f>
        <v>18</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192025</v>
      </c>
      <c r="BA108" s="1478">
        <f>+$AT$5</f>
        <v>19</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202025</v>
      </c>
      <c r="BA109" s="1478">
        <f>+$AT$6</f>
        <v>20</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212025</v>
      </c>
      <c r="BA110" s="1478">
        <f>+$AT$7</f>
        <v>21</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222025</v>
      </c>
      <c r="BA111" s="1478">
        <f>+$AT$8</f>
        <v>22</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2"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182025</v>
      </c>
      <c r="BA142" s="1473">
        <f>+$AT$4</f>
        <v>18</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192025</v>
      </c>
      <c r="BA143" s="1478">
        <f>+$AT$5</f>
        <v>19</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202025</v>
      </c>
      <c r="BA144" s="1478">
        <f>+$AT$6</f>
        <v>20</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212025</v>
      </c>
      <c r="BA145" s="1478">
        <f>+$AT$7</f>
        <v>21</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222025</v>
      </c>
      <c r="BA146" s="1478">
        <f>+$AT$8</f>
        <v>22</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WQix6D7n781sNdDy3EmXPvCgWAhOqjUjRJxRUckZi4mVZLIYeZccSloWtLCenEZ2IaLArVyf3JjiQ0XeKBXbMw==" saltValue="su6yrK77kQgrkreeEe2gkg=="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3488" priority="16">
      <formula>$U$14=0</formula>
    </cfRule>
  </conditionalFormatting>
  <conditionalFormatting sqref="B26:K26">
    <cfRule type="expression" dxfId="3487" priority="26">
      <formula>$U$14=0</formula>
    </cfRule>
  </conditionalFormatting>
  <conditionalFormatting sqref="B29:K29">
    <cfRule type="cellIs" dxfId="3486" priority="13" operator="greaterThan">
      <formula>0</formula>
    </cfRule>
  </conditionalFormatting>
  <conditionalFormatting sqref="C70:G70">
    <cfRule type="cellIs" dxfId="3485" priority="7" operator="greaterThan">
      <formula>0</formula>
    </cfRule>
  </conditionalFormatting>
  <conditionalFormatting sqref="F87:I87">
    <cfRule type="cellIs" dxfId="3484" priority="2" operator="greaterThan">
      <formula>0</formula>
    </cfRule>
  </conditionalFormatting>
  <conditionalFormatting sqref="F86:L86">
    <cfRule type="cellIs" dxfId="3483" priority="3" operator="greaterThan">
      <formula>0</formula>
    </cfRule>
  </conditionalFormatting>
  <conditionalFormatting sqref="H65:J65">
    <cfRule type="expression" dxfId="3482" priority="38">
      <formula>AND($AX$60="Oui",$AZ$62="")</formula>
    </cfRule>
    <cfRule type="expression" dxfId="3481" priority="40">
      <formula>AND($AX$60="Oui",$AZ$62="hrs")</formula>
    </cfRule>
  </conditionalFormatting>
  <conditionalFormatting sqref="H66:J66">
    <cfRule type="expression" dxfId="3480" priority="36">
      <formula>AND($BW$41="Non",$AX$61="Non")</formula>
    </cfRule>
    <cfRule type="expression" dxfId="3479" priority="35">
      <formula>AND($AX$61="Oui",$AZ$63="jrs")</formula>
    </cfRule>
    <cfRule type="expression" dxfId="3478" priority="37">
      <formula>AND($BW$41="Oui",$AX$61="Non")</formula>
    </cfRule>
    <cfRule type="expression" dxfId="3477" priority="34">
      <formula>AND($AX$61="Oui",$AZ$63="")</formula>
    </cfRule>
  </conditionalFormatting>
  <conditionalFormatting sqref="H70:J71">
    <cfRule type="cellIs" dxfId="3476" priority="6" operator="greaterThan">
      <formula>0</formula>
    </cfRule>
  </conditionalFormatting>
  <conditionalFormatting sqref="H65:K66">
    <cfRule type="cellIs" dxfId="3475" priority="33" operator="equal">
      <formula>0</formula>
    </cfRule>
  </conditionalFormatting>
  <conditionalFormatting sqref="H67:M68">
    <cfRule type="cellIs" dxfId="3474" priority="54" operator="equal">
      <formula>0</formula>
    </cfRule>
  </conditionalFormatting>
  <conditionalFormatting sqref="H69:M69">
    <cfRule type="cellIs" dxfId="3473" priority="8" operator="greaterThan">
      <formula>0</formula>
    </cfRule>
  </conditionalFormatting>
  <conditionalFormatting sqref="H40:Z60">
    <cfRule type="cellIs" dxfId="3472" priority="32" operator="equal">
      <formula>0</formula>
    </cfRule>
  </conditionalFormatting>
  <conditionalFormatting sqref="K81:K82 L82:T83 K88:T88 K89:Q90">
    <cfRule type="expression" dxfId="3471" priority="517">
      <formula>$EO$6="OUI"</formula>
    </cfRule>
  </conditionalFormatting>
  <conditionalFormatting sqref="K87">
    <cfRule type="expression" dxfId="3470" priority="4">
      <formula>$EO$6="OUI"</formula>
    </cfRule>
  </conditionalFormatting>
  <conditionalFormatting sqref="L18:O19">
    <cfRule type="cellIs" dxfId="3469" priority="20" operator="equal">
      <formula>0</formula>
    </cfRule>
  </conditionalFormatting>
  <conditionalFormatting sqref="L21:O22">
    <cfRule type="cellIs" dxfId="3468" priority="31" operator="equal">
      <formula>0</formula>
    </cfRule>
  </conditionalFormatting>
  <conditionalFormatting sqref="L27:O28">
    <cfRule type="cellIs" dxfId="3467" priority="14" operator="greaterThan">
      <formula>0</formula>
    </cfRule>
  </conditionalFormatting>
  <conditionalFormatting sqref="L30:O32">
    <cfRule type="cellIs" dxfId="3466" priority="12" operator="greaterThan">
      <formula>0</formula>
    </cfRule>
  </conditionalFormatting>
  <conditionalFormatting sqref="L34:O34">
    <cfRule type="cellIs" dxfId="3465" priority="10" operator="greaterThan">
      <formula>0</formula>
    </cfRule>
  </conditionalFormatting>
  <conditionalFormatting sqref="L23:S24">
    <cfRule type="cellIs" dxfId="3464" priority="15" operator="greaterThan">
      <formula>0</formula>
    </cfRule>
  </conditionalFormatting>
  <conditionalFormatting sqref="L25:S26">
    <cfRule type="containsErrors" dxfId="3463" priority="24">
      <formula>ISERROR(L25)</formula>
    </cfRule>
    <cfRule type="cellIs" dxfId="3462" priority="25" operator="equal">
      <formula>0</formula>
    </cfRule>
  </conditionalFormatting>
  <conditionalFormatting sqref="M87:T87">
    <cfRule type="expression" dxfId="3461" priority="514">
      <formula>$EO$6="OUI"</formula>
    </cfRule>
  </conditionalFormatting>
  <conditionalFormatting sqref="N65:P71">
    <cfRule type="cellIs" dxfId="3460" priority="60" operator="equal">
      <formula>0</formula>
    </cfRule>
  </conditionalFormatting>
  <conditionalFormatting sqref="O86">
    <cfRule type="expression" dxfId="3459" priority="518">
      <formula>EO6="OUI"</formula>
    </cfRule>
  </conditionalFormatting>
  <conditionalFormatting sqref="O14:T14">
    <cfRule type="expression" dxfId="3458" priority="213">
      <formula>$U$14=0</formula>
    </cfRule>
  </conditionalFormatting>
  <conditionalFormatting sqref="P20">
    <cfRule type="expression" dxfId="3457" priority="17">
      <formula>$DP$14=1</formula>
    </cfRule>
  </conditionalFormatting>
  <conditionalFormatting sqref="P18:S18">
    <cfRule type="expression" dxfId="3456" priority="21">
      <formula>$L$18=0</formula>
    </cfRule>
  </conditionalFormatting>
  <conditionalFormatting sqref="P19:S19">
    <cfRule type="expression" dxfId="3455" priority="19">
      <formula>$L$19=0</formula>
    </cfRule>
  </conditionalFormatting>
  <conditionalFormatting sqref="P21:S21">
    <cfRule type="expression" dxfId="3454" priority="30">
      <formula>$L$21=0</formula>
    </cfRule>
  </conditionalFormatting>
  <conditionalFormatting sqref="P22:S22">
    <cfRule type="expression" dxfId="3453" priority="29">
      <formula>$L$22=0</formula>
    </cfRule>
  </conditionalFormatting>
  <conditionalFormatting sqref="R87:T87">
    <cfRule type="expression" dxfId="3452" priority="513">
      <formula>$EO$7="OUI"</formula>
    </cfRule>
  </conditionalFormatting>
  <conditionalFormatting sqref="R89:T89">
    <cfRule type="expression" dxfId="3451" priority="508">
      <formula>$EO$8="OUI"</formula>
    </cfRule>
    <cfRule type="expression" dxfId="3450" priority="509">
      <formula>$EO$6="OUI"</formula>
    </cfRule>
  </conditionalFormatting>
  <conditionalFormatting sqref="R90:T90">
    <cfRule type="expression" dxfId="3449" priority="515">
      <formula>$EO$7="OUI"</formula>
    </cfRule>
    <cfRule type="expression" dxfId="3448" priority="516">
      <formula>$EO$6="OUI"</formula>
    </cfRule>
  </conditionalFormatting>
  <conditionalFormatting sqref="T20">
    <cfRule type="expression" dxfId="3447" priority="18">
      <formula>$DP$14=1</formula>
    </cfRule>
  </conditionalFormatting>
  <conditionalFormatting sqref="T30:T32">
    <cfRule type="cellIs" dxfId="3446" priority="28" operator="equal">
      <formula>0</formula>
    </cfRule>
  </conditionalFormatting>
  <conditionalFormatting sqref="T18:W19">
    <cfRule type="cellIs" dxfId="3445" priority="22" operator="equal">
      <formula>0</formula>
    </cfRule>
  </conditionalFormatting>
  <conditionalFormatting sqref="T21:W28">
    <cfRule type="cellIs" dxfId="3444" priority="27" operator="equal">
      <formula>0</formula>
    </cfRule>
  </conditionalFormatting>
  <conditionalFormatting sqref="T29:W29">
    <cfRule type="cellIs" dxfId="3443" priority="11" operator="greaterThan">
      <formula>0</formula>
    </cfRule>
  </conditionalFormatting>
  <conditionalFormatting sqref="T33:W33">
    <cfRule type="cellIs" dxfId="3442" priority="9" operator="greaterThan">
      <formula>0</formula>
    </cfRule>
  </conditionalFormatting>
  <conditionalFormatting sqref="T34:W34">
    <cfRule type="cellIs" dxfId="3441" priority="23" operator="equal">
      <formula>0</formula>
    </cfRule>
  </conditionalFormatting>
  <conditionalFormatting sqref="U14:X14">
    <cfRule type="cellIs" dxfId="3440" priority="211" operator="equal">
      <formula>0</formula>
    </cfRule>
  </conditionalFormatting>
  <conditionalFormatting sqref="V80:AF81">
    <cfRule type="cellIs" dxfId="3439" priority="1" operator="notEqual">
      <formula>"Commentaires :"</formula>
    </cfRule>
  </conditionalFormatting>
  <conditionalFormatting sqref="Y73:AO75">
    <cfRule type="expression" dxfId="3438" priority="64">
      <formula>$DP$8=52</formula>
    </cfRule>
  </conditionalFormatting>
  <conditionalFormatting sqref="AB20:AC50">
    <cfRule type="expression" dxfId="3437" priority="430">
      <formula>WEEKDAY(AB20,2)=7</formula>
    </cfRule>
    <cfRule type="expression" dxfId="3436" priority="431">
      <formula>OR(WEEKDAY(AB20,2)=6,WEEKDAY(AB20,2)=7)</formula>
    </cfRule>
    <cfRule type="expression" dxfId="3435" priority="432">
      <formula>VLOOKUP(AB20,base_feries,1,FALSE)</formula>
    </cfRule>
  </conditionalFormatting>
  <conditionalFormatting sqref="AD20:AF50">
    <cfRule type="cellIs" dxfId="3434" priority="302" operator="equal">
      <formula>0</formula>
    </cfRule>
    <cfRule type="expression" dxfId="3433" priority="301">
      <formula>FC20="oui"</formula>
    </cfRule>
  </conditionalFormatting>
  <conditionalFormatting sqref="AG20:AI50">
    <cfRule type="expression" dxfId="3432" priority="303">
      <formula>FC20="oui"</formula>
    </cfRule>
  </conditionalFormatting>
  <conditionalFormatting sqref="AH83:AH84">
    <cfRule type="cellIs" dxfId="3431" priority="526" stopIfTrue="1" operator="equal">
      <formula>0</formula>
    </cfRule>
  </conditionalFormatting>
  <conditionalFormatting sqref="AH89:AH91">
    <cfRule type="cellIs" dxfId="3430" priority="70" stopIfTrue="1" operator="equal">
      <formula>0</formula>
    </cfRule>
  </conditionalFormatting>
  <conditionalFormatting sqref="AH93:AK93">
    <cfRule type="cellIs" dxfId="3429" priority="519" operator="equal">
      <formula>0</formula>
    </cfRule>
  </conditionalFormatting>
  <conditionalFormatting sqref="AH86:AL87">
    <cfRule type="cellIs" dxfId="3428" priority="65" stopIfTrue="1" operator="equal">
      <formula>0</formula>
    </cfRule>
  </conditionalFormatting>
  <conditionalFormatting sqref="AH92:AO92">
    <cfRule type="cellIs" dxfId="3427" priority="243" operator="lessThan">
      <formula>-0.001</formula>
    </cfRule>
  </conditionalFormatting>
  <conditionalFormatting sqref="AJ20:AL50">
    <cfRule type="expression" dxfId="3426" priority="304">
      <formula>FC20="oui"</formula>
    </cfRule>
  </conditionalFormatting>
  <conditionalFormatting sqref="AL83">
    <cfRule type="cellIs" dxfId="3425" priority="525" stopIfTrue="1" operator="equal">
      <formula>0</formula>
    </cfRule>
  </conditionalFormatting>
  <conditionalFormatting sqref="AL89:AL91">
    <cfRule type="cellIs" dxfId="3424" priority="69" stopIfTrue="1" operator="equal">
      <formula>0</formula>
    </cfRule>
  </conditionalFormatting>
  <conditionalFormatting sqref="AL93">
    <cfRule type="cellIs" dxfId="3423" priority="527" stopIfTrue="1" operator="equal">
      <formula>0</formula>
    </cfRule>
  </conditionalFormatting>
  <conditionalFormatting sqref="AM20:AO50">
    <cfRule type="expression" dxfId="3422" priority="305">
      <formula>FC20="oui"</formula>
    </cfRule>
  </conditionalFormatting>
  <conditionalFormatting sqref="AP20:AP50">
    <cfRule type="expression" dxfId="3421" priority="151">
      <formula>BL20="E"</formula>
    </cfRule>
    <cfRule type="expression" dxfId="3420" priority="154">
      <formula>BL20="B"</formula>
    </cfRule>
    <cfRule type="expression" dxfId="3419" priority="153">
      <formula>BL20="C"</formula>
    </cfRule>
    <cfRule type="expression" dxfId="3418" priority="152">
      <formula>BL20="D"</formula>
    </cfRule>
    <cfRule type="expression" dxfId="3417" priority="148">
      <formula>BL20="H"</formula>
    </cfRule>
    <cfRule type="expression" dxfId="3416" priority="149">
      <formula>BL20="G"</formula>
    </cfRule>
    <cfRule type="expression" dxfId="3415" priority="150">
      <formula>BL20="F"</formula>
    </cfRule>
  </conditionalFormatting>
  <conditionalFormatting sqref="AQ62:AU62">
    <cfRule type="expression" dxfId="3414" priority="46">
      <formula>$AT$60="Non"</formula>
    </cfRule>
  </conditionalFormatting>
  <conditionalFormatting sqref="AQ63:AU63">
    <cfRule type="expression" dxfId="3413" priority="43">
      <formula>$AT$61="Non"</formula>
    </cfRule>
  </conditionalFormatting>
  <conditionalFormatting sqref="AR20:AR50">
    <cfRule type="expression" dxfId="3412" priority="189">
      <formula>FN20=10</formula>
    </cfRule>
    <cfRule type="expression" dxfId="3411" priority="193">
      <formula>AND(AR20&lt;&gt;"",AZ20&lt;&gt;"")</formula>
    </cfRule>
    <cfRule type="expression" dxfId="3410" priority="185">
      <formula>FC20="oui"</formula>
    </cfRule>
    <cfRule type="expression" dxfId="3409" priority="177">
      <formula>AB20=""</formula>
    </cfRule>
  </conditionalFormatting>
  <conditionalFormatting sqref="AR17:BJ50">
    <cfRule type="expression" dxfId="3408" priority="49">
      <formula>$EX$13="oui"</formula>
    </cfRule>
  </conditionalFormatting>
  <conditionalFormatting sqref="AS51:BJ51 DK51">
    <cfRule type="expression" dxfId="3407" priority="138">
      <formula>$EX$13="oui"</formula>
    </cfRule>
  </conditionalFormatting>
  <conditionalFormatting sqref="AT4:AT10">
    <cfRule type="expression" dxfId="3406" priority="447">
      <formula>AU4="H"</formula>
    </cfRule>
    <cfRule type="expression" dxfId="3405" priority="448">
      <formula>AU4="G"</formula>
    </cfRule>
    <cfRule type="expression" dxfId="3404" priority="449">
      <formula>AU4="F"</formula>
    </cfRule>
    <cfRule type="expression" dxfId="3403" priority="450">
      <formula>AU4="E"</formula>
    </cfRule>
    <cfRule type="expression" dxfId="3402" priority="451">
      <formula>AU4="D"</formula>
    </cfRule>
    <cfRule type="expression" dxfId="3401" priority="453">
      <formula>AU4="B"</formula>
    </cfRule>
    <cfRule type="expression" dxfId="3400" priority="452">
      <formula>AU4="C"</formula>
    </cfRule>
  </conditionalFormatting>
  <conditionalFormatting sqref="AT20:AT50">
    <cfRule type="expression" dxfId="3399" priority="188">
      <formula>FC20="oui"</formula>
    </cfRule>
    <cfRule type="expression" dxfId="3398" priority="184">
      <formula>AB20=""</formula>
    </cfRule>
  </conditionalFormatting>
  <conditionalFormatting sqref="AU4:AU10">
    <cfRule type="expression" dxfId="3397" priority="382">
      <formula>AT4=""</formula>
    </cfRule>
    <cfRule type="expression" dxfId="3396" priority="383">
      <formula>FG4="rouge"</formula>
    </cfRule>
  </conditionalFormatting>
  <conditionalFormatting sqref="AU20:AU50">
    <cfRule type="expression" dxfId="3395" priority="192">
      <formula>FC20="oui"</formula>
    </cfRule>
    <cfRule type="expression" dxfId="3394" priority="183">
      <formula>AB20=""</formula>
    </cfRule>
  </conditionalFormatting>
  <conditionalFormatting sqref="AW20:AX50">
    <cfRule type="expression" dxfId="3393" priority="197">
      <formula>VLOOKUP(AW20,base_feries,1,FALSE)</formula>
    </cfRule>
    <cfRule type="expression" dxfId="3392" priority="196">
      <formula>OR(WEEKDAY(AW20,2)=6,WEEKDAY(AW20,2)=7)</formula>
    </cfRule>
    <cfRule type="expression" dxfId="3391" priority="195">
      <formula>WEEKDAY(AW20,2)=7</formula>
    </cfRule>
  </conditionalFormatting>
  <conditionalFormatting sqref="AX62:AZ62">
    <cfRule type="expression" dxfId="3390" priority="45">
      <formula>$AX$60="Non"</formula>
    </cfRule>
  </conditionalFormatting>
  <conditionalFormatting sqref="AX63:AZ63">
    <cfRule type="expression" dxfId="3389" priority="42">
      <formula>$AX$61="Non"</formula>
    </cfRule>
  </conditionalFormatting>
  <conditionalFormatting sqref="AZ20:AZ50">
    <cfRule type="expression" dxfId="3388" priority="50">
      <formula>AB20=""</formula>
    </cfRule>
    <cfRule type="expression" dxfId="3387" priority="53">
      <formula>AND(AR20&lt;&gt;"",AZ20&lt;&gt;"")</formula>
    </cfRule>
    <cfRule type="expression" dxfId="3386" priority="52">
      <formula>FL20=10</formula>
    </cfRule>
    <cfRule type="expression" dxfId="3385" priority="51">
      <formula>FC20="oui"</formula>
    </cfRule>
  </conditionalFormatting>
  <conditionalFormatting sqref="BA20:BA50">
    <cfRule type="expression" dxfId="3384" priority="186">
      <formula>FC20="oui"</formula>
    </cfRule>
    <cfRule type="expression" dxfId="3383" priority="182">
      <formula>AB20=""</formula>
    </cfRule>
  </conditionalFormatting>
  <conditionalFormatting sqref="BA62">
    <cfRule type="expression" dxfId="3382" priority="44">
      <formula>$BA$60="Non"</formula>
    </cfRule>
  </conditionalFormatting>
  <conditionalFormatting sqref="BA63">
    <cfRule type="expression" dxfId="3381" priority="41">
      <formula>$BA$61="Non"</formula>
    </cfRule>
  </conditionalFormatting>
  <conditionalFormatting sqref="BA102 BA103:BH115">
    <cfRule type="expression" dxfId="3380" priority="99">
      <formula>$DP$8=52</formula>
    </cfRule>
  </conditionalFormatting>
  <conditionalFormatting sqref="BA137">
    <cfRule type="expression" dxfId="3379" priority="68">
      <formula>$DP$8=52</formula>
    </cfRule>
  </conditionalFormatting>
  <conditionalFormatting sqref="BA138:BH149">
    <cfRule type="expression" dxfId="3378" priority="66">
      <formula>$DP$8=52</formula>
    </cfRule>
  </conditionalFormatting>
  <conditionalFormatting sqref="BC20:BC55">
    <cfRule type="cellIs" dxfId="3377" priority="191" operator="equal">
      <formula>0</formula>
    </cfRule>
    <cfRule type="expression" dxfId="3376" priority="179">
      <formula>AJ20=""</formula>
    </cfRule>
  </conditionalFormatting>
  <conditionalFormatting sqref="BC112:BH112">
    <cfRule type="expression" dxfId="3375" priority="98">
      <formula>$BA$112=""</formula>
    </cfRule>
  </conditionalFormatting>
  <conditionalFormatting sqref="BC147:BH147">
    <cfRule type="expression" dxfId="3374" priority="67">
      <formula>$BA$112=""</formula>
    </cfRule>
  </conditionalFormatting>
  <conditionalFormatting sqref="BD20:BD50">
    <cfRule type="expression" dxfId="3373" priority="180">
      <formula>FL20="oui"</formula>
    </cfRule>
  </conditionalFormatting>
  <conditionalFormatting sqref="BE20:BE50">
    <cfRule type="expression" dxfId="3372" priority="190">
      <formula>OR(BE20=0,BE20="")</formula>
    </cfRule>
  </conditionalFormatting>
  <conditionalFormatting sqref="BH20:BH50">
    <cfRule type="expression" dxfId="3371" priority="139">
      <formula>AO20=""</formula>
    </cfRule>
    <cfRule type="cellIs" dxfId="3370" priority="176" operator="equal">
      <formula>0</formula>
    </cfRule>
  </conditionalFormatting>
  <conditionalFormatting sqref="BI9:BI14">
    <cfRule type="cellIs" dxfId="3369" priority="105" operator="equal">
      <formula>0</formula>
    </cfRule>
  </conditionalFormatting>
  <conditionalFormatting sqref="BQ54">
    <cfRule type="expression" dxfId="3368" priority="427">
      <formula>$BW$41="Non"</formula>
    </cfRule>
  </conditionalFormatting>
  <conditionalFormatting sqref="BQ36:CA36">
    <cfRule type="expression" dxfId="3367" priority="428">
      <formula>$BW$41="Oui"</formula>
    </cfRule>
  </conditionalFormatting>
  <conditionalFormatting sqref="BS21:CA34">
    <cfRule type="expression" dxfId="3366" priority="85">
      <formula>$EO$12="NON"</formula>
    </cfRule>
  </conditionalFormatting>
  <conditionalFormatting sqref="BY28:BY33">
    <cfRule type="notContainsBlanks" dxfId="3365" priority="86">
      <formula>LEN(TRIM(BY28))&gt;0</formula>
    </cfRule>
  </conditionalFormatting>
  <conditionalFormatting sqref="BY56">
    <cfRule type="duplicateValues" dxfId="3364" priority="476"/>
    <cfRule type="expression" dxfId="3363" priority="475">
      <formula>$BW$41="Oui"</formula>
    </cfRule>
  </conditionalFormatting>
  <conditionalFormatting sqref="BY60">
    <cfRule type="expression" dxfId="3362" priority="469">
      <formula>$BW$41="Oui"</formula>
    </cfRule>
    <cfRule type="cellIs" dxfId="3361" priority="470" operator="lessThan">
      <formula>$BY$59</formula>
    </cfRule>
    <cfRule type="duplicateValues" dxfId="3360" priority="471"/>
  </conditionalFormatting>
  <conditionalFormatting sqref="CA56">
    <cfRule type="expression" dxfId="3359" priority="278">
      <formula>AND($CA$56&lt;$CE$47,$BW$41="Non")</formula>
    </cfRule>
  </conditionalFormatting>
  <conditionalFormatting sqref="CB78">
    <cfRule type="cellIs" dxfId="3358" priority="566" stopIfTrue="1" operator="equal">
      <formula>"NON"</formula>
    </cfRule>
    <cfRule type="cellIs" dxfId="3357" priority="567" stopIfTrue="1" operator="equal">
      <formula>"OUI"</formula>
    </cfRule>
  </conditionalFormatting>
  <conditionalFormatting sqref="CE53:CE54">
    <cfRule type="expression" dxfId="3356" priority="157">
      <formula>$BW$41="Non"</formula>
    </cfRule>
  </conditionalFormatting>
  <conditionalFormatting sqref="CE57:CE58">
    <cfRule type="expression" dxfId="3355" priority="156">
      <formula>$BW$41="Non"</formula>
    </cfRule>
  </conditionalFormatting>
  <conditionalFormatting sqref="CE3:CF3">
    <cfRule type="expression" dxfId="3354" priority="118">
      <formula>$CD$3=""</formula>
    </cfRule>
    <cfRule type="expression" dxfId="3353" priority="117">
      <formula>AND($CE$3="",$CE$5&lt;&gt;"")</formula>
    </cfRule>
    <cfRule type="expression" dxfId="3352" priority="116">
      <formula>$FX$3="vrai"</formula>
    </cfRule>
  </conditionalFormatting>
  <conditionalFormatting sqref="CE5:CF5">
    <cfRule type="expression" dxfId="3351" priority="125">
      <formula>OR(AND(CE5&lt;&gt;0,CE5&lt;AJ4),AND(CE5&lt;&gt;0,CE5&gt;EG5),AND(CE5&lt;&gt;0,CE5&lt;AB20))</formula>
    </cfRule>
    <cfRule type="expression" dxfId="3350" priority="124">
      <formula>CD5=""</formula>
    </cfRule>
    <cfRule type="expression" dxfId="3349" priority="123">
      <formula>$FX$5="vrai"</formula>
    </cfRule>
  </conditionalFormatting>
  <conditionalFormatting sqref="CE8:CF8">
    <cfRule type="cellIs" dxfId="3348" priority="122" operator="greaterThan">
      <formula>$CE$5</formula>
    </cfRule>
    <cfRule type="expression" dxfId="3347" priority="121">
      <formula>AND(CE8&lt;&gt;0,CE8&lt;AJ4)</formula>
    </cfRule>
    <cfRule type="expression" dxfId="3346" priority="120">
      <formula>CD8=""</formula>
    </cfRule>
    <cfRule type="expression" dxfId="3345" priority="119">
      <formula>$FX$8="vrai"</formula>
    </cfRule>
  </conditionalFormatting>
  <conditionalFormatting sqref="CF47">
    <cfRule type="notContainsBlanks" dxfId="3344" priority="414">
      <formula>LEN(TRIM(CF47))&gt;0</formula>
    </cfRule>
  </conditionalFormatting>
  <conditionalFormatting sqref="CF49">
    <cfRule type="notContainsBlanks" dxfId="3343" priority="413">
      <formula>LEN(TRIM(CF49))&gt;0</formula>
    </cfRule>
  </conditionalFormatting>
  <conditionalFormatting sqref="CF53:CF54">
    <cfRule type="expression" dxfId="3342" priority="160">
      <formula>$BW$41="Non"</formula>
    </cfRule>
  </conditionalFormatting>
  <conditionalFormatting sqref="CF57:CF58">
    <cfRule type="expression" dxfId="3341" priority="158">
      <formula>$BW$41="Non"</formula>
    </cfRule>
  </conditionalFormatting>
  <conditionalFormatting sqref="CG8:CI8">
    <cfRule type="expression" dxfId="3340" priority="252">
      <formula>CD8=""</formula>
    </cfRule>
  </conditionalFormatting>
  <conditionalFormatting sqref="GW16:HR16">
    <cfRule type="expression" dxfId="3339" priority="404">
      <formula>$AE$123="NON"</formula>
    </cfRule>
  </conditionalFormatting>
  <conditionalFormatting sqref="HG16:HJ16">
    <cfRule type="expression" dxfId="3338" priority="4939">
      <formula>AR123&gt;0</formula>
    </cfRule>
  </conditionalFormatting>
  <conditionalFormatting sqref="HK16:HN16">
    <cfRule type="expression" dxfId="3337" priority="494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9"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1"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5"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O113"/>
  <sheetViews>
    <sheetView showGridLines="0" zoomScale="90" zoomScaleNormal="90" workbookViewId="0">
      <selection sqref="A1:H1"/>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7" width="11.42578125" style="16"/>
    <col min="18" max="67" width="11.42578125" style="16" hidden="1" customWidth="1"/>
    <col min="68" max="78" width="11.42578125" style="16" customWidth="1"/>
    <col min="79" max="16384" width="11.42578125" style="16"/>
  </cols>
  <sheetData>
    <row r="1" spans="1:55" ht="54.75" customHeight="1" x14ac:dyDescent="0.2">
      <c r="A1" s="2335"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35"/>
      <c r="C1" s="2335"/>
      <c r="D1" s="2335"/>
      <c r="E1" s="2335"/>
      <c r="F1" s="2335"/>
      <c r="G1" s="2335"/>
      <c r="H1" s="2335"/>
      <c r="I1" s="2332" t="str">
        <f>+IF(AND(Identification!B95&lt;=I6,Identification!B95&gt;I4),U1,"")</f>
        <v/>
      </c>
      <c r="J1" s="2332"/>
      <c r="K1" s="2332"/>
      <c r="L1" s="2332"/>
      <c r="M1" s="2332"/>
      <c r="N1" s="2332"/>
      <c r="O1" s="24" t="str">
        <f>+IF(AND(Identification!B95&lt;=I6,Identification!B95&gt;I4),"faux","")</f>
        <v/>
      </c>
      <c r="Q1" s="395"/>
      <c r="R1" s="395"/>
      <c r="S1" s="395" t="s">
        <v>681</v>
      </c>
      <c r="T1" s="395"/>
      <c r="U1" s="1036" t="s">
        <v>1437</v>
      </c>
      <c r="BA1" s="29" t="s">
        <v>1214</v>
      </c>
      <c r="BB1" s="16" t="str">
        <f>'Fiche info'!W31</f>
        <v>NON</v>
      </c>
    </row>
    <row r="2" spans="1:55" x14ac:dyDescent="0.2">
      <c r="C2" s="2333" t="s">
        <v>1457</v>
      </c>
      <c r="D2" s="2333"/>
      <c r="E2" s="2333"/>
      <c r="F2" s="2333"/>
      <c r="G2" s="2333"/>
      <c r="H2" s="2333"/>
      <c r="K2" s="25" t="s">
        <v>667</v>
      </c>
      <c r="L2" s="25"/>
      <c r="Q2" s="395"/>
      <c r="R2" s="395"/>
      <c r="S2" s="395" t="str">
        <f t="shared" ref="S2:S13" si="0">+IF(AND(A48&lt;&gt;"Hors période",B48=0),"JAUNE","NON")</f>
        <v>JAUNE</v>
      </c>
      <c r="T2" s="395"/>
      <c r="U2" s="395"/>
      <c r="BA2" s="29" t="s">
        <v>1337</v>
      </c>
      <c r="BB2" s="30">
        <f>+DATE(YEAR(Identification!B61)-1,4,30)</f>
        <v>45412</v>
      </c>
      <c r="BC2" s="16">
        <f>+DATEDIF(Identification!B49,BB2,"Y")</f>
        <v>124</v>
      </c>
    </row>
    <row r="3" spans="1:55" x14ac:dyDescent="0.2">
      <c r="C3" s="26"/>
      <c r="D3" s="27"/>
      <c r="E3" s="27"/>
      <c r="F3" s="27"/>
      <c r="G3" s="27"/>
      <c r="H3" s="27"/>
      <c r="Q3" s="395"/>
      <c r="R3" s="395"/>
      <c r="S3" s="395" t="str">
        <f t="shared" si="0"/>
        <v>JAUNE</v>
      </c>
      <c r="T3" s="395"/>
      <c r="U3" s="395"/>
      <c r="BA3" s="29" t="s">
        <v>1338</v>
      </c>
      <c r="BB3" s="16" t="str">
        <f>+IF(BC2&lt;21,"OUI","NON")</f>
        <v>NON</v>
      </c>
    </row>
    <row r="4" spans="1:55" x14ac:dyDescent="0.2">
      <c r="A4" s="16" t="s">
        <v>605</v>
      </c>
      <c r="B4" s="2334" t="str">
        <f>"Du "&amp;TEXT(AB6,"jj/mm/aaaa")&amp;" au "&amp;TEXT(AC6,"jj/mm/aaaa")</f>
        <v>Du 01/06/2024 au 31/05/2025</v>
      </c>
      <c r="C4" s="2334"/>
      <c r="D4" s="2334"/>
      <c r="H4" s="29" t="s">
        <v>8</v>
      </c>
      <c r="I4" s="30">
        <f>+Identification!B28</f>
        <v>0</v>
      </c>
      <c r="Q4" s="395"/>
      <c r="R4" s="395"/>
      <c r="S4" s="395" t="str">
        <f t="shared" si="0"/>
        <v>JAUNE</v>
      </c>
      <c r="T4" s="395"/>
      <c r="U4" s="395"/>
      <c r="AB4" s="24"/>
      <c r="AC4" s="30">
        <f>+DATE(YEAR(AC6),6,1)</f>
        <v>45809</v>
      </c>
      <c r="AD4" s="395"/>
      <c r="BA4" s="29"/>
    </row>
    <row r="5" spans="1:55" x14ac:dyDescent="0.2">
      <c r="A5" s="16" t="s">
        <v>29</v>
      </c>
      <c r="B5" s="2321">
        <f>+Identification!B25</f>
        <v>0</v>
      </c>
      <c r="C5" s="2321"/>
      <c r="D5" s="2321"/>
      <c r="Q5" s="395"/>
      <c r="R5" s="395"/>
      <c r="S5" s="395" t="str">
        <f t="shared" si="0"/>
        <v>JAUNE</v>
      </c>
      <c r="T5" s="395"/>
      <c r="U5" s="395"/>
      <c r="AA5" s="16" t="s">
        <v>606</v>
      </c>
      <c r="AB5" s="27" t="s">
        <v>608</v>
      </c>
      <c r="AC5" s="27" t="s">
        <v>607</v>
      </c>
    </row>
    <row r="6" spans="1:55" x14ac:dyDescent="0.2">
      <c r="E6" s="27" t="s">
        <v>613</v>
      </c>
      <c r="H6" s="29" t="s">
        <v>629</v>
      </c>
      <c r="I6" s="79">
        <f>+DATE(YEAR(Identification!B61),5,31)</f>
        <v>45808</v>
      </c>
      <c r="Q6" s="395"/>
      <c r="R6" s="395"/>
      <c r="S6" s="395" t="str">
        <f t="shared" si="0"/>
        <v>JAUNE</v>
      </c>
      <c r="T6" s="395"/>
      <c r="U6" s="395"/>
      <c r="AA6" s="16">
        <v>1</v>
      </c>
      <c r="AB6" s="30">
        <f>+IF(AND(AC6&lt;AC4,I4&lt;=DATE(YEAR(AC4)-1,6,1)),DATE(YEAR(AC4)-1,6,1),IF(AND(AC6&lt;AC4,I4&gt;=DATE(YEAR(AC4)-1,6,1)),I4,IF(I4&gt;AC4,I4,AC4)))</f>
        <v>45444</v>
      </c>
      <c r="AC6" s="30">
        <f>+I6</f>
        <v>45808</v>
      </c>
    </row>
    <row r="7" spans="1:55" x14ac:dyDescent="0.2">
      <c r="C7" s="29" t="s">
        <v>579</v>
      </c>
      <c r="D7" s="31">
        <f>IFERROR(IF(E7="",+VLOOKUP(AC9,BDD,21,FALSE),E7),0)</f>
        <v>0</v>
      </c>
      <c r="E7" s="1130"/>
      <c r="Q7" s="395"/>
      <c r="R7" s="395"/>
      <c r="S7" s="395" t="str">
        <f t="shared" si="0"/>
        <v>JAUNE</v>
      </c>
      <c r="T7" s="395"/>
      <c r="U7" s="395"/>
      <c r="AB7" s="30"/>
      <c r="AC7" s="30"/>
    </row>
    <row r="8" spans="1:55" x14ac:dyDescent="0.2">
      <c r="C8" s="29"/>
      <c r="H8" s="29"/>
      <c r="I8" s="30"/>
      <c r="Q8" s="395"/>
      <c r="R8" s="395"/>
      <c r="S8" s="395" t="str">
        <f t="shared" si="0"/>
        <v>JAUNE</v>
      </c>
      <c r="T8" s="395"/>
      <c r="U8" s="395"/>
    </row>
    <row r="9" spans="1:55" ht="13.5" thickBot="1" x14ac:dyDescent="0.25">
      <c r="C9" s="29" t="s">
        <v>580</v>
      </c>
      <c r="D9" s="987">
        <f>IFERROR(IF(E9="",+VLOOKUP(AC9,BDD,22,FALSE),E9),0)</f>
        <v>0</v>
      </c>
      <c r="E9" s="986"/>
      <c r="Q9" s="395"/>
      <c r="R9" s="395"/>
      <c r="S9" s="395" t="str">
        <f t="shared" ca="1" si="0"/>
        <v>JAUNE</v>
      </c>
      <c r="T9" s="395"/>
      <c r="U9" s="395"/>
      <c r="AA9" s="30">
        <f>+DATE(YEAR(AC6)-1,6,1)</f>
        <v>45444</v>
      </c>
      <c r="AB9" s="29" t="s">
        <v>612</v>
      </c>
      <c r="AC9" s="30">
        <f>DATE(YEAR(I6),MONTH(I6),1)</f>
        <v>45778</v>
      </c>
    </row>
    <row r="10" spans="1:55" ht="13.5" thickTop="1" x14ac:dyDescent="0.2">
      <c r="C10" s="29"/>
      <c r="H10" s="1240" t="s">
        <v>631</v>
      </c>
      <c r="I10" s="1241"/>
      <c r="J10" s="1241"/>
      <c r="K10" s="1241"/>
      <c r="L10" s="1241"/>
      <c r="M10" s="1242"/>
      <c r="Q10" s="395"/>
      <c r="R10" s="395"/>
      <c r="S10" s="395" t="str">
        <f t="shared" si="0"/>
        <v>JAUNE</v>
      </c>
      <c r="T10" s="395"/>
      <c r="U10" s="395"/>
      <c r="AC10" s="29" t="s">
        <v>1645</v>
      </c>
      <c r="AD10" s="16">
        <f>+VLOOKUP(DATE(YEAR(I6),MONTH(I6),1),BDD,87,FALSE)</f>
        <v>0</v>
      </c>
    </row>
    <row r="11" spans="1:55" x14ac:dyDescent="0.2">
      <c r="C11" s="29" t="s">
        <v>581</v>
      </c>
      <c r="D11" s="1587">
        <f>IFERROR(IF(E11="",+VLOOKUP(AC9,BDD,26,FALSE),E11),0)</f>
        <v>0</v>
      </c>
      <c r="E11" s="1131"/>
      <c r="H11" s="1243"/>
      <c r="M11" s="1244"/>
      <c r="Q11" s="395"/>
      <c r="R11" s="395"/>
      <c r="S11" s="395" t="str">
        <f t="shared" si="0"/>
        <v>JAUNE</v>
      </c>
      <c r="T11" s="395"/>
      <c r="U11" s="395"/>
      <c r="AC11" s="29" t="s">
        <v>1646</v>
      </c>
      <c r="AD11" s="16">
        <f>+VLOOKUP(DATE(YEAR(I6),MONTH(I6),1),BDD,26,FALSE)</f>
        <v>0</v>
      </c>
    </row>
    <row r="12" spans="1:55" x14ac:dyDescent="0.2">
      <c r="H12" s="2322" t="str">
        <f>+B4</f>
        <v>Du 01/06/2024 au 31/05/2025</v>
      </c>
      <c r="I12" s="2321"/>
      <c r="K12" s="355">
        <f ca="1">+G70</f>
        <v>0</v>
      </c>
      <c r="L12" s="29" t="s">
        <v>636</v>
      </c>
      <c r="M12" s="1245">
        <f>+F40</f>
        <v>0</v>
      </c>
      <c r="Q12" s="395"/>
      <c r="R12" s="395"/>
      <c r="S12" s="395" t="str">
        <f t="shared" si="0"/>
        <v>JAUNE</v>
      </c>
      <c r="T12" s="395"/>
      <c r="U12" s="395"/>
      <c r="AC12" s="29" t="s">
        <v>1647</v>
      </c>
      <c r="AD12" s="16" t="str">
        <f>+IF(AND(AD10="OUI",AD11=52),"OUI","NON")</f>
        <v>NON</v>
      </c>
    </row>
    <row r="13" spans="1:55" ht="27.75" customHeight="1" thickBot="1" x14ac:dyDescent="0.25">
      <c r="C13" s="1520" t="s">
        <v>670</v>
      </c>
      <c r="D13" s="1538">
        <f>+IF(AD14="OUI",ROUND(+D7*12/52*AD13/D11,2),IF(D11,ROUND(+D7*12/D11,2),0))</f>
        <v>0</v>
      </c>
      <c r="E13" s="2329" t="str">
        <f>IF(AND(D15&lt;&gt;0,AD14="OUI"),+"= "&amp;ROUND(D7,2)&amp;" € X 12 mois / 52 sem X "&amp;AD13&amp;" sem / "&amp;D11&amp;" sem",IF(D15&lt;&gt;0,+"= "&amp;ROUND(D7,2)&amp;" € X 12 mois / "&amp;D11&amp;" sem",""))</f>
        <v/>
      </c>
      <c r="F13" s="2330"/>
      <c r="G13" s="2331"/>
      <c r="H13" s="2322" t="s">
        <v>980</v>
      </c>
      <c r="I13" s="2321"/>
      <c r="K13" s="430">
        <f>+D90</f>
        <v>0</v>
      </c>
      <c r="L13" s="29" t="s">
        <v>637</v>
      </c>
      <c r="M13" s="1246">
        <f>+F31</f>
        <v>0</v>
      </c>
      <c r="Q13" s="395"/>
      <c r="R13" s="395"/>
      <c r="S13" s="395" t="str">
        <f t="shared" si="0"/>
        <v>JAUNE</v>
      </c>
      <c r="T13" s="395"/>
      <c r="U13" s="395"/>
      <c r="AC13" s="29" t="s">
        <v>1648</v>
      </c>
      <c r="AD13" s="16">
        <f>+VLOOKUP(DATE(YEAR(I6),MONTH(I6),1),BDD,95,FALSE)</f>
        <v>0</v>
      </c>
    </row>
    <row r="14" spans="1:55" x14ac:dyDescent="0.2">
      <c r="H14" s="1243"/>
      <c r="J14" s="39" t="s">
        <v>632</v>
      </c>
      <c r="K14" s="431">
        <f ca="1">+D94</f>
        <v>0</v>
      </c>
      <c r="L14" s="29"/>
      <c r="M14" s="1245"/>
      <c r="Q14" s="395"/>
      <c r="R14" s="395"/>
      <c r="S14" s="395"/>
      <c r="T14" s="395"/>
      <c r="U14" s="395"/>
      <c r="AC14" s="16" t="s">
        <v>1649</v>
      </c>
      <c r="AD14" s="16">
        <f>+VLOOKUP(DATE(YEAR(I6),MONTH(I6),1),BDD,96,FALSE)</f>
        <v>0</v>
      </c>
    </row>
    <row r="15" spans="1:55" ht="13.5" thickBot="1" x14ac:dyDescent="0.25">
      <c r="A15" s="2323" t="s">
        <v>1515</v>
      </c>
      <c r="B15" s="2323"/>
      <c r="C15" s="2323"/>
      <c r="D15" s="31">
        <f>+IF(E15="",Report!D41,E15)</f>
        <v>0</v>
      </c>
      <c r="E15" s="1130"/>
      <c r="H15" s="1243"/>
      <c r="J15" s="183" t="s">
        <v>633</v>
      </c>
      <c r="K15" s="1202">
        <f>+G71</f>
        <v>0</v>
      </c>
      <c r="M15" s="1244"/>
      <c r="Q15" s="395"/>
      <c r="R15" s="395"/>
      <c r="S15" s="1023" t="s">
        <v>1435</v>
      </c>
      <c r="T15" s="395" t="str">
        <f>+IF(I1=U1,"OUI",+IF(AD11=52,"OUI",IF(AD15="OUI","OUI","NON")))</f>
        <v>NON</v>
      </c>
      <c r="U15" s="395"/>
      <c r="AC15" s="29" t="s">
        <v>1650</v>
      </c>
      <c r="AD15" s="16">
        <f>+VLOOKUP(DATE(YEAR(I6),MONTH(I6),1),BDD,97,FALSE)</f>
        <v>0</v>
      </c>
    </row>
    <row r="16" spans="1:55" ht="13.5" thickTop="1" x14ac:dyDescent="0.2">
      <c r="A16" s="2323"/>
      <c r="B16" s="2323"/>
      <c r="C16" s="2323"/>
      <c r="D16" s="34"/>
      <c r="H16" s="1264" t="s">
        <v>946</v>
      </c>
      <c r="I16" s="1265">
        <f>+Identification!B60</f>
        <v>2025</v>
      </c>
      <c r="J16" s="1266"/>
      <c r="K16" s="1267" t="s">
        <v>503</v>
      </c>
      <c r="L16" s="1260">
        <f>+I16+1</f>
        <v>2026</v>
      </c>
      <c r="M16" s="1261"/>
      <c r="Q16" s="395"/>
      <c r="R16" s="395"/>
      <c r="S16" s="395"/>
      <c r="T16" s="395"/>
      <c r="U16" s="395"/>
      <c r="AC16" s="16" t="s">
        <v>1722</v>
      </c>
      <c r="AD16" s="16">
        <f>+VLOOKUP(DATE(YEAR(I6),MONTH(I6),1),BDD,102,FALSE)</f>
        <v>0</v>
      </c>
    </row>
    <row r="17" spans="1:21" x14ac:dyDescent="0.2">
      <c r="H17" s="1247" t="s">
        <v>944</v>
      </c>
      <c r="I17" s="1248" t="s">
        <v>887</v>
      </c>
      <c r="J17" s="497">
        <f ca="1">IF(K17&lt;&gt;"",+K17,IF(AD10="OUI",0,K14))</f>
        <v>0</v>
      </c>
      <c r="K17" s="1249"/>
      <c r="L17" s="1262"/>
      <c r="M17" s="1249"/>
      <c r="Q17" s="395"/>
      <c r="R17" s="395"/>
      <c r="S17" s="395"/>
      <c r="T17" s="395"/>
      <c r="U17" s="395"/>
    </row>
    <row r="18" spans="1:21" x14ac:dyDescent="0.2">
      <c r="A18" s="2323" t="s">
        <v>1516</v>
      </c>
      <c r="B18" s="2323"/>
      <c r="C18" s="2323"/>
      <c r="D18" s="1588">
        <f>+IF(E18="",Janvier!AH88,E18)</f>
        <v>0</v>
      </c>
      <c r="E18" s="1131"/>
      <c r="H18" s="1250"/>
      <c r="I18" s="1248"/>
      <c r="J18" s="1132"/>
      <c r="K18" s="1268"/>
      <c r="L18" s="1262"/>
      <c r="M18" s="1251"/>
      <c r="Q18" s="395"/>
      <c r="R18" s="395"/>
      <c r="S18" s="395"/>
      <c r="T18" s="395"/>
      <c r="U18" s="395"/>
    </row>
    <row r="19" spans="1:21" x14ac:dyDescent="0.2">
      <c r="A19" s="2323"/>
      <c r="B19" s="2323"/>
      <c r="C19" s="2323"/>
      <c r="H19" s="1250"/>
      <c r="I19" s="1248"/>
      <c r="J19" s="1132"/>
      <c r="K19" s="1268"/>
      <c r="L19" s="1262"/>
      <c r="M19" s="1251"/>
      <c r="Q19" s="395"/>
      <c r="R19" s="395"/>
      <c r="S19" s="395"/>
      <c r="T19" s="395"/>
      <c r="U19" s="395"/>
    </row>
    <row r="20" spans="1:21" ht="13.5" thickBot="1" x14ac:dyDescent="0.25">
      <c r="H20" s="1252"/>
      <c r="I20" s="1253"/>
      <c r="J20" s="1254"/>
      <c r="K20" s="1269"/>
      <c r="L20" s="1263"/>
      <c r="M20" s="1255"/>
      <c r="Q20" s="395"/>
      <c r="R20" s="395"/>
      <c r="S20" s="395"/>
      <c r="T20" s="395"/>
      <c r="U20" s="395"/>
    </row>
    <row r="21" spans="1:21" ht="14.25" thickTop="1" thickBot="1" x14ac:dyDescent="0.25">
      <c r="I21" s="526"/>
      <c r="J21" s="527"/>
      <c r="L21" s="1256" t="s">
        <v>626</v>
      </c>
      <c r="M21" s="1257">
        <f ca="1">SUM(M17:M20)+SUM(J17:J20)</f>
        <v>0</v>
      </c>
      <c r="Q21" s="395"/>
      <c r="R21" s="395"/>
      <c r="S21" s="395"/>
      <c r="T21" s="395"/>
      <c r="U21" s="395"/>
    </row>
    <row r="22" spans="1:21" ht="14.25" thickTop="1" thickBot="1" x14ac:dyDescent="0.25">
      <c r="A22" s="645" t="s">
        <v>582</v>
      </c>
      <c r="L22" s="1258" t="s">
        <v>1213</v>
      </c>
      <c r="M22" s="1257">
        <f ca="1">+K14-M21</f>
        <v>0</v>
      </c>
      <c r="Q22" s="395"/>
      <c r="R22" s="395"/>
      <c r="S22" s="395"/>
      <c r="T22" s="395"/>
      <c r="U22" s="395"/>
    </row>
    <row r="23" spans="1:21" ht="13.5" thickTop="1" x14ac:dyDescent="0.2">
      <c r="H23" s="46"/>
      <c r="L23" s="1294"/>
      <c r="M23" s="1295"/>
      <c r="Q23" s="395"/>
      <c r="R23" s="395"/>
      <c r="S23" s="395"/>
      <c r="T23" s="395"/>
      <c r="U23" s="395"/>
    </row>
    <row r="24" spans="1:21" x14ac:dyDescent="0.2">
      <c r="E24" s="29" t="s">
        <v>1518</v>
      </c>
      <c r="F24" s="1587">
        <f>IF(O1="faux",0,IFERROR(IF(F25="",+VLOOKUP(AC9,BDD,10,FALSE)+VLOOKUP(AC9,BDD,12,FALSE)+D18/6,F25),0))</f>
        <v>0</v>
      </c>
      <c r="H24" s="46" t="s">
        <v>583</v>
      </c>
      <c r="L24" s="1294"/>
      <c r="M24" s="1295"/>
      <c r="Q24" s="395"/>
      <c r="R24" s="395"/>
      <c r="S24" s="395"/>
      <c r="T24" s="395"/>
      <c r="U24" s="395"/>
    </row>
    <row r="25" spans="1:21" x14ac:dyDescent="0.2">
      <c r="E25" s="29" t="s">
        <v>503</v>
      </c>
      <c r="F25" s="1133"/>
      <c r="H25" s="24">
        <f>ROUND((F24-(D18/6))/4,4)</f>
        <v>0</v>
      </c>
      <c r="Q25" s="395"/>
      <c r="R25" s="395"/>
      <c r="S25" s="395"/>
      <c r="T25" s="395"/>
      <c r="U25" s="395"/>
    </row>
    <row r="26" spans="1:21" x14ac:dyDescent="0.2">
      <c r="E26" s="29"/>
      <c r="H26" s="682" t="str">
        <f>+"L'AM a travaillé "&amp;F24-(D18/6)&amp;" semaines sur la période de référence (1er juin au 31 mai)"</f>
        <v>L'AM a travaillé 0 semaines sur la période de référence (1er juin au 31 mai)</v>
      </c>
      <c r="Q26" s="395"/>
      <c r="R26" s="395"/>
      <c r="S26" s="395"/>
      <c r="T26" s="395"/>
      <c r="U26" s="395"/>
    </row>
    <row r="27" spans="1:21" x14ac:dyDescent="0.2">
      <c r="E27" s="29" t="s">
        <v>1667</v>
      </c>
      <c r="F27" s="1588">
        <f>IF(O1="faux",0,IFERROR(IF(F28="",+VLOOKUP(AC9,BDD,99,FALSE),F28),0))</f>
        <v>0</v>
      </c>
      <c r="H27" s="682" t="s">
        <v>1527</v>
      </c>
      <c r="Q27" s="395"/>
      <c r="R27" s="395"/>
      <c r="S27" s="395"/>
      <c r="T27" s="395"/>
      <c r="U27" s="395"/>
    </row>
    <row r="28" spans="1:21" x14ac:dyDescent="0.2">
      <c r="E28" s="29" t="s">
        <v>503</v>
      </c>
      <c r="F28" s="1133"/>
      <c r="H28" s="682" t="s">
        <v>1528</v>
      </c>
      <c r="Q28" s="395"/>
      <c r="R28" s="395"/>
      <c r="S28" s="395"/>
      <c r="T28" s="395"/>
      <c r="U28" s="395"/>
    </row>
    <row r="29" spans="1:21" x14ac:dyDescent="0.2">
      <c r="E29" s="1211" t="s">
        <v>503</v>
      </c>
      <c r="F29" s="1318"/>
      <c r="Q29" s="395"/>
      <c r="R29" s="395"/>
      <c r="S29" s="395"/>
      <c r="T29" s="395"/>
      <c r="U29" s="395"/>
    </row>
    <row r="30" spans="1:21" x14ac:dyDescent="0.2">
      <c r="C30" s="29" t="s">
        <v>503</v>
      </c>
      <c r="D30" s="1134"/>
      <c r="H30" s="682" t="str">
        <f>+"On calcule donc un nombre de période avant la prise en compte des cp acquis soit "&amp;F24-(D18/6)&amp;" / 4 = "&amp;ROUND((F24-(D18/6))/4,4)&amp;" période(s)"</f>
        <v>On calcule donc un nombre de période avant la prise en compte des cp acquis soit 0 / 4 = 0 période(s)</v>
      </c>
      <c r="Q30" s="395"/>
      <c r="R30" s="395"/>
      <c r="S30" s="395"/>
      <c r="T30" s="395"/>
      <c r="U30" s="395"/>
    </row>
    <row r="31" spans="1:21" x14ac:dyDescent="0.2">
      <c r="C31" s="29" t="s">
        <v>585</v>
      </c>
      <c r="D31" s="1589">
        <f>IF(D30="",+Identification!B55*2,D30)</f>
        <v>0</v>
      </c>
      <c r="E31" s="29" t="s">
        <v>674</v>
      </c>
      <c r="F31" s="1590">
        <f>IF(IF(BB3="NON",ROUND(+(MIN(F40,30)-D38),0),F40-D38)&lt;0,0,IF(BB3="NON",ROUND(+(MIN(F40,30)-D38),0),F40-D38))</f>
        <v>0</v>
      </c>
      <c r="Q31" s="395"/>
      <c r="R31" s="395"/>
      <c r="S31" s="395"/>
      <c r="T31" s="395"/>
      <c r="U31" s="395"/>
    </row>
    <row r="32" spans="1:21" x14ac:dyDescent="0.2">
      <c r="A32" s="2324" t="s">
        <v>1436</v>
      </c>
      <c r="B32" s="2324"/>
      <c r="C32" s="2324"/>
      <c r="H32" s="682" t="str">
        <f>+"Les semaines de cp acquis l'année précédente sont "&amp;D18&amp;" jrs ouvrables / 6 jours par semaine = "&amp;ROUND(D18/6,2)&amp;" semaine(s)"</f>
        <v>Les semaines de cp acquis l'année précédente sont 0 jrs ouvrables / 6 jours par semaine = 0 semaine(s)</v>
      </c>
      <c r="Q32" s="395"/>
      <c r="R32" s="395"/>
      <c r="S32" s="395"/>
      <c r="T32" s="395"/>
      <c r="U32" s="395"/>
    </row>
    <row r="33" spans="1:21" x14ac:dyDescent="0.2">
      <c r="C33" s="29"/>
      <c r="H33"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95"/>
      <c r="R33" s="395"/>
      <c r="S33" s="395"/>
      <c r="T33" s="395"/>
      <c r="U33" s="395"/>
    </row>
    <row r="34" spans="1:21" x14ac:dyDescent="0.2">
      <c r="C34" s="29" t="s">
        <v>1397</v>
      </c>
      <c r="D34" s="66">
        <f>ROUND(F24/4,4)</f>
        <v>0</v>
      </c>
      <c r="E34" s="51" t="s">
        <v>588</v>
      </c>
      <c r="F34" s="67">
        <f>+ROUND(D34,2)</f>
        <v>0</v>
      </c>
      <c r="H34" s="682" t="str">
        <f>+H25&amp;" période(s) + "&amp;ROUND(D18/6/4,4)&amp;" période(s) = "&amp;D34&amp;" arrondi à "&amp;F34&amp;" période(s)"</f>
        <v>0 période(s) + 0 période(s) = 0 arrondi à 0 période(s)</v>
      </c>
      <c r="Q34" s="395"/>
      <c r="R34" s="395"/>
      <c r="S34" s="395"/>
      <c r="T34" s="395"/>
      <c r="U34" s="395"/>
    </row>
    <row r="35" spans="1:21" x14ac:dyDescent="0.2">
      <c r="C35" s="29"/>
      <c r="D35" s="52"/>
      <c r="E35" s="27"/>
      <c r="F35" s="81"/>
      <c r="H35" s="682"/>
      <c r="Q35" s="395"/>
      <c r="R35" s="395"/>
      <c r="S35" s="395"/>
      <c r="T35" s="395"/>
      <c r="U35" s="395"/>
    </row>
    <row r="36" spans="1:21" x14ac:dyDescent="0.2">
      <c r="B36" s="24"/>
      <c r="C36" s="183" t="s">
        <v>1398</v>
      </c>
      <c r="D36" s="1010">
        <f>+D34</f>
        <v>0</v>
      </c>
      <c r="E36" s="27"/>
      <c r="F36" s="81"/>
      <c r="H36" s="1547" t="s">
        <v>1668</v>
      </c>
      <c r="Q36" s="395"/>
      <c r="R36" s="395"/>
      <c r="S36" s="395"/>
      <c r="T36" s="395"/>
      <c r="U36" s="395"/>
    </row>
    <row r="37" spans="1:21" x14ac:dyDescent="0.2">
      <c r="H37" s="682"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95"/>
      <c r="R37" s="395"/>
      <c r="S37" s="395"/>
      <c r="T37" s="395"/>
      <c r="U37" s="395"/>
    </row>
    <row r="38" spans="1:21" x14ac:dyDescent="0.2">
      <c r="C38" s="29" t="s">
        <v>618</v>
      </c>
      <c r="D38" s="1589">
        <f>ROUNDUP(D36*2.5+F27,0)</f>
        <v>0</v>
      </c>
      <c r="H38" s="682"/>
      <c r="Q38" s="395"/>
      <c r="R38" s="395"/>
      <c r="S38" s="395"/>
      <c r="T38" s="395"/>
      <c r="U38" s="395"/>
    </row>
    <row r="39" spans="1:21" x14ac:dyDescent="0.2">
      <c r="H39" s="682" t="s">
        <v>589</v>
      </c>
      <c r="Q39" s="395"/>
      <c r="R39" s="395"/>
      <c r="S39" s="395"/>
      <c r="T39" s="395"/>
      <c r="U39" s="395"/>
    </row>
    <row r="40" spans="1:21" x14ac:dyDescent="0.2">
      <c r="C40" s="29" t="s">
        <v>587</v>
      </c>
      <c r="D40" s="1589">
        <f>+D36*2.5+D31+F27</f>
        <v>0</v>
      </c>
      <c r="E40" s="51" t="s">
        <v>1339</v>
      </c>
      <c r="F40" s="1591">
        <f>IF(BB3="NON",IF(D40&lt;30,ROUNDUP(D40,0),30),IF(AND(BB3="OUI",D38&lt;=5),ROUNDUP(D38+(D31/2),0),ROUNDUP(D40,0)))</f>
        <v>0</v>
      </c>
      <c r="H40" s="682" t="str">
        <f>+"[Salaire hebdomadaire moyen ("&amp;ROUND(D13,2)&amp;" €) / 6 jours] x [ nombre de jours ouvrables de CP ("&amp;F40&amp;" jour(s)]"</f>
        <v>[Salaire hebdomadaire moyen (0 €) / 6 jours] x [ nombre de jours ouvrables de CP (0 jour(s)]</v>
      </c>
      <c r="Q40" s="395"/>
      <c r="R40" s="395"/>
      <c r="S40" s="395"/>
      <c r="T40" s="395"/>
      <c r="U40" s="395"/>
    </row>
    <row r="41" spans="1:21" x14ac:dyDescent="0.2">
      <c r="H41" s="682" t="str">
        <f>+"soit un maintien de salaire de "&amp;D42&amp;" euros"</f>
        <v>soit un maintien de salaire de 0 euros</v>
      </c>
      <c r="Q41" s="395"/>
      <c r="R41" s="395"/>
      <c r="S41" s="395"/>
      <c r="T41" s="395"/>
      <c r="U41" s="395"/>
    </row>
    <row r="42" spans="1:21" x14ac:dyDescent="0.2">
      <c r="A42" s="2325" t="s">
        <v>593</v>
      </c>
      <c r="B42" s="2326"/>
      <c r="C42" s="2327"/>
      <c r="D42" s="432">
        <f>+IF(OR(AD16="OUI",AND(AD10="OUI",AD11=52)),0,ROUND((D13/6)*F40,2))</f>
        <v>0</v>
      </c>
      <c r="Q42" s="395"/>
      <c r="R42" s="395"/>
      <c r="S42" s="395"/>
      <c r="T42" s="395"/>
      <c r="U42" s="395"/>
    </row>
    <row r="43" spans="1:21" x14ac:dyDescent="0.2">
      <c r="Q43" s="395"/>
      <c r="R43" s="395"/>
      <c r="S43" s="395"/>
      <c r="T43" s="395"/>
      <c r="U43" s="395"/>
    </row>
    <row r="44" spans="1:21" x14ac:dyDescent="0.2">
      <c r="A44" s="645" t="s">
        <v>594</v>
      </c>
      <c r="Q44" s="395"/>
      <c r="R44" s="395"/>
      <c r="S44" s="395"/>
      <c r="T44" s="395"/>
      <c r="U44" s="395"/>
    </row>
    <row r="45" spans="1:21" x14ac:dyDescent="0.2">
      <c r="H45" s="46" t="s">
        <v>583</v>
      </c>
      <c r="Q45" s="395"/>
      <c r="R45" s="395"/>
      <c r="S45" s="395"/>
      <c r="T45" s="395"/>
      <c r="U45" s="395"/>
    </row>
    <row r="46" spans="1:21" x14ac:dyDescent="0.2">
      <c r="A46" s="16" t="s">
        <v>595</v>
      </c>
      <c r="H46" s="47" t="s">
        <v>619</v>
      </c>
      <c r="Q46" s="395"/>
      <c r="R46" s="395"/>
      <c r="S46" s="395"/>
      <c r="T46" s="395"/>
      <c r="U46" s="395"/>
    </row>
    <row r="47" spans="1:21" ht="38.25" x14ac:dyDescent="0.2">
      <c r="B47" s="646" t="s">
        <v>1690</v>
      </c>
      <c r="C47" s="54" t="s">
        <v>614</v>
      </c>
      <c r="D47" s="1301" t="s">
        <v>621</v>
      </c>
      <c r="E47" s="1297" t="s">
        <v>620</v>
      </c>
      <c r="F47" s="1298" t="s">
        <v>630</v>
      </c>
      <c r="H47" s="682" t="s">
        <v>1519</v>
      </c>
      <c r="I47" s="47"/>
      <c r="Q47" s="395"/>
      <c r="R47" s="395"/>
      <c r="S47" s="395"/>
      <c r="T47" s="395"/>
      <c r="U47" s="395"/>
    </row>
    <row r="48" spans="1:21" x14ac:dyDescent="0.2">
      <c r="A48" s="647">
        <f>+IF(AND(DATE(YEAR($AA$9),6,30)&gt;=$AA$9,DATE(YEAR($AA$9),6,1)&lt;=$AC$6,$I$4&lt;=DATE(YEAR($AA$9),6,30)),DATE(YEAR($AA$9),6,1),"Hors période")</f>
        <v>45444</v>
      </c>
      <c r="B48" s="31">
        <f t="shared" ref="B48:B59" si="1">IF($O$1="faux",0,IF(C48="",IFERROR(+VLOOKUP(A48,BDD,2,FALSE)+VLOOKUP(A48,BDD,100,FALSE),0),C48))</f>
        <v>0</v>
      </c>
      <c r="C48" s="1130"/>
      <c r="D48" s="1302">
        <f>+ROUND((+B48*10%),2)</f>
        <v>0</v>
      </c>
      <c r="E48" s="1299">
        <f t="shared" ref="E48:E59" si="2">IF(F48="",IFERROR(+VLOOKUP(A48,BDD,14,FALSE),0),F48)</f>
        <v>0</v>
      </c>
      <c r="F48" s="1300"/>
      <c r="H48" s="47" t="str">
        <f>+"[Salaire du mois ("&amp;B56&amp;" euros) x 10%]"</f>
        <v>[Salaire du mois (0 euros) x 10%]</v>
      </c>
      <c r="I48" s="47"/>
      <c r="J48" s="47"/>
      <c r="K48" s="47"/>
      <c r="L48" s="47"/>
      <c r="Q48" s="395"/>
      <c r="R48" s="395"/>
      <c r="S48" s="395"/>
      <c r="T48" s="395"/>
      <c r="U48" s="395"/>
    </row>
    <row r="49" spans="1:21" x14ac:dyDescent="0.2">
      <c r="A49" s="647">
        <f>+IF(AND(DATE(YEAR($AA$9),7,31)&gt;=$AA$9,DATE(YEAR($AA$9),7,1)&lt;=$AC$6,$I$4&lt;=DATE(YEAR($AA$9),7,31)),DATE(YEAR($AA$9),7,1),"Hors période")</f>
        <v>45474</v>
      </c>
      <c r="B49" s="31">
        <f t="shared" si="1"/>
        <v>0</v>
      </c>
      <c r="C49" s="1130"/>
      <c r="D49" s="1302">
        <f t="shared" ref="D49:D59" si="3">+ROUND((+B49*10%),2)</f>
        <v>0</v>
      </c>
      <c r="E49" s="1299">
        <f t="shared" si="2"/>
        <v>0</v>
      </c>
      <c r="F49" s="1300"/>
      <c r="H49" s="47" t="str">
        <f>+"Soit pour la ligne du mois de Février "&amp;D56&amp;" euros"</f>
        <v>Soit pour la ligne du mois de Février 0 euros</v>
      </c>
      <c r="I49" s="47"/>
      <c r="J49" s="47"/>
      <c r="K49" s="47"/>
      <c r="L49" s="47"/>
      <c r="Q49" s="395"/>
      <c r="R49" s="395"/>
      <c r="S49" s="395"/>
      <c r="T49" s="395"/>
      <c r="U49" s="395"/>
    </row>
    <row r="50" spans="1:21" x14ac:dyDescent="0.2">
      <c r="A50" s="647">
        <f>+IF(AND(DATE(YEAR($AA$9),8,31)&gt;=$AA$9,DATE(YEAR($AA$9),8,1)&lt;=$AC$6,$I$4&lt;=DATE(YEAR($AA$9),8,31)),DATE(YEAR($AA$9),8,1),"Hors période")</f>
        <v>45505</v>
      </c>
      <c r="B50" s="31">
        <f t="shared" si="1"/>
        <v>0</v>
      </c>
      <c r="C50" s="1130"/>
      <c r="D50" s="1302">
        <f t="shared" si="3"/>
        <v>0</v>
      </c>
      <c r="E50" s="1299">
        <f t="shared" si="2"/>
        <v>0</v>
      </c>
      <c r="F50" s="1300"/>
      <c r="J50" s="47"/>
      <c r="K50" s="47"/>
      <c r="L50" s="47"/>
      <c r="Q50" s="395"/>
      <c r="R50" s="395"/>
      <c r="S50" s="395"/>
      <c r="T50" s="395"/>
      <c r="U50" s="395"/>
    </row>
    <row r="51" spans="1:21" x14ac:dyDescent="0.2">
      <c r="A51" s="647">
        <f>+IF(AND(DATE(YEAR($AA$9),9,30)&gt;=$AA$9,DATE(YEAR($AA$9),9,1)&lt;=$AC$6,$I$4&lt;=DATE(YEAR($AA$9),9,30)),DATE(YEAR($AA$9),9,1),"Hors période")</f>
        <v>45536</v>
      </c>
      <c r="B51" s="31">
        <f t="shared" si="1"/>
        <v>0</v>
      </c>
      <c r="C51" s="1130"/>
      <c r="D51" s="1302">
        <f t="shared" si="3"/>
        <v>0</v>
      </c>
      <c r="E51" s="1299">
        <f t="shared" si="2"/>
        <v>0</v>
      </c>
      <c r="F51" s="1300"/>
      <c r="G51" s="47"/>
      <c r="H51" s="682"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95"/>
      <c r="R51" s="395"/>
      <c r="S51" s="395"/>
      <c r="T51" s="395"/>
      <c r="U51" s="395"/>
    </row>
    <row r="52" spans="1:21" x14ac:dyDescent="0.2">
      <c r="A52" s="647">
        <f>+IF(AND(DATE(YEAR($AA$9),10,31)&gt;=$AA$9,DATE(YEAR($AA$9),10,1)&lt;=$AC$6,$I$4&lt;=DATE(YEAR($AA$9),10,31)),DATE(YEAR($AA$9),10,1),"Hors période")</f>
        <v>45566</v>
      </c>
      <c r="B52" s="31">
        <f t="shared" si="1"/>
        <v>0</v>
      </c>
      <c r="C52" s="1130"/>
      <c r="D52" s="1302">
        <f t="shared" si="3"/>
        <v>0</v>
      </c>
      <c r="E52" s="1299">
        <f t="shared" si="2"/>
        <v>0</v>
      </c>
      <c r="F52" s="1300"/>
      <c r="G52" s="47"/>
      <c r="L52" s="47"/>
      <c r="M52" s="58"/>
      <c r="Q52" s="395"/>
      <c r="R52" s="395"/>
      <c r="S52" s="395"/>
      <c r="T52" s="395"/>
      <c r="U52" s="395"/>
    </row>
    <row r="53" spans="1:21" x14ac:dyDescent="0.2">
      <c r="A53" s="647">
        <f>+IF(AND(DATE(YEAR($AA$9),11,30)&gt;=$AA$9,DATE(YEAR($AA$9),11,1)&lt;=$AC$6,$I$4&lt;=DATE(YEAR($AA$9),11,30)),DATE(YEAR($AA$9),11,1),"Hors période")</f>
        <v>45597</v>
      </c>
      <c r="B53" s="31">
        <f t="shared" si="1"/>
        <v>0</v>
      </c>
      <c r="C53" s="1130"/>
      <c r="D53" s="1302">
        <f t="shared" si="3"/>
        <v>0</v>
      </c>
      <c r="E53" s="1299">
        <f t="shared" si="2"/>
        <v>0</v>
      </c>
      <c r="F53" s="1300"/>
      <c r="G53" s="47"/>
      <c r="H53" s="47" t="s">
        <v>599</v>
      </c>
      <c r="I53" s="47"/>
      <c r="J53" s="47"/>
      <c r="K53" s="47"/>
      <c r="Q53" s="395"/>
      <c r="R53" s="395"/>
      <c r="S53" s="395"/>
      <c r="T53" s="395"/>
      <c r="U53" s="395"/>
    </row>
    <row r="54" spans="1:21" x14ac:dyDescent="0.2">
      <c r="A54" s="647">
        <f>+IF(AND(DATE(YEAR($AA$9),12,31)&gt;=$AA$9,DATE(YEAR($AA$9),12,1)&lt;=$AC$6,$I$4&lt;=DATE(YEAR($AA$9),12,31)),DATE(YEAR($AA$9),12,1),"Hors période")</f>
        <v>45627</v>
      </c>
      <c r="B54" s="31">
        <f t="shared" si="1"/>
        <v>0</v>
      </c>
      <c r="C54" s="1130"/>
      <c r="D54" s="1302">
        <f t="shared" si="3"/>
        <v>0</v>
      </c>
      <c r="E54" s="1299">
        <f t="shared" si="2"/>
        <v>0</v>
      </c>
      <c r="F54" s="1300"/>
      <c r="G54" s="47"/>
      <c r="H54" s="47" t="s">
        <v>600</v>
      </c>
      <c r="Q54" s="395"/>
      <c r="R54" s="395"/>
      <c r="S54" s="395"/>
      <c r="T54" s="395"/>
      <c r="U54" s="395"/>
    </row>
    <row r="55" spans="1:21" x14ac:dyDescent="0.2">
      <c r="A55" s="647">
        <f>+IF(AND(DATE(YEAR($AA$9)+1,1,31)&gt;=$AA$9,DATE(YEAR($AA$9)+1,1,1)&lt;=$AC$6,$I$4&lt;=DATE(YEAR($AA$9)+1,1,31)),DATE(YEAR($AA$9)+1,1,1),"Hors période")</f>
        <v>45658</v>
      </c>
      <c r="B55" s="31">
        <f t="shared" ca="1" si="1"/>
        <v>0</v>
      </c>
      <c r="C55" s="1130"/>
      <c r="D55" s="1302">
        <f t="shared" ca="1" si="3"/>
        <v>0</v>
      </c>
      <c r="E55" s="1299">
        <f t="shared" si="2"/>
        <v>0</v>
      </c>
      <c r="F55" s="1300"/>
      <c r="G55" s="47"/>
      <c r="I55" s="56" t="str">
        <f ca="1">+ROUND((D60+D62),2)&amp;" / "&amp;D38&amp;" X "&amp;F31</f>
        <v>0 / 0 X 0</v>
      </c>
      <c r="J55" s="47" t="str">
        <f>"= "&amp;IF(D38,ROUND((D60+D62)/D38*F31,2),0)</f>
        <v>= 0</v>
      </c>
      <c r="Q55" s="395"/>
      <c r="R55" s="395"/>
      <c r="S55" s="395"/>
      <c r="T55" s="395"/>
      <c r="U55" s="395"/>
    </row>
    <row r="56" spans="1:21" x14ac:dyDescent="0.2">
      <c r="A56" s="647">
        <f>+IF(AND(DATE(YEAR($AA$9)+1,2,29)&gt;=$AA$9,DATE(YEAR($AA$9)+1,2,1)&lt;=$AC$6,$I$4&lt;=DATE(YEAR($AA$9)+1,2,29)),DATE(YEAR($AA$9)+1,2,1),"Hors période")</f>
        <v>45689</v>
      </c>
      <c r="B56" s="31">
        <f t="shared" si="1"/>
        <v>0</v>
      </c>
      <c r="C56" s="1130"/>
      <c r="D56" s="1302">
        <f t="shared" si="3"/>
        <v>0</v>
      </c>
      <c r="E56" s="1299">
        <f t="shared" si="2"/>
        <v>0</v>
      </c>
      <c r="F56" s="1300"/>
      <c r="Q56" s="395"/>
      <c r="R56" s="395"/>
      <c r="S56" s="395"/>
      <c r="T56" s="395"/>
      <c r="U56" s="395"/>
    </row>
    <row r="57" spans="1:21" x14ac:dyDescent="0.2">
      <c r="A57" s="647">
        <f>+IF(AND(DATE(YEAR($AA$9)+1,3,31)&gt;=$AA$9,DATE(YEAR($AA$9)+1,3,1)&lt;=$AC$6,$I$4&lt;=DATE(YEAR($AA$9)+1,3,31)),DATE(YEAR($AA$9)+1,3,1),"Hors période")</f>
        <v>45717</v>
      </c>
      <c r="B57" s="31">
        <f t="shared" si="1"/>
        <v>0</v>
      </c>
      <c r="C57" s="1130"/>
      <c r="D57" s="1302">
        <f t="shared" si="3"/>
        <v>0</v>
      </c>
      <c r="E57" s="1299">
        <f t="shared" si="2"/>
        <v>0</v>
      </c>
      <c r="F57" s="1300"/>
      <c r="H57" s="47" t="str">
        <f ca="1">"Soit  un montant total de "&amp;(D60+D62)&amp;" euros"&amp;" + "&amp;ROUND(D66,2)&amp;" euros = "&amp;ROUND(D68,2)&amp;" euros"</f>
        <v>Soit  un montant total de 0 euros + 0 euros = 0 euros</v>
      </c>
      <c r="Q57" s="395"/>
      <c r="R57" s="395"/>
      <c r="S57" s="395"/>
      <c r="T57" s="395"/>
      <c r="U57" s="395"/>
    </row>
    <row r="58" spans="1:21" x14ac:dyDescent="0.2">
      <c r="A58" s="647">
        <f>+IF(AND(DATE(YEAR($AA$9)+1,4,30)&gt;=$AA$9,DATE(YEAR($AA$9)+1,4,1)&lt;=$AC$6,$I$4&lt;=DATE(YEAR($AA$9)+1,4,30)),DATE(YEAR($AA$9)+1,4,1),"Hors période")</f>
        <v>45748</v>
      </c>
      <c r="B58" s="31">
        <f t="shared" si="1"/>
        <v>0</v>
      </c>
      <c r="C58" s="1130"/>
      <c r="D58" s="1302">
        <f t="shared" si="3"/>
        <v>0</v>
      </c>
      <c r="E58" s="1299">
        <f t="shared" si="2"/>
        <v>0</v>
      </c>
      <c r="F58" s="1300"/>
      <c r="Q58" s="395"/>
      <c r="R58" s="395"/>
      <c r="S58" s="395"/>
      <c r="T58" s="395"/>
      <c r="U58" s="395"/>
    </row>
    <row r="59" spans="1:21" x14ac:dyDescent="0.2">
      <c r="A59" s="647">
        <f>+IF(AND(DATE(YEAR($AA$9)+1,5,31)&gt;=$AA$9,DATE(YEAR($AA$9)+1,5,1)&lt;=$AC$6,$I$4&lt;=DATE(YEAR($AA$9)+1,5,31)),DATE(YEAR($AA$9)+1,5,1),"Hors période")</f>
        <v>45778</v>
      </c>
      <c r="B59" s="31">
        <f t="shared" si="1"/>
        <v>0</v>
      </c>
      <c r="C59" s="1130"/>
      <c r="D59" s="1302">
        <f t="shared" si="3"/>
        <v>0</v>
      </c>
      <c r="E59" s="1299">
        <f t="shared" si="2"/>
        <v>0</v>
      </c>
      <c r="F59" s="1300"/>
      <c r="Q59" s="395"/>
      <c r="R59" s="395"/>
      <c r="S59" s="395"/>
      <c r="T59" s="395"/>
      <c r="U59" s="395"/>
    </row>
    <row r="60" spans="1:21" x14ac:dyDescent="0.2">
      <c r="C60" s="38" t="s">
        <v>450</v>
      </c>
      <c r="D60" s="1303">
        <f ca="1">ROUND(SUM(D48:D59),2)</f>
        <v>0</v>
      </c>
      <c r="Q60" s="395"/>
      <c r="R60" s="395"/>
      <c r="S60" s="395"/>
      <c r="T60" s="395"/>
      <c r="U60" s="395"/>
    </row>
    <row r="61" spans="1:21" x14ac:dyDescent="0.2">
      <c r="D61" s="58"/>
      <c r="Q61" s="395"/>
      <c r="R61" s="395"/>
      <c r="S61" s="395"/>
      <c r="T61" s="395"/>
      <c r="U61" s="395"/>
    </row>
    <row r="62" spans="1:21" x14ac:dyDescent="0.2">
      <c r="A62" s="2321" t="s">
        <v>1517</v>
      </c>
      <c r="B62" s="2321"/>
      <c r="C62" s="2321"/>
      <c r="D62" s="1303">
        <f>+D15*0.1</f>
        <v>0</v>
      </c>
      <c r="Q62" s="395"/>
      <c r="R62" s="395"/>
      <c r="S62" s="395"/>
      <c r="T62" s="395"/>
      <c r="U62" s="395"/>
    </row>
    <row r="63" spans="1:21" x14ac:dyDescent="0.2">
      <c r="Q63" s="395"/>
      <c r="R63" s="395"/>
      <c r="S63" s="395"/>
      <c r="T63" s="395"/>
      <c r="U63" s="395"/>
    </row>
    <row r="64" spans="1:21" hidden="1" x14ac:dyDescent="0.2">
      <c r="A64" s="2328" t="s">
        <v>623</v>
      </c>
      <c r="B64" s="2328"/>
      <c r="C64" s="2328"/>
      <c r="D64" s="2328"/>
      <c r="E64" s="2328"/>
      <c r="F64" s="1304">
        <f>IF(F65="",+IFERROR(ROUND(VLOOKUP(DATE(YEAR(AC9)-1,MONTH(AC9)+1,1),BDD,23,FALSE),2),0),F65)</f>
        <v>0</v>
      </c>
      <c r="Q64" s="395"/>
      <c r="R64" s="395"/>
      <c r="S64" s="395"/>
      <c r="T64" s="395"/>
      <c r="U64" s="395"/>
    </row>
    <row r="65" spans="1:21" hidden="1" x14ac:dyDescent="0.2">
      <c r="A65" s="581"/>
      <c r="B65" s="581"/>
      <c r="C65" s="581"/>
      <c r="D65" s="581"/>
      <c r="E65" s="1211" t="s">
        <v>503</v>
      </c>
      <c r="F65" s="1305"/>
      <c r="Q65" s="395"/>
      <c r="R65" s="395"/>
      <c r="S65" s="395"/>
      <c r="T65" s="395"/>
      <c r="U65" s="395"/>
    </row>
    <row r="66" spans="1:21" x14ac:dyDescent="0.2">
      <c r="C66" s="29" t="s">
        <v>624</v>
      </c>
      <c r="D66" s="59">
        <f>IF(D38,+(D60+D62)/D38*F31,0)</f>
        <v>0</v>
      </c>
      <c r="F66" s="59"/>
      <c r="Q66" s="395"/>
      <c r="R66" s="395"/>
      <c r="S66" s="395"/>
      <c r="T66" s="395"/>
      <c r="U66" s="395"/>
    </row>
    <row r="67" spans="1:21" x14ac:dyDescent="0.2">
      <c r="Q67" s="395"/>
      <c r="R67" s="395"/>
      <c r="S67" s="395"/>
      <c r="T67" s="395"/>
      <c r="U67" s="395"/>
    </row>
    <row r="68" spans="1:21" ht="12.75" customHeight="1" x14ac:dyDescent="0.2">
      <c r="A68" s="2325" t="s">
        <v>601</v>
      </c>
      <c r="B68" s="2326"/>
      <c r="C68" s="2327"/>
      <c r="D68" s="432">
        <f ca="1">+IF(OR(AD15="OUI",AND(AD10="OUI",AD11=52)),0,ROUND(SUM(D48:D59)+D66+D62,2))</f>
        <v>0</v>
      </c>
      <c r="Q68" s="395"/>
      <c r="R68" s="395"/>
      <c r="S68" s="395"/>
      <c r="T68" s="395"/>
      <c r="U68" s="395"/>
    </row>
    <row r="69" spans="1:21" ht="12.75" customHeight="1" thickBot="1" x14ac:dyDescent="0.25">
      <c r="Q69" s="395"/>
      <c r="R69" s="395"/>
      <c r="S69" s="395"/>
      <c r="T69" s="395"/>
      <c r="U69" s="395"/>
    </row>
    <row r="70" spans="1:21" ht="12.75" customHeight="1" thickBot="1" x14ac:dyDescent="0.25">
      <c r="A70" s="2315" t="s">
        <v>602</v>
      </c>
      <c r="B70" s="2316"/>
      <c r="C70" s="2316"/>
      <c r="D70" s="2316"/>
      <c r="E70" s="2316"/>
      <c r="F70" s="2317"/>
      <c r="G70" s="433">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95"/>
      <c r="R70" s="395"/>
      <c r="S70" s="395"/>
      <c r="T70" s="395"/>
      <c r="U70" s="395"/>
    </row>
    <row r="71" spans="1:21" ht="12.75" customHeight="1" thickBot="1" x14ac:dyDescent="0.25">
      <c r="A71" s="2318"/>
      <c r="B71" s="2319"/>
      <c r="C71" s="2319"/>
      <c r="D71" s="2319"/>
      <c r="E71" s="2319"/>
      <c r="F71" s="2320"/>
      <c r="G71" s="1314">
        <f>IF(F40,+G70/F40,0)</f>
        <v>0</v>
      </c>
      <c r="Q71" s="395"/>
      <c r="R71" s="395"/>
      <c r="S71" s="395"/>
      <c r="T71" s="395"/>
      <c r="U71" s="395"/>
    </row>
    <row r="72" spans="1:21" ht="12.75" customHeight="1" x14ac:dyDescent="0.2">
      <c r="Q72" s="395"/>
      <c r="R72" s="395"/>
      <c r="S72" s="395"/>
      <c r="T72" s="395"/>
      <c r="U72" s="395"/>
    </row>
    <row r="73" spans="1:21" ht="12.75" hidden="1" customHeight="1" x14ac:dyDescent="0.2">
      <c r="Q73" s="395"/>
      <c r="R73" s="395"/>
      <c r="S73" s="395"/>
      <c r="T73" s="395"/>
      <c r="U73" s="395"/>
    </row>
    <row r="74" spans="1:21" ht="12.75" hidden="1" customHeight="1" x14ac:dyDescent="0.2">
      <c r="A74" s="19" t="s">
        <v>981</v>
      </c>
      <c r="B74" s="19"/>
      <c r="Q74" s="395"/>
      <c r="R74" s="395"/>
      <c r="S74" s="395"/>
      <c r="T74" s="395"/>
      <c r="U74" s="395"/>
    </row>
    <row r="75" spans="1:21" ht="12.75" hidden="1" customHeight="1" x14ac:dyDescent="0.2">
      <c r="A75" s="19"/>
      <c r="B75" s="19"/>
      <c r="Q75" s="395"/>
      <c r="R75" s="395"/>
      <c r="S75" s="395"/>
      <c r="T75" s="395"/>
      <c r="U75" s="395"/>
    </row>
    <row r="76" spans="1:21" ht="12.75" hidden="1" customHeight="1" x14ac:dyDescent="0.2">
      <c r="C76" s="69" t="s">
        <v>503</v>
      </c>
      <c r="Q76" s="395"/>
      <c r="R76" s="395"/>
      <c r="S76" s="395"/>
      <c r="T76" s="395"/>
      <c r="U76" s="395"/>
    </row>
    <row r="77" spans="1:21" ht="12.75" hidden="1" customHeight="1" x14ac:dyDescent="0.2">
      <c r="A77" s="55">
        <f>+IF(AND(DATE(YEAR($AA$9),6,30)&gt;=$AA$9,DATE(YEAR($AA$9),6,1)&lt;=$AC$6,$I$4&lt;=DATE(YEAR($AA$9),6,1)),DATE(YEAR($AA$9),6,1),"Hors période")</f>
        <v>45444</v>
      </c>
      <c r="B77" s="31">
        <f>IF(O1="faux",0,IF(C77="",IFERROR(+VLOOKUP(A77,BDD,3,FALSE),0),C77))</f>
        <v>0</v>
      </c>
      <c r="C77" s="429"/>
      <c r="Q77" s="395"/>
      <c r="R77" s="395"/>
      <c r="S77" s="395"/>
      <c r="T77" s="395"/>
      <c r="U77" s="395"/>
    </row>
    <row r="78" spans="1:21" ht="12.75" hidden="1" customHeight="1" x14ac:dyDescent="0.2">
      <c r="A78" s="55">
        <f>+IF(AND(DATE(YEAR($AA$9),7,31)&gt;=$AA$9,DATE(YEAR($AA$9),7,1)&lt;=$AC$6,$I$4&lt;=DATE(YEAR($AA$9),7,31)),DATE(YEAR($AA$9),7,1),"Hors période")</f>
        <v>45474</v>
      </c>
      <c r="B78" s="31">
        <f>IF(O1="faux",0,IF(C78="",IFERROR(+VLOOKUP(A78,BDD,3,FALSE),0),C78))</f>
        <v>0</v>
      </c>
      <c r="C78" s="429"/>
      <c r="Q78" s="395"/>
      <c r="R78" s="395"/>
      <c r="S78" s="395"/>
      <c r="T78" s="395"/>
      <c r="U78" s="395"/>
    </row>
    <row r="79" spans="1:21" ht="12.75" hidden="1" customHeight="1" x14ac:dyDescent="0.2">
      <c r="A79" s="55">
        <f>+IF(AND(DATE(YEAR($AA$9),8,31)&gt;=$AA$9,DATE(YEAR($AA$9),8,1)&lt;=$AC$6,$I$4&lt;=DATE(YEAR($AA$9),8,31)),DATE(YEAR($AA$9),8,1),"Hors période")</f>
        <v>45505</v>
      </c>
      <c r="B79" s="31">
        <f>IF(O1="faux",0,IF(C79="",IFERROR(+VLOOKUP(A79,BDD,3,FALSE),0),C79))</f>
        <v>0</v>
      </c>
      <c r="C79" s="429"/>
      <c r="Q79" s="395"/>
      <c r="R79" s="395"/>
      <c r="S79" s="395"/>
      <c r="T79" s="395"/>
      <c r="U79" s="395"/>
    </row>
    <row r="80" spans="1:21" ht="12.75" hidden="1" customHeight="1" x14ac:dyDescent="0.2">
      <c r="A80" s="55">
        <f>+IF(AND(DATE(YEAR($AA$9),9,30)&gt;=$AA$9,DATE(YEAR($AA$9),9,1)&lt;=$AC$6,$I$4&lt;=DATE(YEAR($AA$9),9,30)),DATE(YEAR($AA$9),9,1),"Hors période")</f>
        <v>45536</v>
      </c>
      <c r="B80" s="31">
        <f>IF(O1="faux",0,IF(C80="",IFERROR(+VLOOKUP(A80,BDD,3,FALSE),0),C80))</f>
        <v>0</v>
      </c>
      <c r="C80" s="429"/>
      <c r="Q80" s="395"/>
      <c r="R80" s="395"/>
      <c r="S80" s="395"/>
      <c r="T80" s="395"/>
      <c r="U80" s="395"/>
    </row>
    <row r="81" spans="1:21" ht="12.75" hidden="1" customHeight="1" x14ac:dyDescent="0.2">
      <c r="A81" s="55">
        <f>+IF(AND(DATE(YEAR($AA$9),10,31)&gt;=$AA$9,DATE(YEAR($AA$9),10,1)&lt;=$AC$6,$I$4&lt;=DATE(YEAR($AA$9),10,31)),DATE(YEAR($AA$9),10,1),"Hors période")</f>
        <v>45566</v>
      </c>
      <c r="B81" s="31">
        <f>IF(O1="faux",0,IF(C81="",IFERROR(+VLOOKUP(A81,BDD,3,FALSE),0),C81))</f>
        <v>0</v>
      </c>
      <c r="C81" s="429"/>
      <c r="Q81" s="395"/>
      <c r="R81" s="395"/>
      <c r="S81" s="395"/>
      <c r="T81" s="395"/>
      <c r="U81" s="395"/>
    </row>
    <row r="82" spans="1:21" ht="12.75" hidden="1" customHeight="1" x14ac:dyDescent="0.2">
      <c r="A82" s="55">
        <f>+IF(AND(DATE(YEAR($AA$9),11,30)&gt;=$AA$9,DATE(YEAR($AA$9),11,1)&lt;=$AC$6,$I$4&lt;=DATE(YEAR($AA$9),11,30)),DATE(YEAR($AA$9),11,1),"Hors période")</f>
        <v>45597</v>
      </c>
      <c r="B82" s="31">
        <f>IF(O1="faux",0,IF(C82="",IFERROR(+VLOOKUP(A82,BDD,3,FALSE),0),C82))</f>
        <v>0</v>
      </c>
      <c r="C82" s="429"/>
      <c r="Q82" s="395"/>
      <c r="R82" s="395"/>
      <c r="S82" s="395"/>
      <c r="T82" s="395"/>
      <c r="U82" s="395"/>
    </row>
    <row r="83" spans="1:21" ht="12.75" hidden="1" customHeight="1" x14ac:dyDescent="0.2">
      <c r="A83" s="55">
        <f>+IF(AND(DATE(YEAR($AA$9),12,31)&gt;=$AA$9,DATE(YEAR($AA$9),12,1)&lt;=$AC$6,$I$4&lt;=DATE(YEAR($AA$9),12,31)),DATE(YEAR($AA$9),12,1),"Hors période")</f>
        <v>45627</v>
      </c>
      <c r="B83" s="31">
        <f>IF(O1="faux",0,IF(C83="",IFERROR(+VLOOKUP(A83,BDD,3,FALSE),0),C83))</f>
        <v>0</v>
      </c>
      <c r="C83" s="429"/>
      <c r="E83" s="59"/>
      <c r="Q83" s="395"/>
      <c r="R83" s="395"/>
      <c r="S83" s="395"/>
      <c r="T83" s="395"/>
      <c r="U83" s="395"/>
    </row>
    <row r="84" spans="1:21" ht="12.75" hidden="1" customHeight="1" x14ac:dyDescent="0.2">
      <c r="A84" s="55">
        <f>+IF(AND(DATE(YEAR($AA$9)+1,1,31)&gt;=$AA$9,DATE(YEAR($AA$9)+1,1,1)&lt;=$AC$6,$I$4&lt;=DATE(YEAR($AA$9)+1,1,31)),DATE(YEAR($AA$9)+1,1,1),"Hors période")</f>
        <v>45658</v>
      </c>
      <c r="B84" s="31">
        <f>IF(O1="faux",0,IF(C84="",IFERROR(+VLOOKUP(A84,BDD,3,FALSE),0),C84))</f>
        <v>0</v>
      </c>
      <c r="C84" s="429"/>
      <c r="E84" s="59"/>
      <c r="Q84" s="395"/>
      <c r="R84" s="395"/>
      <c r="S84" s="395"/>
      <c r="T84" s="395"/>
      <c r="U84" s="395"/>
    </row>
    <row r="85" spans="1:21" ht="12.75" hidden="1" customHeight="1" x14ac:dyDescent="0.2">
      <c r="A85" s="55">
        <f>+IF(AND(DATE(YEAR($AA$9)+1,2,29)&gt;=$AA$9,DATE(YEAR($AA$9)+1,2,1)&lt;=$AC$6,$I$4&lt;=DATE(YEAR($AA$9)+1,2,29)),DATE(YEAR($AA$9)+1,2,1),"Hors période")</f>
        <v>45689</v>
      </c>
      <c r="B85" s="31">
        <f>IF(O1="faux",0,IF(C85="",IFERROR(+VLOOKUP(A85,BDD,3,FALSE),0),C85))</f>
        <v>0</v>
      </c>
      <c r="C85" s="429"/>
      <c r="E85" s="59"/>
      <c r="Q85" s="395"/>
      <c r="R85" s="395"/>
      <c r="S85" s="395"/>
      <c r="T85" s="395"/>
      <c r="U85" s="395"/>
    </row>
    <row r="86" spans="1:21" ht="12.75" hidden="1" customHeight="1" x14ac:dyDescent="0.2">
      <c r="A86" s="55">
        <f>+IF(AND(DATE(YEAR($AA$9)+1,3,31)&gt;=$AA$9,DATE(YEAR($AA$9)+1,3,1)&lt;=$AC$6,$I$4&lt;=DATE(YEAR($AA$9)+1,3,31)),DATE(YEAR($AA$9)+1,3,1),"Hors période")</f>
        <v>45717</v>
      </c>
      <c r="B86" s="31">
        <f>IF(O1="faux",0,IF(C86="",IFERROR(+VLOOKUP(A86,BDD,3,FALSE),0),C86))</f>
        <v>0</v>
      </c>
      <c r="C86" s="429"/>
      <c r="E86" s="59"/>
      <c r="Q86" s="395"/>
      <c r="R86" s="395"/>
      <c r="S86" s="395"/>
      <c r="T86" s="395"/>
      <c r="U86" s="395"/>
    </row>
    <row r="87" spans="1:21" ht="12.75" hidden="1" customHeight="1" x14ac:dyDescent="0.2">
      <c r="A87" s="55">
        <f>+IF(AND(DATE(YEAR($AA$9)+1,4,30)&gt;=$AA$9,DATE(YEAR($AA$9)+1,4,1)&lt;=$AC$6,$I$4&lt;=DATE(YEAR($AA$9)+1,4,30)),DATE(YEAR($AA$9)+1,4,1),"Hors période")</f>
        <v>45748</v>
      </c>
      <c r="B87" s="31">
        <f>IF(O1="faux",0,IF(C87="",IFERROR(+VLOOKUP(A87,BDD,3,FALSE),0),C87))</f>
        <v>0</v>
      </c>
      <c r="C87" s="429"/>
      <c r="E87" s="59"/>
      <c r="Q87" s="395"/>
      <c r="R87" s="395"/>
      <c r="S87" s="395"/>
      <c r="T87" s="395"/>
      <c r="U87" s="395"/>
    </row>
    <row r="88" spans="1:21" ht="12.75" hidden="1" customHeight="1" x14ac:dyDescent="0.2">
      <c r="A88" s="55">
        <f>+IF(AND(DATE(YEAR($AA$9)+1,5,31)&gt;=$AA$9,DATE(YEAR($AA$9)+1,5,1)&lt;=$AC$6,$I$4&lt;=DATE(YEAR($AA$9)+1,5,31)),DATE(YEAR($AA$9)+1,5,1),"Hors période")</f>
        <v>45778</v>
      </c>
      <c r="B88" s="31">
        <f>IF(O1="faux",0,IF(C88="",IFERROR(+VLOOKUP(A88,BDD,3,FALSE),0),C88))</f>
        <v>0</v>
      </c>
      <c r="C88" s="429"/>
      <c r="E88" s="59"/>
    </row>
    <row r="89" spans="1:21" ht="13.5" hidden="1" customHeight="1" x14ac:dyDescent="0.2"/>
    <row r="90" spans="1:21" ht="12.75" hidden="1" customHeight="1" x14ac:dyDescent="0.2">
      <c r="C90" s="91" t="s">
        <v>626</v>
      </c>
      <c r="D90" s="434">
        <f>ROUND(SUM(B77:B88),2)</f>
        <v>0</v>
      </c>
    </row>
    <row r="91" spans="1:21" ht="12.75" hidden="1" customHeight="1" x14ac:dyDescent="0.2"/>
    <row r="92" spans="1:21" ht="12.75" hidden="1" customHeight="1" x14ac:dyDescent="0.2">
      <c r="B92" s="70"/>
      <c r="C92" s="71" t="s">
        <v>627</v>
      </c>
      <c r="D92" s="434">
        <f ca="1">+G70</f>
        <v>0</v>
      </c>
    </row>
    <row r="93" spans="1:21" ht="12.75" hidden="1" customHeight="1" thickBot="1" x14ac:dyDescent="0.25"/>
    <row r="94" spans="1:21" ht="12.75" hidden="1" customHeight="1" thickBot="1" x14ac:dyDescent="0.25">
      <c r="B94" s="72"/>
      <c r="C94" s="73" t="s">
        <v>628</v>
      </c>
      <c r="D94" s="435">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QHKid3xL1VoiNhZg/eivZdtCNSkx4qZau7vdXQGsMD9A4+xP3PSKdLgEc/a5lIIVFNV6MiGa2I+qYZWqrS/jyA==" saltValue="t3hVOR9BUducjZ20G1TupA==" spinCount="100000" sheet="1" objects="1" scenarios="1" formatCells="0" formatColumns="0" formatRows="0" insertColumns="0" insertRows="0" insertHyperlinks="0" sort="0" autoFilter="0" pivotTables="0"/>
  <mergeCells count="16">
    <mergeCell ref="I1:N1"/>
    <mergeCell ref="C2:H2"/>
    <mergeCell ref="B4:D4"/>
    <mergeCell ref="B5:D5"/>
    <mergeCell ref="A68:C68"/>
    <mergeCell ref="A1:H1"/>
    <mergeCell ref="A70:F71"/>
    <mergeCell ref="A62:C62"/>
    <mergeCell ref="H12:I12"/>
    <mergeCell ref="H13:I13"/>
    <mergeCell ref="A15:C16"/>
    <mergeCell ref="A18:C19"/>
    <mergeCell ref="A32:C32"/>
    <mergeCell ref="A42:C42"/>
    <mergeCell ref="A64:E64"/>
    <mergeCell ref="E13:G13"/>
  </mergeCells>
  <conditionalFormatting sqref="A74:D94">
    <cfRule type="expression" dxfId="3332" priority="18">
      <formula>$K$13=0</formula>
    </cfRule>
  </conditionalFormatting>
  <conditionalFormatting sqref="A2:Q72">
    <cfRule type="expression" dxfId="3331" priority="12">
      <formula>$T$15="OUI"</formula>
    </cfRule>
  </conditionalFormatting>
  <conditionalFormatting sqref="A27:Q28">
    <cfRule type="expression" dxfId="3330" priority="3">
      <formula>$T$15="OUI"</formula>
    </cfRule>
  </conditionalFormatting>
  <conditionalFormatting sqref="C48:C59">
    <cfRule type="expression" dxfId="3329" priority="22">
      <formula>S2="JAUNE"</formula>
    </cfRule>
  </conditionalFormatting>
  <conditionalFormatting sqref="D15:E15">
    <cfRule type="expression" dxfId="3328" priority="8">
      <formula>$T$15="OUI"</formula>
    </cfRule>
  </conditionalFormatting>
  <conditionalFormatting sqref="E7 E9 E11 F25 C48:C59 F48:F59 F65">
    <cfRule type="notContainsBlanks" dxfId="3327" priority="17">
      <formula>LEN(TRIM(C7))&gt;0</formula>
    </cfRule>
  </conditionalFormatting>
  <conditionalFormatting sqref="E15">
    <cfRule type="notContainsBlanks" dxfId="3326" priority="11">
      <formula>LEN(TRIM(E15))&gt;0</formula>
    </cfRule>
    <cfRule type="expression" dxfId="3325" priority="14">
      <formula>AND($D$15=0,$I$4&lt;DATE(YEAR($I$6)-1,5,31))</formula>
    </cfRule>
  </conditionalFormatting>
  <conditionalFormatting sqref="E18">
    <cfRule type="expression" dxfId="3324" priority="7">
      <formula>AND($D$18=0,$I$4&lt;DATE(YEAR($I$6)-1,5,31))</formula>
    </cfRule>
    <cfRule type="notContainsBlanks" dxfId="3323" priority="10">
      <formula>LEN(TRIM(E18))&gt;0</formula>
    </cfRule>
  </conditionalFormatting>
  <conditionalFormatting sqref="F28">
    <cfRule type="notContainsBlanks" dxfId="3322" priority="4">
      <formula>LEN(TRIM(F28))&gt;0</formula>
    </cfRule>
  </conditionalFormatting>
  <conditionalFormatting sqref="F29">
    <cfRule type="notContainsBlanks" dxfId="3321" priority="16">
      <formula>LEN(TRIM(F29))&gt;0</formula>
    </cfRule>
  </conditionalFormatting>
  <conditionalFormatting sqref="H13:I13">
    <cfRule type="expression" dxfId="3320" priority="19">
      <formula>$K$13=0</formula>
    </cfRule>
  </conditionalFormatting>
  <conditionalFormatting sqref="J18:J20">
    <cfRule type="cellIs" dxfId="3319" priority="2" operator="greaterThan">
      <formula>0</formula>
    </cfRule>
  </conditionalFormatting>
  <conditionalFormatting sqref="K13">
    <cfRule type="cellIs" dxfId="3318" priority="20" operator="equal">
      <formula>0</formula>
    </cfRule>
  </conditionalFormatting>
  <conditionalFormatting sqref="L16:M20">
    <cfRule type="expression" dxfId="3317" priority="15">
      <formula>$BB$1="OUI"</formula>
    </cfRule>
  </conditionalFormatting>
  <conditionalFormatting sqref="M17:M20">
    <cfRule type="cellIs" dxfId="3316" priority="1" operator="greaterThan">
      <formula>0</formula>
    </cfRule>
  </conditionalFormatting>
  <dataValidations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95"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90" t="s">
        <v>1348</v>
      </c>
      <c r="CH1" s="1020"/>
      <c r="CI1" s="1020"/>
    </row>
    <row r="2" spans="1:102" customFormat="1" x14ac:dyDescent="0.2">
      <c r="A2" s="1380" t="str">
        <f>+'Mode d''utilisation'!M2</f>
        <v>Année : 2025</v>
      </c>
      <c r="CH2" s="1020"/>
      <c r="CI2" s="1020"/>
    </row>
    <row r="3" spans="1:102" s="505" customFormat="1" x14ac:dyDescent="0.2">
      <c r="A3" s="1309">
        <v>1</v>
      </c>
      <c r="B3" s="1309">
        <v>2</v>
      </c>
      <c r="C3" s="1309">
        <v>3</v>
      </c>
      <c r="D3" s="1309">
        <v>4</v>
      </c>
      <c r="E3" s="1309">
        <v>5</v>
      </c>
      <c r="F3" s="1309">
        <v>6</v>
      </c>
      <c r="G3" s="1309">
        <v>7</v>
      </c>
      <c r="H3" s="1309">
        <v>8</v>
      </c>
      <c r="I3" s="1309">
        <v>9</v>
      </c>
      <c r="J3" s="1309">
        <v>10</v>
      </c>
      <c r="K3" s="1309">
        <v>11</v>
      </c>
      <c r="L3" s="1309">
        <v>12</v>
      </c>
      <c r="M3" s="1309">
        <v>13</v>
      </c>
      <c r="N3" s="1309">
        <v>14</v>
      </c>
      <c r="O3" s="1309">
        <v>15</v>
      </c>
      <c r="P3" s="1309">
        <v>16</v>
      </c>
      <c r="Q3" s="1309">
        <v>17</v>
      </c>
      <c r="R3" s="1309">
        <v>18</v>
      </c>
      <c r="S3" s="1309">
        <v>19</v>
      </c>
      <c r="T3" s="1309">
        <v>20</v>
      </c>
      <c r="U3" s="1309">
        <v>21</v>
      </c>
      <c r="V3" s="1309">
        <v>22</v>
      </c>
      <c r="W3" s="1309">
        <v>23</v>
      </c>
      <c r="X3" s="1309">
        <v>24</v>
      </c>
      <c r="Y3" s="1309">
        <v>25</v>
      </c>
      <c r="Z3" s="1309">
        <v>26</v>
      </c>
      <c r="AA3" s="1309">
        <v>27</v>
      </c>
      <c r="AB3" s="1309">
        <v>28</v>
      </c>
      <c r="AC3" s="1309">
        <v>29</v>
      </c>
      <c r="AD3" s="1309">
        <v>30</v>
      </c>
      <c r="AE3" s="505">
        <v>31</v>
      </c>
      <c r="AF3" s="1309">
        <v>32</v>
      </c>
      <c r="AG3" s="505">
        <v>33</v>
      </c>
      <c r="AH3" s="1309">
        <v>34</v>
      </c>
      <c r="AI3" s="505">
        <v>35</v>
      </c>
      <c r="AJ3" s="1309">
        <v>36</v>
      </c>
      <c r="AK3" s="505">
        <v>37</v>
      </c>
      <c r="AL3" s="505">
        <v>38</v>
      </c>
      <c r="AM3" s="505">
        <v>39</v>
      </c>
      <c r="AN3" s="505">
        <v>40</v>
      </c>
      <c r="AO3" s="505">
        <v>41</v>
      </c>
      <c r="AP3" s="505">
        <v>42</v>
      </c>
      <c r="AQ3" s="505">
        <v>43</v>
      </c>
      <c r="AR3" s="505">
        <v>44</v>
      </c>
      <c r="AS3" s="505">
        <v>45</v>
      </c>
      <c r="AT3" s="505">
        <v>46</v>
      </c>
      <c r="AU3" s="505">
        <v>47</v>
      </c>
      <c r="AV3" s="505">
        <v>48</v>
      </c>
      <c r="AW3" s="505">
        <v>49</v>
      </c>
      <c r="AX3" s="505">
        <v>50</v>
      </c>
      <c r="AY3" s="505">
        <v>51</v>
      </c>
      <c r="AZ3" s="505">
        <v>52</v>
      </c>
      <c r="BA3" s="505">
        <v>53</v>
      </c>
      <c r="BB3" s="505">
        <v>54</v>
      </c>
      <c r="BC3" s="505">
        <v>55</v>
      </c>
      <c r="BD3" s="505">
        <v>56</v>
      </c>
      <c r="BE3" s="505">
        <v>57</v>
      </c>
      <c r="BF3" s="505">
        <v>58</v>
      </c>
      <c r="BG3" s="505">
        <v>59</v>
      </c>
      <c r="BH3" s="505">
        <v>60</v>
      </c>
      <c r="BI3" s="505">
        <v>61</v>
      </c>
      <c r="BJ3" s="505">
        <v>62</v>
      </c>
      <c r="BK3" s="505">
        <v>63</v>
      </c>
      <c r="BL3" s="505">
        <v>64</v>
      </c>
      <c r="BM3" s="505">
        <v>65</v>
      </c>
      <c r="BN3" s="505">
        <v>66</v>
      </c>
      <c r="BO3" s="505">
        <v>67</v>
      </c>
      <c r="BP3" s="505">
        <v>68</v>
      </c>
      <c r="BQ3" s="505">
        <v>69</v>
      </c>
      <c r="BR3" s="505">
        <v>70</v>
      </c>
      <c r="BS3" s="505">
        <v>71</v>
      </c>
      <c r="BT3" s="505">
        <v>72</v>
      </c>
      <c r="BU3" s="505">
        <v>73</v>
      </c>
      <c r="BV3" s="505">
        <v>74</v>
      </c>
      <c r="BW3" s="505">
        <v>75</v>
      </c>
      <c r="BX3" s="505">
        <v>76</v>
      </c>
      <c r="BY3" s="505">
        <v>77</v>
      </c>
      <c r="BZ3" s="505">
        <v>78</v>
      </c>
      <c r="CA3" s="505">
        <v>79</v>
      </c>
      <c r="CB3" s="505">
        <v>80</v>
      </c>
      <c r="CC3" s="505">
        <v>81</v>
      </c>
      <c r="CD3" s="505">
        <v>82</v>
      </c>
      <c r="CE3" s="505">
        <v>83</v>
      </c>
      <c r="CF3" s="505">
        <v>84</v>
      </c>
      <c r="CG3" s="505">
        <v>85</v>
      </c>
      <c r="CH3" s="505">
        <v>86</v>
      </c>
      <c r="CI3" s="505">
        <v>87</v>
      </c>
      <c r="CJ3" s="505">
        <v>88</v>
      </c>
      <c r="CK3" s="505">
        <v>89</v>
      </c>
      <c r="CL3" s="505">
        <v>90</v>
      </c>
      <c r="CM3" s="505">
        <v>91</v>
      </c>
      <c r="CN3" s="505">
        <v>92</v>
      </c>
      <c r="CO3" s="505">
        <v>93</v>
      </c>
      <c r="CP3" s="505">
        <v>94</v>
      </c>
      <c r="CQ3" s="505">
        <v>95</v>
      </c>
      <c r="CR3" s="505">
        <v>96</v>
      </c>
      <c r="CS3" s="505">
        <v>97</v>
      </c>
      <c r="CT3" s="505">
        <v>98</v>
      </c>
      <c r="CU3" s="505">
        <v>99</v>
      </c>
      <c r="CV3" s="505">
        <v>100</v>
      </c>
      <c r="CW3" s="505">
        <v>101</v>
      </c>
      <c r="CX3" s="505">
        <v>102</v>
      </c>
    </row>
    <row r="4" spans="1:102" s="19" customFormat="1" x14ac:dyDescent="0.2">
      <c r="A4" s="496" t="s">
        <v>31</v>
      </c>
      <c r="B4" s="63" t="s">
        <v>560</v>
      </c>
      <c r="C4" s="63" t="s">
        <v>970</v>
      </c>
      <c r="D4" s="63" t="s">
        <v>561</v>
      </c>
      <c r="E4" s="63" t="s">
        <v>563</v>
      </c>
      <c r="F4" s="63" t="s">
        <v>564</v>
      </c>
      <c r="G4" s="63" t="s">
        <v>565</v>
      </c>
      <c r="H4" s="63" t="s">
        <v>566</v>
      </c>
      <c r="I4" s="63" t="s">
        <v>567</v>
      </c>
      <c r="J4" s="63" t="s">
        <v>568</v>
      </c>
      <c r="K4" s="63" t="s">
        <v>570</v>
      </c>
      <c r="L4" s="63" t="s">
        <v>569</v>
      </c>
      <c r="M4" s="63" t="s">
        <v>571</v>
      </c>
      <c r="N4" s="63" t="s">
        <v>572</v>
      </c>
      <c r="O4" s="63" t="s">
        <v>573</v>
      </c>
      <c r="P4" s="63" t="s">
        <v>574</v>
      </c>
      <c r="Q4" s="63" t="s">
        <v>577</v>
      </c>
      <c r="R4" s="63" t="s">
        <v>578</v>
      </c>
      <c r="S4" s="63" t="s">
        <v>575</v>
      </c>
      <c r="T4" s="63" t="s">
        <v>576</v>
      </c>
      <c r="U4" s="63" t="s">
        <v>609</v>
      </c>
      <c r="V4" s="63" t="s">
        <v>611</v>
      </c>
      <c r="W4" s="63" t="s">
        <v>634</v>
      </c>
      <c r="X4" s="63" t="s">
        <v>650</v>
      </c>
      <c r="Y4" s="63" t="s">
        <v>651</v>
      </c>
      <c r="Z4" s="63" t="s">
        <v>1380</v>
      </c>
      <c r="AA4" s="63" t="s">
        <v>1381</v>
      </c>
      <c r="AB4" s="63" t="s">
        <v>716</v>
      </c>
      <c r="AC4" s="63" t="s">
        <v>562</v>
      </c>
      <c r="AD4" s="19" t="s">
        <v>728</v>
      </c>
      <c r="AE4" s="19" t="s">
        <v>729</v>
      </c>
      <c r="AF4" s="19" t="s">
        <v>730</v>
      </c>
      <c r="AG4" s="19" t="s">
        <v>731</v>
      </c>
      <c r="AH4" s="19" t="s">
        <v>732</v>
      </c>
      <c r="AI4" s="19" t="s">
        <v>733</v>
      </c>
      <c r="AJ4" s="19" t="s">
        <v>734</v>
      </c>
      <c r="AK4" s="19" t="s">
        <v>735</v>
      </c>
      <c r="AL4" s="19" t="s">
        <v>747</v>
      </c>
      <c r="AM4" s="19" t="s">
        <v>748</v>
      </c>
      <c r="AN4" s="19" t="s">
        <v>782</v>
      </c>
      <c r="AO4" s="19" t="s">
        <v>868</v>
      </c>
      <c r="AP4" s="19" t="s">
        <v>869</v>
      </c>
      <c r="AQ4" s="19" t="s">
        <v>1382</v>
      </c>
      <c r="AR4" s="19" t="s">
        <v>1383</v>
      </c>
      <c r="AS4" s="19" t="s">
        <v>870</v>
      </c>
      <c r="AT4" s="19" t="s">
        <v>1384</v>
      </c>
      <c r="AU4" s="19" t="s">
        <v>872</v>
      </c>
      <c r="AV4" s="19" t="s">
        <v>871</v>
      </c>
      <c r="AW4" s="19" t="s">
        <v>1385</v>
      </c>
      <c r="AX4" s="19" t="s">
        <v>873</v>
      </c>
      <c r="AY4" s="19" t="s">
        <v>874</v>
      </c>
      <c r="AZ4" s="19" t="s">
        <v>1508</v>
      </c>
      <c r="BA4" s="19" t="s">
        <v>1509</v>
      </c>
      <c r="BB4" s="19" t="s">
        <v>1510</v>
      </c>
      <c r="BC4" s="19" t="s">
        <v>1511</v>
      </c>
      <c r="BD4" s="19" t="s">
        <v>962</v>
      </c>
      <c r="BE4" s="19" t="s">
        <v>1386</v>
      </c>
      <c r="BF4" s="19" t="s">
        <v>960</v>
      </c>
      <c r="BG4" s="19" t="s">
        <v>1387</v>
      </c>
      <c r="BH4" s="19" t="s">
        <v>1005</v>
      </c>
      <c r="BI4" s="19" t="s">
        <v>1512</v>
      </c>
      <c r="BJ4" s="19" t="s">
        <v>1006</v>
      </c>
      <c r="BK4" s="19" t="s">
        <v>1031</v>
      </c>
      <c r="BL4" s="19" t="s">
        <v>1035</v>
      </c>
      <c r="BM4" s="19" t="s">
        <v>1036</v>
      </c>
      <c r="BN4" s="19" t="s">
        <v>1037</v>
      </c>
      <c r="BO4" s="19" t="s">
        <v>1038</v>
      </c>
      <c r="BP4" s="19" t="s">
        <v>1039</v>
      </c>
      <c r="BQ4" s="19" t="s">
        <v>1224</v>
      </c>
      <c r="BR4" s="19" t="s">
        <v>1223</v>
      </c>
      <c r="BS4" s="19" t="s">
        <v>1302</v>
      </c>
      <c r="BT4" s="19" t="s">
        <v>1303</v>
      </c>
      <c r="BU4" s="19" t="s">
        <v>1304</v>
      </c>
      <c r="BV4" s="19" t="s">
        <v>1305</v>
      </c>
      <c r="BW4" s="19" t="s">
        <v>1306</v>
      </c>
      <c r="BX4" s="19" t="s">
        <v>1307</v>
      </c>
      <c r="BY4" s="19" t="s">
        <v>1308</v>
      </c>
      <c r="BZ4" s="19" t="s">
        <v>1309</v>
      </c>
      <c r="CA4" s="19" t="s">
        <v>1310</v>
      </c>
      <c r="CB4" s="19" t="s">
        <v>1311</v>
      </c>
      <c r="CC4" s="19" t="s">
        <v>1312</v>
      </c>
      <c r="CD4" s="19" t="s">
        <v>1313</v>
      </c>
      <c r="CE4" s="19" t="s">
        <v>1314</v>
      </c>
      <c r="CF4" s="19" t="s">
        <v>1315</v>
      </c>
      <c r="CG4" s="19" t="s">
        <v>1316</v>
      </c>
      <c r="CH4" s="19" t="s">
        <v>1317</v>
      </c>
      <c r="CI4" s="19" t="s">
        <v>1379</v>
      </c>
      <c r="CJ4" s="19" t="s">
        <v>1529</v>
      </c>
      <c r="CK4" s="19" t="s">
        <v>1576</v>
      </c>
      <c r="CL4" s="19" t="s">
        <v>1606</v>
      </c>
      <c r="CM4" s="19" t="s">
        <v>1607</v>
      </c>
      <c r="CN4" s="19" t="s">
        <v>1611</v>
      </c>
      <c r="CO4" s="19" t="s">
        <v>1599</v>
      </c>
      <c r="CP4" s="19" t="s">
        <v>1634</v>
      </c>
      <c r="CQ4" s="19" t="s">
        <v>1635</v>
      </c>
      <c r="CR4" s="19" t="s">
        <v>1636</v>
      </c>
      <c r="CS4" s="19" t="s">
        <v>1637</v>
      </c>
      <c r="CT4" s="19" t="s">
        <v>1657</v>
      </c>
      <c r="CU4" s="19" t="s">
        <v>1658</v>
      </c>
      <c r="CV4" s="19" t="s">
        <v>1689</v>
      </c>
      <c r="CW4" s="19" t="s">
        <v>1700</v>
      </c>
      <c r="CX4" s="63" t="s">
        <v>1722</v>
      </c>
    </row>
    <row r="5" spans="1:102" s="16" customFormat="1" x14ac:dyDescent="0.2">
      <c r="A5" s="320">
        <f>+Janvier!$X$3</f>
        <v>45658</v>
      </c>
      <c r="B5" s="498">
        <f ca="1">+Janvier!$DP$20</f>
        <v>0</v>
      </c>
      <c r="C5" s="321">
        <f>+Janvier!$HO$16</f>
        <v>0</v>
      </c>
      <c r="D5" s="321">
        <f>+Janvier!$T$30</f>
        <v>0</v>
      </c>
      <c r="E5" s="321">
        <f>+Janvier!$EF$16</f>
        <v>0</v>
      </c>
      <c r="F5" s="321">
        <f>+Janvier!$EG$16</f>
        <v>0</v>
      </c>
      <c r="G5" s="321">
        <f>+Janvier!$EF$17</f>
        <v>0</v>
      </c>
      <c r="H5" s="321">
        <f>+Janvier!$EG$17</f>
        <v>0</v>
      </c>
      <c r="I5" s="321">
        <f>+Janvier!$EH$16</f>
        <v>0</v>
      </c>
      <c r="J5" s="321">
        <f>+Janvier!$EI$16</f>
        <v>0</v>
      </c>
      <c r="K5" s="321">
        <f>+Janvier!$EH$17</f>
        <v>0</v>
      </c>
      <c r="L5" s="321">
        <f>+Janvier!$EI$17</f>
        <v>0</v>
      </c>
      <c r="M5" s="321">
        <f>+Janvier!$AH$89</f>
        <v>0</v>
      </c>
      <c r="N5" s="321">
        <f>+Janvier!$AH$90</f>
        <v>0</v>
      </c>
      <c r="O5" s="321">
        <f>+Janvier!$AL$89</f>
        <v>0</v>
      </c>
      <c r="P5" s="321">
        <f>+Janvier!$AL$90</f>
        <v>0</v>
      </c>
      <c r="Q5" s="321">
        <f>+Janvier!$AH$92</f>
        <v>0</v>
      </c>
      <c r="R5" s="321">
        <f>+Janvier!$AL$92</f>
        <v>0</v>
      </c>
      <c r="S5" s="321">
        <f>+Janvier!$AH$87</f>
        <v>0</v>
      </c>
      <c r="T5" s="321">
        <f>+Janvier!$AH$93</f>
        <v>0</v>
      </c>
      <c r="U5" s="321">
        <f>+Janvier!$DP$13</f>
        <v>0</v>
      </c>
      <c r="V5" s="321">
        <f>+Janvier!$DP$11</f>
        <v>0</v>
      </c>
      <c r="W5" s="321"/>
      <c r="X5" s="321"/>
      <c r="Y5" s="321" t="e">
        <f>+Janvier!$DP$15</f>
        <v>#DIV/0!</v>
      </c>
      <c r="Z5" s="321">
        <f>+Janvier!$DP$8</f>
        <v>0</v>
      </c>
      <c r="AA5" s="322">
        <f>+Janvier!$EH$15</f>
        <v>0</v>
      </c>
      <c r="AB5" s="322">
        <f>'Retenue Janv'!BJ64</f>
        <v>0</v>
      </c>
      <c r="AC5" s="322">
        <f ca="1">+Janvier!$N$62</f>
        <v>0</v>
      </c>
      <c r="AD5" s="322">
        <f>'Retenue Janv'!BV13</f>
        <v>0</v>
      </c>
      <c r="AE5" s="322">
        <f>'Retenue Janv'!BV14</f>
        <v>0</v>
      </c>
      <c r="AF5" s="322">
        <f>'Retenue Janv'!BV15</f>
        <v>0</v>
      </c>
      <c r="AG5" s="322">
        <f>'Retenue Janv'!BV16</f>
        <v>0</v>
      </c>
      <c r="AH5" s="322">
        <f>'Retenue Janv'!BV17</f>
        <v>0</v>
      </c>
      <c r="AI5" s="322">
        <f>'Retenue Janv'!BV18</f>
        <v>0</v>
      </c>
      <c r="AJ5" s="322">
        <f>'Retenue Janv'!BV19</f>
        <v>0</v>
      </c>
      <c r="AK5" s="322">
        <f>'Retenue Janv'!BV20</f>
        <v>0</v>
      </c>
      <c r="AL5" s="322">
        <f>'Retenue Janv'!BJ11</f>
        <v>0</v>
      </c>
      <c r="AM5" s="322" t="str">
        <f>'Retenue Janv'!BK3</f>
        <v>Méthode 1</v>
      </c>
      <c r="AN5" s="321">
        <f ca="1">+Janvier!$T$35</f>
        <v>0</v>
      </c>
      <c r="AO5" s="321">
        <f ca="1">+Régularisation!$F$44</f>
        <v>0</v>
      </c>
      <c r="AP5" s="321">
        <f ca="1">+Régularisation!$F$45</f>
        <v>0</v>
      </c>
      <c r="AQ5" s="322" t="e">
        <f>+Régularisation!$F$54</f>
        <v>#DIV/0!</v>
      </c>
      <c r="AR5" s="322" t="e">
        <f>+Régularisation!$F$55</f>
        <v>#DIV/0!</v>
      </c>
      <c r="AS5" s="321">
        <f ca="1">+Régularisation!$F$69</f>
        <v>0</v>
      </c>
      <c r="AT5" s="321">
        <f ca="1">+Régularisation!$F$70</f>
        <v>0</v>
      </c>
      <c r="AU5" s="321">
        <f ca="1">+Régularisation!$F$71</f>
        <v>0</v>
      </c>
      <c r="AV5" s="321">
        <f>+Régularisation!$F$74</f>
        <v>0</v>
      </c>
      <c r="AW5" s="321">
        <f>+Régularisation!$F$75</f>
        <v>0</v>
      </c>
      <c r="AX5" s="321">
        <f>+Régularisation!$F$76</f>
        <v>0</v>
      </c>
      <c r="AY5" s="469">
        <f ca="1">+Régularisation!$F$78</f>
        <v>0</v>
      </c>
      <c r="AZ5" s="492">
        <f>+Janvier!$R$87</f>
        <v>0</v>
      </c>
      <c r="BA5" s="492">
        <f>+Janvier!$R$88</f>
        <v>0</v>
      </c>
      <c r="BB5" s="492">
        <f>+Janvier!$R$89</f>
        <v>0</v>
      </c>
      <c r="BC5" s="492" t="e">
        <f ca="1">+Janvier!$EG$2</f>
        <v>#DIV/0!</v>
      </c>
      <c r="BD5" s="492">
        <f ca="1">+Janvier!$EG$1</f>
        <v>0</v>
      </c>
      <c r="BE5" s="500" t="e">
        <f ca="1">+Janvier!$EG$2</f>
        <v>#DIV/0!</v>
      </c>
      <c r="BF5" s="500" t="e">
        <f>+Janvier!$EG$3</f>
        <v>#DIV/0!</v>
      </c>
      <c r="BG5" s="500" t="e">
        <f>+Janvier!$DK$27</f>
        <v>#DIV/0!</v>
      </c>
      <c r="BH5" s="500">
        <f>+Janvier!$DK$28</f>
        <v>0</v>
      </c>
      <c r="BI5" s="500">
        <f>+Janvier!$DM$28</f>
        <v>0</v>
      </c>
      <c r="BJ5" s="500">
        <f>+Janvier!$DM$29</f>
        <v>0</v>
      </c>
      <c r="BK5" s="500">
        <f>IF(Janvier!AL14,(Janvier!HO16+Janvier!T30)/Janvier!AL14,0)</f>
        <v>0</v>
      </c>
      <c r="BL5" s="573">
        <f>+Janvier!$T$32</f>
        <v>0</v>
      </c>
      <c r="BM5" s="573">
        <f>+Janvier!$T$33</f>
        <v>0</v>
      </c>
      <c r="BN5" s="573">
        <f>+Janvier!$BZ$98</f>
        <v>0</v>
      </c>
      <c r="BO5" s="573">
        <f>+Janvier!$BZ$100</f>
        <v>0</v>
      </c>
      <c r="BP5" s="573">
        <f>+Janvier!$BZ$102</f>
        <v>0</v>
      </c>
      <c r="BQ5" s="635">
        <f>+Janvier!$BZ$74</f>
        <v>0</v>
      </c>
      <c r="BR5" s="888">
        <f>'Retenue Janv'!E52</f>
        <v>0</v>
      </c>
      <c r="BS5" s="946" t="str">
        <f>+Janvier!$AA$63</f>
        <v/>
      </c>
      <c r="BT5" s="946" t="str">
        <f>+Janvier!$AG$63</f>
        <v/>
      </c>
      <c r="BU5" s="946" t="str">
        <f>+Janvier!$AJ$63</f>
        <v/>
      </c>
      <c r="BV5" s="946" t="str">
        <f>+Janvier!$AM$63</f>
        <v/>
      </c>
      <c r="BW5" s="946" t="str">
        <f>+Janvier!$AA$64</f>
        <v/>
      </c>
      <c r="BX5" s="946" t="str">
        <f>+Janvier!$AG$64</f>
        <v/>
      </c>
      <c r="BY5" s="946" t="str">
        <f>+Janvier!$AJ$64</f>
        <v/>
      </c>
      <c r="BZ5" s="946" t="str">
        <f>+Janvier!$AM$64</f>
        <v/>
      </c>
      <c r="CA5" s="946" t="str">
        <f>+Janvier!$AA$65</f>
        <v/>
      </c>
      <c r="CB5" s="946" t="str">
        <f>+Janvier!$AG$65</f>
        <v/>
      </c>
      <c r="CC5" s="946" t="str">
        <f>+Janvier!$AJ$65</f>
        <v/>
      </c>
      <c r="CD5" s="946" t="str">
        <f>+Janvier!$AM$65</f>
        <v/>
      </c>
      <c r="CE5" s="946" t="str">
        <f>+Janvier!$AA$66</f>
        <v/>
      </c>
      <c r="CF5" s="946" t="str">
        <f>+Janvier!$AG$66</f>
        <v/>
      </c>
      <c r="CG5" s="946" t="str">
        <f>+Janvier!$AJ$66</f>
        <v/>
      </c>
      <c r="CH5" s="946" t="str">
        <f>+Janvier!$AM$66</f>
        <v/>
      </c>
      <c r="CI5" s="321">
        <f>+Janvier!$DP$23</f>
        <v>0</v>
      </c>
      <c r="CJ5" s="321">
        <f>IFERROR(+VLOOKUP("Janvier",'CP Année Incomplète au 31-05'!$L$17:$M$20,2,FALSE),0)</f>
        <v>0</v>
      </c>
      <c r="CK5" s="888">
        <f>+'CP Année Incomplète au 31-05'!$F$40</f>
        <v>0</v>
      </c>
      <c r="CL5" s="321" t="str">
        <f>+Janvier!$B$34</f>
        <v/>
      </c>
      <c r="CM5" s="321">
        <f ca="1">+IF(CL5=S.CAL!$FT$3,SUM(Janvier!$T$18:$W$31)+Janvier!$T$33,AN5)</f>
        <v>0</v>
      </c>
      <c r="CN5" s="321">
        <f ca="1">SUM(Janvier!$T$18:$W$31)+Janvier!$T$33</f>
        <v>0</v>
      </c>
      <c r="CO5" s="573">
        <f>+Janvier!$DP$25</f>
        <v>0</v>
      </c>
      <c r="CP5" s="321">
        <f>+Janvier!$DP$26</f>
        <v>0</v>
      </c>
      <c r="CQ5" s="321">
        <f>+Janvier!$DP$27</f>
        <v>0</v>
      </c>
      <c r="CR5" s="321">
        <f>+Janvier!$DP$28</f>
        <v>0</v>
      </c>
      <c r="CS5" s="321">
        <f>+Janvier!$DP$29</f>
        <v>0</v>
      </c>
      <c r="CT5" s="321">
        <f>+Janvier!$AH$86</f>
        <v>0</v>
      </c>
      <c r="CU5" s="321">
        <f>+Janvier!$AL$86</f>
        <v>0</v>
      </c>
      <c r="CV5" s="321" t="e">
        <f>+'Salaire mensuel base 10%'!E5</f>
        <v>#DIV/0!</v>
      </c>
      <c r="CW5" s="321">
        <f>+Janvier!$T$31</f>
        <v>0</v>
      </c>
      <c r="CX5" s="851">
        <f>+Janvier!$DP$30</f>
        <v>0</v>
      </c>
    </row>
    <row r="6" spans="1:102" s="16" customFormat="1" x14ac:dyDescent="0.2">
      <c r="A6" s="320">
        <f>+Février!$X$3</f>
        <v>45689</v>
      </c>
      <c r="B6" s="498">
        <f>+Février!$DP$20</f>
        <v>0</v>
      </c>
      <c r="C6" s="321">
        <f>+Février!$HO$16</f>
        <v>0</v>
      </c>
      <c r="D6" s="321">
        <f>+Février!$T$30</f>
        <v>0</v>
      </c>
      <c r="E6" s="321">
        <f>+Février!$EF$16</f>
        <v>0</v>
      </c>
      <c r="F6" s="321">
        <f>+Février!$EG$16</f>
        <v>0</v>
      </c>
      <c r="G6" s="321">
        <f>+Février!$EF$17</f>
        <v>0</v>
      </c>
      <c r="H6" s="321">
        <f>+Février!$EG$17</f>
        <v>0</v>
      </c>
      <c r="I6" s="321">
        <f>+Février!$EH$16</f>
        <v>0</v>
      </c>
      <c r="J6" s="321">
        <f>+Février!$EI$16</f>
        <v>0</v>
      </c>
      <c r="K6" s="321">
        <f>+Février!$EH$17</f>
        <v>0</v>
      </c>
      <c r="L6" s="321">
        <f>+Février!$EI$17</f>
        <v>0</v>
      </c>
      <c r="M6" s="321">
        <f>+Février!$AH$89</f>
        <v>0</v>
      </c>
      <c r="N6" s="321">
        <f>+Février!$AH$90</f>
        <v>0</v>
      </c>
      <c r="O6" s="321">
        <f>+Février!$AL$89</f>
        <v>0</v>
      </c>
      <c r="P6" s="321">
        <f>+Février!$AL$90</f>
        <v>0</v>
      </c>
      <c r="Q6" s="321">
        <f>+Février!$AH$92</f>
        <v>0</v>
      </c>
      <c r="R6" s="321">
        <f>+Février!$AL$92</f>
        <v>0</v>
      </c>
      <c r="S6" s="321">
        <f>+Février!$AH$87</f>
        <v>0</v>
      </c>
      <c r="T6" s="321">
        <f>+Février!$AH$93</f>
        <v>0</v>
      </c>
      <c r="U6" s="321">
        <f>+Février!$DP$13</f>
        <v>0</v>
      </c>
      <c r="V6" s="321">
        <f>+Février!$DP$11</f>
        <v>0</v>
      </c>
      <c r="W6" s="321"/>
      <c r="X6" s="321"/>
      <c r="Y6" s="321" t="e">
        <f>+Février!$DP$15</f>
        <v>#DIV/0!</v>
      </c>
      <c r="Z6" s="321">
        <f>+Février!$DP$8</f>
        <v>0</v>
      </c>
      <c r="AA6" s="322">
        <f>+Février!$EH$15</f>
        <v>0</v>
      </c>
      <c r="AB6" s="322">
        <f>'Retenue Fev'!BJ64</f>
        <v>0</v>
      </c>
      <c r="AC6" s="322">
        <f>+Février!$N$62</f>
        <v>0</v>
      </c>
      <c r="AD6" s="322">
        <f>'Retenue Fev'!BV13</f>
        <v>0</v>
      </c>
      <c r="AE6" s="322">
        <f>'Retenue Fev'!BV14</f>
        <v>0</v>
      </c>
      <c r="AF6" s="322">
        <f>'Retenue Fev'!BV15</f>
        <v>0</v>
      </c>
      <c r="AG6" s="322">
        <f>'Retenue Fev'!BV16</f>
        <v>0</v>
      </c>
      <c r="AH6" s="322">
        <f>'Retenue Fev'!BV17</f>
        <v>0</v>
      </c>
      <c r="AI6" s="322">
        <f>'Retenue Fev'!BV18</f>
        <v>0</v>
      </c>
      <c r="AJ6" s="322">
        <f>'Retenue Fev'!BV19</f>
        <v>0</v>
      </c>
      <c r="AK6" s="322">
        <f>'Retenue Fev'!BV20</f>
        <v>0</v>
      </c>
      <c r="AL6" s="322">
        <f>'Retenue Fev'!BJ11</f>
        <v>0</v>
      </c>
      <c r="AM6" s="322" t="str">
        <f>'Retenue Fev'!BK3</f>
        <v>Méthode 1</v>
      </c>
      <c r="AN6" s="321">
        <f>+Février!$T$35</f>
        <v>0</v>
      </c>
      <c r="AO6" s="321">
        <f>+Régularisation!$I$44</f>
        <v>0</v>
      </c>
      <c r="AP6" s="321">
        <f>+Régularisation!$I$45</f>
        <v>0</v>
      </c>
      <c r="AQ6" s="322" t="e">
        <f>+Régularisation!$I$54</f>
        <v>#DIV/0!</v>
      </c>
      <c r="AR6" s="322" t="e">
        <f>+Régularisation!$I$55</f>
        <v>#DIV/0!</v>
      </c>
      <c r="AS6" s="321">
        <f>+Régularisation!$I$69</f>
        <v>0</v>
      </c>
      <c r="AT6" s="321">
        <f>+Régularisation!$I$70</f>
        <v>0</v>
      </c>
      <c r="AU6" s="321">
        <f>+Régularisation!$I$71</f>
        <v>0</v>
      </c>
      <c r="AV6" s="321">
        <f>+Régularisation!$I$74</f>
        <v>0</v>
      </c>
      <c r="AW6" s="321">
        <f>+Régularisation!$I$75</f>
        <v>0</v>
      </c>
      <c r="AX6" s="321">
        <f>+Régularisation!$I$76</f>
        <v>0</v>
      </c>
      <c r="AY6" s="469">
        <f>+Régularisation!$I$78</f>
        <v>0</v>
      </c>
      <c r="AZ6" s="492">
        <f>+Février!$R$87</f>
        <v>0</v>
      </c>
      <c r="BA6" s="492">
        <f>+Février!$R$88</f>
        <v>0</v>
      </c>
      <c r="BB6" s="492">
        <f>+Février!$R$89</f>
        <v>0</v>
      </c>
      <c r="BC6" s="492" t="e">
        <f>+Février!$EG$2</f>
        <v>#DIV/0!</v>
      </c>
      <c r="BD6" s="492">
        <f>+Février!$EG$1</f>
        <v>0</v>
      </c>
      <c r="BE6" s="500" t="e">
        <f>+Février!$EG$2</f>
        <v>#DIV/0!</v>
      </c>
      <c r="BF6" s="500" t="e">
        <f>+Février!$EG$3</f>
        <v>#DIV/0!</v>
      </c>
      <c r="BG6" s="500" t="e">
        <f>+Février!$DK$27</f>
        <v>#DIV/0!</v>
      </c>
      <c r="BH6" s="500">
        <f>+Février!$DK$28</f>
        <v>0</v>
      </c>
      <c r="BI6" s="500">
        <f>+Février!$DM$28</f>
        <v>0</v>
      </c>
      <c r="BJ6" s="500">
        <f>+Février!$DM$29</f>
        <v>0</v>
      </c>
      <c r="BK6" s="500">
        <f>IF(Février!AL14,(Février!HO16+Février!T30)/Février!AL14,0)</f>
        <v>0</v>
      </c>
      <c r="BL6" s="573">
        <f>+Février!$T$32</f>
        <v>0</v>
      </c>
      <c r="BM6" s="573">
        <f>+Février!$T$33</f>
        <v>0</v>
      </c>
      <c r="BN6" s="573">
        <f>+Février!$BZ$98</f>
        <v>0</v>
      </c>
      <c r="BO6" s="573">
        <f>+Février!$BZ$100</f>
        <v>0</v>
      </c>
      <c r="BP6" s="573">
        <f>+Février!$BZ$102</f>
        <v>0</v>
      </c>
      <c r="BQ6" s="635">
        <f>+Février!$BZ$74</f>
        <v>0</v>
      </c>
      <c r="BR6" s="888">
        <f>'Retenue Fev'!E52</f>
        <v>0</v>
      </c>
      <c r="BS6" s="946" t="str">
        <f>+Février!$AA$63</f>
        <v/>
      </c>
      <c r="BT6" s="946" t="str">
        <f>+Février!$AG$63</f>
        <v/>
      </c>
      <c r="BU6" s="946" t="str">
        <f>+Février!$AJ$63</f>
        <v/>
      </c>
      <c r="BV6" s="946" t="str">
        <f>+Février!$AM$63</f>
        <v/>
      </c>
      <c r="BW6" s="946" t="str">
        <f>+Février!$AA$64</f>
        <v/>
      </c>
      <c r="BX6" s="946" t="str">
        <f>+Février!$AG$64</f>
        <v/>
      </c>
      <c r="BY6" s="946" t="str">
        <f>+Février!$AJ$64</f>
        <v/>
      </c>
      <c r="BZ6" s="946" t="str">
        <f>+Février!$AM$64</f>
        <v/>
      </c>
      <c r="CA6" s="946" t="str">
        <f>+Février!$AA$65</f>
        <v/>
      </c>
      <c r="CB6" s="946" t="str">
        <f>+Février!$AG$65</f>
        <v/>
      </c>
      <c r="CC6" s="946" t="str">
        <f>+Février!$AJ$65</f>
        <v/>
      </c>
      <c r="CD6" s="946" t="str">
        <f>+Février!$AM$65</f>
        <v/>
      </c>
      <c r="CE6" s="946" t="str">
        <f>+Février!$AA$66</f>
        <v/>
      </c>
      <c r="CF6" s="946" t="str">
        <f>+Février!$AG$66</f>
        <v/>
      </c>
      <c r="CG6" s="946" t="str">
        <f>+Février!$AJ$66</f>
        <v/>
      </c>
      <c r="CH6" s="946" t="str">
        <f>+Février!$AM$66</f>
        <v/>
      </c>
      <c r="CI6" s="321">
        <f>+Février!$DP$23</f>
        <v>0</v>
      </c>
      <c r="CJ6" s="321">
        <f>IFERROR(+VLOOKUP("Février",'CP Année Incomplète au 31-05'!$L$17:$M$20,2,FALSE),0)</f>
        <v>0</v>
      </c>
      <c r="CK6" s="888">
        <f>+'CP Année Incomplète au 31-05'!$F$40</f>
        <v>0</v>
      </c>
      <c r="CL6" s="321" t="str">
        <f>+Février!$B$34</f>
        <v/>
      </c>
      <c r="CM6" s="321">
        <f>+IF(CL6=S.CAL!$FT$3,SUM(Février!$T$18:$W$31)+Février!$T$33,AN6)</f>
        <v>0</v>
      </c>
      <c r="CN6" s="321">
        <f>SUM(Février!$T$18:$W$31)+Février!$T$33</f>
        <v>0</v>
      </c>
      <c r="CO6" s="573">
        <f>+Février!$DP$25</f>
        <v>0</v>
      </c>
      <c r="CP6" s="321">
        <f>+Février!$DP$26</f>
        <v>0</v>
      </c>
      <c r="CQ6" s="321">
        <f>+Février!$DP$27</f>
        <v>0</v>
      </c>
      <c r="CR6" s="321">
        <f>+Février!$DP$28</f>
        <v>0</v>
      </c>
      <c r="CS6" s="321">
        <f>+Février!$DP$29</f>
        <v>0</v>
      </c>
      <c r="CT6" s="321">
        <f>+Février!$AH$86</f>
        <v>0</v>
      </c>
      <c r="CU6" s="321">
        <f>+Février!$AL$86</f>
        <v>0</v>
      </c>
      <c r="CV6" s="321" t="e">
        <f>+'Salaire mensuel base 10%'!E6</f>
        <v>#DIV/0!</v>
      </c>
      <c r="CW6" s="321">
        <f>+Février!$T$31</f>
        <v>0</v>
      </c>
      <c r="CX6" s="851">
        <f>+Février!$DP$30</f>
        <v>0</v>
      </c>
    </row>
    <row r="7" spans="1:102" s="16" customFormat="1" x14ac:dyDescent="0.2">
      <c r="A7" s="320">
        <f>+Mars!$X$3</f>
        <v>45717</v>
      </c>
      <c r="B7" s="498">
        <f>+Mars!$DP$20</f>
        <v>0</v>
      </c>
      <c r="C7" s="321">
        <f>+Mars!$HO$16</f>
        <v>0</v>
      </c>
      <c r="D7" s="321">
        <f>+Mars!$T$30</f>
        <v>0</v>
      </c>
      <c r="E7" s="321">
        <f>+Mars!$EF$16</f>
        <v>0</v>
      </c>
      <c r="F7" s="321">
        <f>+Mars!$EG$16</f>
        <v>0</v>
      </c>
      <c r="G7" s="321">
        <f>+Mars!$EF$17</f>
        <v>0</v>
      </c>
      <c r="H7" s="321">
        <f>+Mars!$EG$17</f>
        <v>0</v>
      </c>
      <c r="I7" s="321">
        <f>+Mars!$EH$16</f>
        <v>0</v>
      </c>
      <c r="J7" s="321">
        <f>+Mars!$EI$16</f>
        <v>0</v>
      </c>
      <c r="K7" s="321">
        <f>+Mars!$EH$17</f>
        <v>0</v>
      </c>
      <c r="L7" s="321">
        <f>+Mars!$EI$17</f>
        <v>0</v>
      </c>
      <c r="M7" s="321">
        <f>+Mars!$AH$89</f>
        <v>0</v>
      </c>
      <c r="N7" s="321">
        <f>+Mars!$AH$90</f>
        <v>0</v>
      </c>
      <c r="O7" s="321">
        <f>+Mars!$AL$89</f>
        <v>0</v>
      </c>
      <c r="P7" s="321">
        <f>+Mars!$AL$90</f>
        <v>0</v>
      </c>
      <c r="Q7" s="321">
        <f>+Mars!$AH$92</f>
        <v>0</v>
      </c>
      <c r="R7" s="321">
        <f>+Mars!$AL$92</f>
        <v>0</v>
      </c>
      <c r="S7" s="321">
        <f>+Mars!$AH$87</f>
        <v>0</v>
      </c>
      <c r="T7" s="321">
        <f>+Mars!$AH$93</f>
        <v>0</v>
      </c>
      <c r="U7" s="321">
        <f>+Mars!$DP$13</f>
        <v>0</v>
      </c>
      <c r="V7" s="321">
        <f>+Mars!$DP$11</f>
        <v>0</v>
      </c>
      <c r="W7" s="321"/>
      <c r="X7" s="321"/>
      <c r="Y7" s="321" t="e">
        <f>+Mars!$DP$15</f>
        <v>#DIV/0!</v>
      </c>
      <c r="Z7" s="321">
        <f>+Mars!$DP$8</f>
        <v>0</v>
      </c>
      <c r="AA7" s="322">
        <f>+Mars!$EH$15</f>
        <v>0</v>
      </c>
      <c r="AB7" s="322">
        <f>'Retenue Mars'!BJ64</f>
        <v>0</v>
      </c>
      <c r="AC7" s="322">
        <f>+Mars!$N$62</f>
        <v>0</v>
      </c>
      <c r="AD7" s="322">
        <f>'Retenue Mars'!BV13</f>
        <v>0</v>
      </c>
      <c r="AE7" s="322">
        <f>'Retenue Mars'!BV14</f>
        <v>0</v>
      </c>
      <c r="AF7" s="322">
        <f>'Retenue Mars'!BV15</f>
        <v>0</v>
      </c>
      <c r="AG7" s="322">
        <f>'Retenue Mars'!BV16</f>
        <v>0</v>
      </c>
      <c r="AH7" s="322">
        <f>'Retenue Mars'!BV17</f>
        <v>0</v>
      </c>
      <c r="AI7" s="322">
        <f>'Retenue Mars'!BV18</f>
        <v>0</v>
      </c>
      <c r="AJ7" s="322">
        <f>'Retenue Mars'!BV19</f>
        <v>0</v>
      </c>
      <c r="AK7" s="322">
        <f>'Retenue Mars'!BV20</f>
        <v>0</v>
      </c>
      <c r="AL7" s="322">
        <f>'Retenue Mars'!BJ11</f>
        <v>0</v>
      </c>
      <c r="AM7" s="322" t="str">
        <f>'Retenue Mars'!BK3</f>
        <v>Méthode 1</v>
      </c>
      <c r="AN7" s="321">
        <f>+Mars!$T$35</f>
        <v>0</v>
      </c>
      <c r="AO7" s="321">
        <f>+Régularisation!$L$44</f>
        <v>0</v>
      </c>
      <c r="AP7" s="321">
        <f>+Régularisation!$L$45</f>
        <v>0</v>
      </c>
      <c r="AQ7" s="322" t="e">
        <f>+Régularisation!$L$54</f>
        <v>#DIV/0!</v>
      </c>
      <c r="AR7" s="322" t="e">
        <f>+Régularisation!$L$55</f>
        <v>#DIV/0!</v>
      </c>
      <c r="AS7" s="321">
        <f>+Régularisation!$L$69</f>
        <v>0</v>
      </c>
      <c r="AT7" s="321">
        <f>+Régularisation!$L$70</f>
        <v>0</v>
      </c>
      <c r="AU7" s="321">
        <f>+Régularisation!$L$71</f>
        <v>0</v>
      </c>
      <c r="AV7" s="321">
        <f>+Régularisation!$L$74</f>
        <v>0</v>
      </c>
      <c r="AW7" s="321">
        <f>+Régularisation!$L$75</f>
        <v>0</v>
      </c>
      <c r="AX7" s="321">
        <f>+Régularisation!$L$76</f>
        <v>0</v>
      </c>
      <c r="AY7" s="469">
        <f>+Régularisation!$L$78</f>
        <v>0</v>
      </c>
      <c r="AZ7" s="492">
        <f>+Mars!$R$87</f>
        <v>0</v>
      </c>
      <c r="BA7" s="492">
        <f>+Mars!$R$88</f>
        <v>0</v>
      </c>
      <c r="BB7" s="492">
        <f>+Mars!$R$89</f>
        <v>0</v>
      </c>
      <c r="BC7" s="492" t="e">
        <f>+Mars!$EG$2</f>
        <v>#DIV/0!</v>
      </c>
      <c r="BD7" s="492">
        <f>+Mars!$EG$1</f>
        <v>0</v>
      </c>
      <c r="BE7" s="500" t="e">
        <f>+Mars!$EG$2</f>
        <v>#DIV/0!</v>
      </c>
      <c r="BF7" s="500" t="e">
        <f>+Mars!$EG$3</f>
        <v>#DIV/0!</v>
      </c>
      <c r="BG7" s="500" t="e">
        <f>+Mars!$DK$27</f>
        <v>#DIV/0!</v>
      </c>
      <c r="BH7" s="500">
        <f>+Mars!$DK$28</f>
        <v>0</v>
      </c>
      <c r="BI7" s="500">
        <f>+Mars!$DM$28</f>
        <v>0</v>
      </c>
      <c r="BJ7" s="500">
        <f>+Mars!$DM$29</f>
        <v>0</v>
      </c>
      <c r="BK7" s="500">
        <f>IF(Mars!AL14,(Mars!HO16+Mars!T30)/Mars!AL14,0)</f>
        <v>0</v>
      </c>
      <c r="BL7" s="573">
        <f>+Mars!$T$32</f>
        <v>0</v>
      </c>
      <c r="BM7" s="573">
        <f>+Mars!$T$33</f>
        <v>0</v>
      </c>
      <c r="BN7" s="573">
        <f>+Mars!$BZ$98</f>
        <v>0</v>
      </c>
      <c r="BO7" s="573">
        <f>+Mars!$BZ$100</f>
        <v>0</v>
      </c>
      <c r="BP7" s="573">
        <f>+Mars!$BZ$102</f>
        <v>0</v>
      </c>
      <c r="BQ7" s="635">
        <f>+Mars!$BZ$74</f>
        <v>0</v>
      </c>
      <c r="BR7" s="888">
        <f>'Retenue Mars'!E52</f>
        <v>0</v>
      </c>
      <c r="BS7" s="946" t="str">
        <f>+Mars!$AA$63</f>
        <v/>
      </c>
      <c r="BT7" s="946" t="str">
        <f>+Mars!$AG$63</f>
        <v/>
      </c>
      <c r="BU7" s="946" t="str">
        <f>+Mars!$AJ$63</f>
        <v/>
      </c>
      <c r="BV7" s="946" t="str">
        <f>+Mars!$AM$63</f>
        <v/>
      </c>
      <c r="BW7" s="946" t="str">
        <f>+Mars!$AA$64</f>
        <v/>
      </c>
      <c r="BX7" s="946" t="str">
        <f>+Mars!$AG$64</f>
        <v/>
      </c>
      <c r="BY7" s="946" t="str">
        <f>+Mars!$AJ$64</f>
        <v/>
      </c>
      <c r="BZ7" s="946" t="str">
        <f>+Mars!$AM$64</f>
        <v/>
      </c>
      <c r="CA7" s="946" t="str">
        <f>+Mars!$AA$65</f>
        <v/>
      </c>
      <c r="CB7" s="946" t="str">
        <f>+Mars!$AG$65</f>
        <v/>
      </c>
      <c r="CC7" s="946" t="str">
        <f>+Mars!$AJ$65</f>
        <v/>
      </c>
      <c r="CD7" s="946" t="str">
        <f>+Mars!$AM$65</f>
        <v/>
      </c>
      <c r="CE7" s="946" t="str">
        <f>+Mars!$AA$66</f>
        <v/>
      </c>
      <c r="CF7" s="946" t="str">
        <f>+Mars!$AG$66</f>
        <v/>
      </c>
      <c r="CG7" s="946" t="str">
        <f>+Mars!$AJ$66</f>
        <v/>
      </c>
      <c r="CH7" s="946" t="str">
        <f>+Mars!$AM$66</f>
        <v/>
      </c>
      <c r="CI7" s="321">
        <f>+Mars!$DP$23</f>
        <v>0</v>
      </c>
      <c r="CJ7" s="321">
        <f>IFERROR(+VLOOKUP("Mars",'CP Année Incomplète au 31-05'!$L$17:$M$20,2,FALSE),0)</f>
        <v>0</v>
      </c>
      <c r="CK7" s="888">
        <f>+'CP Année Incomplète au 31-05'!$F$40</f>
        <v>0</v>
      </c>
      <c r="CL7" s="321" t="str">
        <f>+Mars!$B$34</f>
        <v/>
      </c>
      <c r="CM7" s="321">
        <f>+IF(CL7=S.CAL!$FT$3,SUM(Mars!$T$18:$W$31)+Mars!$T$33,AN7)</f>
        <v>0</v>
      </c>
      <c r="CN7" s="321">
        <f>SUM(Mars!$T$18:$W$31)+Mars!$T$33</f>
        <v>0</v>
      </c>
      <c r="CO7" s="573">
        <f>+Mars!$DP$25</f>
        <v>0</v>
      </c>
      <c r="CP7" s="321">
        <f>+Mars!$DP$26</f>
        <v>0</v>
      </c>
      <c r="CQ7" s="321">
        <f>+Mars!$DP$27</f>
        <v>0</v>
      </c>
      <c r="CR7" s="321">
        <f>+Mars!$DP$28</f>
        <v>0</v>
      </c>
      <c r="CS7" s="321">
        <f>+Mars!$DP$29</f>
        <v>0</v>
      </c>
      <c r="CT7" s="321">
        <f>+Mars!$AH$86</f>
        <v>0</v>
      </c>
      <c r="CU7" s="321">
        <f>+Mars!$AL$86</f>
        <v>0</v>
      </c>
      <c r="CV7" s="321" t="e">
        <f>+'Salaire mensuel base 10%'!E7</f>
        <v>#DIV/0!</v>
      </c>
      <c r="CW7" s="321">
        <f>+Mars!$T$31</f>
        <v>0</v>
      </c>
      <c r="CX7" s="851">
        <f>+Mars!$DP$30</f>
        <v>0</v>
      </c>
    </row>
    <row r="8" spans="1:102" s="16" customFormat="1" x14ac:dyDescent="0.2">
      <c r="A8" s="320">
        <f>+Avril!$X$3</f>
        <v>45748</v>
      </c>
      <c r="B8" s="498">
        <f>+Avril!$DP$20</f>
        <v>0</v>
      </c>
      <c r="C8" s="321">
        <f>+Avril!$HO$16</f>
        <v>0</v>
      </c>
      <c r="D8" s="321">
        <f>+Avril!$T$30</f>
        <v>0</v>
      </c>
      <c r="E8" s="321">
        <f>+Avril!$EF$16</f>
        <v>0</v>
      </c>
      <c r="F8" s="321">
        <f>+Avril!$EG$16</f>
        <v>0</v>
      </c>
      <c r="G8" s="321">
        <f>+Avril!$EF$17</f>
        <v>0</v>
      </c>
      <c r="H8" s="321">
        <f>+Avril!$EG$17</f>
        <v>0</v>
      </c>
      <c r="I8" s="321">
        <f>+Avril!$EH$16</f>
        <v>0</v>
      </c>
      <c r="J8" s="321">
        <f>+Avril!$EI$16</f>
        <v>0</v>
      </c>
      <c r="K8" s="321">
        <f>+Avril!$EH$17</f>
        <v>0</v>
      </c>
      <c r="L8" s="321">
        <f>+Avril!$EI$17</f>
        <v>0</v>
      </c>
      <c r="M8" s="321">
        <f>+Avril!$AH$89</f>
        <v>0</v>
      </c>
      <c r="N8" s="321">
        <f>+Avril!$AH$90</f>
        <v>0</v>
      </c>
      <c r="O8" s="321">
        <f>+Avril!$AL$89</f>
        <v>0</v>
      </c>
      <c r="P8" s="321">
        <f>+Avril!$AL$90</f>
        <v>0</v>
      </c>
      <c r="Q8" s="321">
        <f>+Avril!$AH$92</f>
        <v>0</v>
      </c>
      <c r="R8" s="321">
        <f>+Avril!$AL$92</f>
        <v>0</v>
      </c>
      <c r="S8" s="321">
        <f>+Avril!$AH$87</f>
        <v>0</v>
      </c>
      <c r="T8" s="321">
        <f>+Avril!$AH$93</f>
        <v>0</v>
      </c>
      <c r="U8" s="321">
        <f>+Avril!$DP$13</f>
        <v>0</v>
      </c>
      <c r="V8" s="321">
        <f>+Avril!$DP$11</f>
        <v>0</v>
      </c>
      <c r="W8" s="321"/>
      <c r="X8" s="321"/>
      <c r="Y8" s="321" t="e">
        <f>+Avril!$DP$15</f>
        <v>#DIV/0!</v>
      </c>
      <c r="Z8" s="321">
        <f>+Avril!$DP$8</f>
        <v>0</v>
      </c>
      <c r="AA8" s="322">
        <f>+Avril!$EH$15</f>
        <v>0</v>
      </c>
      <c r="AB8" s="322">
        <f>'Retenue Avril'!BJ64</f>
        <v>0</v>
      </c>
      <c r="AC8" s="322">
        <f>+Avril!$N$62</f>
        <v>0</v>
      </c>
      <c r="AD8" s="322">
        <f>'Retenue Avril'!BV13</f>
        <v>0</v>
      </c>
      <c r="AE8" s="322">
        <f>'Retenue Avril'!BV14</f>
        <v>0</v>
      </c>
      <c r="AF8" s="322">
        <f>'Retenue Avril'!BV15</f>
        <v>0</v>
      </c>
      <c r="AG8" s="322">
        <f>'Retenue Avril'!BV16</f>
        <v>0</v>
      </c>
      <c r="AH8" s="322">
        <f>'Retenue Avril'!BV17</f>
        <v>0</v>
      </c>
      <c r="AI8" s="322">
        <f>'Retenue Avril'!BV18</f>
        <v>0</v>
      </c>
      <c r="AJ8" s="322">
        <f>'Retenue Avril'!BV19</f>
        <v>0</v>
      </c>
      <c r="AK8" s="322">
        <f>'Retenue Avril'!BV20</f>
        <v>0</v>
      </c>
      <c r="AL8" s="322">
        <f>'Retenue Avril'!BJ11</f>
        <v>0</v>
      </c>
      <c r="AM8" s="322" t="str">
        <f>'Retenue Avril'!BK3</f>
        <v>Méthode 1</v>
      </c>
      <c r="AN8" s="321">
        <f>+Avril!$T$35</f>
        <v>0</v>
      </c>
      <c r="AO8" s="321">
        <f>+Régularisation!$O$44</f>
        <v>0</v>
      </c>
      <c r="AP8" s="321">
        <f>+Régularisation!$O$45</f>
        <v>0</v>
      </c>
      <c r="AQ8" s="322" t="e">
        <f>+Régularisation!$O$54</f>
        <v>#DIV/0!</v>
      </c>
      <c r="AR8" s="322" t="e">
        <f>+Régularisation!$O$55</f>
        <v>#DIV/0!</v>
      </c>
      <c r="AS8" s="321">
        <f>+Régularisation!$O$69</f>
        <v>0</v>
      </c>
      <c r="AT8" s="321">
        <f>+Régularisation!$O$70</f>
        <v>0</v>
      </c>
      <c r="AU8" s="321">
        <f>+Régularisation!$O$71</f>
        <v>0</v>
      </c>
      <c r="AV8" s="321">
        <f>+Régularisation!$O$74</f>
        <v>0</v>
      </c>
      <c r="AW8" s="321">
        <f>+Régularisation!$O$75</f>
        <v>0</v>
      </c>
      <c r="AX8" s="321">
        <f>+Régularisation!$O$76</f>
        <v>0</v>
      </c>
      <c r="AY8" s="469">
        <f>+Régularisation!$O$78</f>
        <v>0</v>
      </c>
      <c r="AZ8" s="492">
        <f>+Avril!$R$87</f>
        <v>0</v>
      </c>
      <c r="BA8" s="492">
        <f>+Avril!$R$88</f>
        <v>0</v>
      </c>
      <c r="BB8" s="492">
        <f>+Avril!$R$89</f>
        <v>0</v>
      </c>
      <c r="BC8" s="492" t="e">
        <f>+Avril!$EG$2</f>
        <v>#DIV/0!</v>
      </c>
      <c r="BD8" s="492">
        <f>+Avril!$EG$1</f>
        <v>0</v>
      </c>
      <c r="BE8" s="500" t="e">
        <f>+Avril!$EG$2</f>
        <v>#DIV/0!</v>
      </c>
      <c r="BF8" s="500" t="e">
        <f>+Avril!$EG$3</f>
        <v>#DIV/0!</v>
      </c>
      <c r="BG8" s="500" t="e">
        <f>+Avril!$DK$27</f>
        <v>#DIV/0!</v>
      </c>
      <c r="BH8" s="500">
        <f>+Avril!$DK$28</f>
        <v>0</v>
      </c>
      <c r="BI8" s="500">
        <f>+Avril!$DM$28</f>
        <v>0</v>
      </c>
      <c r="BJ8" s="500">
        <f>+Avril!$DM$29</f>
        <v>0</v>
      </c>
      <c r="BK8" s="500">
        <f>IF(Avril!AL14,(Avril!HO16+Avril!T30)/Avril!AL14,0)</f>
        <v>0</v>
      </c>
      <c r="BL8" s="573">
        <f>+Avril!$T$32</f>
        <v>0</v>
      </c>
      <c r="BM8" s="573">
        <f>+Avril!$T$33</f>
        <v>0</v>
      </c>
      <c r="BN8" s="573">
        <f>+Avril!$BZ$98</f>
        <v>0</v>
      </c>
      <c r="BO8" s="573">
        <f>+Avril!$BZ$100</f>
        <v>0</v>
      </c>
      <c r="BP8" s="573">
        <f>+Avril!$BZ$102</f>
        <v>0</v>
      </c>
      <c r="BQ8" s="635">
        <f>+Avril!$BZ$74</f>
        <v>0</v>
      </c>
      <c r="BR8" s="888">
        <f>'Retenue Avril'!E52</f>
        <v>0</v>
      </c>
      <c r="BS8" s="946" t="str">
        <f>+Avril!$AA$63</f>
        <v/>
      </c>
      <c r="BT8" s="946" t="str">
        <f>+Avril!$AG$63</f>
        <v/>
      </c>
      <c r="BU8" s="946" t="str">
        <f>+Avril!$AJ$63</f>
        <v/>
      </c>
      <c r="BV8" s="946" t="str">
        <f>+Avril!$AM$63</f>
        <v/>
      </c>
      <c r="BW8" s="946" t="str">
        <f>+Avril!$AA$64</f>
        <v/>
      </c>
      <c r="BX8" s="946" t="str">
        <f>+Avril!$AG$64</f>
        <v/>
      </c>
      <c r="BY8" s="946" t="str">
        <f>+Avril!$AJ$64</f>
        <v/>
      </c>
      <c r="BZ8" s="946" t="str">
        <f>+Avril!$AM$64</f>
        <v/>
      </c>
      <c r="CA8" s="946" t="str">
        <f>+Avril!$AA$65</f>
        <v/>
      </c>
      <c r="CB8" s="946" t="str">
        <f>+Avril!$AG$65</f>
        <v/>
      </c>
      <c r="CC8" s="946" t="str">
        <f>+Avril!$AJ$65</f>
        <v/>
      </c>
      <c r="CD8" s="946" t="str">
        <f>+Avril!$AM$65</f>
        <v/>
      </c>
      <c r="CE8" s="946" t="str">
        <f>+Avril!$AA$66</f>
        <v/>
      </c>
      <c r="CF8" s="946" t="str">
        <f>+Avril!$AG$66</f>
        <v/>
      </c>
      <c r="CG8" s="946" t="str">
        <f>+Avril!$AJ$66</f>
        <v/>
      </c>
      <c r="CH8" s="946" t="str">
        <f>+Avril!$AM$66</f>
        <v/>
      </c>
      <c r="CI8" s="321">
        <f>+Avril!$DP$23</f>
        <v>0</v>
      </c>
      <c r="CJ8" s="321">
        <f>IFERROR(+VLOOKUP("Avril",'CP Année Incomplète au 31-05'!$L$17:$M$20,2,FALSE),0)</f>
        <v>0</v>
      </c>
      <c r="CK8" s="888">
        <f>+'CP Année Incomplète au 31-05'!$F$40</f>
        <v>0</v>
      </c>
      <c r="CL8" s="321" t="str">
        <f>+Avril!$B$34</f>
        <v/>
      </c>
      <c r="CM8" s="321">
        <f>+IF(CL8=S.CAL!$FT$3,SUM(Avril!$T$18:$W$31)+Avril!$T$33,AN8)</f>
        <v>0</v>
      </c>
      <c r="CN8" s="321">
        <f>SUM(Avril!$T$18:$W$31)+Avril!$T$33</f>
        <v>0</v>
      </c>
      <c r="CO8" s="573">
        <f>+Avril!$DP$25</f>
        <v>0</v>
      </c>
      <c r="CP8" s="321">
        <f>+Avril!$DP$26</f>
        <v>0</v>
      </c>
      <c r="CQ8" s="321">
        <f>+Avril!$DP$27</f>
        <v>0</v>
      </c>
      <c r="CR8" s="321">
        <f>+Avril!$DP$28</f>
        <v>0</v>
      </c>
      <c r="CS8" s="321">
        <f>+Avril!$DP$29</f>
        <v>0</v>
      </c>
      <c r="CT8" s="321">
        <f>+Avril!$AH$86</f>
        <v>0</v>
      </c>
      <c r="CU8" s="321">
        <f>+Avril!$AL$86</f>
        <v>0</v>
      </c>
      <c r="CV8" s="321" t="e">
        <f>+'Salaire mensuel base 10%'!E8</f>
        <v>#DIV/0!</v>
      </c>
      <c r="CW8" s="321">
        <f>+Avril!$T$31</f>
        <v>0</v>
      </c>
      <c r="CX8" s="851">
        <f>+Avril!$DP$30</f>
        <v>0</v>
      </c>
    </row>
    <row r="9" spans="1:102" s="16" customFormat="1" x14ac:dyDescent="0.2">
      <c r="A9" s="320">
        <f>+Mai!$X$3</f>
        <v>45778</v>
      </c>
      <c r="B9" s="498">
        <f>+Mai!$DP$20</f>
        <v>0</v>
      </c>
      <c r="C9" s="321">
        <f>+Mai!$HO$16</f>
        <v>0</v>
      </c>
      <c r="D9" s="321">
        <f>+Mai!$T$30</f>
        <v>0</v>
      </c>
      <c r="E9" s="321">
        <f>+Mai!$EF$16</f>
        <v>0</v>
      </c>
      <c r="F9" s="321">
        <f>+Mai!$EG$16</f>
        <v>0</v>
      </c>
      <c r="G9" s="321">
        <f>+Mai!$EF$17</f>
        <v>0</v>
      </c>
      <c r="H9" s="321">
        <f>+Mai!$EG$17</f>
        <v>0</v>
      </c>
      <c r="I9" s="321">
        <f>+Mai!$EH$16</f>
        <v>0</v>
      </c>
      <c r="J9" s="321">
        <f>+Mai!$EI$16</f>
        <v>0</v>
      </c>
      <c r="K9" s="321">
        <f>+Mai!$EH$17</f>
        <v>0</v>
      </c>
      <c r="L9" s="321">
        <f>+Mai!$EI$17</f>
        <v>0</v>
      </c>
      <c r="M9" s="321">
        <f>+Mai!$AH$89</f>
        <v>0</v>
      </c>
      <c r="N9" s="321">
        <f>+Mai!$AH$90</f>
        <v>0</v>
      </c>
      <c r="O9" s="321">
        <f>+Mai!$AL$89</f>
        <v>0</v>
      </c>
      <c r="P9" s="321">
        <f>+Mai!$AL$90</f>
        <v>0</v>
      </c>
      <c r="Q9" s="321">
        <f>+Mai!$AH$92</f>
        <v>0</v>
      </c>
      <c r="R9" s="321">
        <f>+Mai!$AL$92</f>
        <v>0</v>
      </c>
      <c r="S9" s="321">
        <f>+Mai!$AH$87</f>
        <v>0</v>
      </c>
      <c r="T9" s="321">
        <f>+Mai!$AH$93</f>
        <v>0</v>
      </c>
      <c r="U9" s="321">
        <f>+Mai!$DP$13</f>
        <v>0</v>
      </c>
      <c r="V9" s="321">
        <f>+Mai!$DP$11</f>
        <v>0</v>
      </c>
      <c r="W9" s="321"/>
      <c r="X9" s="321"/>
      <c r="Y9" s="321" t="e">
        <f>+Mai!$DP$15</f>
        <v>#DIV/0!</v>
      </c>
      <c r="Z9" s="321">
        <f>+Mai!$DP$8</f>
        <v>0</v>
      </c>
      <c r="AA9" s="322">
        <f>+Mai!$EH$15</f>
        <v>0</v>
      </c>
      <c r="AB9" s="322">
        <f>'Retenue Mai'!BJ64</f>
        <v>0</v>
      </c>
      <c r="AC9" s="322">
        <f>+Mai!$N$62</f>
        <v>0</v>
      </c>
      <c r="AD9" s="322">
        <f>'Retenue Mai'!BV13</f>
        <v>0</v>
      </c>
      <c r="AE9" s="322">
        <f>'Retenue Mai'!BV14</f>
        <v>0</v>
      </c>
      <c r="AF9" s="322">
        <f>'Retenue Mai'!BV15</f>
        <v>0</v>
      </c>
      <c r="AG9" s="322">
        <f>'Retenue Mai'!BV16</f>
        <v>0</v>
      </c>
      <c r="AH9" s="322">
        <f>'Retenue Mai'!BV17</f>
        <v>0</v>
      </c>
      <c r="AI9" s="322">
        <f>'Retenue Mai'!BV18</f>
        <v>0</v>
      </c>
      <c r="AJ9" s="322">
        <f>'Retenue Mai'!BV19</f>
        <v>0</v>
      </c>
      <c r="AK9" s="322">
        <f>'Retenue Mai'!BV20</f>
        <v>0</v>
      </c>
      <c r="AL9" s="322">
        <f>'Retenue Mai'!BJ11</f>
        <v>0</v>
      </c>
      <c r="AM9" s="322" t="str">
        <f>'Retenue Mai'!BK3</f>
        <v>Méthode 1</v>
      </c>
      <c r="AN9" s="321">
        <f>+Mai!$T$35</f>
        <v>0</v>
      </c>
      <c r="AO9" s="321">
        <f>+Régularisation!$R$44</f>
        <v>0</v>
      </c>
      <c r="AP9" s="321">
        <f>+Régularisation!$R$45</f>
        <v>0</v>
      </c>
      <c r="AQ9" s="322" t="e">
        <f>+Régularisation!$R$54</f>
        <v>#DIV/0!</v>
      </c>
      <c r="AR9" s="322" t="e">
        <f>+Régularisation!$R$55</f>
        <v>#DIV/0!</v>
      </c>
      <c r="AS9" s="321">
        <f>+Régularisation!$R$69</f>
        <v>0</v>
      </c>
      <c r="AT9" s="321">
        <f>+Régularisation!$R$70</f>
        <v>0</v>
      </c>
      <c r="AU9" s="321">
        <f>+Régularisation!$R$71</f>
        <v>0</v>
      </c>
      <c r="AV9" s="321">
        <f>+Régularisation!$R$74</f>
        <v>0</v>
      </c>
      <c r="AW9" s="321">
        <f>+Régularisation!$R$75</f>
        <v>0</v>
      </c>
      <c r="AX9" s="321">
        <f>+Régularisation!$R$76</f>
        <v>0</v>
      </c>
      <c r="AY9" s="469">
        <f>+Régularisation!$R$78</f>
        <v>0</v>
      </c>
      <c r="AZ9" s="492">
        <f>+Mai!$R$87</f>
        <v>0</v>
      </c>
      <c r="BA9" s="492">
        <f>+Mai!$R$88</f>
        <v>0</v>
      </c>
      <c r="BB9" s="492">
        <f>+Mai!$R$89</f>
        <v>0</v>
      </c>
      <c r="BC9" s="492" t="e">
        <f>+Mai!$EG$2</f>
        <v>#DIV/0!</v>
      </c>
      <c r="BD9" s="492">
        <f>+Mai!$EG$1</f>
        <v>0</v>
      </c>
      <c r="BE9" s="500" t="e">
        <f>+Mai!$EG$2</f>
        <v>#DIV/0!</v>
      </c>
      <c r="BF9" s="500" t="e">
        <f>+Mai!$EG$3</f>
        <v>#DIV/0!</v>
      </c>
      <c r="BG9" s="500" t="e">
        <f>+Mai!$DK$27</f>
        <v>#DIV/0!</v>
      </c>
      <c r="BH9" s="500">
        <f>+Mai!$DK$28</f>
        <v>0</v>
      </c>
      <c r="BI9" s="500">
        <f>+Mai!$DM$28</f>
        <v>0</v>
      </c>
      <c r="BJ9" s="500">
        <f>+Mai!$DM$29</f>
        <v>0</v>
      </c>
      <c r="BK9" s="500">
        <f>IF(Mai!AL14,(Mai!HO16+Mai!T30)/Mai!AL14,0)</f>
        <v>0</v>
      </c>
      <c r="BL9" s="573">
        <f>+Mai!$T$32</f>
        <v>0</v>
      </c>
      <c r="BM9" s="573">
        <f>+Mai!$T$33</f>
        <v>0</v>
      </c>
      <c r="BN9" s="573">
        <f>+Mai!$BZ$98</f>
        <v>0</v>
      </c>
      <c r="BO9" s="573">
        <f>+Mai!$BZ$100</f>
        <v>0</v>
      </c>
      <c r="BP9" s="573">
        <f>+Mai!$BZ$102</f>
        <v>0</v>
      </c>
      <c r="BQ9" s="635">
        <f>+Mai!$BZ$74</f>
        <v>0</v>
      </c>
      <c r="BR9" s="888">
        <f>'Retenue Mai'!E52</f>
        <v>0</v>
      </c>
      <c r="BS9" s="946" t="str">
        <f>+Mai!$AA$63</f>
        <v/>
      </c>
      <c r="BT9" s="946" t="str">
        <f>+Mai!$AG$63</f>
        <v/>
      </c>
      <c r="BU9" s="946" t="str">
        <f>+Mai!$AJ$63</f>
        <v/>
      </c>
      <c r="BV9" s="946" t="str">
        <f>+Mai!$AM$63</f>
        <v/>
      </c>
      <c r="BW9" s="946" t="str">
        <f>+Mai!$AA$64</f>
        <v/>
      </c>
      <c r="BX9" s="946" t="str">
        <f>+Mai!$AG$64</f>
        <v/>
      </c>
      <c r="BY9" s="946" t="str">
        <f>+Mai!$AJ$64</f>
        <v/>
      </c>
      <c r="BZ9" s="946" t="str">
        <f>+Mai!$AM$64</f>
        <v/>
      </c>
      <c r="CA9" s="946" t="str">
        <f>+Mai!$AA$65</f>
        <v/>
      </c>
      <c r="CB9" s="946" t="str">
        <f>+Mai!$AG$65</f>
        <v/>
      </c>
      <c r="CC9" s="946" t="str">
        <f>+Mai!$AJ$65</f>
        <v/>
      </c>
      <c r="CD9" s="946" t="str">
        <f>+Mai!$AM$65</f>
        <v/>
      </c>
      <c r="CE9" s="946" t="str">
        <f>+Mai!$AA$66</f>
        <v/>
      </c>
      <c r="CF9" s="946" t="str">
        <f>+Mai!$AG$66</f>
        <v/>
      </c>
      <c r="CG9" s="946" t="str">
        <f>+Mai!$AJ$66</f>
        <v/>
      </c>
      <c r="CH9" s="946" t="str">
        <f>+Mai!$AM$66</f>
        <v/>
      </c>
      <c r="CI9" s="321">
        <f>+Mai!$DP$23</f>
        <v>0</v>
      </c>
      <c r="CJ9" s="321">
        <f>IFERROR(+VLOOKUP("Mai",'CP Année Incomplète au 31-05'!$L$17:$M$20,2,FALSE),0)</f>
        <v>0</v>
      </c>
      <c r="CK9" s="888">
        <f>+'CP Année Incomplète au 31-05'!$F$40</f>
        <v>0</v>
      </c>
      <c r="CL9" s="321" t="str">
        <f>+Mai!$B$34</f>
        <v/>
      </c>
      <c r="CM9" s="321">
        <f>+IF(CL9=S.CAL!$FT$3,SUM(Mai!$T$18:$W$31)+Mai!$T$33,AN9)</f>
        <v>0</v>
      </c>
      <c r="CN9" s="321">
        <f>SUM(Mai!$T$18:$W$31)+Mai!$T$33</f>
        <v>0</v>
      </c>
      <c r="CO9" s="573">
        <f>+Mai!$DP$25</f>
        <v>0</v>
      </c>
      <c r="CP9" s="321">
        <f>+Mai!$DP$26</f>
        <v>0</v>
      </c>
      <c r="CQ9" s="321">
        <f>+Mai!$DP$27</f>
        <v>0</v>
      </c>
      <c r="CR9" s="321">
        <f>+Mai!$DP$28</f>
        <v>0</v>
      </c>
      <c r="CS9" s="321">
        <f>+Mai!$DP$29</f>
        <v>0</v>
      </c>
      <c r="CT9" s="321">
        <f>+Mai!$AH$86</f>
        <v>0</v>
      </c>
      <c r="CU9" s="321">
        <f>+Mai!$AL$86</f>
        <v>0</v>
      </c>
      <c r="CV9" s="321" t="e">
        <f>+'Salaire mensuel base 10%'!E9</f>
        <v>#DIV/0!</v>
      </c>
      <c r="CW9" s="321">
        <f>+Mai!$T$31</f>
        <v>0</v>
      </c>
      <c r="CX9" s="851">
        <f>+Mai!$DP$30</f>
        <v>0</v>
      </c>
    </row>
    <row r="10" spans="1:102" s="16" customFormat="1" x14ac:dyDescent="0.2">
      <c r="A10" s="320">
        <f>+Juin!$X$3</f>
        <v>45809</v>
      </c>
      <c r="B10" s="498">
        <f>+Juin!$DP$20</f>
        <v>0</v>
      </c>
      <c r="C10" s="321">
        <f>+Juin!$HO$16</f>
        <v>0</v>
      </c>
      <c r="D10" s="321">
        <f ca="1">+Juin!$T$30</f>
        <v>0</v>
      </c>
      <c r="E10" s="321">
        <f>+Juin!$EF$16</f>
        <v>0</v>
      </c>
      <c r="F10" s="321">
        <f>+Juin!$EG$16</f>
        <v>0</v>
      </c>
      <c r="G10" s="321">
        <f>+Juin!$EF$17</f>
        <v>0</v>
      </c>
      <c r="H10" s="321">
        <f>+Juin!$EG$17</f>
        <v>0</v>
      </c>
      <c r="I10" s="321">
        <f>+Juin!$EH$16</f>
        <v>0</v>
      </c>
      <c r="J10" s="321">
        <f>+Juin!$EI$16</f>
        <v>0</v>
      </c>
      <c r="K10" s="321">
        <f>+Juin!$EH$17</f>
        <v>0</v>
      </c>
      <c r="L10" s="321">
        <f>+Juin!$EI$17</f>
        <v>0</v>
      </c>
      <c r="M10" s="321">
        <f>+Juin!$AH$89</f>
        <v>0</v>
      </c>
      <c r="N10" s="321">
        <f>+Juin!$AH$90</f>
        <v>0</v>
      </c>
      <c r="O10" s="321">
        <f>+Juin!$AL$89</f>
        <v>0</v>
      </c>
      <c r="P10" s="321">
        <f>+Juin!$AL$90</f>
        <v>0</v>
      </c>
      <c r="Q10" s="321">
        <f>+Juin!$AH$92</f>
        <v>0</v>
      </c>
      <c r="R10" s="321">
        <f>+Juin!$AL$92</f>
        <v>0</v>
      </c>
      <c r="S10" s="321">
        <f>+Juin!$AH$87</f>
        <v>0</v>
      </c>
      <c r="T10" s="321">
        <f>+Juin!$AH$93</f>
        <v>0</v>
      </c>
      <c r="U10" s="321">
        <f>+Juin!$DP$13</f>
        <v>0</v>
      </c>
      <c r="V10" s="321">
        <f>+Juin!$DP$11</f>
        <v>0</v>
      </c>
      <c r="W10" s="322">
        <f>+'CP Année Incomplète au 31-05'!$G$71</f>
        <v>0</v>
      </c>
      <c r="X10" s="322">
        <f>+'CP Année Complète au 31-05'!$D$59</f>
        <v>0</v>
      </c>
      <c r="Y10" s="321" t="e">
        <f>+Juin!$DP$15</f>
        <v>#DIV/0!</v>
      </c>
      <c r="Z10" s="321">
        <f>+Juin!$DP$8</f>
        <v>0</v>
      </c>
      <c r="AA10" s="322">
        <f>+Juin!$EH$15</f>
        <v>0</v>
      </c>
      <c r="AB10" s="322">
        <f>'Retenue Juin'!BJ64</f>
        <v>0</v>
      </c>
      <c r="AC10" s="322">
        <f ca="1">+Juin!$N$62</f>
        <v>0</v>
      </c>
      <c r="AD10" s="322">
        <f>'Retenue Juin'!BV13</f>
        <v>0</v>
      </c>
      <c r="AE10" s="322">
        <f>'Retenue Juin'!BV14</f>
        <v>0</v>
      </c>
      <c r="AF10" s="322">
        <f>'Retenue Juin'!BV15</f>
        <v>0</v>
      </c>
      <c r="AG10" s="322">
        <f>'Retenue Juin'!BV16</f>
        <v>0</v>
      </c>
      <c r="AH10" s="322">
        <f>'Retenue Juin'!BV17</f>
        <v>0</v>
      </c>
      <c r="AI10" s="322">
        <f>'Retenue Juin'!BV18</f>
        <v>0</v>
      </c>
      <c r="AJ10" s="322">
        <f>'Retenue Juin'!BV19</f>
        <v>0</v>
      </c>
      <c r="AK10" s="322">
        <f>'Retenue Juin'!BV20</f>
        <v>0</v>
      </c>
      <c r="AL10" s="322">
        <f>'Retenue Juin'!BJ11</f>
        <v>0</v>
      </c>
      <c r="AM10" s="322" t="str">
        <f>'Retenue Juin'!BK3</f>
        <v>Méthode 1</v>
      </c>
      <c r="AN10" s="321">
        <f ca="1">+Juin!$T$35</f>
        <v>0</v>
      </c>
      <c r="AO10" s="321">
        <f>+Régularisation!$U$44</f>
        <v>0</v>
      </c>
      <c r="AP10" s="321">
        <f>+Régularisation!$U$45</f>
        <v>0</v>
      </c>
      <c r="AQ10" s="322" t="e">
        <f>+Régularisation!$U$54</f>
        <v>#DIV/0!</v>
      </c>
      <c r="AR10" s="322" t="e">
        <f>+Régularisation!$U$55</f>
        <v>#DIV/0!</v>
      </c>
      <c r="AS10" s="321">
        <f>+Régularisation!$U$69</f>
        <v>0</v>
      </c>
      <c r="AT10" s="321">
        <f>+Régularisation!$U$70</f>
        <v>0</v>
      </c>
      <c r="AU10" s="321">
        <f>+Régularisation!$U$71</f>
        <v>0</v>
      </c>
      <c r="AV10" s="321">
        <f>+Régularisation!$U$74</f>
        <v>0</v>
      </c>
      <c r="AW10" s="321">
        <f>+Régularisation!$U$75</f>
        <v>0</v>
      </c>
      <c r="AX10" s="321">
        <f>+Régularisation!$U$76</f>
        <v>0</v>
      </c>
      <c r="AY10" s="469">
        <f>+Régularisation!$U$78</f>
        <v>0</v>
      </c>
      <c r="AZ10" s="492">
        <f>+Juin!$R$87</f>
        <v>0</v>
      </c>
      <c r="BA10" s="492">
        <f>+Juin!$R$88</f>
        <v>0</v>
      </c>
      <c r="BB10" s="492">
        <f>+Juin!$R$89</f>
        <v>0</v>
      </c>
      <c r="BC10" s="492" t="e">
        <f>+Juin!$EG$2</f>
        <v>#DIV/0!</v>
      </c>
      <c r="BD10" s="492">
        <f ca="1">+Juin!$EG$1</f>
        <v>0</v>
      </c>
      <c r="BE10" s="500" t="e">
        <f>+Juin!$EG$2</f>
        <v>#DIV/0!</v>
      </c>
      <c r="BF10" s="500" t="e">
        <f>+Juin!$EG$3</f>
        <v>#DIV/0!</v>
      </c>
      <c r="BG10" s="500" t="e">
        <f>+Juin!$DK$27</f>
        <v>#DIV/0!</v>
      </c>
      <c r="BH10" s="500">
        <f>+Juin!$DK$28</f>
        <v>0</v>
      </c>
      <c r="BI10" s="500">
        <f>+Juin!$DM$28</f>
        <v>0</v>
      </c>
      <c r="BJ10" s="500">
        <f>+Juin!$DM$29</f>
        <v>0</v>
      </c>
      <c r="BK10" s="500">
        <f>IF(Juin!AL14,(Juin!HO16+Juin!T30)/Juin!AL14,0)</f>
        <v>0</v>
      </c>
      <c r="BL10" s="573">
        <f>+Juin!$T$32</f>
        <v>0</v>
      </c>
      <c r="BM10" s="573">
        <f>+Juin!$T$33</f>
        <v>0</v>
      </c>
      <c r="BN10" s="573">
        <f>+Juin!$BZ$98</f>
        <v>0</v>
      </c>
      <c r="BO10" s="573">
        <f>+Juin!$BZ$100</f>
        <v>0</v>
      </c>
      <c r="BP10" s="573">
        <f>+Juin!$BZ$102</f>
        <v>0</v>
      </c>
      <c r="BQ10" s="635">
        <f>+Juin!$BZ$74</f>
        <v>0</v>
      </c>
      <c r="BR10" s="888">
        <f>'Retenue Juin'!E52</f>
        <v>0</v>
      </c>
      <c r="BS10" s="946" t="str">
        <f>+Juin!$AA$63</f>
        <v/>
      </c>
      <c r="BT10" s="946" t="str">
        <f>+Juin!$AG$63</f>
        <v/>
      </c>
      <c r="BU10" s="946" t="str">
        <f>+Juin!$AJ$63</f>
        <v/>
      </c>
      <c r="BV10" s="946" t="str">
        <f>+Juin!$AM$63</f>
        <v/>
      </c>
      <c r="BW10" s="946" t="str">
        <f>+Juin!$AA$64</f>
        <v/>
      </c>
      <c r="BX10" s="946" t="str">
        <f>+Juin!$AG$64</f>
        <v/>
      </c>
      <c r="BY10" s="946" t="str">
        <f>+Juin!$AJ$64</f>
        <v/>
      </c>
      <c r="BZ10" s="946" t="str">
        <f>+Juin!$AM$64</f>
        <v/>
      </c>
      <c r="CA10" s="946" t="str">
        <f>+Juin!$AA$65</f>
        <v/>
      </c>
      <c r="CB10" s="946" t="str">
        <f>+Juin!$AG$65</f>
        <v/>
      </c>
      <c r="CC10" s="946" t="str">
        <f>+Juin!$AJ$65</f>
        <v/>
      </c>
      <c r="CD10" s="946" t="str">
        <f>+Juin!$AM$65</f>
        <v/>
      </c>
      <c r="CE10" s="946" t="str">
        <f>+Juin!$AA$66</f>
        <v/>
      </c>
      <c r="CF10" s="946" t="str">
        <f>+Juin!$AG$66</f>
        <v/>
      </c>
      <c r="CG10" s="946" t="str">
        <f>+Juin!$AJ$66</f>
        <v/>
      </c>
      <c r="CH10" s="946" t="str">
        <f>+Juin!$AM$66</f>
        <v/>
      </c>
      <c r="CI10" s="321">
        <f>+Juin!$DP$23</f>
        <v>0</v>
      </c>
      <c r="CJ10" s="321"/>
      <c r="CK10" s="322"/>
      <c r="CL10" s="321" t="str">
        <f>+Juin!$B$34</f>
        <v/>
      </c>
      <c r="CM10" s="321">
        <f ca="1">+IF(CL10=S.CAL!$FT$3,SUM(Juin!$T$18:$W$31)+Juin!$T$33,AN10)</f>
        <v>0</v>
      </c>
      <c r="CN10" s="321">
        <f ca="1">SUM(Juin!$T$18:$W$31)+Juin!$T$33</f>
        <v>0</v>
      </c>
      <c r="CO10" s="573">
        <f>+Juin!$DP$25</f>
        <v>0</v>
      </c>
      <c r="CP10" s="321">
        <f>+Juin!$DP$26</f>
        <v>0</v>
      </c>
      <c r="CQ10" s="321">
        <f>+Juin!$DP$27</f>
        <v>0</v>
      </c>
      <c r="CR10" s="321">
        <f>+Juin!$DP$28</f>
        <v>0</v>
      </c>
      <c r="CS10" s="321">
        <f>+Juin!$DP$29</f>
        <v>0</v>
      </c>
      <c r="CT10" s="321">
        <f>+Juin!$AH$86</f>
        <v>0</v>
      </c>
      <c r="CU10" s="321">
        <f>+Juin!$AL$86</f>
        <v>0</v>
      </c>
      <c r="CV10" s="321" t="e">
        <f>+'Salaire mensuel base 10%'!E10</f>
        <v>#DIV/0!</v>
      </c>
      <c r="CW10" s="321">
        <f>+Juin!$T$31</f>
        <v>0</v>
      </c>
      <c r="CX10" s="851">
        <f>+Juin!$DP$30</f>
        <v>0</v>
      </c>
    </row>
    <row r="11" spans="1:102" s="16" customFormat="1" x14ac:dyDescent="0.2">
      <c r="A11" s="320">
        <f>+Juillet!$X$3</f>
        <v>45839</v>
      </c>
      <c r="B11" s="498">
        <f>+Juillet!$DP$20</f>
        <v>0</v>
      </c>
      <c r="C11" s="321">
        <f>+Juillet!$HO$16</f>
        <v>0</v>
      </c>
      <c r="D11" s="321">
        <f>+Juillet!$T$30</f>
        <v>0</v>
      </c>
      <c r="E11" s="321">
        <f>+Juillet!$EF$16</f>
        <v>0</v>
      </c>
      <c r="F11" s="321">
        <f>+Juillet!$EG$16</f>
        <v>0</v>
      </c>
      <c r="G11" s="321">
        <f>+Juillet!$EF$17</f>
        <v>0</v>
      </c>
      <c r="H11" s="321">
        <f>+Juillet!$EG$17</f>
        <v>0</v>
      </c>
      <c r="I11" s="321">
        <f>+Juillet!$EH$16</f>
        <v>0</v>
      </c>
      <c r="J11" s="321">
        <f>+Juillet!$EI$16</f>
        <v>0</v>
      </c>
      <c r="K11" s="321">
        <f>+Juillet!$EH$17</f>
        <v>0</v>
      </c>
      <c r="L11" s="321">
        <f>+Juillet!$EI$17</f>
        <v>0</v>
      </c>
      <c r="M11" s="321">
        <f>+Juillet!$AH$89</f>
        <v>0</v>
      </c>
      <c r="N11" s="321">
        <f>+Juillet!$AH$90</f>
        <v>0</v>
      </c>
      <c r="O11" s="321">
        <f>+Juillet!$AL$89</f>
        <v>0</v>
      </c>
      <c r="P11" s="321">
        <f>+Juillet!$AL$90</f>
        <v>0</v>
      </c>
      <c r="Q11" s="321">
        <f>+Juillet!$AH$92</f>
        <v>0</v>
      </c>
      <c r="R11" s="321">
        <f>+Juillet!$AL$92</f>
        <v>0</v>
      </c>
      <c r="S11" s="321">
        <f>+Juillet!$AH$87</f>
        <v>0</v>
      </c>
      <c r="T11" s="321">
        <f>+Juillet!$AH$93</f>
        <v>0</v>
      </c>
      <c r="U11" s="321">
        <f>+Juillet!$DP$13</f>
        <v>0</v>
      </c>
      <c r="V11" s="321">
        <f>+Juillet!$DP$11</f>
        <v>0</v>
      </c>
      <c r="W11" s="322">
        <f>+'CP Année Incomplète au 31-05'!$G$71</f>
        <v>0</v>
      </c>
      <c r="X11" s="322">
        <f>+'CP Année Complète au 31-05'!$D$59</f>
        <v>0</v>
      </c>
      <c r="Y11" s="321" t="e">
        <f>+Juillet!$DP$15</f>
        <v>#DIV/0!</v>
      </c>
      <c r="Z11" s="321">
        <f>+Juillet!$DP$8</f>
        <v>0</v>
      </c>
      <c r="AA11" s="322">
        <f>+Juillet!$EH$15</f>
        <v>0</v>
      </c>
      <c r="AB11" s="322">
        <f>'Retenue Juil'!BJ64</f>
        <v>0</v>
      </c>
      <c r="AC11" s="322">
        <f>+Juillet!$N$62</f>
        <v>0</v>
      </c>
      <c r="AD11" s="322">
        <f>'Retenue Juil'!BV13</f>
        <v>0</v>
      </c>
      <c r="AE11" s="322">
        <f>'Retenue Juil'!BV14</f>
        <v>0</v>
      </c>
      <c r="AF11" s="322">
        <f>'Retenue Juil'!BV15</f>
        <v>0</v>
      </c>
      <c r="AG11" s="322">
        <f>'Retenue Juil'!BV16</f>
        <v>0</v>
      </c>
      <c r="AH11" s="322">
        <f>'Retenue Juil'!BV17</f>
        <v>0</v>
      </c>
      <c r="AI11" s="322">
        <f>'Retenue Juil'!BV18</f>
        <v>0</v>
      </c>
      <c r="AJ11" s="322">
        <f>'Retenue Juil'!BV19</f>
        <v>0</v>
      </c>
      <c r="AK11" s="322">
        <f>'Retenue Juil'!BV20</f>
        <v>0</v>
      </c>
      <c r="AL11" s="322">
        <f>'Retenue Juil'!BJ11</f>
        <v>0</v>
      </c>
      <c r="AM11" s="322" t="str">
        <f>'Retenue Juil'!BK3</f>
        <v>Méthode 1</v>
      </c>
      <c r="AN11" s="321">
        <f>+Juillet!$T$35</f>
        <v>0</v>
      </c>
      <c r="AO11" s="321">
        <f>+Régularisation!$X$44</f>
        <v>0</v>
      </c>
      <c r="AP11" s="321">
        <f>+Régularisation!$X$45</f>
        <v>0</v>
      </c>
      <c r="AQ11" s="322" t="e">
        <f>+Régularisation!$X$54</f>
        <v>#DIV/0!</v>
      </c>
      <c r="AR11" s="322" t="e">
        <f>+Régularisation!$X$55</f>
        <v>#DIV/0!</v>
      </c>
      <c r="AS11" s="321">
        <f>+Régularisation!$X$69</f>
        <v>0</v>
      </c>
      <c r="AT11" s="321">
        <f>+Régularisation!$X$70</f>
        <v>0</v>
      </c>
      <c r="AU11" s="321">
        <f>+Régularisation!$X$71</f>
        <v>0</v>
      </c>
      <c r="AV11" s="321">
        <f>+Régularisation!$X$74</f>
        <v>0</v>
      </c>
      <c r="AW11" s="321">
        <f>+Régularisation!$X$75</f>
        <v>0</v>
      </c>
      <c r="AX11" s="321">
        <f>+Régularisation!$X$76</f>
        <v>0</v>
      </c>
      <c r="AY11" s="469">
        <f>+Régularisation!$X$78</f>
        <v>0</v>
      </c>
      <c r="AZ11" s="492">
        <f>+Juillet!$R$87</f>
        <v>0</v>
      </c>
      <c r="BA11" s="492">
        <f>+Juillet!$R$88</f>
        <v>0</v>
      </c>
      <c r="BB11" s="492">
        <f>+Juillet!$R$89</f>
        <v>0</v>
      </c>
      <c r="BC11" s="492" t="e">
        <f>+Juillet!$EG$2</f>
        <v>#DIV/0!</v>
      </c>
      <c r="BD11" s="492">
        <f>+Juillet!$EG$1</f>
        <v>0</v>
      </c>
      <c r="BE11" s="500" t="e">
        <f>+Juillet!$EG$2</f>
        <v>#DIV/0!</v>
      </c>
      <c r="BF11" s="500" t="e">
        <f>+Juillet!$EG$3</f>
        <v>#DIV/0!</v>
      </c>
      <c r="BG11" s="500" t="e">
        <f>+Juillet!$DK$27</f>
        <v>#DIV/0!</v>
      </c>
      <c r="BH11" s="500">
        <f>+Juillet!$DK$28</f>
        <v>0</v>
      </c>
      <c r="BI11" s="500">
        <f>+Juillet!$DM$28</f>
        <v>0</v>
      </c>
      <c r="BJ11" s="500">
        <f>+Juillet!$DM$29</f>
        <v>0</v>
      </c>
      <c r="BK11" s="500">
        <f>IF(Juillet!AL14,(Juillet!HO16+Juillet!T30)/Juillet!AL14,0)</f>
        <v>0</v>
      </c>
      <c r="BL11" s="573">
        <f>+Juillet!$T$32</f>
        <v>0</v>
      </c>
      <c r="BM11" s="573">
        <f>+Juillet!$T$33</f>
        <v>0</v>
      </c>
      <c r="BN11" s="573">
        <f>+Juillet!$BZ$98</f>
        <v>0</v>
      </c>
      <c r="BO11" s="573">
        <f>+Juillet!$BZ$100</f>
        <v>0</v>
      </c>
      <c r="BP11" s="573">
        <f>+Juillet!$BZ$102</f>
        <v>0</v>
      </c>
      <c r="BQ11" s="635">
        <f>+Juillet!$BZ$74</f>
        <v>0</v>
      </c>
      <c r="BR11" s="888">
        <f>'Retenue Juil'!E52</f>
        <v>0</v>
      </c>
      <c r="BS11" s="946" t="str">
        <f>+Juillet!$AA$63</f>
        <v/>
      </c>
      <c r="BT11" s="946" t="str">
        <f>+Juillet!$AG$63</f>
        <v/>
      </c>
      <c r="BU11" s="946" t="str">
        <f>+Juillet!$AJ$63</f>
        <v/>
      </c>
      <c r="BV11" s="946" t="str">
        <f>+Juillet!$AM$63</f>
        <v/>
      </c>
      <c r="BW11" s="946" t="str">
        <f>+Juillet!$AA$64</f>
        <v/>
      </c>
      <c r="BX11" s="946" t="str">
        <f>+Juillet!$AG$64</f>
        <v/>
      </c>
      <c r="BY11" s="946" t="str">
        <f>+Juillet!$AJ$64</f>
        <v/>
      </c>
      <c r="BZ11" s="946" t="str">
        <f>+Juillet!$AM$64</f>
        <v/>
      </c>
      <c r="CA11" s="946" t="str">
        <f>+Juillet!$AA$65</f>
        <v/>
      </c>
      <c r="CB11" s="946" t="str">
        <f>+Juillet!$AG$65</f>
        <v/>
      </c>
      <c r="CC11" s="946" t="str">
        <f>+Juillet!$AJ$65</f>
        <v/>
      </c>
      <c r="CD11" s="946" t="str">
        <f>+Juillet!$AM$65</f>
        <v/>
      </c>
      <c r="CE11" s="946" t="str">
        <f>+Juillet!$AA$66</f>
        <v/>
      </c>
      <c r="CF11" s="946" t="str">
        <f>+Juillet!$AG$66</f>
        <v/>
      </c>
      <c r="CG11" s="946" t="str">
        <f>+Juillet!$AJ$66</f>
        <v/>
      </c>
      <c r="CH11" s="946" t="str">
        <f>+Juillet!$AM$66</f>
        <v/>
      </c>
      <c r="CI11" s="321">
        <f>+Juillet!$DP$23</f>
        <v>0</v>
      </c>
      <c r="CJ11" s="321"/>
      <c r="CK11" s="322"/>
      <c r="CL11" s="321" t="str">
        <f>+Juillet!$B$34</f>
        <v/>
      </c>
      <c r="CM11" s="321">
        <f>+IF(CL11=S.CAL!$FT$3,SUM(Juillet!$T$18:$W$31)+Juillet!$T$33,AN11)</f>
        <v>0</v>
      </c>
      <c r="CN11" s="321">
        <f>SUM(Juillet!$T$18:$W$31)+Juillet!$T$33</f>
        <v>0</v>
      </c>
      <c r="CO11" s="573">
        <f>+Juillet!$DP$25</f>
        <v>0</v>
      </c>
      <c r="CP11" s="321">
        <f>+Juillet!$DP$26</f>
        <v>0</v>
      </c>
      <c r="CQ11" s="321">
        <f>+Juillet!$DP$27</f>
        <v>0</v>
      </c>
      <c r="CR11" s="321">
        <f>+Juillet!$DP$28</f>
        <v>0</v>
      </c>
      <c r="CS11" s="321">
        <f>+Juillet!$DP$29</f>
        <v>0</v>
      </c>
      <c r="CT11" s="321">
        <f>+Juillet!$AH$86</f>
        <v>0</v>
      </c>
      <c r="CU11" s="321">
        <f>+Juillet!$AL$86</f>
        <v>0</v>
      </c>
      <c r="CV11" s="321" t="e">
        <f>+'Salaire mensuel base 10%'!E11</f>
        <v>#DIV/0!</v>
      </c>
      <c r="CW11" s="321">
        <f>+Juillet!$T$31</f>
        <v>0</v>
      </c>
      <c r="CX11" s="851">
        <f>+Juillet!$DP$30</f>
        <v>0</v>
      </c>
    </row>
    <row r="12" spans="1:102" s="16" customFormat="1" x14ac:dyDescent="0.2">
      <c r="A12" s="320">
        <f>+Aout!$X$3</f>
        <v>45870</v>
      </c>
      <c r="B12" s="498">
        <f>+Aout!$DP$20</f>
        <v>0</v>
      </c>
      <c r="C12" s="321">
        <f>+Aout!$HO$16</f>
        <v>0</v>
      </c>
      <c r="D12" s="321">
        <f>+Aout!$T$30</f>
        <v>0</v>
      </c>
      <c r="E12" s="321">
        <f>+Aout!$EF$16</f>
        <v>0</v>
      </c>
      <c r="F12" s="321">
        <f>+Aout!$EG$16</f>
        <v>0</v>
      </c>
      <c r="G12" s="321">
        <f>+Aout!$EF$17</f>
        <v>0</v>
      </c>
      <c r="H12" s="321">
        <f>+Aout!$EG$17</f>
        <v>0</v>
      </c>
      <c r="I12" s="321">
        <f>+Aout!$EH$16</f>
        <v>0</v>
      </c>
      <c r="J12" s="321">
        <f>+Aout!$EI$16</f>
        <v>0</v>
      </c>
      <c r="K12" s="321">
        <f>+Aout!$EH$17</f>
        <v>0</v>
      </c>
      <c r="L12" s="321">
        <f>+Aout!$EI$17</f>
        <v>0</v>
      </c>
      <c r="M12" s="321">
        <f>+Aout!$AH$89</f>
        <v>0</v>
      </c>
      <c r="N12" s="321">
        <f>+Aout!$AH$90</f>
        <v>0</v>
      </c>
      <c r="O12" s="321">
        <f>+Aout!$AL$89</f>
        <v>0</v>
      </c>
      <c r="P12" s="321">
        <f>+Aout!$AL$90</f>
        <v>0</v>
      </c>
      <c r="Q12" s="321">
        <f>+Aout!$AH$92</f>
        <v>0</v>
      </c>
      <c r="R12" s="321">
        <f>+Aout!$AL$92</f>
        <v>0</v>
      </c>
      <c r="S12" s="321">
        <f>+Aout!$AH$87</f>
        <v>0</v>
      </c>
      <c r="T12" s="321">
        <f>+Aout!$AH$93</f>
        <v>0</v>
      </c>
      <c r="U12" s="321">
        <f>+Aout!$DP$13</f>
        <v>0</v>
      </c>
      <c r="V12" s="321">
        <f>+Aout!$DP$11</f>
        <v>0</v>
      </c>
      <c r="W12" s="322">
        <f>+'CP Année Incomplète au 31-05'!$G$71</f>
        <v>0</v>
      </c>
      <c r="X12" s="322">
        <f>+'CP Année Complète au 31-05'!$D$59</f>
        <v>0</v>
      </c>
      <c r="Y12" s="321" t="e">
        <f>+Aout!$DP$15</f>
        <v>#DIV/0!</v>
      </c>
      <c r="Z12" s="321">
        <f>+Aout!$DP$8</f>
        <v>0</v>
      </c>
      <c r="AA12" s="322">
        <f>+Aout!$EH$15</f>
        <v>0</v>
      </c>
      <c r="AB12" s="322">
        <f>'Retenue Aout'!BJ64</f>
        <v>0</v>
      </c>
      <c r="AC12" s="322">
        <f>+Aout!$N$62</f>
        <v>0</v>
      </c>
      <c r="AD12" s="322">
        <f>'Retenue Aout'!BV13</f>
        <v>0</v>
      </c>
      <c r="AE12" s="322">
        <f>'Retenue Aout'!BV14</f>
        <v>0</v>
      </c>
      <c r="AF12" s="322">
        <f>'Retenue Aout'!BV15</f>
        <v>0</v>
      </c>
      <c r="AG12" s="322">
        <f>'Retenue Aout'!BV16</f>
        <v>0</v>
      </c>
      <c r="AH12" s="322">
        <f>'Retenue Aout'!BV17</f>
        <v>0</v>
      </c>
      <c r="AI12" s="322">
        <f>'Retenue Aout'!BV18</f>
        <v>0</v>
      </c>
      <c r="AJ12" s="322">
        <f>'Retenue Aout'!BV19</f>
        <v>0</v>
      </c>
      <c r="AK12" s="322">
        <f>'Retenue Aout'!BV20</f>
        <v>0</v>
      </c>
      <c r="AL12" s="322">
        <f>'Retenue Aout'!BJ11</f>
        <v>0</v>
      </c>
      <c r="AM12" s="322" t="str">
        <f>'Retenue Aout'!BK3</f>
        <v>Méthode 1</v>
      </c>
      <c r="AN12" s="321">
        <f>+Aout!$T$35</f>
        <v>0</v>
      </c>
      <c r="AO12" s="321">
        <f>+Régularisation!$AA$44</f>
        <v>0</v>
      </c>
      <c r="AP12" s="321">
        <f>+Régularisation!$AA$45</f>
        <v>0</v>
      </c>
      <c r="AQ12" s="322" t="e">
        <f>+Régularisation!$AA$54</f>
        <v>#DIV/0!</v>
      </c>
      <c r="AR12" s="322" t="e">
        <f>+Régularisation!$AA$55</f>
        <v>#DIV/0!</v>
      </c>
      <c r="AS12" s="321">
        <f>+Régularisation!$AA$69</f>
        <v>0</v>
      </c>
      <c r="AT12" s="321">
        <f>+Régularisation!$AA$70</f>
        <v>0</v>
      </c>
      <c r="AU12" s="321">
        <f>+Régularisation!$AA$71</f>
        <v>0</v>
      </c>
      <c r="AV12" s="321">
        <f>+Régularisation!$AA$74</f>
        <v>0</v>
      </c>
      <c r="AW12" s="321">
        <f>+Régularisation!$AA$75</f>
        <v>0</v>
      </c>
      <c r="AX12" s="321">
        <f>+Régularisation!$AA$76</f>
        <v>0</v>
      </c>
      <c r="AY12" s="469">
        <f>+Régularisation!$AA$78</f>
        <v>0</v>
      </c>
      <c r="AZ12" s="492">
        <f>+Aout!$R$87</f>
        <v>0</v>
      </c>
      <c r="BA12" s="492">
        <f>+Aout!$R$88</f>
        <v>0</v>
      </c>
      <c r="BB12" s="492">
        <f>+Aout!$R$89</f>
        <v>0</v>
      </c>
      <c r="BC12" s="492" t="e">
        <f>+Aout!$EG$2</f>
        <v>#DIV/0!</v>
      </c>
      <c r="BD12" s="492">
        <f>+Aout!$EG$1</f>
        <v>0</v>
      </c>
      <c r="BE12" s="500" t="e">
        <f>+Aout!$EG$2</f>
        <v>#DIV/0!</v>
      </c>
      <c r="BF12" s="500" t="e">
        <f>+Aout!$EG$3</f>
        <v>#DIV/0!</v>
      </c>
      <c r="BG12" s="500" t="e">
        <f>+Aout!$DK$27</f>
        <v>#DIV/0!</v>
      </c>
      <c r="BH12" s="500">
        <f>+Aout!$DK$28</f>
        <v>0</v>
      </c>
      <c r="BI12" s="500">
        <f>+Aout!$DM$28</f>
        <v>0</v>
      </c>
      <c r="BJ12" s="500">
        <f>+Aout!$DM$29</f>
        <v>0</v>
      </c>
      <c r="BK12" s="500">
        <f>IF(Aout!AL14,(Aout!HO16+Aout!T30)/Aout!AL14,0)</f>
        <v>0</v>
      </c>
      <c r="BL12" s="573">
        <f>+Aout!$T$32</f>
        <v>0</v>
      </c>
      <c r="BM12" s="573">
        <f>+Aout!$T$33</f>
        <v>0</v>
      </c>
      <c r="BN12" s="573">
        <f>+Aout!$BZ$98</f>
        <v>0</v>
      </c>
      <c r="BO12" s="573">
        <f>+Aout!$BZ$100</f>
        <v>0</v>
      </c>
      <c r="BP12" s="573">
        <f>+Aout!$BZ$102</f>
        <v>0</v>
      </c>
      <c r="BQ12" s="635">
        <f>+Aout!$BZ$74</f>
        <v>0</v>
      </c>
      <c r="BR12" s="888">
        <f>'Retenue Aout'!E52</f>
        <v>0</v>
      </c>
      <c r="BS12" s="946" t="str">
        <f>+Aout!$AA$63</f>
        <v/>
      </c>
      <c r="BT12" s="946" t="str">
        <f>+Aout!$AG$63</f>
        <v/>
      </c>
      <c r="BU12" s="946" t="str">
        <f>+Aout!$AJ$63</f>
        <v/>
      </c>
      <c r="BV12" s="946" t="str">
        <f>+Aout!$AM$63</f>
        <v/>
      </c>
      <c r="BW12" s="946" t="str">
        <f>+Aout!$AA$64</f>
        <v/>
      </c>
      <c r="BX12" s="946" t="str">
        <f>+Aout!$AG$64</f>
        <v/>
      </c>
      <c r="BY12" s="946" t="str">
        <f>+Aout!$AJ$64</f>
        <v/>
      </c>
      <c r="BZ12" s="946" t="str">
        <f>+Aout!$AM$64</f>
        <v/>
      </c>
      <c r="CA12" s="946" t="str">
        <f>+Aout!$AA$65</f>
        <v/>
      </c>
      <c r="CB12" s="946" t="str">
        <f>+Aout!$AG$65</f>
        <v/>
      </c>
      <c r="CC12" s="946" t="str">
        <f>+Aout!$AJ$65</f>
        <v/>
      </c>
      <c r="CD12" s="946" t="str">
        <f>+Aout!$AM$65</f>
        <v/>
      </c>
      <c r="CE12" s="946" t="str">
        <f>+Aout!$AA$66</f>
        <v/>
      </c>
      <c r="CF12" s="946" t="str">
        <f>+Aout!$AG$66</f>
        <v/>
      </c>
      <c r="CG12" s="946" t="str">
        <f>+Aout!$AJ$66</f>
        <v/>
      </c>
      <c r="CH12" s="946" t="str">
        <f>+Aout!$AM$66</f>
        <v/>
      </c>
      <c r="CI12" s="321">
        <f>+Aout!$DP$23</f>
        <v>0</v>
      </c>
      <c r="CJ12" s="321"/>
      <c r="CK12" s="322"/>
      <c r="CL12" s="321" t="str">
        <f>+Aout!$B$34</f>
        <v/>
      </c>
      <c r="CM12" s="321">
        <f>+IF(CL12=S.CAL!$FT$3,SUM(Aout!$T$18:$W$31)+Aout!$T$33,AN12)</f>
        <v>0</v>
      </c>
      <c r="CN12" s="321">
        <f>SUM(Aout!$T$18:$W$31)+Aout!$T$33</f>
        <v>0</v>
      </c>
      <c r="CO12" s="573">
        <f>+Aout!$DP$25</f>
        <v>0</v>
      </c>
      <c r="CP12" s="321">
        <f>+Aout!$DP$26</f>
        <v>0</v>
      </c>
      <c r="CQ12" s="321">
        <f>+Aout!$DP$27</f>
        <v>0</v>
      </c>
      <c r="CR12" s="321">
        <f>+Aout!$DP$28</f>
        <v>0</v>
      </c>
      <c r="CS12" s="321">
        <f>+Aout!$DP$29</f>
        <v>0</v>
      </c>
      <c r="CT12" s="321">
        <f>+Aout!$AH$86</f>
        <v>0</v>
      </c>
      <c r="CU12" s="321">
        <f>+Aout!$AL$86</f>
        <v>0</v>
      </c>
      <c r="CV12" s="321" t="e">
        <f>+'Salaire mensuel base 10%'!E12</f>
        <v>#DIV/0!</v>
      </c>
      <c r="CW12" s="321">
        <f>+Aout!$T$31</f>
        <v>0</v>
      </c>
      <c r="CX12" s="851">
        <f>+Aout!$DP$30</f>
        <v>0</v>
      </c>
    </row>
    <row r="13" spans="1:102" s="16" customFormat="1" x14ac:dyDescent="0.2">
      <c r="A13" s="320">
        <f>+Septembre!$X$3</f>
        <v>45901</v>
      </c>
      <c r="B13" s="498">
        <f>+Septembre!$DP$20</f>
        <v>0</v>
      </c>
      <c r="C13" s="321">
        <f>+Septembre!$HO$16</f>
        <v>0</v>
      </c>
      <c r="D13" s="321">
        <f>+Septembre!$T$30</f>
        <v>0</v>
      </c>
      <c r="E13" s="321">
        <f>+Septembre!$EF$16</f>
        <v>0</v>
      </c>
      <c r="F13" s="321">
        <f>+Septembre!$EG$16</f>
        <v>0</v>
      </c>
      <c r="G13" s="321">
        <f>+Septembre!$EF$17</f>
        <v>0</v>
      </c>
      <c r="H13" s="321">
        <f>+Septembre!$EG$17</f>
        <v>0</v>
      </c>
      <c r="I13" s="321">
        <f>+Septembre!$EH$16</f>
        <v>0</v>
      </c>
      <c r="J13" s="321">
        <f>+Septembre!$EI$16</f>
        <v>0</v>
      </c>
      <c r="K13" s="321">
        <f>+Septembre!$EH$17</f>
        <v>0</v>
      </c>
      <c r="L13" s="321">
        <f>+Septembre!$EI$17</f>
        <v>0</v>
      </c>
      <c r="M13" s="321">
        <f>+Septembre!$AH$89</f>
        <v>0</v>
      </c>
      <c r="N13" s="321">
        <f>+Septembre!$AH$90</f>
        <v>0</v>
      </c>
      <c r="O13" s="321">
        <f>+Septembre!$AL$89</f>
        <v>0</v>
      </c>
      <c r="P13" s="321">
        <f>+Septembre!$AL$90</f>
        <v>0</v>
      </c>
      <c r="Q13" s="321">
        <f>+Septembre!$AH$92</f>
        <v>0</v>
      </c>
      <c r="R13" s="321">
        <f>+Septembre!$AL$92</f>
        <v>0</v>
      </c>
      <c r="S13" s="321">
        <f>+Septembre!$AH$87</f>
        <v>0</v>
      </c>
      <c r="T13" s="321">
        <f>+Septembre!$AH$93</f>
        <v>0</v>
      </c>
      <c r="U13" s="321">
        <f>+Septembre!$DP$13</f>
        <v>0</v>
      </c>
      <c r="V13" s="321">
        <f>+Septembre!$DP$11</f>
        <v>0</v>
      </c>
      <c r="W13" s="322">
        <f>+'CP Année Incomplète au 31-05'!$G$71</f>
        <v>0</v>
      </c>
      <c r="X13" s="322">
        <f>+'CP Année Complète au 31-05'!$D$59</f>
        <v>0</v>
      </c>
      <c r="Y13" s="321" t="e">
        <f>+Septembre!$DP$15</f>
        <v>#DIV/0!</v>
      </c>
      <c r="Z13" s="321">
        <f>+Septembre!$DP$8</f>
        <v>0</v>
      </c>
      <c r="AA13" s="322">
        <f>+Septembre!$EH$15</f>
        <v>0</v>
      </c>
      <c r="AB13" s="322">
        <f>'Retenue Sept'!BJ64</f>
        <v>0</v>
      </c>
      <c r="AC13" s="322">
        <f>+Septembre!$N$62</f>
        <v>0</v>
      </c>
      <c r="AD13" s="322">
        <f>'Retenue Sept'!BV13</f>
        <v>0</v>
      </c>
      <c r="AE13" s="322">
        <f>'Retenue Sept'!BV14</f>
        <v>0</v>
      </c>
      <c r="AF13" s="322">
        <f>'Retenue Sept'!BV15</f>
        <v>0</v>
      </c>
      <c r="AG13" s="322">
        <f>'Retenue Sept'!BV16</f>
        <v>0</v>
      </c>
      <c r="AH13" s="322">
        <f>'Retenue Sept'!BV17</f>
        <v>0</v>
      </c>
      <c r="AI13" s="322">
        <f>'Retenue Sept'!BV18</f>
        <v>0</v>
      </c>
      <c r="AJ13" s="322">
        <f>'Retenue Sept'!BV19</f>
        <v>0</v>
      </c>
      <c r="AK13" s="322">
        <f>'Retenue Sept'!BV20</f>
        <v>0</v>
      </c>
      <c r="AL13" s="322">
        <f>'Retenue Sept'!BJ11</f>
        <v>0</v>
      </c>
      <c r="AM13" s="322" t="str">
        <f>'Retenue Sept'!BK3</f>
        <v>Méthode 1</v>
      </c>
      <c r="AN13" s="321">
        <f>+Septembre!$T$35</f>
        <v>0</v>
      </c>
      <c r="AO13" s="321">
        <f>+Régularisation!$AD$44</f>
        <v>0</v>
      </c>
      <c r="AP13" s="321">
        <f>+Régularisation!$AD$45</f>
        <v>0</v>
      </c>
      <c r="AQ13" s="322" t="e">
        <f>+Régularisation!$AD$54</f>
        <v>#DIV/0!</v>
      </c>
      <c r="AR13" s="322" t="e">
        <f>+Régularisation!$AD$55</f>
        <v>#DIV/0!</v>
      </c>
      <c r="AS13" s="321">
        <f>+Régularisation!$AD$69</f>
        <v>0</v>
      </c>
      <c r="AT13" s="321">
        <f>+Régularisation!$AD$70</f>
        <v>0</v>
      </c>
      <c r="AU13" s="321">
        <f>+Régularisation!$AD$71</f>
        <v>0</v>
      </c>
      <c r="AV13" s="321">
        <f>+Régularisation!$AD$74</f>
        <v>0</v>
      </c>
      <c r="AW13" s="321">
        <f>+Régularisation!$AD$75</f>
        <v>0</v>
      </c>
      <c r="AX13" s="321">
        <f>+Régularisation!$AD$76</f>
        <v>0</v>
      </c>
      <c r="AY13" s="469">
        <f>+Régularisation!$AD$78</f>
        <v>0</v>
      </c>
      <c r="AZ13" s="492">
        <f>+Septembre!$R$87</f>
        <v>0</v>
      </c>
      <c r="BA13" s="492">
        <f>+Septembre!$R$88</f>
        <v>0</v>
      </c>
      <c r="BB13" s="492">
        <f>+Septembre!$R$89</f>
        <v>0</v>
      </c>
      <c r="BC13" s="492" t="e">
        <f>+Septembre!$EG$2</f>
        <v>#DIV/0!</v>
      </c>
      <c r="BD13" s="492">
        <f>+Septembre!$EG$1</f>
        <v>0</v>
      </c>
      <c r="BE13" s="500" t="e">
        <f>+Septembre!$EG$2</f>
        <v>#DIV/0!</v>
      </c>
      <c r="BF13" s="500" t="e">
        <f>+Septembre!$EG$3</f>
        <v>#DIV/0!</v>
      </c>
      <c r="BG13" s="500" t="e">
        <f>+Septembre!$DK$27</f>
        <v>#DIV/0!</v>
      </c>
      <c r="BH13" s="500">
        <f>+Septembre!$DK$28</f>
        <v>0</v>
      </c>
      <c r="BI13" s="500">
        <f>+Septembre!$DM$28</f>
        <v>0</v>
      </c>
      <c r="BJ13" s="500">
        <f>+Septembre!$DM$29</f>
        <v>0</v>
      </c>
      <c r="BK13" s="500">
        <f>IF(Septembre!AL14,(Septembre!HO16+Septembre!T30)/Septembre!AL14,0)</f>
        <v>0</v>
      </c>
      <c r="BL13" s="573">
        <f>+Septembre!$T$32</f>
        <v>0</v>
      </c>
      <c r="BM13" s="573">
        <f>+Septembre!$T$33</f>
        <v>0</v>
      </c>
      <c r="BN13" s="573">
        <f>+Septembre!$BZ$98</f>
        <v>0</v>
      </c>
      <c r="BO13" s="573">
        <f>+Septembre!$BZ$100</f>
        <v>0</v>
      </c>
      <c r="BP13" s="573">
        <f>+Septembre!$BZ$102</f>
        <v>0</v>
      </c>
      <c r="BQ13" s="635">
        <f>+Septembre!$BZ$74</f>
        <v>0</v>
      </c>
      <c r="BR13" s="888">
        <f>'Retenue Sept'!E52</f>
        <v>0</v>
      </c>
      <c r="BS13" s="946" t="str">
        <f>+Septembre!$AA$63</f>
        <v/>
      </c>
      <c r="BT13" s="946" t="str">
        <f>+Septembre!$AG$63</f>
        <v/>
      </c>
      <c r="BU13" s="946" t="str">
        <f>+Septembre!$AJ$63</f>
        <v/>
      </c>
      <c r="BV13" s="946" t="str">
        <f>+Septembre!$AM$63</f>
        <v/>
      </c>
      <c r="BW13" s="946" t="str">
        <f>+Septembre!$AA$64</f>
        <v/>
      </c>
      <c r="BX13" s="946" t="str">
        <f>+Septembre!$AG$64</f>
        <v/>
      </c>
      <c r="BY13" s="946" t="str">
        <f>+Septembre!$AJ$64</f>
        <v/>
      </c>
      <c r="BZ13" s="946" t="str">
        <f>+Septembre!$AM$64</f>
        <v/>
      </c>
      <c r="CA13" s="946" t="str">
        <f>+Septembre!$AA$65</f>
        <v/>
      </c>
      <c r="CB13" s="946" t="str">
        <f>+Septembre!$AG$65</f>
        <v/>
      </c>
      <c r="CC13" s="946" t="str">
        <f>+Septembre!$AJ$65</f>
        <v/>
      </c>
      <c r="CD13" s="946" t="str">
        <f>+Septembre!$AM$65</f>
        <v/>
      </c>
      <c r="CE13" s="946" t="str">
        <f>+Septembre!$AA$66</f>
        <v/>
      </c>
      <c r="CF13" s="946" t="str">
        <f>+Septembre!$AG$66</f>
        <v/>
      </c>
      <c r="CG13" s="946" t="str">
        <f>+Septembre!$AJ$66</f>
        <v/>
      </c>
      <c r="CH13" s="946" t="str">
        <f>+Septembre!$AM$66</f>
        <v/>
      </c>
      <c r="CI13" s="321">
        <f>+Septembre!$DP$23</f>
        <v>0</v>
      </c>
      <c r="CJ13" s="321"/>
      <c r="CK13" s="322"/>
      <c r="CL13" s="321" t="str">
        <f>+Septembre!$B$34</f>
        <v/>
      </c>
      <c r="CM13" s="321">
        <f>+IF(CL13=S.CAL!$FT$3,SUM(Septembre!$T$18:$W$31)+Septembre!$T$33,AN13)</f>
        <v>0</v>
      </c>
      <c r="CN13" s="321">
        <f>SUM(Septembre!$T$18:$W$31)+Septembre!$T$33</f>
        <v>0</v>
      </c>
      <c r="CO13" s="573">
        <f>+Septembre!$DP$25</f>
        <v>0</v>
      </c>
      <c r="CP13" s="321">
        <f>+Septembre!$DP$26</f>
        <v>0</v>
      </c>
      <c r="CQ13" s="321">
        <f>+Septembre!$DP$27</f>
        <v>0</v>
      </c>
      <c r="CR13" s="321">
        <f>+Septembre!$DP$28</f>
        <v>0</v>
      </c>
      <c r="CS13" s="321">
        <f>+Septembre!$DP$29</f>
        <v>0</v>
      </c>
      <c r="CT13" s="321">
        <f>+Septembre!$AH$86</f>
        <v>0</v>
      </c>
      <c r="CU13" s="321">
        <f>+Septembre!$AL$86</f>
        <v>0</v>
      </c>
      <c r="CV13" s="321" t="e">
        <f>+'Salaire mensuel base 10%'!E13</f>
        <v>#DIV/0!</v>
      </c>
      <c r="CW13" s="321">
        <f>+Septembre!$T$31</f>
        <v>0</v>
      </c>
      <c r="CX13" s="851">
        <f>+Septembre!$DP$30</f>
        <v>0</v>
      </c>
    </row>
    <row r="14" spans="1:102" s="16" customFormat="1" x14ac:dyDescent="0.2">
      <c r="A14" s="320">
        <f>+Octobre!$X$3</f>
        <v>45931</v>
      </c>
      <c r="B14" s="498">
        <f>+Octobre!$DP$20</f>
        <v>0</v>
      </c>
      <c r="C14" s="321">
        <f>+Octobre!$HO$16</f>
        <v>0</v>
      </c>
      <c r="D14" s="321">
        <f>+Octobre!$T$30</f>
        <v>0</v>
      </c>
      <c r="E14" s="321">
        <f>+Octobre!$EF$16</f>
        <v>0</v>
      </c>
      <c r="F14" s="321">
        <f>+Octobre!$EG$16</f>
        <v>0</v>
      </c>
      <c r="G14" s="321">
        <f>+Octobre!$EF$17</f>
        <v>0</v>
      </c>
      <c r="H14" s="321">
        <f>+Octobre!$EG$17</f>
        <v>0</v>
      </c>
      <c r="I14" s="321">
        <f>+Octobre!$EH$16</f>
        <v>0</v>
      </c>
      <c r="J14" s="321">
        <f>+Octobre!$EI$16</f>
        <v>0</v>
      </c>
      <c r="K14" s="321">
        <f>+Octobre!$EH$17</f>
        <v>0</v>
      </c>
      <c r="L14" s="321">
        <f>+Octobre!$EI$17</f>
        <v>0</v>
      </c>
      <c r="M14" s="321">
        <f>+Octobre!$AH$89</f>
        <v>0</v>
      </c>
      <c r="N14" s="321">
        <f>+Octobre!$AH$90</f>
        <v>0</v>
      </c>
      <c r="O14" s="321">
        <f>+Octobre!$AL$89</f>
        <v>0</v>
      </c>
      <c r="P14" s="321">
        <f>+Octobre!$AL$90</f>
        <v>0</v>
      </c>
      <c r="Q14" s="321">
        <f>+Octobre!$AH$92</f>
        <v>0</v>
      </c>
      <c r="R14" s="321">
        <f>+Octobre!$AL$92</f>
        <v>0</v>
      </c>
      <c r="S14" s="321">
        <f>+Octobre!$AH$87</f>
        <v>0</v>
      </c>
      <c r="T14" s="321">
        <f>+Octobre!$AH$93</f>
        <v>0</v>
      </c>
      <c r="U14" s="321">
        <f>+Octobre!$DP$13</f>
        <v>0</v>
      </c>
      <c r="V14" s="321">
        <f>+Octobre!$DP$11</f>
        <v>0</v>
      </c>
      <c r="W14" s="322">
        <f>+'CP Année Incomplète au 31-05'!$G$71</f>
        <v>0</v>
      </c>
      <c r="X14" s="322">
        <f>+'CP Année Complète au 31-05'!$D$59</f>
        <v>0</v>
      </c>
      <c r="Y14" s="321" t="e">
        <f>+Octobre!$DP$15</f>
        <v>#DIV/0!</v>
      </c>
      <c r="Z14" s="321">
        <f>+Octobre!$DP$8</f>
        <v>0</v>
      </c>
      <c r="AA14" s="322">
        <f>+Octobre!$EH$15</f>
        <v>0</v>
      </c>
      <c r="AB14" s="322">
        <f>'Retenue Oct'!BJ64</f>
        <v>0</v>
      </c>
      <c r="AC14" s="322">
        <f>+Octobre!$N$62</f>
        <v>0</v>
      </c>
      <c r="AD14" s="322">
        <f>'Retenue Oct'!BV13</f>
        <v>0</v>
      </c>
      <c r="AE14" s="322">
        <f>'Retenue Oct'!BV14</f>
        <v>0</v>
      </c>
      <c r="AF14" s="322">
        <f>'Retenue Oct'!BV15</f>
        <v>0</v>
      </c>
      <c r="AG14" s="322">
        <f>'Retenue Oct'!BV16</f>
        <v>0</v>
      </c>
      <c r="AH14" s="322">
        <f>'Retenue Oct'!BV17</f>
        <v>0</v>
      </c>
      <c r="AI14" s="322">
        <f>'Retenue Oct'!BV18</f>
        <v>0</v>
      </c>
      <c r="AJ14" s="322">
        <f>'Retenue Oct'!BV19</f>
        <v>0</v>
      </c>
      <c r="AK14" s="322">
        <f>'Retenue Oct'!BV20</f>
        <v>0</v>
      </c>
      <c r="AL14" s="322">
        <f>'Retenue Oct'!BJ11</f>
        <v>0</v>
      </c>
      <c r="AM14" s="322" t="str">
        <f>'Retenue Oct'!BK3</f>
        <v>Méthode 1</v>
      </c>
      <c r="AN14" s="321">
        <f>+Octobre!$T$35</f>
        <v>0</v>
      </c>
      <c r="AO14" s="321">
        <f>+Régularisation!$AG$44</f>
        <v>0</v>
      </c>
      <c r="AP14" s="321">
        <f>+Régularisation!$AG$45</f>
        <v>0</v>
      </c>
      <c r="AQ14" s="322" t="e">
        <f>+Régularisation!$AG$54</f>
        <v>#DIV/0!</v>
      </c>
      <c r="AR14" s="322" t="e">
        <f>+Régularisation!$AG$55</f>
        <v>#DIV/0!</v>
      </c>
      <c r="AS14" s="321">
        <f>+Régularisation!$AG$69</f>
        <v>0</v>
      </c>
      <c r="AT14" s="321">
        <f>+Régularisation!$AG$70</f>
        <v>0</v>
      </c>
      <c r="AU14" s="321">
        <f>+Régularisation!$AG$71</f>
        <v>0</v>
      </c>
      <c r="AV14" s="321">
        <f>+Régularisation!$AG$74</f>
        <v>0</v>
      </c>
      <c r="AW14" s="321">
        <f>+Régularisation!$AG$75</f>
        <v>0</v>
      </c>
      <c r="AX14" s="321">
        <f>+Régularisation!$AG$76</f>
        <v>0</v>
      </c>
      <c r="AY14" s="469">
        <f>+Régularisation!$AG$78</f>
        <v>0</v>
      </c>
      <c r="AZ14" s="492">
        <f>+Octobre!$R$87</f>
        <v>0</v>
      </c>
      <c r="BA14" s="492">
        <f>+Octobre!$R$88</f>
        <v>0</v>
      </c>
      <c r="BB14" s="492">
        <f>+Octobre!$R$89</f>
        <v>0</v>
      </c>
      <c r="BC14" s="492" t="e">
        <f>+Octobre!$EG$2</f>
        <v>#DIV/0!</v>
      </c>
      <c r="BD14" s="492">
        <f>+Octobre!$EG$1</f>
        <v>0</v>
      </c>
      <c r="BE14" s="500" t="e">
        <f>+Octobre!$EG$2</f>
        <v>#DIV/0!</v>
      </c>
      <c r="BF14" s="500" t="e">
        <f>+Octobre!$EG$3</f>
        <v>#DIV/0!</v>
      </c>
      <c r="BG14" s="500" t="e">
        <f>+Octobre!$DK$27</f>
        <v>#DIV/0!</v>
      </c>
      <c r="BH14" s="500">
        <f>+Octobre!$DK$28</f>
        <v>0</v>
      </c>
      <c r="BI14" s="500">
        <f>+Octobre!$DM$28</f>
        <v>0</v>
      </c>
      <c r="BJ14" s="500">
        <f>+Octobre!$DM$29</f>
        <v>0</v>
      </c>
      <c r="BK14" s="500">
        <f>IF(Octobre!AL14,(Octobre!HO16+Octobre!T30)/Octobre!AL14,0)</f>
        <v>0</v>
      </c>
      <c r="BL14" s="573">
        <f>+Octobre!$T$32</f>
        <v>0</v>
      </c>
      <c r="BM14" s="573">
        <f>+Octobre!$T$33</f>
        <v>0</v>
      </c>
      <c r="BN14" s="573">
        <f>+Octobre!$BZ$98</f>
        <v>0</v>
      </c>
      <c r="BO14" s="573">
        <f>+Octobre!$BZ$100</f>
        <v>0</v>
      </c>
      <c r="BP14" s="573">
        <f>+Octobre!$BZ$102</f>
        <v>0</v>
      </c>
      <c r="BQ14" s="635">
        <f>+Octobre!$BZ$74</f>
        <v>0</v>
      </c>
      <c r="BR14" s="888">
        <f>'Retenue Oct'!E52</f>
        <v>0</v>
      </c>
      <c r="BS14" s="946" t="str">
        <f>+Octobre!$AA$63</f>
        <v/>
      </c>
      <c r="BT14" s="946" t="str">
        <f>+Octobre!$AG$63</f>
        <v/>
      </c>
      <c r="BU14" s="946" t="str">
        <f>+Octobre!$AJ$63</f>
        <v/>
      </c>
      <c r="BV14" s="946" t="str">
        <f>+Octobre!$AM$63</f>
        <v/>
      </c>
      <c r="BW14" s="946" t="str">
        <f>+Octobre!$AA$64</f>
        <v/>
      </c>
      <c r="BX14" s="946" t="str">
        <f>+Octobre!$AG$64</f>
        <v/>
      </c>
      <c r="BY14" s="946" t="str">
        <f>+Octobre!$AJ$64</f>
        <v/>
      </c>
      <c r="BZ14" s="946" t="str">
        <f>+Octobre!$AM$64</f>
        <v/>
      </c>
      <c r="CA14" s="946" t="str">
        <f>+Octobre!$AA$65</f>
        <v/>
      </c>
      <c r="CB14" s="946" t="str">
        <f>+Octobre!$AG$65</f>
        <v/>
      </c>
      <c r="CC14" s="946" t="str">
        <f>+Octobre!$AJ$65</f>
        <v/>
      </c>
      <c r="CD14" s="946" t="str">
        <f>+Octobre!$AM$65</f>
        <v/>
      </c>
      <c r="CE14" s="946" t="str">
        <f>+Octobre!$AA$66</f>
        <v/>
      </c>
      <c r="CF14" s="946" t="str">
        <f>+Octobre!$AG$66</f>
        <v/>
      </c>
      <c r="CG14" s="946" t="str">
        <f>+Octobre!$AJ$66</f>
        <v/>
      </c>
      <c r="CH14" s="946" t="str">
        <f>+Octobre!$AM$66</f>
        <v/>
      </c>
      <c r="CI14" s="321">
        <f>+Octobre!$DP$23</f>
        <v>0</v>
      </c>
      <c r="CJ14" s="321"/>
      <c r="CK14" s="322"/>
      <c r="CL14" s="321" t="str">
        <f>+Octobre!$B$34</f>
        <v/>
      </c>
      <c r="CM14" s="321">
        <f>+IF(CL14=S.CAL!$FT$3,SUM(Octobre!$T$18:$W$31)+Octobre!$T$33,AN14)</f>
        <v>0</v>
      </c>
      <c r="CN14" s="321">
        <f>SUM(Octobre!$T$18:$W$31)+Octobre!$T$33</f>
        <v>0</v>
      </c>
      <c r="CO14" s="573">
        <f>+Octobre!$DP$25</f>
        <v>0</v>
      </c>
      <c r="CP14" s="321">
        <f>+Octobre!$DP$26</f>
        <v>0</v>
      </c>
      <c r="CQ14" s="321">
        <f>+Octobre!$DP$27</f>
        <v>0</v>
      </c>
      <c r="CR14" s="321">
        <f>+Octobre!$DP$28</f>
        <v>0</v>
      </c>
      <c r="CS14" s="321">
        <f>+Octobre!$DP$29</f>
        <v>0</v>
      </c>
      <c r="CT14" s="321">
        <f>+Octobre!$AH$86</f>
        <v>0</v>
      </c>
      <c r="CU14" s="321">
        <f>+Octobre!$AL$86</f>
        <v>0</v>
      </c>
      <c r="CV14" s="321" t="e">
        <f>+'Salaire mensuel base 10%'!E14</f>
        <v>#DIV/0!</v>
      </c>
      <c r="CW14" s="321">
        <f>+Octobre!$T$31</f>
        <v>0</v>
      </c>
      <c r="CX14" s="851">
        <f>+Octobre!$DP$30</f>
        <v>0</v>
      </c>
    </row>
    <row r="15" spans="1:102" s="16" customFormat="1" x14ac:dyDescent="0.2">
      <c r="A15" s="320">
        <f>+Novembre!$X$3</f>
        <v>45962</v>
      </c>
      <c r="B15" s="498">
        <f>+Novembre!$DP$20</f>
        <v>0</v>
      </c>
      <c r="C15" s="321">
        <f>+Novembre!$HO$16</f>
        <v>0</v>
      </c>
      <c r="D15" s="321">
        <f>+Novembre!$T$30</f>
        <v>0</v>
      </c>
      <c r="E15" s="321">
        <f>+Novembre!$EF$16</f>
        <v>0</v>
      </c>
      <c r="F15" s="321">
        <f>+Novembre!$EG$16</f>
        <v>0</v>
      </c>
      <c r="G15" s="321">
        <f>+Novembre!$EF$17</f>
        <v>0</v>
      </c>
      <c r="H15" s="321">
        <f>+Novembre!$EG$17</f>
        <v>0</v>
      </c>
      <c r="I15" s="321">
        <f>+Novembre!$EH$16</f>
        <v>0</v>
      </c>
      <c r="J15" s="321">
        <f>+Novembre!$EI$16</f>
        <v>0</v>
      </c>
      <c r="K15" s="321">
        <f>+Novembre!$EH$17</f>
        <v>0</v>
      </c>
      <c r="L15" s="321">
        <f>+Novembre!$EI$17</f>
        <v>0</v>
      </c>
      <c r="M15" s="321">
        <f>+Novembre!$AH$89</f>
        <v>0</v>
      </c>
      <c r="N15" s="321">
        <f>+Novembre!$AH$90</f>
        <v>0</v>
      </c>
      <c r="O15" s="321">
        <f>+Novembre!$AL$89</f>
        <v>0</v>
      </c>
      <c r="P15" s="321">
        <f>+Novembre!$AL$90</f>
        <v>0</v>
      </c>
      <c r="Q15" s="321">
        <f>+Novembre!$AH$92</f>
        <v>0</v>
      </c>
      <c r="R15" s="321">
        <f>+Novembre!$AL$92</f>
        <v>0</v>
      </c>
      <c r="S15" s="321">
        <f>+Novembre!$AH$87</f>
        <v>0</v>
      </c>
      <c r="T15" s="321">
        <f>+Novembre!$AH$93</f>
        <v>0</v>
      </c>
      <c r="U15" s="321">
        <f>+Novembre!$DP$13</f>
        <v>0</v>
      </c>
      <c r="V15" s="321">
        <f>+Novembre!$DP$11</f>
        <v>0</v>
      </c>
      <c r="W15" s="322">
        <f>+'CP Année Incomplète au 31-05'!$G$71</f>
        <v>0</v>
      </c>
      <c r="X15" s="322">
        <f>+'CP Année Complète au 31-05'!$D$59</f>
        <v>0</v>
      </c>
      <c r="Y15" s="321" t="e">
        <f>+Novembre!$DP$15</f>
        <v>#DIV/0!</v>
      </c>
      <c r="Z15" s="321">
        <f>+Novembre!$DP$8</f>
        <v>0</v>
      </c>
      <c r="AA15" s="322">
        <f>+Novembre!$EH$15</f>
        <v>0</v>
      </c>
      <c r="AB15" s="322">
        <f>'Retenue Nov'!BJ64</f>
        <v>0</v>
      </c>
      <c r="AC15" s="322">
        <f>+Novembre!$N$62</f>
        <v>0</v>
      </c>
      <c r="AD15" s="322">
        <f>'Retenue Nov'!BV13</f>
        <v>0</v>
      </c>
      <c r="AE15" s="322">
        <f>'Retenue Nov'!BV14</f>
        <v>0</v>
      </c>
      <c r="AF15" s="322">
        <f>'Retenue Nov'!BV15</f>
        <v>0</v>
      </c>
      <c r="AG15" s="322">
        <f>'Retenue Nov'!BV16</f>
        <v>0</v>
      </c>
      <c r="AH15" s="322">
        <f>'Retenue Nov'!BV17</f>
        <v>0</v>
      </c>
      <c r="AI15" s="322">
        <f>'Retenue Nov'!BV18</f>
        <v>0</v>
      </c>
      <c r="AJ15" s="322">
        <f>'Retenue Nov'!BV19</f>
        <v>0</v>
      </c>
      <c r="AK15" s="322">
        <f>'Retenue Nov'!BV20</f>
        <v>0</v>
      </c>
      <c r="AL15" s="322">
        <f>'Retenue Nov'!BJ11</f>
        <v>0</v>
      </c>
      <c r="AM15" s="322" t="str">
        <f>'Retenue Nov'!BK3</f>
        <v>Méthode 1</v>
      </c>
      <c r="AN15" s="321">
        <f>+Novembre!$T$35</f>
        <v>0</v>
      </c>
      <c r="AO15" s="321">
        <f>+Régularisation!$AJ$44</f>
        <v>0</v>
      </c>
      <c r="AP15" s="321">
        <f>+Régularisation!$AJ$45</f>
        <v>0</v>
      </c>
      <c r="AQ15" s="322" t="e">
        <f>+Régularisation!$AJ$54</f>
        <v>#DIV/0!</v>
      </c>
      <c r="AR15" s="322" t="e">
        <f>+Régularisation!$AJ$55</f>
        <v>#DIV/0!</v>
      </c>
      <c r="AS15" s="321">
        <f>+Régularisation!$AJ$69</f>
        <v>0</v>
      </c>
      <c r="AT15" s="321">
        <f>+Régularisation!$AJ$70</f>
        <v>0</v>
      </c>
      <c r="AU15" s="321">
        <f>+Régularisation!$AJ$71</f>
        <v>0</v>
      </c>
      <c r="AV15" s="321">
        <f>+Régularisation!$AJ$74</f>
        <v>0</v>
      </c>
      <c r="AW15" s="321">
        <f>+Régularisation!$AJ$75</f>
        <v>0</v>
      </c>
      <c r="AX15" s="321">
        <f>+Régularisation!$AJ$76</f>
        <v>0</v>
      </c>
      <c r="AY15" s="469">
        <f>+Régularisation!$AJ$78</f>
        <v>0</v>
      </c>
      <c r="AZ15" s="492">
        <f>+Novembre!$R$87</f>
        <v>0</v>
      </c>
      <c r="BA15" s="492">
        <f>+Novembre!$R$88</f>
        <v>0</v>
      </c>
      <c r="BB15" s="492">
        <f>+Novembre!$R$89</f>
        <v>0</v>
      </c>
      <c r="BC15" s="492" t="e">
        <f>+Novembre!$EG$2</f>
        <v>#DIV/0!</v>
      </c>
      <c r="BD15" s="492">
        <f>+Novembre!$EG$1</f>
        <v>0</v>
      </c>
      <c r="BE15" s="500" t="e">
        <f>+Novembre!$EG$2</f>
        <v>#DIV/0!</v>
      </c>
      <c r="BF15" s="500" t="e">
        <f>+Novembre!$EG$3</f>
        <v>#DIV/0!</v>
      </c>
      <c r="BG15" s="500" t="e">
        <f>+Novembre!$DK$27</f>
        <v>#DIV/0!</v>
      </c>
      <c r="BH15" s="500">
        <f>+Novembre!$DK$28</f>
        <v>0</v>
      </c>
      <c r="BI15" s="500">
        <f>+Novembre!$DM$28</f>
        <v>0</v>
      </c>
      <c r="BJ15" s="500">
        <f>+Novembre!$DM$29</f>
        <v>0</v>
      </c>
      <c r="BK15" s="500">
        <f>IF(Novembre!AL14,(Novembre!HO16+Novembre!T30)/Novembre!AL14,0)</f>
        <v>0</v>
      </c>
      <c r="BL15" s="573">
        <f>+Novembre!$T$32</f>
        <v>0</v>
      </c>
      <c r="BM15" s="573">
        <f>+Novembre!$T$33</f>
        <v>0</v>
      </c>
      <c r="BN15" s="573">
        <f>+Novembre!$BZ$98</f>
        <v>0</v>
      </c>
      <c r="BO15" s="573">
        <f>+Novembre!$BZ$100</f>
        <v>0</v>
      </c>
      <c r="BP15" s="573">
        <f>+Novembre!$BZ$102</f>
        <v>0</v>
      </c>
      <c r="BQ15" s="635">
        <f>+Novembre!$BZ$74</f>
        <v>0</v>
      </c>
      <c r="BR15" s="888">
        <f>'Retenue Nov'!E52</f>
        <v>0</v>
      </c>
      <c r="BS15" s="946" t="str">
        <f>+Novembre!$AA$63</f>
        <v/>
      </c>
      <c r="BT15" s="946" t="str">
        <f>+Novembre!$AG$63</f>
        <v/>
      </c>
      <c r="BU15" s="946" t="str">
        <f>+Novembre!$AJ$63</f>
        <v/>
      </c>
      <c r="BV15" s="946" t="str">
        <f>+Novembre!$AM$63</f>
        <v/>
      </c>
      <c r="BW15" s="946" t="str">
        <f>+Novembre!$AA$64</f>
        <v/>
      </c>
      <c r="BX15" s="946" t="str">
        <f>+Novembre!$AG$64</f>
        <v/>
      </c>
      <c r="BY15" s="946" t="str">
        <f>+Novembre!$AJ$64</f>
        <v/>
      </c>
      <c r="BZ15" s="946" t="str">
        <f>+Novembre!$AM$64</f>
        <v/>
      </c>
      <c r="CA15" s="946" t="str">
        <f>+Novembre!$AA$65</f>
        <v/>
      </c>
      <c r="CB15" s="946" t="str">
        <f>+Novembre!$AG$65</f>
        <v/>
      </c>
      <c r="CC15" s="946" t="str">
        <f>+Novembre!$AJ$65</f>
        <v/>
      </c>
      <c r="CD15" s="946" t="str">
        <f>+Novembre!$AM$65</f>
        <v/>
      </c>
      <c r="CE15" s="946" t="str">
        <f>+Novembre!$AA$66</f>
        <v/>
      </c>
      <c r="CF15" s="946" t="str">
        <f>+Novembre!$AG$66</f>
        <v/>
      </c>
      <c r="CG15" s="946" t="str">
        <f>+Novembre!$AJ$66</f>
        <v/>
      </c>
      <c r="CH15" s="946" t="str">
        <f>+Novembre!$AM$66</f>
        <v/>
      </c>
      <c r="CI15" s="321">
        <f>+Novembre!$DP$23</f>
        <v>0</v>
      </c>
      <c r="CJ15" s="321"/>
      <c r="CK15" s="322"/>
      <c r="CL15" s="321" t="str">
        <f>+Novembre!$B$34</f>
        <v/>
      </c>
      <c r="CM15" s="321">
        <f>+IF(CL15=S.CAL!$FT$3,SUM(Novembre!$T$18:$W$31)+Novembre!$T$33,AN15)</f>
        <v>0</v>
      </c>
      <c r="CN15" s="321">
        <f>SUM(Novembre!$T$18:$W$31)+Novembre!$T$33</f>
        <v>0</v>
      </c>
      <c r="CO15" s="573">
        <f>+Novembre!$DP$25</f>
        <v>0</v>
      </c>
      <c r="CP15" s="321">
        <f>+Novembre!$DP$26</f>
        <v>0</v>
      </c>
      <c r="CQ15" s="321">
        <f>+Novembre!$DP$27</f>
        <v>0</v>
      </c>
      <c r="CR15" s="321">
        <f>+Novembre!$DP$28</f>
        <v>0</v>
      </c>
      <c r="CS15" s="321">
        <f>+Novembre!$DP$29</f>
        <v>0</v>
      </c>
      <c r="CT15" s="321">
        <f>+Novembre!$AH$86</f>
        <v>0</v>
      </c>
      <c r="CU15" s="321">
        <f>+Novembre!$AL$86</f>
        <v>0</v>
      </c>
      <c r="CV15" s="321" t="e">
        <f>+'Salaire mensuel base 10%'!E15</f>
        <v>#DIV/0!</v>
      </c>
      <c r="CW15" s="321">
        <f>+Novembre!$T$31</f>
        <v>0</v>
      </c>
      <c r="CX15" s="851">
        <f>+Novembre!$DP$30</f>
        <v>0</v>
      </c>
    </row>
    <row r="16" spans="1:102" s="16" customFormat="1" x14ac:dyDescent="0.2">
      <c r="A16" s="320">
        <f>+Décembre!$X$3</f>
        <v>45992</v>
      </c>
      <c r="B16" s="498">
        <f>+Décembre!$DP$20</f>
        <v>0</v>
      </c>
      <c r="C16" s="321">
        <f>+Décembre!$HO$16</f>
        <v>0</v>
      </c>
      <c r="D16" s="321">
        <f>+Décembre!$T$30</f>
        <v>0</v>
      </c>
      <c r="E16" s="321">
        <f>+Décembre!$EF$16</f>
        <v>0</v>
      </c>
      <c r="F16" s="321">
        <f>+Décembre!$EG$16</f>
        <v>0</v>
      </c>
      <c r="G16" s="321">
        <f>+Décembre!$EF$17</f>
        <v>0</v>
      </c>
      <c r="H16" s="321">
        <f>+Décembre!$EG$17</f>
        <v>0</v>
      </c>
      <c r="I16" s="321">
        <f>+Décembre!$EH$16</f>
        <v>0</v>
      </c>
      <c r="J16" s="321">
        <f>+Décembre!$EI$16</f>
        <v>0</v>
      </c>
      <c r="K16" s="321">
        <f>+Décembre!$EH$17</f>
        <v>0</v>
      </c>
      <c r="L16" s="321">
        <f>+Décembre!$EI$17</f>
        <v>0</v>
      </c>
      <c r="M16" s="321">
        <f>+Décembre!$AH$89</f>
        <v>0</v>
      </c>
      <c r="N16" s="321">
        <f>+Décembre!$AH$90</f>
        <v>0</v>
      </c>
      <c r="O16" s="321">
        <f>+Décembre!$AL$89</f>
        <v>0</v>
      </c>
      <c r="P16" s="321">
        <f>+Décembre!$AL$90</f>
        <v>0</v>
      </c>
      <c r="Q16" s="321">
        <f>+Décembre!$AH$92</f>
        <v>0</v>
      </c>
      <c r="R16" s="321">
        <f>+Décembre!$AL$92</f>
        <v>0</v>
      </c>
      <c r="S16" s="321">
        <f>+Décembre!$AH$87</f>
        <v>0</v>
      </c>
      <c r="T16" s="321">
        <f>+Décembre!$AH$93</f>
        <v>0</v>
      </c>
      <c r="U16" s="321">
        <f>+Décembre!$DP$13</f>
        <v>0</v>
      </c>
      <c r="V16" s="321">
        <f>+Décembre!$DP$11</f>
        <v>0</v>
      </c>
      <c r="W16" s="322">
        <f>+'CP Année Incomplète au 31-05'!$G$71</f>
        <v>0</v>
      </c>
      <c r="X16" s="322">
        <f>+'CP Année Complète au 31-05'!$D$59</f>
        <v>0</v>
      </c>
      <c r="Y16" s="322" t="e">
        <f>+Décembre!$DP$15</f>
        <v>#DIV/0!</v>
      </c>
      <c r="Z16" s="321">
        <f>+Décembre!$DP$8</f>
        <v>0</v>
      </c>
      <c r="AA16" s="322">
        <f>+Décembre!$EH$15</f>
        <v>0</v>
      </c>
      <c r="AB16" s="322">
        <f>'Retenue Déc'!BJ64</f>
        <v>0</v>
      </c>
      <c r="AC16" s="322">
        <f>+Décembre!$N$62</f>
        <v>0</v>
      </c>
      <c r="AD16" s="322">
        <f>'Retenue Déc'!BV13</f>
        <v>0</v>
      </c>
      <c r="AE16" s="322">
        <f>'Retenue Déc'!BV14</f>
        <v>0</v>
      </c>
      <c r="AF16" s="322">
        <f>'Retenue Déc'!BV15</f>
        <v>0</v>
      </c>
      <c r="AG16" s="322">
        <f>'Retenue Déc'!BV16</f>
        <v>0</v>
      </c>
      <c r="AH16" s="322">
        <f>'Retenue Déc'!BV17</f>
        <v>0</v>
      </c>
      <c r="AI16" s="322">
        <f>'Retenue Déc'!BV18</f>
        <v>0</v>
      </c>
      <c r="AJ16" s="322">
        <f>'Retenue Déc'!BV19</f>
        <v>0</v>
      </c>
      <c r="AK16" s="322">
        <f>'Retenue Déc'!BV20</f>
        <v>0</v>
      </c>
      <c r="AL16" s="322">
        <f>'Retenue Déc'!BJ11</f>
        <v>0</v>
      </c>
      <c r="AM16" s="322" t="str">
        <f>'Retenue Déc'!BK3</f>
        <v>Méthode 1</v>
      </c>
      <c r="AN16" s="321">
        <f>+Décembre!$T$35</f>
        <v>0</v>
      </c>
      <c r="AO16" s="321">
        <f>+Régularisation!$AM$44</f>
        <v>0</v>
      </c>
      <c r="AP16" s="321">
        <f>+Régularisation!$AM$45</f>
        <v>0</v>
      </c>
      <c r="AQ16" s="322" t="e">
        <f>+Régularisation!$AM$54</f>
        <v>#DIV/0!</v>
      </c>
      <c r="AR16" s="322" t="e">
        <f>+Régularisation!$AM$55</f>
        <v>#DIV/0!</v>
      </c>
      <c r="AS16" s="321">
        <f>+Régularisation!$AM$69</f>
        <v>0</v>
      </c>
      <c r="AT16" s="321">
        <f>+Régularisation!$AM$70</f>
        <v>0</v>
      </c>
      <c r="AU16" s="321">
        <f>+Régularisation!$AM$71</f>
        <v>0</v>
      </c>
      <c r="AV16" s="321">
        <f>+Régularisation!$AM$74</f>
        <v>0</v>
      </c>
      <c r="AW16" s="321">
        <f>+Régularisation!$AM$75</f>
        <v>0</v>
      </c>
      <c r="AX16" s="321">
        <f>+Régularisation!$AM$76</f>
        <v>0</v>
      </c>
      <c r="AY16" s="469">
        <f>+Régularisation!$AM$78</f>
        <v>0</v>
      </c>
      <c r="AZ16" s="492">
        <f>+Décembre!$R$87</f>
        <v>0</v>
      </c>
      <c r="BA16" s="492">
        <f>+Décembre!$R$88</f>
        <v>0</v>
      </c>
      <c r="BB16" s="492">
        <f>+Décembre!$R$89</f>
        <v>0</v>
      </c>
      <c r="BC16" s="492" t="e">
        <f>+Décembre!$EG$2</f>
        <v>#DIV/0!</v>
      </c>
      <c r="BD16" s="492">
        <f>+Décembre!$EG$1</f>
        <v>0</v>
      </c>
      <c r="BE16" s="500" t="e">
        <f>+Décembre!$EG$2</f>
        <v>#DIV/0!</v>
      </c>
      <c r="BF16" s="500" t="e">
        <f>+Décembre!$EG$3</f>
        <v>#DIV/0!</v>
      </c>
      <c r="BG16" s="500" t="e">
        <f>+Décembre!$DK$27</f>
        <v>#DIV/0!</v>
      </c>
      <c r="BH16" s="500">
        <f>+Décembre!$DK$28</f>
        <v>0</v>
      </c>
      <c r="BI16" s="500">
        <f>+Décembre!$DM$28</f>
        <v>0</v>
      </c>
      <c r="BJ16" s="500">
        <f>+Décembre!$DM$29</f>
        <v>0</v>
      </c>
      <c r="BK16" s="500">
        <f>IF(Décembre!AL14,(Décembre!HO16+Décembre!T30)/Décembre!AL14,0)</f>
        <v>0</v>
      </c>
      <c r="BL16" s="573">
        <f>+Décembre!$T$32</f>
        <v>0</v>
      </c>
      <c r="BM16" s="573">
        <f>+Décembre!$T$33</f>
        <v>0</v>
      </c>
      <c r="BN16" s="573">
        <f>+Décembre!$BZ$98</f>
        <v>0</v>
      </c>
      <c r="BO16" s="573">
        <f>+Décembre!$BZ$100</f>
        <v>0</v>
      </c>
      <c r="BP16" s="573">
        <f>+Décembre!$BZ$102</f>
        <v>0</v>
      </c>
      <c r="BQ16" s="635">
        <f>+Décembre!$BZ$74</f>
        <v>0</v>
      </c>
      <c r="BR16" s="888">
        <f>'Retenue Déc'!E52</f>
        <v>0</v>
      </c>
      <c r="BS16" s="946" t="str">
        <f>+Décembre!$AA$63</f>
        <v/>
      </c>
      <c r="BT16" s="946" t="str">
        <f>+Décembre!$AG$63</f>
        <v/>
      </c>
      <c r="BU16" s="946" t="str">
        <f>+Décembre!$AJ$63</f>
        <v/>
      </c>
      <c r="BV16" s="946" t="str">
        <f>+Décembre!$AM$63</f>
        <v/>
      </c>
      <c r="BW16" s="946" t="str">
        <f>+Décembre!$AA$64</f>
        <v/>
      </c>
      <c r="BX16" s="946" t="str">
        <f>+Décembre!$AG$64</f>
        <v/>
      </c>
      <c r="BY16" s="946" t="str">
        <f>+Décembre!$AJ$64</f>
        <v/>
      </c>
      <c r="BZ16" s="946" t="str">
        <f>+Décembre!$AM$64</f>
        <v/>
      </c>
      <c r="CA16" s="946" t="str">
        <f>+Décembre!$AA$65</f>
        <v/>
      </c>
      <c r="CB16" s="946" t="str">
        <f>+Décembre!$AG$65</f>
        <v/>
      </c>
      <c r="CC16" s="946" t="str">
        <f>+Décembre!$AJ$65</f>
        <v/>
      </c>
      <c r="CD16" s="946" t="str">
        <f>+Décembre!$AM$65</f>
        <v/>
      </c>
      <c r="CE16" s="946" t="str">
        <f>+Décembre!$AA$66</f>
        <v/>
      </c>
      <c r="CF16" s="946" t="str">
        <f>+Décembre!$AG$66</f>
        <v/>
      </c>
      <c r="CG16" s="946" t="str">
        <f>+Décembre!$AJ$66</f>
        <v/>
      </c>
      <c r="CH16" s="946" t="str">
        <f>+Décembre!$AM$66</f>
        <v/>
      </c>
      <c r="CI16" s="321">
        <f>+Décembre!$DP$23</f>
        <v>0</v>
      </c>
      <c r="CJ16" s="321"/>
      <c r="CK16" s="322"/>
      <c r="CL16" s="321" t="str">
        <f>+Décembre!$B$34</f>
        <v/>
      </c>
      <c r="CM16" s="321">
        <f>+IF(CL16=S.CAL!$FT$3,SUM(Décembre!$T$18:$W$31)+Décembre!$T$33,AN16)</f>
        <v>0</v>
      </c>
      <c r="CN16" s="321">
        <f>SUM(Décembre!$T$18:$W$31)+Décembre!$T$33</f>
        <v>0</v>
      </c>
      <c r="CO16" s="573">
        <f>+Décembre!$DP$25</f>
        <v>0</v>
      </c>
      <c r="CP16" s="321">
        <f>+Décembre!$DP$26</f>
        <v>0</v>
      </c>
      <c r="CQ16" s="321">
        <f>+Décembre!$DP$27</f>
        <v>0</v>
      </c>
      <c r="CR16" s="321">
        <f>+Décembre!$DP$28</f>
        <v>0</v>
      </c>
      <c r="CS16" s="321">
        <f>+Décembre!$DP$29</f>
        <v>0</v>
      </c>
      <c r="CT16" s="321">
        <f>+Décembre!$AH$86</f>
        <v>0</v>
      </c>
      <c r="CU16" s="321">
        <f>+Décembre!$AL$86</f>
        <v>0</v>
      </c>
      <c r="CV16" s="321" t="e">
        <f>+'Salaire mensuel base 10%'!E16</f>
        <v>#DIV/0!</v>
      </c>
      <c r="CW16" s="321">
        <f>+Décembre!$T$31</f>
        <v>0</v>
      </c>
      <c r="CX16" s="851">
        <f>+Décembre!$DP$30</f>
        <v>0</v>
      </c>
    </row>
    <row r="17" spans="73:86" x14ac:dyDescent="0.2">
      <c r="BU17" s="495"/>
      <c r="BV17" s="495"/>
      <c r="BY17" s="495"/>
      <c r="BZ17" s="495"/>
      <c r="CC17" s="495"/>
      <c r="CD17" s="495"/>
      <c r="CG17" s="495"/>
      <c r="CH17" s="495"/>
    </row>
    <row r="18" spans="73:86" x14ac:dyDescent="0.2">
      <c r="BU18" s="495"/>
      <c r="BV18" s="495"/>
      <c r="BY18" s="495"/>
      <c r="BZ18" s="495"/>
      <c r="CC18" s="495"/>
      <c r="CD18" s="495"/>
      <c r="CG18" s="495"/>
      <c r="CH18" s="495"/>
    </row>
    <row r="19" spans="73:86" x14ac:dyDescent="0.2">
      <c r="BU19" s="495"/>
      <c r="BV19" s="495"/>
      <c r="BY19" s="495"/>
      <c r="BZ19" s="495"/>
      <c r="CC19" s="495"/>
      <c r="CD19" s="495"/>
      <c r="CG19" s="495"/>
      <c r="CH19" s="495"/>
    </row>
    <row r="20" spans="73:86" x14ac:dyDescent="0.2">
      <c r="BU20" s="495"/>
      <c r="BV20" s="495"/>
      <c r="BY20" s="495"/>
      <c r="BZ20" s="495"/>
      <c r="CC20" s="495"/>
      <c r="CD20" s="495"/>
      <c r="CG20" s="495"/>
      <c r="CH20" s="495"/>
    </row>
    <row r="21" spans="73:86" x14ac:dyDescent="0.2">
      <c r="BU21" s="495"/>
      <c r="BV21" s="495"/>
      <c r="BY21" s="495"/>
      <c r="BZ21" s="495"/>
      <c r="CC21" s="495"/>
      <c r="CD21" s="495"/>
      <c r="CG21" s="495"/>
      <c r="CH21" s="495"/>
    </row>
    <row r="22" spans="73:86" x14ac:dyDescent="0.2">
      <c r="BU22" s="495"/>
      <c r="BV22" s="495"/>
      <c r="BY22" s="495"/>
      <c r="BZ22" s="495"/>
      <c r="CC22" s="495"/>
      <c r="CD22" s="495"/>
      <c r="CG22" s="495"/>
      <c r="CH22" s="495"/>
    </row>
    <row r="23" spans="73:86" x14ac:dyDescent="0.2">
      <c r="BU23" s="495"/>
      <c r="BV23" s="495"/>
      <c r="BY23" s="495"/>
      <c r="BZ23" s="495"/>
      <c r="CC23" s="495"/>
      <c r="CD23" s="495"/>
      <c r="CG23" s="495"/>
      <c r="CH23" s="495"/>
    </row>
    <row r="24" spans="73:86" x14ac:dyDescent="0.2">
      <c r="BU24" s="495"/>
      <c r="BV24" s="495"/>
      <c r="BY24" s="495"/>
      <c r="BZ24" s="495"/>
      <c r="CC24" s="495"/>
      <c r="CD24" s="495"/>
      <c r="CG24" s="495"/>
      <c r="CH24" s="495"/>
    </row>
    <row r="25" spans="73:86" x14ac:dyDescent="0.2">
      <c r="BU25" s="495"/>
      <c r="BV25" s="495"/>
      <c r="BY25" s="495"/>
      <c r="BZ25" s="495"/>
      <c r="CC25" s="495"/>
      <c r="CD25" s="495"/>
      <c r="CG25" s="495"/>
      <c r="CH25" s="495"/>
    </row>
    <row r="26" spans="73:86" x14ac:dyDescent="0.2">
      <c r="BU26" s="495"/>
      <c r="BV26" s="495"/>
      <c r="BY26" s="495"/>
      <c r="BZ26" s="495"/>
      <c r="CC26" s="495"/>
      <c r="CD26" s="495"/>
      <c r="CG26" s="495"/>
      <c r="CH26" s="495"/>
    </row>
    <row r="27" spans="73:86" x14ac:dyDescent="0.2">
      <c r="BU27" s="495"/>
      <c r="BV27" s="495"/>
      <c r="BY27" s="495"/>
      <c r="BZ27" s="495"/>
      <c r="CC27" s="495"/>
      <c r="CD27" s="495"/>
      <c r="CG27" s="495"/>
      <c r="CH27" s="495"/>
    </row>
    <row r="28" spans="73:86" x14ac:dyDescent="0.2">
      <c r="BU28" s="495"/>
      <c r="BV28" s="495"/>
      <c r="BY28" s="495"/>
      <c r="BZ28" s="495"/>
      <c r="CC28" s="495"/>
      <c r="CD28" s="495"/>
      <c r="CG28" s="495"/>
      <c r="CH28" s="495"/>
    </row>
    <row r="29" spans="73:86" x14ac:dyDescent="0.2">
      <c r="BU29" s="495"/>
      <c r="BV29" s="495"/>
      <c r="BY29" s="495"/>
      <c r="BZ29" s="495"/>
      <c r="CC29" s="495"/>
      <c r="CD29" s="495"/>
      <c r="CG29" s="495"/>
      <c r="CH29" s="495"/>
    </row>
    <row r="30" spans="73:86" x14ac:dyDescent="0.2">
      <c r="BU30" s="495"/>
      <c r="BV30" s="495"/>
      <c r="BY30" s="495"/>
      <c r="BZ30" s="495"/>
      <c r="CC30" s="495"/>
      <c r="CD30" s="495"/>
      <c r="CG30" s="495"/>
      <c r="CH30" s="495"/>
    </row>
    <row r="31" spans="73:86" x14ac:dyDescent="0.2">
      <c r="BU31" s="495"/>
      <c r="BV31" s="495"/>
      <c r="BY31" s="495"/>
      <c r="BZ31" s="495"/>
      <c r="CC31" s="495"/>
      <c r="CD31" s="495"/>
      <c r="CG31" s="495"/>
      <c r="CH31" s="495"/>
    </row>
    <row r="32" spans="73:86" x14ac:dyDescent="0.2">
      <c r="BU32" s="495"/>
      <c r="BV32" s="495"/>
      <c r="BY32" s="495"/>
      <c r="BZ32" s="495"/>
      <c r="CC32" s="495"/>
      <c r="CD32" s="495"/>
      <c r="CG32" s="495"/>
      <c r="CH32" s="495"/>
    </row>
    <row r="33" spans="73:86" x14ac:dyDescent="0.2">
      <c r="BU33" s="495"/>
      <c r="BV33" s="495"/>
      <c r="BY33" s="495"/>
      <c r="BZ33" s="495"/>
      <c r="CC33" s="495"/>
      <c r="CD33" s="495"/>
      <c r="CG33" s="495"/>
      <c r="CH33" s="495"/>
    </row>
    <row r="34" spans="73:86" x14ac:dyDescent="0.2">
      <c r="BU34" s="495"/>
      <c r="BV34" s="495"/>
      <c r="BY34" s="495"/>
      <c r="BZ34" s="495"/>
      <c r="CC34" s="495"/>
      <c r="CD34" s="495"/>
      <c r="CG34" s="495"/>
      <c r="CH34" s="495"/>
    </row>
    <row r="35" spans="73:86" x14ac:dyDescent="0.2">
      <c r="BU35" s="495"/>
      <c r="BV35" s="495"/>
      <c r="BY35" s="495"/>
      <c r="BZ35" s="495"/>
      <c r="CC35" s="495"/>
      <c r="CD35" s="495"/>
      <c r="CG35" s="495"/>
      <c r="CH35" s="495"/>
    </row>
    <row r="36" spans="73:86" x14ac:dyDescent="0.2">
      <c r="BU36" s="495"/>
      <c r="BV36" s="495"/>
      <c r="BY36" s="495"/>
      <c r="BZ36" s="495"/>
      <c r="CC36" s="495"/>
      <c r="CD36" s="495"/>
      <c r="CG36" s="495"/>
      <c r="CH36" s="495"/>
    </row>
    <row r="37" spans="73:86" x14ac:dyDescent="0.2">
      <c r="BU37" s="495"/>
      <c r="BV37" s="495"/>
      <c r="BY37" s="495"/>
      <c r="BZ37" s="495"/>
      <c r="CC37" s="495"/>
      <c r="CD37" s="495"/>
      <c r="CG37" s="495"/>
      <c r="CH37" s="495"/>
    </row>
    <row r="38" spans="73:86" x14ac:dyDescent="0.2">
      <c r="BU38" s="495"/>
      <c r="BV38" s="495"/>
      <c r="BY38" s="495"/>
      <c r="BZ38" s="495"/>
      <c r="CC38" s="495"/>
      <c r="CD38" s="495"/>
      <c r="CG38" s="495"/>
      <c r="CH38" s="495"/>
    </row>
    <row r="39" spans="73:86" x14ac:dyDescent="0.2">
      <c r="BU39" s="495"/>
      <c r="BV39" s="495"/>
      <c r="BY39" s="495"/>
      <c r="BZ39" s="495"/>
      <c r="CC39" s="495"/>
      <c r="CD39" s="495"/>
      <c r="CG39" s="495"/>
      <c r="CH39" s="495"/>
    </row>
    <row r="40" spans="73:86" x14ac:dyDescent="0.2">
      <c r="BU40" s="495"/>
      <c r="BV40" s="495"/>
      <c r="BY40" s="495"/>
      <c r="BZ40" s="495"/>
      <c r="CC40" s="495"/>
      <c r="CD40" s="495"/>
      <c r="CG40" s="495"/>
      <c r="CH40" s="495"/>
    </row>
    <row r="41" spans="73:86" x14ac:dyDescent="0.2">
      <c r="BU41" s="495"/>
      <c r="BV41" s="495"/>
      <c r="BY41" s="495"/>
      <c r="BZ41" s="495"/>
      <c r="CC41" s="495"/>
      <c r="CD41" s="495"/>
      <c r="CG41" s="495"/>
      <c r="CH41" s="495"/>
    </row>
    <row r="42" spans="73:86" x14ac:dyDescent="0.2">
      <c r="BU42" s="495"/>
      <c r="BV42" s="495"/>
      <c r="BY42" s="495"/>
      <c r="BZ42" s="495"/>
      <c r="CC42" s="495"/>
      <c r="CD42" s="495"/>
      <c r="CG42" s="495"/>
      <c r="CH42" s="495"/>
    </row>
    <row r="43" spans="73:86" x14ac:dyDescent="0.2">
      <c r="BU43" s="495"/>
      <c r="BV43" s="495"/>
      <c r="BY43" s="495"/>
      <c r="BZ43" s="495"/>
      <c r="CC43" s="495"/>
      <c r="CD43" s="495"/>
      <c r="CG43" s="495"/>
      <c r="CH43" s="495"/>
    </row>
    <row r="44" spans="73:86" x14ac:dyDescent="0.2">
      <c r="BU44" s="495"/>
      <c r="BV44" s="495"/>
      <c r="BY44" s="495"/>
      <c r="BZ44" s="495"/>
      <c r="CC44" s="495"/>
      <c r="CD44" s="495"/>
      <c r="CG44" s="495"/>
      <c r="CH44" s="495"/>
    </row>
    <row r="45" spans="73:86" x14ac:dyDescent="0.2">
      <c r="BU45" s="495"/>
      <c r="BV45" s="495"/>
      <c r="BY45" s="495"/>
      <c r="BZ45" s="495"/>
      <c r="CC45" s="495"/>
      <c r="CD45" s="495"/>
      <c r="CG45" s="495"/>
      <c r="CH45" s="495"/>
    </row>
    <row r="46" spans="73:86" x14ac:dyDescent="0.2">
      <c r="BU46" s="495"/>
      <c r="BV46" s="495"/>
      <c r="BY46" s="495"/>
      <c r="BZ46" s="495"/>
      <c r="CC46" s="495"/>
      <c r="CD46" s="495"/>
      <c r="CG46" s="495"/>
      <c r="CH46" s="495"/>
    </row>
    <row r="47" spans="73:86" x14ac:dyDescent="0.2">
      <c r="BU47" s="495"/>
      <c r="BV47" s="495"/>
      <c r="BY47" s="495"/>
      <c r="BZ47" s="495"/>
      <c r="CC47" s="495"/>
      <c r="CD47" s="495"/>
      <c r="CG47" s="495"/>
      <c r="CH47" s="495"/>
    </row>
    <row r="48" spans="73:86" x14ac:dyDescent="0.2">
      <c r="BU48" s="495"/>
      <c r="BV48" s="495"/>
      <c r="BY48" s="495"/>
      <c r="BZ48" s="495"/>
      <c r="CC48" s="495"/>
      <c r="CD48" s="495"/>
      <c r="CG48" s="495"/>
      <c r="CH48" s="495"/>
    </row>
    <row r="49" spans="73:86" x14ac:dyDescent="0.2">
      <c r="BU49" s="495"/>
      <c r="BV49" s="495"/>
      <c r="BY49" s="495"/>
      <c r="BZ49" s="495"/>
      <c r="CC49" s="495"/>
      <c r="CD49" s="495"/>
      <c r="CG49" s="495"/>
      <c r="CH49" s="495"/>
    </row>
    <row r="50" spans="73:86" x14ac:dyDescent="0.2">
      <c r="BU50" s="495"/>
      <c r="BV50" s="495"/>
      <c r="BY50" s="495"/>
      <c r="BZ50" s="495"/>
      <c r="CC50" s="495"/>
      <c r="CD50" s="495"/>
      <c r="CG50" s="495"/>
      <c r="CH50" s="495"/>
    </row>
    <row r="51" spans="73:86" x14ac:dyDescent="0.2">
      <c r="BU51" s="495"/>
      <c r="BV51" s="495"/>
      <c r="BY51" s="495"/>
      <c r="BZ51" s="495"/>
      <c r="CC51" s="495"/>
      <c r="CD51" s="495"/>
      <c r="CG51" s="495"/>
      <c r="CH51" s="495"/>
    </row>
    <row r="52" spans="73:86" x14ac:dyDescent="0.2">
      <c r="BU52" s="495"/>
      <c r="BV52" s="495"/>
      <c r="BY52" s="495"/>
      <c r="BZ52" s="495"/>
      <c r="CC52" s="495"/>
      <c r="CD52" s="495"/>
      <c r="CG52" s="495"/>
      <c r="CH52" s="495"/>
    </row>
    <row r="53" spans="73:86" x14ac:dyDescent="0.2">
      <c r="BU53" s="495"/>
      <c r="BV53" s="495"/>
      <c r="BY53" s="495"/>
      <c r="BZ53" s="495"/>
      <c r="CC53" s="495"/>
      <c r="CD53" s="495"/>
      <c r="CG53" s="495"/>
      <c r="CH53" s="495"/>
    </row>
    <row r="54" spans="73:86" x14ac:dyDescent="0.2">
      <c r="BU54" s="495"/>
      <c r="BV54" s="495"/>
      <c r="BY54" s="495"/>
      <c r="BZ54" s="495"/>
      <c r="CC54" s="495"/>
      <c r="CD54" s="495"/>
      <c r="CG54" s="495"/>
      <c r="CH54" s="495"/>
    </row>
    <row r="55" spans="73:86" x14ac:dyDescent="0.2">
      <c r="BU55" s="495"/>
      <c r="BV55" s="495"/>
      <c r="BY55" s="495"/>
      <c r="BZ55" s="495"/>
      <c r="CC55" s="495"/>
      <c r="CD55" s="495"/>
      <c r="CG55" s="495"/>
      <c r="CH55" s="495"/>
    </row>
    <row r="56" spans="73:86" x14ac:dyDescent="0.2">
      <c r="BU56" s="495"/>
      <c r="BV56" s="495"/>
      <c r="BY56" s="495"/>
      <c r="BZ56" s="495"/>
      <c r="CC56" s="495"/>
      <c r="CD56" s="495"/>
      <c r="CG56" s="495"/>
      <c r="CH56" s="495"/>
    </row>
    <row r="57" spans="73:86" x14ac:dyDescent="0.2">
      <c r="BU57" s="495"/>
      <c r="BV57" s="495"/>
      <c r="BY57" s="495"/>
      <c r="BZ57" s="495"/>
      <c r="CC57" s="495"/>
      <c r="CD57" s="495"/>
      <c r="CG57" s="495"/>
      <c r="CH57" s="495"/>
    </row>
    <row r="58" spans="73:86" x14ac:dyDescent="0.2">
      <c r="BU58" s="495"/>
      <c r="BV58" s="495"/>
      <c r="BY58" s="495"/>
      <c r="BZ58" s="495"/>
      <c r="CC58" s="495"/>
      <c r="CD58" s="495"/>
      <c r="CG58" s="495"/>
      <c r="CH58" s="495"/>
    </row>
    <row r="59" spans="73:86" x14ac:dyDescent="0.2">
      <c r="BU59" s="495"/>
      <c r="BV59" s="495"/>
      <c r="BY59" s="495"/>
      <c r="BZ59" s="495"/>
      <c r="CC59" s="495"/>
      <c r="CD59" s="495"/>
      <c r="CG59" s="495"/>
      <c r="CH59" s="495"/>
    </row>
    <row r="60" spans="73:86" x14ac:dyDescent="0.2">
      <c r="BU60" s="495"/>
      <c r="BV60" s="495"/>
      <c r="BY60" s="495"/>
      <c r="BZ60" s="495"/>
      <c r="CC60" s="495"/>
      <c r="CD60" s="495"/>
      <c r="CG60" s="495"/>
      <c r="CH60" s="495"/>
    </row>
    <row r="61" spans="73:86" x14ac:dyDescent="0.2">
      <c r="BU61" s="495"/>
      <c r="BV61" s="495"/>
      <c r="BY61" s="495"/>
      <c r="BZ61" s="495"/>
      <c r="CC61" s="495"/>
      <c r="CD61" s="495"/>
      <c r="CG61" s="495"/>
      <c r="CH61" s="495"/>
    </row>
    <row r="62" spans="73:86" x14ac:dyDescent="0.2">
      <c r="BU62" s="495"/>
      <c r="BV62" s="495"/>
      <c r="BY62" s="495"/>
      <c r="BZ62" s="495"/>
      <c r="CC62" s="495"/>
      <c r="CD62" s="495"/>
      <c r="CG62" s="495"/>
      <c r="CH62" s="495"/>
    </row>
    <row r="63" spans="73:86" x14ac:dyDescent="0.2">
      <c r="BU63" s="495"/>
      <c r="BV63" s="495"/>
      <c r="BY63" s="495"/>
      <c r="BZ63" s="495"/>
      <c r="CC63" s="495"/>
      <c r="CD63" s="495"/>
      <c r="CG63" s="495"/>
      <c r="CH63" s="495"/>
    </row>
    <row r="64" spans="73:86" x14ac:dyDescent="0.2">
      <c r="BU64" s="495"/>
      <c r="BV64" s="495"/>
      <c r="BY64" s="495"/>
      <c r="BZ64" s="495"/>
      <c r="CC64" s="495"/>
      <c r="CD64" s="495"/>
      <c r="CG64" s="495"/>
      <c r="CH64" s="495"/>
    </row>
    <row r="65" spans="73:86" x14ac:dyDescent="0.2">
      <c r="BU65" s="495"/>
      <c r="BV65" s="495"/>
      <c r="BY65" s="495"/>
      <c r="BZ65" s="495"/>
      <c r="CC65" s="495"/>
      <c r="CD65" s="495"/>
      <c r="CG65" s="495"/>
      <c r="CH65" s="495"/>
    </row>
    <row r="66" spans="73:86" x14ac:dyDescent="0.2">
      <c r="BU66" s="495"/>
      <c r="BV66" s="495"/>
      <c r="BY66" s="495"/>
      <c r="BZ66" s="495"/>
      <c r="CC66" s="495"/>
      <c r="CD66" s="495"/>
      <c r="CG66" s="495"/>
      <c r="CH66" s="495"/>
    </row>
    <row r="67" spans="73:86" x14ac:dyDescent="0.2">
      <c r="BU67" s="495"/>
      <c r="BV67" s="495"/>
      <c r="BY67" s="495"/>
      <c r="BZ67" s="495"/>
      <c r="CC67" s="495"/>
      <c r="CD67" s="495"/>
      <c r="CG67" s="495"/>
      <c r="CH67" s="495"/>
    </row>
    <row r="68" spans="73:86" x14ac:dyDescent="0.2">
      <c r="BU68" s="495"/>
      <c r="BV68" s="495"/>
      <c r="BY68" s="495"/>
      <c r="BZ68" s="495"/>
      <c r="CC68" s="495"/>
      <c r="CD68" s="495"/>
      <c r="CG68" s="495"/>
      <c r="CH68" s="495"/>
    </row>
    <row r="69" spans="73:86" x14ac:dyDescent="0.2">
      <c r="BU69" s="495"/>
      <c r="BV69" s="495"/>
      <c r="BY69" s="495"/>
      <c r="BZ69" s="495"/>
      <c r="CC69" s="495"/>
      <c r="CD69" s="495"/>
      <c r="CG69" s="495"/>
      <c r="CH69" s="495"/>
    </row>
    <row r="70" spans="73:86" x14ac:dyDescent="0.2">
      <c r="BU70" s="495"/>
      <c r="BV70" s="495"/>
      <c r="BY70" s="495"/>
      <c r="BZ70" s="495"/>
      <c r="CC70" s="495"/>
      <c r="CD70" s="495"/>
      <c r="CG70" s="495"/>
      <c r="CH70" s="495"/>
    </row>
    <row r="71" spans="73:86" x14ac:dyDescent="0.2">
      <c r="BU71" s="495"/>
      <c r="BV71" s="495"/>
      <c r="BY71" s="495"/>
      <c r="BZ71" s="495"/>
      <c r="CC71" s="495"/>
      <c r="CD71" s="495"/>
      <c r="CG71" s="495"/>
      <c r="CH71" s="495"/>
    </row>
    <row r="72" spans="73:86" x14ac:dyDescent="0.2">
      <c r="BU72" s="495"/>
      <c r="BV72" s="495"/>
      <c r="BY72" s="495"/>
      <c r="BZ72" s="495"/>
      <c r="CC72" s="495"/>
      <c r="CD72" s="495"/>
      <c r="CG72" s="495"/>
      <c r="CH72" s="495"/>
    </row>
    <row r="73" spans="73:86" x14ac:dyDescent="0.2">
      <c r="BU73" s="495"/>
      <c r="BV73" s="495"/>
      <c r="BY73" s="495"/>
      <c r="BZ73" s="495"/>
      <c r="CC73" s="495"/>
      <c r="CD73" s="495"/>
      <c r="CG73" s="495"/>
      <c r="CH73" s="495"/>
    </row>
    <row r="74" spans="73:86" x14ac:dyDescent="0.2">
      <c r="BU74" s="495"/>
      <c r="BV74" s="495"/>
      <c r="BY74" s="495"/>
      <c r="BZ74" s="495"/>
      <c r="CC74" s="495"/>
      <c r="CD74" s="495"/>
      <c r="CG74" s="495"/>
      <c r="CH74" s="495"/>
    </row>
    <row r="75" spans="73:86" x14ac:dyDescent="0.2">
      <c r="BU75" s="495"/>
      <c r="BV75" s="495"/>
      <c r="BY75" s="495"/>
      <c r="BZ75" s="495"/>
      <c r="CC75" s="495"/>
      <c r="CD75" s="495"/>
      <c r="CG75" s="495"/>
      <c r="CH75" s="495"/>
    </row>
    <row r="76" spans="73:86" x14ac:dyDescent="0.2">
      <c r="BU76" s="495"/>
      <c r="BV76" s="495"/>
      <c r="BY76" s="495"/>
      <c r="BZ76" s="495"/>
      <c r="CC76" s="495"/>
      <c r="CD76" s="495"/>
      <c r="CG76" s="495"/>
      <c r="CH76" s="495"/>
    </row>
    <row r="77" spans="73:86" x14ac:dyDescent="0.2">
      <c r="BU77" s="495"/>
      <c r="BV77" s="495"/>
      <c r="BY77" s="495"/>
      <c r="BZ77" s="495"/>
      <c r="CC77" s="495"/>
      <c r="CD77" s="495"/>
      <c r="CG77" s="495"/>
      <c r="CH77" s="495"/>
    </row>
    <row r="78" spans="73:86" x14ac:dyDescent="0.2">
      <c r="BU78" s="495"/>
      <c r="BV78" s="495"/>
      <c r="BY78" s="495"/>
      <c r="BZ78" s="495"/>
      <c r="CC78" s="495"/>
      <c r="CD78" s="495"/>
      <c r="CG78" s="495"/>
      <c r="CH78" s="495"/>
    </row>
    <row r="79" spans="73:86" x14ac:dyDescent="0.2">
      <c r="BU79" s="495"/>
      <c r="BV79" s="495"/>
      <c r="BY79" s="495"/>
      <c r="BZ79" s="495"/>
      <c r="CC79" s="495"/>
      <c r="CD79" s="495"/>
      <c r="CG79" s="495"/>
      <c r="CH79" s="495"/>
    </row>
    <row r="80" spans="73:86" x14ac:dyDescent="0.2">
      <c r="BU80" s="495"/>
      <c r="BV80" s="495"/>
      <c r="BY80" s="495"/>
      <c r="BZ80" s="495"/>
      <c r="CC80" s="495"/>
      <c r="CD80" s="495"/>
      <c r="CG80" s="495"/>
      <c r="CH80" s="495"/>
    </row>
    <row r="81" spans="73:86" x14ac:dyDescent="0.2">
      <c r="BU81" s="495"/>
      <c r="BV81" s="495"/>
      <c r="BY81" s="495"/>
      <c r="BZ81" s="495"/>
      <c r="CC81" s="495"/>
      <c r="CD81" s="495"/>
      <c r="CG81" s="495"/>
      <c r="CH81" s="495"/>
    </row>
    <row r="82" spans="73:86" x14ac:dyDescent="0.2">
      <c r="BU82" s="495"/>
      <c r="BV82" s="495"/>
      <c r="BY82" s="495"/>
      <c r="BZ82" s="495"/>
      <c r="CC82" s="495"/>
      <c r="CD82" s="495"/>
      <c r="CG82" s="495"/>
      <c r="CH82" s="495"/>
    </row>
    <row r="83" spans="73:86" x14ac:dyDescent="0.2">
      <c r="BU83" s="495"/>
      <c r="BV83" s="495"/>
      <c r="BY83" s="495"/>
      <c r="BZ83" s="495"/>
      <c r="CC83" s="495"/>
      <c r="CD83" s="495"/>
      <c r="CG83" s="495"/>
      <c r="CH83" s="495"/>
    </row>
    <row r="84" spans="73:86" x14ac:dyDescent="0.2">
      <c r="BU84" s="495"/>
      <c r="BV84" s="495"/>
      <c r="BY84" s="495"/>
      <c r="BZ84" s="495"/>
      <c r="CC84" s="495"/>
      <c r="CD84" s="495"/>
      <c r="CG84" s="495"/>
      <c r="CH84" s="495"/>
    </row>
    <row r="85" spans="73:86" x14ac:dyDescent="0.2">
      <c r="BU85" s="495"/>
      <c r="BV85" s="495"/>
      <c r="BY85" s="495"/>
      <c r="BZ85" s="495"/>
      <c r="CC85" s="495"/>
      <c r="CD85" s="495"/>
      <c r="CG85" s="495"/>
      <c r="CH85" s="495"/>
    </row>
    <row r="86" spans="73:86" x14ac:dyDescent="0.2">
      <c r="BU86" s="495"/>
      <c r="BV86" s="495"/>
      <c r="BY86" s="495"/>
      <c r="BZ86" s="495"/>
      <c r="CC86" s="495"/>
      <c r="CD86" s="495"/>
      <c r="CG86" s="495"/>
      <c r="CH86" s="495"/>
    </row>
    <row r="87" spans="73:86" x14ac:dyDescent="0.2">
      <c r="BU87" s="495"/>
      <c r="BV87" s="495"/>
      <c r="BY87" s="495"/>
      <c r="BZ87" s="495"/>
      <c r="CC87" s="495"/>
      <c r="CD87" s="495"/>
      <c r="CG87" s="495"/>
      <c r="CH87" s="495"/>
    </row>
    <row r="88" spans="73:86" x14ac:dyDescent="0.2">
      <c r="BU88" s="495"/>
      <c r="BV88" s="495"/>
      <c r="BY88" s="495"/>
      <c r="BZ88" s="495"/>
      <c r="CC88" s="495"/>
      <c r="CD88" s="495"/>
      <c r="CG88" s="495"/>
      <c r="CH88" s="495"/>
    </row>
    <row r="89" spans="73:86" x14ac:dyDescent="0.2">
      <c r="BU89" s="495"/>
      <c r="BV89" s="495"/>
      <c r="BY89" s="495"/>
      <c r="BZ89" s="495"/>
      <c r="CC89" s="495"/>
      <c r="CD89" s="495"/>
      <c r="CG89" s="495"/>
      <c r="CH89" s="495"/>
    </row>
    <row r="90" spans="73:86" x14ac:dyDescent="0.2">
      <c r="BU90" s="495"/>
      <c r="BV90" s="495"/>
      <c r="BY90" s="495"/>
      <c r="BZ90" s="495"/>
      <c r="CC90" s="495"/>
      <c r="CD90" s="495"/>
      <c r="CG90" s="495"/>
      <c r="CH90" s="495"/>
    </row>
    <row r="91" spans="73:86" x14ac:dyDescent="0.2">
      <c r="BU91" s="495"/>
      <c r="BV91" s="495"/>
      <c r="BY91" s="495"/>
      <c r="BZ91" s="495"/>
      <c r="CC91" s="495"/>
      <c r="CD91" s="495"/>
      <c r="CG91" s="495"/>
      <c r="CH91" s="495"/>
    </row>
    <row r="92" spans="73:86" x14ac:dyDescent="0.2">
      <c r="BU92" s="495"/>
      <c r="BV92" s="495"/>
      <c r="BY92" s="495"/>
      <c r="BZ92" s="495"/>
      <c r="CC92" s="495"/>
      <c r="CD92" s="495"/>
      <c r="CG92" s="495"/>
      <c r="CH92" s="495"/>
    </row>
    <row r="93" spans="73:86" x14ac:dyDescent="0.2">
      <c r="BU93" s="495"/>
      <c r="BV93" s="495"/>
      <c r="BY93" s="495"/>
      <c r="BZ93" s="495"/>
      <c r="CC93" s="495"/>
      <c r="CD93" s="495"/>
      <c r="CG93" s="495"/>
      <c r="CH93" s="495"/>
    </row>
    <row r="94" spans="73:86" x14ac:dyDescent="0.2">
      <c r="BU94" s="495"/>
      <c r="BV94" s="495"/>
      <c r="BY94" s="495"/>
      <c r="BZ94" s="495"/>
      <c r="CC94" s="495"/>
      <c r="CD94" s="495"/>
      <c r="CG94" s="495"/>
      <c r="CH94" s="495"/>
    </row>
    <row r="95" spans="73:86" x14ac:dyDescent="0.2">
      <c r="BU95" s="495"/>
      <c r="BV95" s="495"/>
      <c r="BY95" s="495"/>
      <c r="BZ95" s="495"/>
      <c r="CC95" s="495"/>
      <c r="CD95" s="495"/>
      <c r="CG95" s="495"/>
      <c r="CH95" s="495"/>
    </row>
    <row r="96" spans="73:86" x14ac:dyDescent="0.2">
      <c r="BU96" s="495"/>
      <c r="BV96" s="495"/>
      <c r="BY96" s="495"/>
      <c r="BZ96" s="495"/>
      <c r="CC96" s="495"/>
      <c r="CD96" s="495"/>
      <c r="CG96" s="495"/>
      <c r="CH96" s="495"/>
    </row>
    <row r="97" spans="73:86" x14ac:dyDescent="0.2">
      <c r="BU97" s="495"/>
      <c r="BV97" s="495"/>
      <c r="BY97" s="495"/>
      <c r="BZ97" s="495"/>
      <c r="CC97" s="495"/>
      <c r="CD97" s="495"/>
      <c r="CG97" s="495"/>
      <c r="CH97" s="495"/>
    </row>
    <row r="98" spans="73:86" x14ac:dyDescent="0.2">
      <c r="BU98" s="495"/>
      <c r="BV98" s="495"/>
      <c r="BY98" s="495"/>
      <c r="BZ98" s="495"/>
      <c r="CC98" s="495"/>
      <c r="CD98" s="495"/>
      <c r="CG98" s="495"/>
      <c r="CH98" s="495"/>
    </row>
    <row r="99" spans="73:86" x14ac:dyDescent="0.2">
      <c r="BU99" s="495"/>
      <c r="BV99" s="495"/>
      <c r="BY99" s="495"/>
      <c r="BZ99" s="495"/>
      <c r="CC99" s="495"/>
      <c r="CD99" s="495"/>
      <c r="CG99" s="495"/>
      <c r="CH99" s="495"/>
    </row>
    <row r="100" spans="73:86" x14ac:dyDescent="0.2">
      <c r="BU100" s="495"/>
      <c r="BV100" s="495"/>
      <c r="BY100" s="495"/>
      <c r="BZ100" s="495"/>
      <c r="CC100" s="495"/>
      <c r="CD100" s="495"/>
      <c r="CG100" s="495"/>
      <c r="CH100" s="495"/>
    </row>
    <row r="101" spans="73:86" x14ac:dyDescent="0.2">
      <c r="BU101" s="495"/>
      <c r="BV101" s="495"/>
      <c r="BY101" s="495"/>
      <c r="BZ101" s="495"/>
      <c r="CC101" s="495"/>
      <c r="CD101" s="495"/>
      <c r="CG101" s="495"/>
      <c r="CH101" s="495"/>
    </row>
    <row r="102" spans="73:86" x14ac:dyDescent="0.2">
      <c r="BU102" s="495"/>
      <c r="BV102" s="495"/>
      <c r="BY102" s="495"/>
      <c r="BZ102" s="495"/>
      <c r="CC102" s="495"/>
      <c r="CD102" s="495"/>
      <c r="CG102" s="495"/>
      <c r="CH102" s="495"/>
    </row>
    <row r="103" spans="73:86" x14ac:dyDescent="0.2">
      <c r="BU103" s="495"/>
      <c r="BV103" s="495"/>
      <c r="BY103" s="495"/>
      <c r="BZ103" s="495"/>
      <c r="CC103" s="495"/>
      <c r="CD103" s="495"/>
      <c r="CG103" s="495"/>
      <c r="CH103" s="495"/>
    </row>
    <row r="104" spans="73:86" x14ac:dyDescent="0.2">
      <c r="BU104" s="495"/>
      <c r="BV104" s="495"/>
      <c r="BY104" s="495"/>
      <c r="BZ104" s="495"/>
      <c r="CC104" s="495"/>
      <c r="CD104" s="495"/>
      <c r="CG104" s="495"/>
      <c r="CH104" s="495"/>
    </row>
    <row r="105" spans="73:86" x14ac:dyDescent="0.2">
      <c r="BU105" s="495"/>
      <c r="BV105" s="495"/>
      <c r="BY105" s="495"/>
      <c r="BZ105" s="495"/>
      <c r="CC105" s="495"/>
      <c r="CD105" s="495"/>
      <c r="CG105" s="495"/>
      <c r="CH105" s="495"/>
    </row>
    <row r="106" spans="73:86" x14ac:dyDescent="0.2">
      <c r="BU106" s="495"/>
      <c r="BV106" s="495"/>
      <c r="BY106" s="495"/>
      <c r="BZ106" s="495"/>
      <c r="CC106" s="495"/>
      <c r="CD106" s="495"/>
      <c r="CG106" s="495"/>
      <c r="CH106" s="495"/>
    </row>
    <row r="107" spans="73:86" x14ac:dyDescent="0.2">
      <c r="BU107" s="495"/>
      <c r="BV107" s="495"/>
      <c r="BY107" s="495"/>
      <c r="BZ107" s="495"/>
      <c r="CC107" s="495"/>
      <c r="CD107" s="495"/>
      <c r="CG107" s="495"/>
      <c r="CH107" s="495"/>
    </row>
    <row r="108" spans="73:86" x14ac:dyDescent="0.2">
      <c r="BU108" s="495"/>
      <c r="BV108" s="495"/>
      <c r="BY108" s="495"/>
      <c r="BZ108" s="495"/>
      <c r="CC108" s="495"/>
      <c r="CD108" s="495"/>
      <c r="CG108" s="495"/>
      <c r="CH108" s="495"/>
    </row>
    <row r="109" spans="73:86" x14ac:dyDescent="0.2">
      <c r="BU109" s="495"/>
      <c r="BV109" s="495"/>
      <c r="BY109" s="495"/>
      <c r="BZ109" s="495"/>
      <c r="CC109" s="495"/>
      <c r="CD109" s="495"/>
      <c r="CG109" s="495"/>
      <c r="CH109" s="495"/>
    </row>
    <row r="110" spans="73:86" x14ac:dyDescent="0.2">
      <c r="BU110" s="495"/>
      <c r="BV110" s="495"/>
      <c r="BY110" s="495"/>
      <c r="BZ110" s="495"/>
      <c r="CC110" s="495"/>
      <c r="CD110" s="495"/>
      <c r="CG110" s="495"/>
      <c r="CH110" s="495"/>
    </row>
    <row r="111" spans="73:86" x14ac:dyDescent="0.2">
      <c r="BU111" s="495"/>
      <c r="BV111" s="495"/>
      <c r="BY111" s="495"/>
      <c r="BZ111" s="495"/>
      <c r="CC111" s="495"/>
      <c r="CD111" s="495"/>
      <c r="CG111" s="495"/>
      <c r="CH111" s="495"/>
    </row>
    <row r="112" spans="73:86" x14ac:dyDescent="0.2">
      <c r="BU112" s="495"/>
      <c r="BV112" s="495"/>
      <c r="BY112" s="495"/>
      <c r="BZ112" s="495"/>
      <c r="CC112" s="495"/>
      <c r="CD112" s="495"/>
      <c r="CG112" s="495"/>
      <c r="CH112" s="495"/>
    </row>
    <row r="113" spans="73:86" x14ac:dyDescent="0.2">
      <c r="BU113" s="495"/>
      <c r="BV113" s="495"/>
      <c r="BY113" s="495"/>
      <c r="BZ113" s="495"/>
      <c r="CC113" s="495"/>
      <c r="CD113" s="495"/>
      <c r="CG113" s="495"/>
      <c r="CH113" s="495"/>
    </row>
    <row r="114" spans="73:86" x14ac:dyDescent="0.2">
      <c r="BU114" s="495"/>
      <c r="BV114" s="495"/>
      <c r="BY114" s="495"/>
      <c r="BZ114" s="495"/>
      <c r="CC114" s="495"/>
      <c r="CD114" s="495"/>
      <c r="CG114" s="495"/>
      <c r="CH114" s="495"/>
    </row>
    <row r="115" spans="73:86" x14ac:dyDescent="0.2">
      <c r="BU115" s="495"/>
      <c r="BV115" s="495"/>
      <c r="BY115" s="495"/>
      <c r="BZ115" s="495"/>
      <c r="CC115" s="495"/>
      <c r="CD115" s="495"/>
      <c r="CG115" s="495"/>
      <c r="CH115" s="495"/>
    </row>
    <row r="116" spans="73:86" x14ac:dyDescent="0.2">
      <c r="BU116" s="495"/>
      <c r="BV116" s="495"/>
      <c r="BY116" s="495"/>
      <c r="BZ116" s="495"/>
      <c r="CC116" s="495"/>
      <c r="CD116" s="495"/>
      <c r="CG116" s="495"/>
      <c r="CH116" s="495"/>
    </row>
    <row r="117" spans="73:86" x14ac:dyDescent="0.2">
      <c r="BU117" s="495"/>
      <c r="BV117" s="495"/>
      <c r="BY117" s="495"/>
      <c r="BZ117" s="495"/>
      <c r="CC117" s="495"/>
      <c r="CD117" s="495"/>
      <c r="CG117" s="495"/>
      <c r="CH117" s="495"/>
    </row>
    <row r="118" spans="73:86" x14ac:dyDescent="0.2">
      <c r="BU118" s="495"/>
      <c r="BV118" s="495"/>
      <c r="BY118" s="495"/>
      <c r="BZ118" s="495"/>
      <c r="CC118" s="495"/>
      <c r="CD118" s="495"/>
      <c r="CG118" s="495"/>
      <c r="CH118" s="495"/>
    </row>
    <row r="119" spans="73:86" x14ac:dyDescent="0.2">
      <c r="BU119" s="495"/>
      <c r="BV119" s="495"/>
      <c r="BY119" s="495"/>
      <c r="BZ119" s="495"/>
      <c r="CC119" s="495"/>
      <c r="CD119" s="495"/>
      <c r="CG119" s="495"/>
      <c r="CH119" s="495"/>
    </row>
    <row r="120" spans="73:86" x14ac:dyDescent="0.2">
      <c r="BU120" s="495"/>
      <c r="BV120" s="495"/>
      <c r="BY120" s="495"/>
      <c r="BZ120" s="495"/>
      <c r="CC120" s="495"/>
      <c r="CD120" s="495"/>
      <c r="CG120" s="495"/>
      <c r="CH120" s="495"/>
    </row>
    <row r="121" spans="73:86" x14ac:dyDescent="0.2">
      <c r="BU121" s="495"/>
      <c r="BV121" s="495"/>
      <c r="BY121" s="495"/>
      <c r="BZ121" s="495"/>
      <c r="CC121" s="495"/>
      <c r="CD121" s="495"/>
      <c r="CG121" s="495"/>
      <c r="CH121" s="495"/>
    </row>
    <row r="122" spans="73:86" x14ac:dyDescent="0.2">
      <c r="BU122" s="495"/>
      <c r="BV122" s="495"/>
      <c r="BY122" s="495"/>
      <c r="BZ122" s="495"/>
      <c r="CC122" s="495"/>
      <c r="CD122" s="495"/>
      <c r="CG122" s="495"/>
      <c r="CH122" s="495"/>
    </row>
    <row r="123" spans="73:86" x14ac:dyDescent="0.2">
      <c r="BU123" s="495"/>
      <c r="BV123" s="495"/>
      <c r="BY123" s="495"/>
      <c r="BZ123" s="495"/>
      <c r="CC123" s="495"/>
      <c r="CD123" s="495"/>
      <c r="CG123" s="495"/>
      <c r="CH123" s="495"/>
    </row>
    <row r="124" spans="73:86" x14ac:dyDescent="0.2">
      <c r="BU124" s="495"/>
      <c r="BV124" s="495"/>
      <c r="BY124" s="495"/>
      <c r="BZ124" s="495"/>
      <c r="CC124" s="495"/>
      <c r="CD124" s="495"/>
      <c r="CG124" s="495"/>
      <c r="CH124" s="495"/>
    </row>
    <row r="125" spans="73:86" x14ac:dyDescent="0.2">
      <c r="BU125" s="495"/>
      <c r="BV125" s="495"/>
      <c r="BY125" s="495"/>
      <c r="BZ125" s="495"/>
      <c r="CC125" s="495"/>
      <c r="CD125" s="495"/>
      <c r="CG125" s="495"/>
      <c r="CH125" s="495"/>
    </row>
    <row r="126" spans="73:86" x14ac:dyDescent="0.2">
      <c r="BU126" s="495"/>
      <c r="BV126" s="495"/>
      <c r="BY126" s="495"/>
      <c r="BZ126" s="495"/>
      <c r="CC126" s="495"/>
      <c r="CD126" s="495"/>
      <c r="CG126" s="495"/>
      <c r="CH126" s="495"/>
    </row>
    <row r="127" spans="73:86" x14ac:dyDescent="0.2">
      <c r="BU127" s="495"/>
      <c r="BV127" s="495"/>
      <c r="BY127" s="495"/>
      <c r="BZ127" s="495"/>
      <c r="CC127" s="495"/>
      <c r="CD127" s="495"/>
      <c r="CG127" s="495"/>
      <c r="CH127" s="495"/>
    </row>
    <row r="128" spans="73:86" x14ac:dyDescent="0.2">
      <c r="BU128" s="495"/>
      <c r="BV128" s="495"/>
      <c r="BY128" s="495"/>
      <c r="BZ128" s="495"/>
      <c r="CC128" s="495"/>
      <c r="CD128" s="495"/>
      <c r="CG128" s="495"/>
      <c r="CH128" s="495"/>
    </row>
    <row r="129" spans="73:86" x14ac:dyDescent="0.2">
      <c r="BU129" s="495"/>
      <c r="BV129" s="495"/>
      <c r="BY129" s="495"/>
      <c r="BZ129" s="495"/>
      <c r="CC129" s="495"/>
      <c r="CD129" s="495"/>
      <c r="CG129" s="495"/>
      <c r="CH129" s="495"/>
    </row>
    <row r="130" spans="73:86" x14ac:dyDescent="0.2">
      <c r="BU130" s="495"/>
      <c r="BV130" s="495"/>
      <c r="BY130" s="495"/>
      <c r="BZ130" s="495"/>
      <c r="CC130" s="495"/>
      <c r="CD130" s="495"/>
      <c r="CG130" s="495"/>
      <c r="CH130" s="495"/>
    </row>
    <row r="131" spans="73:86" x14ac:dyDescent="0.2">
      <c r="BU131" s="495"/>
      <c r="BV131" s="495"/>
      <c r="BY131" s="495"/>
      <c r="BZ131" s="495"/>
      <c r="CC131" s="495"/>
      <c r="CD131" s="495"/>
      <c r="CG131" s="495"/>
      <c r="CH131" s="495"/>
    </row>
    <row r="132" spans="73:86" x14ac:dyDescent="0.2">
      <c r="BU132" s="495"/>
      <c r="BV132" s="495"/>
      <c r="BY132" s="495"/>
      <c r="BZ132" s="495"/>
      <c r="CC132" s="495"/>
      <c r="CD132" s="495"/>
      <c r="CG132" s="495"/>
      <c r="CH132" s="495"/>
    </row>
    <row r="133" spans="73:86" x14ac:dyDescent="0.2">
      <c r="BU133" s="495"/>
      <c r="BV133" s="495"/>
      <c r="BY133" s="495"/>
      <c r="BZ133" s="495"/>
      <c r="CC133" s="495"/>
      <c r="CD133" s="495"/>
      <c r="CG133" s="495"/>
      <c r="CH133" s="495"/>
    </row>
    <row r="134" spans="73:86" x14ac:dyDescent="0.2">
      <c r="BU134" s="495"/>
      <c r="BV134" s="495"/>
      <c r="BY134" s="495"/>
      <c r="BZ134" s="495"/>
      <c r="CC134" s="495"/>
      <c r="CD134" s="495"/>
      <c r="CG134" s="495"/>
      <c r="CH134" s="495"/>
    </row>
    <row r="135" spans="73:86" x14ac:dyDescent="0.2">
      <c r="BU135" s="495"/>
      <c r="BV135" s="495"/>
      <c r="BY135" s="495"/>
      <c r="BZ135" s="495"/>
      <c r="CC135" s="495"/>
      <c r="CD135" s="495"/>
      <c r="CG135" s="495"/>
      <c r="CH135" s="495"/>
    </row>
    <row r="136" spans="73:86" x14ac:dyDescent="0.2">
      <c r="BU136" s="495"/>
      <c r="BV136" s="495"/>
      <c r="BY136" s="495"/>
      <c r="BZ136" s="495"/>
      <c r="CC136" s="495"/>
      <c r="CD136" s="495"/>
      <c r="CG136" s="495"/>
      <c r="CH136" s="495"/>
    </row>
    <row r="137" spans="73:86" x14ac:dyDescent="0.2">
      <c r="BU137" s="495"/>
      <c r="BV137" s="495"/>
      <c r="BY137" s="495"/>
      <c r="BZ137" s="495"/>
      <c r="CC137" s="495"/>
      <c r="CD137" s="495"/>
      <c r="CG137" s="495"/>
      <c r="CH137" s="495"/>
    </row>
    <row r="138" spans="73:86" x14ac:dyDescent="0.2">
      <c r="BU138" s="495"/>
      <c r="BV138" s="495"/>
      <c r="BY138" s="495"/>
      <c r="BZ138" s="495"/>
      <c r="CC138" s="495"/>
      <c r="CD138" s="495"/>
      <c r="CG138" s="495"/>
      <c r="CH138" s="495"/>
    </row>
    <row r="139" spans="73:86" x14ac:dyDescent="0.2">
      <c r="BU139" s="495"/>
      <c r="BV139" s="495"/>
      <c r="BY139" s="495"/>
      <c r="BZ139" s="495"/>
      <c r="CC139" s="495"/>
      <c r="CD139" s="495"/>
      <c r="CG139" s="495"/>
      <c r="CH139" s="495"/>
    </row>
    <row r="140" spans="73:86" x14ac:dyDescent="0.2">
      <c r="BU140" s="495"/>
      <c r="BV140" s="495"/>
      <c r="BY140" s="495"/>
      <c r="BZ140" s="495"/>
      <c r="CC140" s="495"/>
      <c r="CD140" s="495"/>
      <c r="CG140" s="495"/>
      <c r="CH140" s="495"/>
    </row>
    <row r="141" spans="73:86" x14ac:dyDescent="0.2">
      <c r="BU141" s="495"/>
      <c r="BV141" s="495"/>
      <c r="BY141" s="495"/>
      <c r="BZ141" s="495"/>
      <c r="CC141" s="495"/>
      <c r="CD141" s="495"/>
      <c r="CG141" s="495"/>
      <c r="CH141" s="495"/>
    </row>
    <row r="142" spans="73:86" x14ac:dyDescent="0.2">
      <c r="BU142" s="495"/>
      <c r="BV142" s="495"/>
      <c r="BY142" s="495"/>
      <c r="BZ142" s="495"/>
      <c r="CC142" s="495"/>
      <c r="CD142" s="495"/>
      <c r="CG142" s="495"/>
      <c r="CH142" s="495"/>
    </row>
    <row r="143" spans="73:86" x14ac:dyDescent="0.2">
      <c r="BU143" s="495"/>
      <c r="BV143" s="495"/>
      <c r="BY143" s="495"/>
      <c r="BZ143" s="495"/>
      <c r="CC143" s="495"/>
      <c r="CD143" s="495"/>
      <c r="CG143" s="495"/>
      <c r="CH143" s="495"/>
    </row>
    <row r="144" spans="73:86" x14ac:dyDescent="0.2">
      <c r="BU144" s="495"/>
      <c r="BV144" s="495"/>
      <c r="BY144" s="495"/>
      <c r="BZ144" s="495"/>
      <c r="CC144" s="495"/>
      <c r="CD144" s="495"/>
      <c r="CG144" s="495"/>
      <c r="CH144" s="495"/>
    </row>
    <row r="145" spans="73:86" x14ac:dyDescent="0.2">
      <c r="BU145" s="495"/>
      <c r="BV145" s="495"/>
      <c r="BY145" s="495"/>
      <c r="BZ145" s="495"/>
      <c r="CC145" s="495"/>
      <c r="CD145" s="495"/>
      <c r="CG145" s="495"/>
      <c r="CH145" s="495"/>
    </row>
    <row r="146" spans="73:86" x14ac:dyDescent="0.2">
      <c r="BU146" s="495"/>
      <c r="BV146" s="495"/>
      <c r="BY146" s="495"/>
      <c r="BZ146" s="495"/>
      <c r="CC146" s="495"/>
      <c r="CD146" s="495"/>
      <c r="CG146" s="495"/>
      <c r="CH146" s="495"/>
    </row>
    <row r="147" spans="73:86" x14ac:dyDescent="0.2">
      <c r="BU147" s="495"/>
      <c r="BV147" s="495"/>
      <c r="BY147" s="495"/>
      <c r="BZ147" s="495"/>
      <c r="CC147" s="495"/>
      <c r="CD147" s="495"/>
      <c r="CG147" s="495"/>
      <c r="CH147" s="495"/>
    </row>
    <row r="148" spans="73:86" x14ac:dyDescent="0.2">
      <c r="BU148" s="495"/>
      <c r="BV148" s="495"/>
      <c r="BY148" s="495"/>
      <c r="BZ148" s="495"/>
      <c r="CC148" s="495"/>
      <c r="CD148" s="495"/>
      <c r="CG148" s="495"/>
      <c r="CH148" s="495"/>
    </row>
    <row r="149" spans="73:86" x14ac:dyDescent="0.2">
      <c r="BU149" s="495"/>
      <c r="BV149" s="495"/>
      <c r="BY149" s="495"/>
      <c r="BZ149" s="495"/>
      <c r="CC149" s="495"/>
      <c r="CD149" s="495"/>
      <c r="CG149" s="495"/>
      <c r="CH149" s="495"/>
    </row>
    <row r="150" spans="73:86" x14ac:dyDescent="0.2">
      <c r="BU150" s="495"/>
      <c r="BV150" s="495"/>
      <c r="BY150" s="495"/>
      <c r="BZ150" s="495"/>
      <c r="CC150" s="495"/>
      <c r="CD150" s="495"/>
      <c r="CG150" s="495"/>
      <c r="CH150" s="495"/>
    </row>
    <row r="151" spans="73:86" x14ac:dyDescent="0.2">
      <c r="BU151" s="495"/>
      <c r="BV151" s="495"/>
      <c r="BY151" s="495"/>
      <c r="BZ151" s="495"/>
      <c r="CC151" s="495"/>
      <c r="CD151" s="495"/>
      <c r="CG151" s="495"/>
      <c r="CH151" s="495"/>
    </row>
    <row r="152" spans="73:86" x14ac:dyDescent="0.2">
      <c r="BU152" s="495"/>
      <c r="BV152" s="495"/>
      <c r="BY152" s="495"/>
      <c r="BZ152" s="495"/>
      <c r="CC152" s="495"/>
      <c r="CD152" s="495"/>
      <c r="CG152" s="495"/>
      <c r="CH152" s="495"/>
    </row>
    <row r="153" spans="73:86" x14ac:dyDescent="0.2">
      <c r="BU153" s="495"/>
      <c r="BV153" s="495"/>
      <c r="BY153" s="495"/>
      <c r="BZ153" s="495"/>
      <c r="CC153" s="495"/>
      <c r="CD153" s="495"/>
      <c r="CG153" s="495"/>
      <c r="CH153" s="495"/>
    </row>
    <row r="154" spans="73:86" x14ac:dyDescent="0.2">
      <c r="BU154" s="495"/>
      <c r="BV154" s="495"/>
      <c r="BY154" s="495"/>
      <c r="BZ154" s="495"/>
      <c r="CC154" s="495"/>
      <c r="CD154" s="495"/>
      <c r="CG154" s="495"/>
      <c r="CH154" s="495"/>
    </row>
    <row r="155" spans="73:86" x14ac:dyDescent="0.2">
      <c r="BU155" s="495"/>
      <c r="BV155" s="495"/>
      <c r="BY155" s="495"/>
      <c r="BZ155" s="495"/>
      <c r="CC155" s="495"/>
      <c r="CD155" s="495"/>
      <c r="CG155" s="495"/>
      <c r="CH155" s="495"/>
    </row>
    <row r="156" spans="73:86" x14ac:dyDescent="0.2">
      <c r="BU156" s="495"/>
      <c r="BV156" s="495"/>
      <c r="BY156" s="495"/>
      <c r="BZ156" s="495"/>
      <c r="CC156" s="495"/>
      <c r="CD156" s="495"/>
      <c r="CG156" s="495"/>
      <c r="CH156" s="495"/>
    </row>
    <row r="157" spans="73:86" x14ac:dyDescent="0.2">
      <c r="BU157" s="495"/>
      <c r="BV157" s="495"/>
      <c r="BY157" s="495"/>
      <c r="BZ157" s="495"/>
      <c r="CC157" s="495"/>
      <c r="CD157" s="495"/>
      <c r="CG157" s="495"/>
      <c r="CH157" s="495"/>
    </row>
    <row r="158" spans="73:86" x14ac:dyDescent="0.2">
      <c r="BU158" s="495"/>
      <c r="BV158" s="495"/>
      <c r="BY158" s="495"/>
      <c r="BZ158" s="495"/>
      <c r="CC158" s="495"/>
      <c r="CD158" s="495"/>
      <c r="CG158" s="495"/>
      <c r="CH158" s="495"/>
    </row>
    <row r="159" spans="73:86" x14ac:dyDescent="0.2">
      <c r="BU159" s="495"/>
      <c r="BV159" s="495"/>
      <c r="BY159" s="495"/>
      <c r="BZ159" s="495"/>
      <c r="CC159" s="495"/>
      <c r="CD159" s="495"/>
      <c r="CG159" s="495"/>
      <c r="CH159" s="495"/>
    </row>
    <row r="160" spans="73:86" x14ac:dyDescent="0.2">
      <c r="BU160" s="495"/>
      <c r="BV160" s="495"/>
      <c r="BY160" s="495"/>
      <c r="BZ160" s="495"/>
      <c r="CC160" s="495"/>
      <c r="CD160" s="495"/>
      <c r="CG160" s="495"/>
      <c r="CH160" s="495"/>
    </row>
    <row r="161" spans="73:86" x14ac:dyDescent="0.2">
      <c r="BU161" s="495"/>
      <c r="BV161" s="495"/>
      <c r="BY161" s="495"/>
      <c r="BZ161" s="495"/>
      <c r="CC161" s="495"/>
      <c r="CD161" s="495"/>
      <c r="CG161" s="495"/>
      <c r="CH161" s="495"/>
    </row>
    <row r="162" spans="73:86" x14ac:dyDescent="0.2">
      <c r="BU162" s="495"/>
      <c r="BV162" s="495"/>
      <c r="BY162" s="495"/>
      <c r="BZ162" s="495"/>
      <c r="CC162" s="495"/>
      <c r="CD162" s="495"/>
      <c r="CG162" s="495"/>
      <c r="CH162" s="495"/>
    </row>
    <row r="163" spans="73:86" x14ac:dyDescent="0.2">
      <c r="BU163" s="495"/>
      <c r="BV163" s="495"/>
      <c r="BY163" s="495"/>
      <c r="BZ163" s="495"/>
      <c r="CC163" s="495"/>
      <c r="CD163" s="495"/>
      <c r="CG163" s="495"/>
      <c r="CH163" s="495"/>
    </row>
    <row r="164" spans="73:86" x14ac:dyDescent="0.2">
      <c r="BU164" s="495"/>
      <c r="BV164" s="495"/>
      <c r="BY164" s="495"/>
      <c r="BZ164" s="495"/>
      <c r="CC164" s="495"/>
      <c r="CD164" s="495"/>
      <c r="CG164" s="495"/>
      <c r="CH164" s="495"/>
    </row>
    <row r="165" spans="73:86" x14ac:dyDescent="0.2">
      <c r="BU165" s="495"/>
      <c r="BV165" s="495"/>
      <c r="BY165" s="495"/>
      <c r="BZ165" s="495"/>
      <c r="CC165" s="495"/>
      <c r="CD165" s="495"/>
      <c r="CG165" s="495"/>
      <c r="CH165" s="495"/>
    </row>
    <row r="166" spans="73:86" x14ac:dyDescent="0.2">
      <c r="BU166" s="495"/>
      <c r="BV166" s="495"/>
      <c r="BY166" s="495"/>
      <c r="BZ166" s="495"/>
      <c r="CC166" s="495"/>
      <c r="CD166" s="495"/>
      <c r="CG166" s="495"/>
      <c r="CH166" s="495"/>
    </row>
    <row r="167" spans="73:86" x14ac:dyDescent="0.2">
      <c r="BU167" s="495"/>
      <c r="BV167" s="495"/>
      <c r="BY167" s="495"/>
      <c r="BZ167" s="495"/>
      <c r="CC167" s="495"/>
      <c r="CD167" s="495"/>
      <c r="CG167" s="495"/>
      <c r="CH167" s="495"/>
    </row>
    <row r="168" spans="73:86" x14ac:dyDescent="0.2">
      <c r="BU168" s="495"/>
      <c r="BV168" s="495"/>
      <c r="BY168" s="495"/>
      <c r="BZ168" s="495"/>
      <c r="CC168" s="495"/>
      <c r="CD168" s="495"/>
      <c r="CG168" s="495"/>
      <c r="CH168" s="495"/>
    </row>
    <row r="169" spans="73:86" x14ac:dyDescent="0.2">
      <c r="BU169" s="495"/>
      <c r="BV169" s="495"/>
      <c r="BY169" s="495"/>
      <c r="BZ169" s="495"/>
      <c r="CC169" s="495"/>
      <c r="CD169" s="495"/>
      <c r="CG169" s="495"/>
      <c r="CH169" s="495"/>
    </row>
    <row r="170" spans="73:86" x14ac:dyDescent="0.2">
      <c r="BU170" s="495"/>
      <c r="BV170" s="495"/>
      <c r="BY170" s="495"/>
      <c r="BZ170" s="495"/>
      <c r="CC170" s="495"/>
      <c r="CD170" s="495"/>
      <c r="CG170" s="495"/>
      <c r="CH170" s="495"/>
    </row>
    <row r="171" spans="73:86" x14ac:dyDescent="0.2">
      <c r="BU171" s="495"/>
      <c r="BV171" s="495"/>
      <c r="BY171" s="495"/>
      <c r="BZ171" s="495"/>
      <c r="CC171" s="495"/>
      <c r="CD171" s="495"/>
      <c r="CG171" s="495"/>
      <c r="CH171" s="495"/>
    </row>
    <row r="172" spans="73:86" x14ac:dyDescent="0.2">
      <c r="BU172" s="495"/>
      <c r="BV172" s="495"/>
      <c r="BY172" s="495"/>
      <c r="BZ172" s="495"/>
      <c r="CC172" s="495"/>
      <c r="CD172" s="495"/>
      <c r="CG172" s="495"/>
      <c r="CH172" s="495"/>
    </row>
    <row r="173" spans="73:86" x14ac:dyDescent="0.2">
      <c r="BU173" s="495"/>
      <c r="BV173" s="495"/>
      <c r="BY173" s="495"/>
      <c r="BZ173" s="495"/>
      <c r="CC173" s="495"/>
      <c r="CD173" s="495"/>
      <c r="CG173" s="495"/>
      <c r="CH173" s="495"/>
    </row>
    <row r="174" spans="73:86" x14ac:dyDescent="0.2">
      <c r="BU174" s="495"/>
      <c r="BV174" s="495"/>
      <c r="BY174" s="495"/>
      <c r="BZ174" s="495"/>
      <c r="CC174" s="495"/>
      <c r="CD174" s="495"/>
      <c r="CG174" s="495"/>
      <c r="CH174" s="495"/>
    </row>
    <row r="175" spans="73:86" x14ac:dyDescent="0.2">
      <c r="BU175" s="495"/>
      <c r="BV175" s="495"/>
      <c r="BY175" s="495"/>
      <c r="BZ175" s="495"/>
      <c r="CC175" s="495"/>
      <c r="CD175" s="495"/>
      <c r="CG175" s="495"/>
      <c r="CH175" s="495"/>
    </row>
    <row r="176" spans="73:86" x14ac:dyDescent="0.2">
      <c r="BU176" s="495"/>
      <c r="BV176" s="495"/>
      <c r="BY176" s="495"/>
      <c r="BZ176" s="495"/>
      <c r="CC176" s="495"/>
      <c r="CD176" s="495"/>
      <c r="CG176" s="495"/>
      <c r="CH176" s="495"/>
    </row>
    <row r="177" spans="73:86" x14ac:dyDescent="0.2">
      <c r="BU177" s="495"/>
      <c r="BV177" s="495"/>
      <c r="BY177" s="495"/>
      <c r="BZ177" s="495"/>
      <c r="CC177" s="495"/>
      <c r="CD177" s="495"/>
      <c r="CG177" s="495"/>
      <c r="CH177" s="495"/>
    </row>
    <row r="178" spans="73:86" x14ac:dyDescent="0.2">
      <c r="BU178" s="495"/>
      <c r="BV178" s="495"/>
      <c r="BY178" s="495"/>
      <c r="BZ178" s="495"/>
      <c r="CC178" s="495"/>
      <c r="CD178" s="495"/>
      <c r="CG178" s="495"/>
      <c r="CH178" s="495"/>
    </row>
    <row r="179" spans="73:86" x14ac:dyDescent="0.2">
      <c r="BU179" s="495"/>
      <c r="BV179" s="495"/>
      <c r="BY179" s="495"/>
      <c r="BZ179" s="495"/>
      <c r="CC179" s="495"/>
      <c r="CD179" s="495"/>
      <c r="CG179" s="495"/>
      <c r="CH179" s="495"/>
    </row>
    <row r="180" spans="73:86" x14ac:dyDescent="0.2">
      <c r="BU180" s="495"/>
      <c r="BV180" s="495"/>
      <c r="BY180" s="495"/>
      <c r="BZ180" s="495"/>
      <c r="CC180" s="495"/>
      <c r="CD180" s="495"/>
      <c r="CG180" s="495"/>
      <c r="CH180" s="495"/>
    </row>
    <row r="181" spans="73:86" x14ac:dyDescent="0.2">
      <c r="BU181" s="495"/>
      <c r="BV181" s="495"/>
      <c r="BY181" s="495"/>
      <c r="BZ181" s="495"/>
      <c r="CC181" s="495"/>
      <c r="CD181" s="495"/>
      <c r="CG181" s="495"/>
      <c r="CH181" s="495"/>
    </row>
    <row r="182" spans="73:86" x14ac:dyDescent="0.2">
      <c r="BU182" s="495"/>
      <c r="BV182" s="495"/>
      <c r="BY182" s="495"/>
      <c r="BZ182" s="495"/>
      <c r="CC182" s="495"/>
      <c r="CD182" s="495"/>
      <c r="CG182" s="495"/>
      <c r="CH182" s="495"/>
    </row>
    <row r="183" spans="73:86" x14ac:dyDescent="0.2">
      <c r="BU183" s="495"/>
      <c r="BV183" s="495"/>
      <c r="BY183" s="495"/>
      <c r="BZ183" s="495"/>
      <c r="CC183" s="495"/>
      <c r="CD183" s="495"/>
      <c r="CG183" s="495"/>
      <c r="CH183" s="495"/>
    </row>
    <row r="184" spans="73:86" x14ac:dyDescent="0.2">
      <c r="BU184" s="495"/>
      <c r="BV184" s="495"/>
      <c r="BY184" s="495"/>
      <c r="BZ184" s="495"/>
      <c r="CC184" s="495"/>
      <c r="CD184" s="495"/>
      <c r="CG184" s="495"/>
      <c r="CH184" s="495"/>
    </row>
    <row r="185" spans="73:86" x14ac:dyDescent="0.2">
      <c r="BU185" s="495"/>
      <c r="BV185" s="495"/>
      <c r="BY185" s="495"/>
      <c r="BZ185" s="495"/>
      <c r="CC185" s="495"/>
      <c r="CD185" s="495"/>
      <c r="CG185" s="495"/>
      <c r="CH185" s="495"/>
    </row>
    <row r="186" spans="73:86" x14ac:dyDescent="0.2">
      <c r="BU186" s="495"/>
      <c r="BV186" s="495"/>
      <c r="BY186" s="495"/>
      <c r="BZ186" s="495"/>
      <c r="CC186" s="495"/>
      <c r="CD186" s="495"/>
      <c r="CG186" s="495"/>
      <c r="CH186" s="495"/>
    </row>
    <row r="187" spans="73:86" x14ac:dyDescent="0.2">
      <c r="BU187" s="495"/>
      <c r="BV187" s="495"/>
      <c r="BY187" s="495"/>
      <c r="BZ187" s="495"/>
      <c r="CC187" s="495"/>
      <c r="CD187" s="495"/>
      <c r="CG187" s="495"/>
      <c r="CH187" s="495"/>
    </row>
    <row r="188" spans="73:86" x14ac:dyDescent="0.2">
      <c r="BU188" s="495"/>
      <c r="BV188" s="495"/>
      <c r="BY188" s="495"/>
      <c r="BZ188" s="495"/>
      <c r="CC188" s="495"/>
      <c r="CD188" s="495"/>
      <c r="CG188" s="495"/>
      <c r="CH188" s="495"/>
    </row>
    <row r="189" spans="73:86" x14ac:dyDescent="0.2">
      <c r="BU189" s="495"/>
      <c r="BV189" s="495"/>
      <c r="BY189" s="495"/>
      <c r="BZ189" s="495"/>
      <c r="CC189" s="495"/>
      <c r="CD189" s="495"/>
      <c r="CG189" s="495"/>
      <c r="CH189" s="495"/>
    </row>
    <row r="190" spans="73:86" x14ac:dyDescent="0.2">
      <c r="BU190" s="495"/>
      <c r="BV190" s="495"/>
      <c r="BY190" s="495"/>
      <c r="BZ190" s="495"/>
      <c r="CC190" s="495"/>
      <c r="CD190" s="495"/>
      <c r="CG190" s="495"/>
      <c r="CH190" s="495"/>
    </row>
    <row r="191" spans="73:86" x14ac:dyDescent="0.2">
      <c r="BU191" s="495"/>
      <c r="BV191" s="495"/>
      <c r="BY191" s="495"/>
      <c r="BZ191" s="495"/>
      <c r="CC191" s="495"/>
      <c r="CD191" s="495"/>
      <c r="CG191" s="495"/>
      <c r="CH191" s="495"/>
    </row>
    <row r="192" spans="73:86" x14ac:dyDescent="0.2">
      <c r="BU192" s="495"/>
      <c r="BV192" s="495"/>
      <c r="BY192" s="495"/>
      <c r="BZ192" s="495"/>
      <c r="CC192" s="495"/>
      <c r="CD192" s="495"/>
      <c r="CG192" s="495"/>
      <c r="CH192" s="495"/>
    </row>
    <row r="193" spans="73:86" x14ac:dyDescent="0.2">
      <c r="BU193" s="495"/>
      <c r="BV193" s="495"/>
      <c r="BY193" s="495"/>
      <c r="BZ193" s="495"/>
      <c r="CC193" s="495"/>
      <c r="CD193" s="495"/>
      <c r="CG193" s="495"/>
      <c r="CH193" s="495"/>
    </row>
    <row r="194" spans="73:86" x14ac:dyDescent="0.2">
      <c r="BU194" s="495"/>
      <c r="BV194" s="495"/>
      <c r="BY194" s="495"/>
      <c r="BZ194" s="495"/>
      <c r="CC194" s="495"/>
      <c r="CD194" s="495"/>
      <c r="CG194" s="495"/>
      <c r="CH194" s="495"/>
    </row>
    <row r="195" spans="73:86" x14ac:dyDescent="0.2">
      <c r="BU195" s="495"/>
      <c r="BV195" s="495"/>
      <c r="BY195" s="495"/>
      <c r="BZ195" s="495"/>
      <c r="CC195" s="495"/>
      <c r="CD195" s="495"/>
      <c r="CG195" s="495"/>
      <c r="CH195" s="495"/>
    </row>
    <row r="196" spans="73:86" x14ac:dyDescent="0.2">
      <c r="BU196" s="495"/>
      <c r="BV196" s="495"/>
      <c r="BY196" s="495"/>
      <c r="BZ196" s="495"/>
      <c r="CC196" s="495"/>
      <c r="CD196" s="495"/>
      <c r="CG196" s="495"/>
      <c r="CH196" s="495"/>
    </row>
    <row r="197" spans="73:86" x14ac:dyDescent="0.2">
      <c r="BU197" s="495"/>
      <c r="BV197" s="495"/>
      <c r="BY197" s="495"/>
      <c r="BZ197" s="495"/>
      <c r="CC197" s="495"/>
      <c r="CD197" s="495"/>
      <c r="CG197" s="495"/>
      <c r="CH197" s="495"/>
    </row>
    <row r="198" spans="73:86" x14ac:dyDescent="0.2">
      <c r="BU198" s="495"/>
      <c r="BV198" s="495"/>
      <c r="BY198" s="495"/>
      <c r="BZ198" s="495"/>
      <c r="CC198" s="495"/>
      <c r="CD198" s="495"/>
      <c r="CG198" s="495"/>
      <c r="CH198" s="495"/>
    </row>
    <row r="199" spans="73:86" x14ac:dyDescent="0.2">
      <c r="BU199" s="495"/>
      <c r="BV199" s="495"/>
      <c r="BY199" s="495"/>
      <c r="BZ199" s="495"/>
      <c r="CC199" s="495"/>
      <c r="CD199" s="495"/>
      <c r="CG199" s="495"/>
      <c r="CH199" s="495"/>
    </row>
    <row r="200" spans="73:86" x14ac:dyDescent="0.2">
      <c r="BU200" s="495"/>
      <c r="BV200" s="495"/>
      <c r="BY200" s="495"/>
      <c r="BZ200" s="495"/>
      <c r="CC200" s="495"/>
      <c r="CD200" s="495"/>
      <c r="CG200" s="495"/>
      <c r="CH200" s="495"/>
    </row>
    <row r="201" spans="73:86" x14ac:dyDescent="0.2">
      <c r="BU201" s="495"/>
      <c r="BV201" s="495"/>
      <c r="BY201" s="495"/>
      <c r="BZ201" s="495"/>
      <c r="CC201" s="495"/>
      <c r="CD201" s="495"/>
      <c r="CG201" s="495"/>
      <c r="CH201" s="495"/>
    </row>
    <row r="202" spans="73:86" x14ac:dyDescent="0.2">
      <c r="BU202" s="495"/>
      <c r="BV202" s="495"/>
      <c r="BY202" s="495"/>
      <c r="BZ202" s="495"/>
      <c r="CC202" s="495"/>
      <c r="CD202" s="495"/>
      <c r="CG202" s="495"/>
      <c r="CH202" s="495"/>
    </row>
    <row r="203" spans="73:86" x14ac:dyDescent="0.2">
      <c r="BU203" s="495"/>
      <c r="BV203" s="495"/>
      <c r="BY203" s="495"/>
      <c r="BZ203" s="495"/>
      <c r="CC203" s="495"/>
      <c r="CD203" s="495"/>
      <c r="CG203" s="495"/>
      <c r="CH203" s="495"/>
    </row>
    <row r="204" spans="73:86" x14ac:dyDescent="0.2">
      <c r="BU204" s="495"/>
      <c r="BV204" s="495"/>
      <c r="BY204" s="495"/>
      <c r="BZ204" s="495"/>
      <c r="CC204" s="495"/>
      <c r="CD204" s="495"/>
      <c r="CG204" s="495"/>
      <c r="CH204" s="495"/>
    </row>
    <row r="205" spans="73:86" x14ac:dyDescent="0.2">
      <c r="BU205" s="495"/>
      <c r="BV205" s="495"/>
      <c r="BY205" s="495"/>
      <c r="BZ205" s="495"/>
      <c r="CC205" s="495"/>
      <c r="CD205" s="495"/>
      <c r="CG205" s="495"/>
      <c r="CH205" s="495"/>
    </row>
    <row r="206" spans="73:86" x14ac:dyDescent="0.2">
      <c r="BU206" s="495"/>
      <c r="BV206" s="495"/>
      <c r="BY206" s="495"/>
      <c r="BZ206" s="495"/>
      <c r="CC206" s="495"/>
      <c r="CD206" s="495"/>
      <c r="CG206" s="495"/>
      <c r="CH206" s="495"/>
    </row>
    <row r="207" spans="73:86" x14ac:dyDescent="0.2">
      <c r="BU207" s="495"/>
      <c r="BV207" s="495"/>
      <c r="BY207" s="495"/>
      <c r="BZ207" s="495"/>
      <c r="CC207" s="495"/>
      <c r="CD207" s="495"/>
      <c r="CG207" s="495"/>
      <c r="CH207" s="495"/>
    </row>
    <row r="208" spans="73:86" x14ac:dyDescent="0.2">
      <c r="BU208" s="495"/>
      <c r="BV208" s="495"/>
      <c r="BY208" s="495"/>
      <c r="BZ208" s="495"/>
      <c r="CC208" s="495"/>
      <c r="CD208" s="495"/>
      <c r="CG208" s="495"/>
      <c r="CH208" s="495"/>
    </row>
    <row r="209" spans="73:86" x14ac:dyDescent="0.2">
      <c r="BU209" s="495"/>
      <c r="BV209" s="495"/>
      <c r="BY209" s="495"/>
      <c r="BZ209" s="495"/>
      <c r="CC209" s="495"/>
      <c r="CD209" s="495"/>
      <c r="CG209" s="495"/>
      <c r="CH209" s="495"/>
    </row>
    <row r="210" spans="73:86" x14ac:dyDescent="0.2">
      <c r="BU210" s="495"/>
      <c r="BV210" s="495"/>
      <c r="BY210" s="495"/>
      <c r="BZ210" s="495"/>
      <c r="CC210" s="495"/>
      <c r="CD210" s="495"/>
      <c r="CG210" s="495"/>
      <c r="CH210" s="495"/>
    </row>
    <row r="211" spans="73:86" x14ac:dyDescent="0.2">
      <c r="BU211" s="495"/>
      <c r="BV211" s="495"/>
      <c r="BY211" s="495"/>
      <c r="BZ211" s="495"/>
      <c r="CC211" s="495"/>
      <c r="CD211" s="495"/>
      <c r="CG211" s="495"/>
      <c r="CH211" s="495"/>
    </row>
    <row r="212" spans="73:86" x14ac:dyDescent="0.2">
      <c r="BU212" s="495"/>
      <c r="BV212" s="495"/>
      <c r="BY212" s="495"/>
      <c r="BZ212" s="495"/>
      <c r="CC212" s="495"/>
      <c r="CD212" s="495"/>
      <c r="CG212" s="495"/>
      <c r="CH212" s="495"/>
    </row>
    <row r="213" spans="73:86" x14ac:dyDescent="0.2">
      <c r="BU213" s="495"/>
      <c r="BV213" s="495"/>
      <c r="BY213" s="495"/>
      <c r="BZ213" s="495"/>
      <c r="CC213" s="495"/>
      <c r="CD213" s="495"/>
      <c r="CG213" s="495"/>
      <c r="CH213" s="495"/>
    </row>
    <row r="214" spans="73:86" x14ac:dyDescent="0.2">
      <c r="BU214" s="495"/>
      <c r="BV214" s="495"/>
      <c r="BY214" s="495"/>
      <c r="BZ214" s="495"/>
      <c r="CC214" s="495"/>
      <c r="CD214" s="495"/>
      <c r="CG214" s="495"/>
      <c r="CH214" s="495"/>
    </row>
    <row r="215" spans="73:86" x14ac:dyDescent="0.2">
      <c r="BU215" s="495"/>
      <c r="BV215" s="495"/>
      <c r="BY215" s="495"/>
      <c r="BZ215" s="495"/>
      <c r="CC215" s="495"/>
      <c r="CD215" s="495"/>
      <c r="CG215" s="495"/>
      <c r="CH215" s="495"/>
    </row>
    <row r="216" spans="73:86" x14ac:dyDescent="0.2">
      <c r="BU216" s="495"/>
      <c r="BV216" s="495"/>
      <c r="BY216" s="495"/>
      <c r="BZ216" s="495"/>
      <c r="CC216" s="495"/>
      <c r="CD216" s="495"/>
      <c r="CG216" s="495"/>
      <c r="CH216" s="495"/>
    </row>
    <row r="217" spans="73:86" x14ac:dyDescent="0.2">
      <c r="BU217" s="495"/>
      <c r="BV217" s="495"/>
      <c r="BY217" s="495"/>
      <c r="BZ217" s="495"/>
      <c r="CC217" s="495"/>
      <c r="CD217" s="495"/>
      <c r="CG217" s="495"/>
      <c r="CH217" s="495"/>
    </row>
    <row r="218" spans="73:86" x14ac:dyDescent="0.2">
      <c r="BU218" s="495"/>
      <c r="BV218" s="495"/>
      <c r="BY218" s="495"/>
      <c r="BZ218" s="495"/>
      <c r="CC218" s="495"/>
      <c r="CD218" s="495"/>
      <c r="CG218" s="495"/>
      <c r="CH218" s="495"/>
    </row>
    <row r="219" spans="73:86" x14ac:dyDescent="0.2">
      <c r="BU219" s="495"/>
      <c r="BV219" s="495"/>
      <c r="BY219" s="495"/>
      <c r="BZ219" s="495"/>
      <c r="CC219" s="495"/>
      <c r="CD219" s="495"/>
      <c r="CG219" s="495"/>
      <c r="CH219" s="495"/>
    </row>
    <row r="220" spans="73:86" x14ac:dyDescent="0.2">
      <c r="BU220" s="495"/>
      <c r="BV220" s="495"/>
      <c r="BY220" s="495"/>
      <c r="BZ220" s="495"/>
      <c r="CC220" s="495"/>
      <c r="CD220" s="495"/>
      <c r="CG220" s="495"/>
      <c r="CH220" s="495"/>
    </row>
    <row r="221" spans="73:86" x14ac:dyDescent="0.2">
      <c r="BU221" s="495"/>
      <c r="BV221" s="495"/>
      <c r="BY221" s="495"/>
      <c r="BZ221" s="495"/>
      <c r="CC221" s="495"/>
      <c r="CD221" s="495"/>
      <c r="CG221" s="495"/>
      <c r="CH221" s="495"/>
    </row>
    <row r="222" spans="73:86" x14ac:dyDescent="0.2">
      <c r="BU222" s="495"/>
      <c r="BV222" s="495"/>
      <c r="BY222" s="495"/>
      <c r="BZ222" s="495"/>
      <c r="CC222" s="495"/>
      <c r="CD222" s="495"/>
      <c r="CG222" s="495"/>
      <c r="CH222" s="495"/>
    </row>
    <row r="223" spans="73:86" x14ac:dyDescent="0.2">
      <c r="BU223" s="495"/>
      <c r="BV223" s="495"/>
      <c r="BY223" s="495"/>
      <c r="BZ223" s="495"/>
      <c r="CC223" s="495"/>
      <c r="CD223" s="495"/>
      <c r="CG223" s="495"/>
      <c r="CH223" s="495"/>
    </row>
    <row r="224" spans="73:86" x14ac:dyDescent="0.2">
      <c r="BU224" s="495"/>
      <c r="BV224" s="495"/>
      <c r="BY224" s="495"/>
      <c r="BZ224" s="495"/>
      <c r="CC224" s="495"/>
      <c r="CD224" s="495"/>
      <c r="CG224" s="495"/>
      <c r="CH224" s="495"/>
    </row>
    <row r="225" spans="73:86" x14ac:dyDescent="0.2">
      <c r="BU225" s="495"/>
      <c r="BV225" s="495"/>
      <c r="BY225" s="495"/>
      <c r="BZ225" s="495"/>
      <c r="CC225" s="495"/>
      <c r="CD225" s="495"/>
      <c r="CG225" s="495"/>
      <c r="CH225" s="495"/>
    </row>
    <row r="226" spans="73:86" x14ac:dyDescent="0.2">
      <c r="BU226" s="495"/>
      <c r="BV226" s="495"/>
      <c r="BY226" s="495"/>
      <c r="BZ226" s="495"/>
      <c r="CC226" s="495"/>
      <c r="CD226" s="495"/>
      <c r="CG226" s="495"/>
      <c r="CH226" s="495"/>
    </row>
    <row r="227" spans="73:86" x14ac:dyDescent="0.2">
      <c r="BU227" s="495"/>
      <c r="BV227" s="495"/>
      <c r="BY227" s="495"/>
      <c r="BZ227" s="495"/>
      <c r="CC227" s="495"/>
      <c r="CD227" s="495"/>
      <c r="CG227" s="495"/>
      <c r="CH227" s="495"/>
    </row>
    <row r="228" spans="73:86" x14ac:dyDescent="0.2">
      <c r="BU228" s="495"/>
      <c r="BV228" s="495"/>
      <c r="BY228" s="495"/>
      <c r="BZ228" s="495"/>
      <c r="CC228" s="495"/>
      <c r="CD228" s="495"/>
      <c r="CG228" s="495"/>
      <c r="CH228" s="495"/>
    </row>
    <row r="229" spans="73:86" x14ac:dyDescent="0.2">
      <c r="BU229" s="495"/>
      <c r="BV229" s="495"/>
      <c r="BY229" s="495"/>
      <c r="BZ229" s="495"/>
      <c r="CC229" s="495"/>
      <c r="CD229" s="495"/>
      <c r="CG229" s="495"/>
      <c r="CH229" s="495"/>
    </row>
    <row r="230" spans="73:86" x14ac:dyDescent="0.2">
      <c r="BU230" s="495"/>
      <c r="BV230" s="495"/>
      <c r="BY230" s="495"/>
      <c r="BZ230" s="495"/>
      <c r="CC230" s="495"/>
      <c r="CD230" s="495"/>
      <c r="CG230" s="495"/>
      <c r="CH230" s="495"/>
    </row>
    <row r="231" spans="73:86" x14ac:dyDescent="0.2">
      <c r="BU231" s="495"/>
      <c r="BV231" s="495"/>
      <c r="BY231" s="495"/>
      <c r="BZ231" s="495"/>
      <c r="CC231" s="495"/>
      <c r="CD231" s="495"/>
      <c r="CG231" s="495"/>
      <c r="CH231" s="495"/>
    </row>
    <row r="232" spans="73:86" x14ac:dyDescent="0.2">
      <c r="BU232" s="495"/>
      <c r="BV232" s="495"/>
      <c r="BY232" s="495"/>
      <c r="BZ232" s="495"/>
      <c r="CC232" s="495"/>
      <c r="CD232" s="495"/>
      <c r="CG232" s="495"/>
      <c r="CH232" s="495"/>
    </row>
    <row r="233" spans="73:86" x14ac:dyDescent="0.2">
      <c r="BU233" s="495"/>
      <c r="BV233" s="495"/>
      <c r="BY233" s="495"/>
      <c r="BZ233" s="495"/>
      <c r="CC233" s="495"/>
      <c r="CD233" s="495"/>
      <c r="CG233" s="495"/>
      <c r="CH233" s="495"/>
    </row>
    <row r="234" spans="73:86" x14ac:dyDescent="0.2">
      <c r="BU234" s="495"/>
      <c r="BV234" s="495"/>
      <c r="BY234" s="495"/>
      <c r="BZ234" s="495"/>
      <c r="CC234" s="495"/>
      <c r="CD234" s="495"/>
      <c r="CG234" s="495"/>
      <c r="CH234" s="495"/>
    </row>
    <row r="235" spans="73:86" x14ac:dyDescent="0.2">
      <c r="BU235" s="495"/>
      <c r="BV235" s="495"/>
      <c r="BY235" s="495"/>
      <c r="BZ235" s="495"/>
      <c r="CC235" s="495"/>
      <c r="CD235" s="495"/>
      <c r="CG235" s="495"/>
      <c r="CH235" s="495"/>
    </row>
    <row r="236" spans="73:86" x14ac:dyDescent="0.2">
      <c r="BU236" s="495"/>
      <c r="BV236" s="495"/>
      <c r="BY236" s="495"/>
      <c r="BZ236" s="495"/>
      <c r="CC236" s="495"/>
      <c r="CD236" s="495"/>
      <c r="CG236" s="495"/>
      <c r="CH236" s="495"/>
    </row>
    <row r="237" spans="73:86" x14ac:dyDescent="0.2">
      <c r="BU237" s="495"/>
      <c r="BV237" s="495"/>
      <c r="BY237" s="495"/>
      <c r="BZ237" s="495"/>
      <c r="CC237" s="495"/>
      <c r="CD237" s="495"/>
      <c r="CG237" s="495"/>
      <c r="CH237" s="495"/>
    </row>
    <row r="238" spans="73:86" x14ac:dyDescent="0.2">
      <c r="BU238" s="495"/>
      <c r="BV238" s="495"/>
      <c r="BY238" s="495"/>
      <c r="BZ238" s="495"/>
      <c r="CC238" s="495"/>
      <c r="CD238" s="495"/>
      <c r="CG238" s="495"/>
      <c r="CH238" s="495"/>
    </row>
    <row r="239" spans="73:86" x14ac:dyDescent="0.2">
      <c r="BU239" s="495"/>
      <c r="BV239" s="495"/>
      <c r="BY239" s="495"/>
      <c r="BZ239" s="495"/>
      <c r="CC239" s="495"/>
      <c r="CD239" s="495"/>
      <c r="CG239" s="495"/>
      <c r="CH239" s="495"/>
    </row>
    <row r="240" spans="73:86" x14ac:dyDescent="0.2">
      <c r="BU240" s="495"/>
      <c r="BV240" s="495"/>
      <c r="BY240" s="495"/>
      <c r="BZ240" s="495"/>
      <c r="CC240" s="495"/>
      <c r="CD240" s="495"/>
      <c r="CG240" s="495"/>
      <c r="CH240" s="495"/>
    </row>
    <row r="241" spans="73:86" x14ac:dyDescent="0.2">
      <c r="BU241" s="495"/>
      <c r="BV241" s="495"/>
      <c r="BY241" s="495"/>
      <c r="BZ241" s="495"/>
      <c r="CC241" s="495"/>
      <c r="CD241" s="495"/>
      <c r="CG241" s="495"/>
      <c r="CH241" s="495"/>
    </row>
    <row r="242" spans="73:86" x14ac:dyDescent="0.2">
      <c r="BU242" s="495"/>
      <c r="BV242" s="495"/>
      <c r="BY242" s="495"/>
      <c r="BZ242" s="495"/>
      <c r="CC242" s="495"/>
      <c r="CD242" s="495"/>
      <c r="CG242" s="495"/>
      <c r="CH242" s="495"/>
    </row>
    <row r="243" spans="73:86" x14ac:dyDescent="0.2">
      <c r="BU243" s="495"/>
      <c r="BV243" s="495"/>
      <c r="BY243" s="495"/>
      <c r="BZ243" s="495"/>
      <c r="CC243" s="495"/>
      <c r="CD243" s="495"/>
      <c r="CG243" s="495"/>
      <c r="CH243" s="495"/>
    </row>
    <row r="244" spans="73:86" x14ac:dyDescent="0.2">
      <c r="BU244" s="495"/>
      <c r="BV244" s="495"/>
      <c r="BY244" s="495"/>
      <c r="BZ244" s="495"/>
      <c r="CC244" s="495"/>
      <c r="CD244" s="495"/>
      <c r="CG244" s="495"/>
      <c r="CH244" s="495"/>
    </row>
    <row r="245" spans="73:86" x14ac:dyDescent="0.2">
      <c r="BU245" s="495"/>
      <c r="BV245" s="495"/>
      <c r="BY245" s="495"/>
      <c r="BZ245" s="495"/>
      <c r="CC245" s="495"/>
      <c r="CD245" s="495"/>
      <c r="CG245" s="495"/>
      <c r="CH245" s="495"/>
    </row>
    <row r="246" spans="73:86" x14ac:dyDescent="0.2">
      <c r="BU246" s="495"/>
      <c r="BV246" s="495"/>
      <c r="BY246" s="495"/>
      <c r="BZ246" s="495"/>
      <c r="CC246" s="495"/>
      <c r="CD246" s="495"/>
      <c r="CG246" s="495"/>
      <c r="CH246" s="495"/>
    </row>
    <row r="247" spans="73:86" x14ac:dyDescent="0.2">
      <c r="BU247" s="495"/>
      <c r="BV247" s="495"/>
      <c r="BY247" s="495"/>
      <c r="BZ247" s="495"/>
      <c r="CC247" s="495"/>
      <c r="CD247" s="495"/>
      <c r="CG247" s="495"/>
      <c r="CH247" s="495"/>
    </row>
    <row r="248" spans="73:86" x14ac:dyDescent="0.2">
      <c r="BU248" s="495"/>
      <c r="BV248" s="495"/>
      <c r="BY248" s="495"/>
      <c r="BZ248" s="495"/>
      <c r="CC248" s="495"/>
      <c r="CD248" s="495"/>
      <c r="CG248" s="495"/>
      <c r="CH248" s="495"/>
    </row>
    <row r="249" spans="73:86" x14ac:dyDescent="0.2">
      <c r="BU249" s="495"/>
      <c r="BV249" s="495"/>
      <c r="BY249" s="495"/>
      <c r="BZ249" s="495"/>
      <c r="CC249" s="495"/>
      <c r="CD249" s="495"/>
      <c r="CG249" s="495"/>
      <c r="CH249" s="495"/>
    </row>
    <row r="250" spans="73:86" x14ac:dyDescent="0.2">
      <c r="BU250" s="495"/>
      <c r="BV250" s="495"/>
      <c r="BY250" s="495"/>
      <c r="BZ250" s="495"/>
      <c r="CC250" s="495"/>
      <c r="CD250" s="495"/>
      <c r="CG250" s="495"/>
      <c r="CH250" s="495"/>
    </row>
    <row r="251" spans="73:86" x14ac:dyDescent="0.2">
      <c r="BU251" s="495"/>
      <c r="BV251" s="495"/>
      <c r="BY251" s="495"/>
      <c r="BZ251" s="495"/>
      <c r="CC251" s="495"/>
      <c r="CD251" s="495"/>
      <c r="CG251" s="495"/>
      <c r="CH251" s="495"/>
    </row>
    <row r="252" spans="73:86" x14ac:dyDescent="0.2">
      <c r="BU252" s="495"/>
      <c r="BV252" s="495"/>
      <c r="BY252" s="495"/>
      <c r="BZ252" s="495"/>
      <c r="CC252" s="495"/>
      <c r="CD252" s="495"/>
      <c r="CG252" s="495"/>
      <c r="CH252" s="495"/>
    </row>
    <row r="253" spans="73:86" x14ac:dyDescent="0.2">
      <c r="BU253" s="495"/>
      <c r="BV253" s="495"/>
      <c r="BY253" s="495"/>
      <c r="BZ253" s="495"/>
      <c r="CC253" s="495"/>
      <c r="CD253" s="495"/>
      <c r="CG253" s="495"/>
      <c r="CH253" s="495"/>
    </row>
    <row r="254" spans="73:86" x14ac:dyDescent="0.2">
      <c r="BU254" s="495"/>
      <c r="BV254" s="495"/>
      <c r="BY254" s="495"/>
      <c r="BZ254" s="495"/>
      <c r="CC254" s="495"/>
      <c r="CD254" s="495"/>
      <c r="CG254" s="495"/>
      <c r="CH254" s="495"/>
    </row>
    <row r="255" spans="73:86" x14ac:dyDescent="0.2">
      <c r="BU255" s="495"/>
      <c r="BV255" s="495"/>
      <c r="BY255" s="495"/>
      <c r="BZ255" s="495"/>
      <c r="CC255" s="495"/>
      <c r="CD255" s="495"/>
      <c r="CG255" s="495"/>
      <c r="CH255" s="495"/>
    </row>
    <row r="256" spans="73:86" x14ac:dyDescent="0.2">
      <c r="BU256" s="495"/>
      <c r="BV256" s="495"/>
      <c r="BY256" s="495"/>
      <c r="BZ256" s="495"/>
      <c r="CC256" s="495"/>
      <c r="CD256" s="495"/>
      <c r="CG256" s="495"/>
      <c r="CH256" s="495"/>
    </row>
    <row r="257" spans="73:86" x14ac:dyDescent="0.2">
      <c r="BU257" s="495"/>
      <c r="BV257" s="495"/>
      <c r="BY257" s="495"/>
      <c r="BZ257" s="495"/>
      <c r="CC257" s="495"/>
      <c r="CD257" s="495"/>
      <c r="CG257" s="495"/>
      <c r="CH257" s="495"/>
    </row>
    <row r="258" spans="73:86" x14ac:dyDescent="0.2">
      <c r="BU258" s="495"/>
      <c r="BV258" s="495"/>
      <c r="BY258" s="495"/>
      <c r="BZ258" s="495"/>
      <c r="CC258" s="495"/>
      <c r="CD258" s="495"/>
      <c r="CG258" s="495"/>
      <c r="CH258" s="495"/>
    </row>
    <row r="259" spans="73:86" x14ac:dyDescent="0.2">
      <c r="BU259" s="495"/>
      <c r="BV259" s="495"/>
      <c r="BY259" s="495"/>
      <c r="BZ259" s="495"/>
      <c r="CC259" s="495"/>
      <c r="CD259" s="495"/>
      <c r="CG259" s="495"/>
      <c r="CH259" s="495"/>
    </row>
    <row r="260" spans="73:86" x14ac:dyDescent="0.2">
      <c r="BU260" s="495"/>
      <c r="BV260" s="495"/>
      <c r="BY260" s="495"/>
      <c r="BZ260" s="495"/>
      <c r="CC260" s="495"/>
      <c r="CD260" s="495"/>
      <c r="CG260" s="495"/>
      <c r="CH260" s="495"/>
    </row>
    <row r="261" spans="73:86" x14ac:dyDescent="0.2">
      <c r="BU261" s="495"/>
      <c r="BV261" s="495"/>
      <c r="BY261" s="495"/>
      <c r="BZ261" s="495"/>
      <c r="CC261" s="495"/>
      <c r="CD261" s="495"/>
      <c r="CG261" s="495"/>
      <c r="CH261" s="495"/>
    </row>
    <row r="262" spans="73:86" x14ac:dyDescent="0.2">
      <c r="BU262" s="495"/>
      <c r="BV262" s="495"/>
      <c r="BY262" s="495"/>
      <c r="BZ262" s="495"/>
      <c r="CC262" s="495"/>
      <c r="CD262" s="495"/>
    </row>
    <row r="263" spans="73:86" x14ac:dyDescent="0.2">
      <c r="BU263" s="495"/>
      <c r="BV263" s="495"/>
      <c r="BY263" s="495"/>
      <c r="BZ263" s="495"/>
      <c r="CC263" s="495"/>
      <c r="CD263" s="495"/>
    </row>
    <row r="264" spans="73:86" x14ac:dyDescent="0.2">
      <c r="BU264" s="495"/>
      <c r="BV264" s="495"/>
      <c r="BY264" s="495"/>
      <c r="BZ264" s="495"/>
      <c r="CC264" s="495"/>
      <c r="CD264" s="495"/>
    </row>
    <row r="265" spans="73:86" x14ac:dyDescent="0.2">
      <c r="BU265" s="495"/>
      <c r="BV265" s="495"/>
      <c r="BY265" s="495"/>
      <c r="BZ265" s="495"/>
      <c r="CC265" s="495"/>
      <c r="CD265" s="495"/>
    </row>
    <row r="266" spans="73:86" x14ac:dyDescent="0.2">
      <c r="BU266" s="495"/>
      <c r="BV266" s="495"/>
      <c r="BY266" s="495"/>
      <c r="BZ266" s="495"/>
      <c r="CC266" s="495"/>
      <c r="CD266" s="495"/>
    </row>
    <row r="267" spans="73:86" x14ac:dyDescent="0.2">
      <c r="BU267" s="495"/>
      <c r="BV267" s="495"/>
      <c r="BY267" s="495"/>
      <c r="BZ267" s="495"/>
      <c r="CC267" s="495"/>
      <c r="CD267" s="495"/>
    </row>
    <row r="268" spans="73:86" x14ac:dyDescent="0.2">
      <c r="BU268" s="495"/>
      <c r="BV268" s="495"/>
      <c r="BY268" s="495"/>
      <c r="BZ268" s="495"/>
      <c r="CC268" s="495"/>
      <c r="CD268" s="495"/>
    </row>
    <row r="269" spans="73:86" x14ac:dyDescent="0.2">
      <c r="BU269" s="495"/>
      <c r="BV269" s="495"/>
      <c r="BY269" s="495"/>
      <c r="BZ269" s="495"/>
      <c r="CC269" s="495"/>
      <c r="CD269" s="495"/>
    </row>
    <row r="270" spans="73:86" x14ac:dyDescent="0.2">
      <c r="BU270" s="495"/>
      <c r="BV270" s="495"/>
      <c r="BY270" s="495"/>
      <c r="BZ270" s="495"/>
      <c r="CC270" s="495"/>
      <c r="CD270" s="495"/>
    </row>
    <row r="271" spans="73:86" x14ac:dyDescent="0.2">
      <c r="BU271" s="495"/>
      <c r="BV271" s="495"/>
      <c r="BY271" s="495"/>
      <c r="BZ271" s="495"/>
      <c r="CC271" s="495"/>
      <c r="CD271" s="495"/>
    </row>
    <row r="272" spans="73:86" x14ac:dyDescent="0.2">
      <c r="BU272" s="495"/>
      <c r="BV272" s="495"/>
      <c r="BY272" s="495"/>
      <c r="BZ272" s="495"/>
      <c r="CC272" s="495"/>
      <c r="CD272" s="495"/>
    </row>
    <row r="273" spans="73:82" x14ac:dyDescent="0.2">
      <c r="BU273" s="495"/>
      <c r="BV273" s="495"/>
      <c r="BY273" s="495"/>
      <c r="BZ273" s="495"/>
      <c r="CC273" s="495"/>
      <c r="CD273" s="495"/>
    </row>
    <row r="274" spans="73:82" x14ac:dyDescent="0.2">
      <c r="BU274" s="495"/>
      <c r="BV274" s="495"/>
      <c r="BY274" s="495"/>
      <c r="BZ274" s="495"/>
    </row>
    <row r="275" spans="73:82" x14ac:dyDescent="0.2">
      <c r="BU275" s="495"/>
      <c r="BV275" s="495"/>
      <c r="BY275" s="495"/>
      <c r="BZ275" s="495"/>
    </row>
    <row r="276" spans="73:82" x14ac:dyDescent="0.2">
      <c r="BU276" s="495"/>
      <c r="BV276" s="495"/>
      <c r="BY276" s="495"/>
      <c r="BZ276" s="495"/>
    </row>
    <row r="277" spans="73:82" x14ac:dyDescent="0.2">
      <c r="BU277" s="495"/>
      <c r="BV277" s="495"/>
      <c r="BY277" s="495"/>
      <c r="BZ277" s="495"/>
    </row>
    <row r="278" spans="73:82" x14ac:dyDescent="0.2">
      <c r="BU278" s="495"/>
      <c r="BV278" s="495"/>
      <c r="BY278" s="495"/>
      <c r="BZ278" s="495"/>
    </row>
    <row r="279" spans="73:82" x14ac:dyDescent="0.2">
      <c r="BU279" s="495"/>
      <c r="BV279" s="495"/>
      <c r="BY279" s="495"/>
      <c r="BZ279" s="495"/>
    </row>
    <row r="280" spans="73:82" x14ac:dyDescent="0.2">
      <c r="BU280" s="495"/>
      <c r="BV280" s="495"/>
      <c r="BY280" s="495"/>
      <c r="BZ280" s="495"/>
    </row>
    <row r="281" spans="73:82" x14ac:dyDescent="0.2">
      <c r="BU281" s="495"/>
      <c r="BV281" s="495"/>
      <c r="BY281" s="495"/>
      <c r="BZ281" s="495"/>
    </row>
    <row r="282" spans="73:82" x14ac:dyDescent="0.2">
      <c r="BU282" s="495"/>
      <c r="BV282" s="495"/>
      <c r="BY282" s="495"/>
      <c r="BZ282" s="495"/>
    </row>
    <row r="283" spans="73:82" x14ac:dyDescent="0.2">
      <c r="BU283" s="495"/>
      <c r="BV283" s="495"/>
      <c r="BY283" s="495"/>
      <c r="BZ283" s="495"/>
    </row>
    <row r="284" spans="73:82" x14ac:dyDescent="0.2">
      <c r="BU284" s="495"/>
      <c r="BV284" s="495"/>
      <c r="BY284" s="495"/>
      <c r="BZ284" s="495"/>
    </row>
    <row r="285" spans="73:82" x14ac:dyDescent="0.2">
      <c r="BU285" s="495"/>
      <c r="BV285" s="495"/>
      <c r="BY285" s="495"/>
      <c r="BZ285" s="495"/>
    </row>
    <row r="286" spans="73:82" x14ac:dyDescent="0.2">
      <c r="BU286" s="495"/>
      <c r="BV286" s="495"/>
      <c r="BY286" s="495"/>
      <c r="BZ286" s="495"/>
    </row>
    <row r="287" spans="73:82" x14ac:dyDescent="0.2">
      <c r="BU287" s="495"/>
      <c r="BV287" s="495"/>
      <c r="BY287" s="495"/>
      <c r="BZ287" s="495"/>
    </row>
    <row r="288" spans="73:82" x14ac:dyDescent="0.2">
      <c r="BU288" s="495"/>
      <c r="BV288" s="495"/>
      <c r="BY288" s="495"/>
      <c r="BZ288" s="495"/>
    </row>
    <row r="289" spans="73:78" x14ac:dyDescent="0.2">
      <c r="BU289" s="495"/>
      <c r="BV289" s="495"/>
      <c r="BY289" s="495"/>
      <c r="BZ289" s="495"/>
    </row>
    <row r="290" spans="73:78" x14ac:dyDescent="0.2">
      <c r="BU290" s="495"/>
      <c r="BV290" s="495"/>
      <c r="BY290" s="495"/>
      <c r="BZ290" s="495"/>
    </row>
    <row r="291" spans="73:78" x14ac:dyDescent="0.2">
      <c r="BU291" s="495"/>
      <c r="BV291" s="495"/>
      <c r="BY291" s="495"/>
      <c r="BZ291" s="495"/>
    </row>
    <row r="292" spans="73:78" x14ac:dyDescent="0.2">
      <c r="BU292" s="495"/>
      <c r="BV292" s="495"/>
      <c r="BY292" s="495"/>
      <c r="BZ292" s="495"/>
    </row>
    <row r="293" spans="73:78" x14ac:dyDescent="0.2">
      <c r="BU293" s="495"/>
      <c r="BV293" s="495"/>
      <c r="BY293" s="495"/>
      <c r="BZ293" s="495"/>
    </row>
    <row r="294" spans="73:78" x14ac:dyDescent="0.2">
      <c r="BU294" s="495"/>
      <c r="BV294" s="495"/>
      <c r="BY294" s="495"/>
      <c r="BZ294" s="495"/>
    </row>
    <row r="295" spans="73:78" x14ac:dyDescent="0.2">
      <c r="BU295" s="495"/>
      <c r="BV295" s="495"/>
      <c r="BY295" s="495"/>
      <c r="BZ295" s="495"/>
    </row>
    <row r="296" spans="73:78" x14ac:dyDescent="0.2">
      <c r="BU296" s="495"/>
      <c r="BV296" s="495"/>
      <c r="BY296" s="495"/>
      <c r="BZ296" s="495"/>
    </row>
    <row r="297" spans="73:78" x14ac:dyDescent="0.2">
      <c r="BU297" s="495"/>
      <c r="BV297" s="495"/>
      <c r="BY297" s="495"/>
      <c r="BZ297" s="495"/>
    </row>
    <row r="298" spans="73:78" x14ac:dyDescent="0.2">
      <c r="BU298" s="495"/>
      <c r="BV298" s="495"/>
      <c r="BY298" s="495"/>
      <c r="BZ298" s="495"/>
    </row>
    <row r="299" spans="73:78" x14ac:dyDescent="0.2">
      <c r="BU299" s="495"/>
      <c r="BV299" s="495"/>
      <c r="BY299" s="495"/>
      <c r="BZ299" s="495"/>
    </row>
    <row r="300" spans="73:78" x14ac:dyDescent="0.2">
      <c r="BU300" s="495"/>
      <c r="BV300" s="495"/>
      <c r="BY300" s="495"/>
      <c r="BZ300" s="495"/>
    </row>
    <row r="301" spans="73:78" x14ac:dyDescent="0.2">
      <c r="BU301" s="495"/>
      <c r="BV301" s="495"/>
      <c r="BY301" s="495"/>
      <c r="BZ301" s="495"/>
    </row>
    <row r="302" spans="73:78" x14ac:dyDescent="0.2">
      <c r="BU302" s="495"/>
      <c r="BV302" s="495"/>
      <c r="BY302" s="495"/>
      <c r="BZ302" s="495"/>
    </row>
    <row r="303" spans="73:78" x14ac:dyDescent="0.2">
      <c r="BU303" s="495"/>
      <c r="BV303" s="495"/>
      <c r="BY303" s="495"/>
      <c r="BZ303" s="495"/>
    </row>
    <row r="304" spans="73:78" x14ac:dyDescent="0.2">
      <c r="BU304" s="495"/>
      <c r="BV304" s="495"/>
      <c r="BY304" s="495"/>
      <c r="BZ304" s="495"/>
    </row>
    <row r="305" spans="73:78" x14ac:dyDescent="0.2">
      <c r="BU305" s="495"/>
      <c r="BV305" s="495"/>
      <c r="BY305" s="495"/>
      <c r="BZ305" s="495"/>
    </row>
    <row r="306" spans="73:78" x14ac:dyDescent="0.2">
      <c r="BU306" s="495"/>
      <c r="BV306" s="495"/>
      <c r="BY306" s="495"/>
      <c r="BZ306" s="495"/>
    </row>
    <row r="307" spans="73:78" x14ac:dyDescent="0.2">
      <c r="BU307" s="495"/>
      <c r="BV307" s="495"/>
      <c r="BY307" s="495"/>
      <c r="BZ307" s="495"/>
    </row>
    <row r="308" spans="73:78" x14ac:dyDescent="0.2">
      <c r="BU308" s="495"/>
      <c r="BV308" s="495"/>
      <c r="BY308" s="495"/>
      <c r="BZ308" s="495"/>
    </row>
    <row r="309" spans="73:78" x14ac:dyDescent="0.2">
      <c r="BU309" s="495"/>
      <c r="BV309" s="495"/>
      <c r="BY309" s="495"/>
      <c r="BZ309" s="495"/>
    </row>
    <row r="310" spans="73:78" x14ac:dyDescent="0.2">
      <c r="BU310" s="495"/>
      <c r="BV310" s="495"/>
      <c r="BY310" s="495"/>
      <c r="BZ310" s="495"/>
    </row>
    <row r="311" spans="73:78" x14ac:dyDescent="0.2">
      <c r="BU311" s="495"/>
      <c r="BV311" s="495"/>
      <c r="BY311" s="495"/>
      <c r="BZ311" s="495"/>
    </row>
    <row r="312" spans="73:78" x14ac:dyDescent="0.2">
      <c r="BU312" s="495"/>
      <c r="BV312" s="495"/>
      <c r="BY312" s="495"/>
      <c r="BZ312" s="495"/>
    </row>
    <row r="313" spans="73:78" x14ac:dyDescent="0.2">
      <c r="BU313" s="495"/>
      <c r="BV313" s="495"/>
      <c r="BY313" s="495"/>
      <c r="BZ313" s="495"/>
    </row>
    <row r="314" spans="73:78" x14ac:dyDescent="0.2">
      <c r="BU314" s="495"/>
      <c r="BV314" s="495"/>
      <c r="BY314" s="495"/>
      <c r="BZ314" s="495"/>
    </row>
    <row r="315" spans="73:78" x14ac:dyDescent="0.2">
      <c r="BU315" s="495"/>
      <c r="BV315" s="495"/>
      <c r="BY315" s="495"/>
      <c r="BZ315" s="495"/>
    </row>
    <row r="316" spans="73:78" x14ac:dyDescent="0.2">
      <c r="BU316" s="495"/>
      <c r="BV316" s="495"/>
      <c r="BY316" s="495"/>
      <c r="BZ316" s="495"/>
    </row>
    <row r="317" spans="73:78" x14ac:dyDescent="0.2">
      <c r="BU317" s="495"/>
      <c r="BV317" s="495"/>
      <c r="BY317" s="495"/>
      <c r="BZ317" s="495"/>
    </row>
    <row r="318" spans="73:78" x14ac:dyDescent="0.2">
      <c r="BU318" s="495"/>
      <c r="BV318" s="495"/>
      <c r="BY318" s="495"/>
      <c r="BZ318" s="495"/>
    </row>
    <row r="319" spans="73:78" x14ac:dyDescent="0.2">
      <c r="BU319" s="495"/>
      <c r="BV319" s="495"/>
      <c r="BY319" s="495"/>
      <c r="BZ319" s="495"/>
    </row>
    <row r="320" spans="73:78" x14ac:dyDescent="0.2">
      <c r="BU320" s="495"/>
      <c r="BV320" s="495"/>
      <c r="BY320" s="495"/>
      <c r="BZ320" s="495"/>
    </row>
    <row r="321" spans="73:78" x14ac:dyDescent="0.2">
      <c r="BU321" s="495"/>
      <c r="BV321" s="495"/>
      <c r="BY321" s="495"/>
      <c r="BZ321" s="495"/>
    </row>
    <row r="322" spans="73:78" x14ac:dyDescent="0.2">
      <c r="BU322" s="495"/>
      <c r="BV322" s="495"/>
      <c r="BY322" s="495"/>
      <c r="BZ322" s="495"/>
    </row>
    <row r="323" spans="73:78" x14ac:dyDescent="0.2">
      <c r="BU323" s="495"/>
      <c r="BV323" s="495"/>
      <c r="BY323" s="495"/>
      <c r="BZ323" s="495"/>
    </row>
    <row r="324" spans="73:78" x14ac:dyDescent="0.2">
      <c r="BU324" s="495"/>
      <c r="BV324" s="495"/>
      <c r="BY324" s="495"/>
      <c r="BZ324" s="495"/>
    </row>
    <row r="325" spans="73:78" x14ac:dyDescent="0.2">
      <c r="BU325" s="495"/>
      <c r="BV325" s="495"/>
      <c r="BY325" s="495"/>
      <c r="BZ325" s="495"/>
    </row>
    <row r="326" spans="73:78" x14ac:dyDescent="0.2">
      <c r="BU326" s="495"/>
      <c r="BV326" s="495"/>
      <c r="BY326" s="495"/>
      <c r="BZ326" s="495"/>
    </row>
    <row r="327" spans="73:78" x14ac:dyDescent="0.2">
      <c r="BU327" s="495"/>
      <c r="BV327" s="495"/>
      <c r="BY327" s="495"/>
      <c r="BZ327" s="495"/>
    </row>
    <row r="328" spans="73:78" x14ac:dyDescent="0.2">
      <c r="BU328" s="495"/>
      <c r="BV328" s="495"/>
      <c r="BY328" s="495"/>
      <c r="BZ328" s="495"/>
    </row>
    <row r="329" spans="73:78" x14ac:dyDescent="0.2">
      <c r="BU329" s="495"/>
      <c r="BV329" s="495"/>
      <c r="BY329" s="495"/>
      <c r="BZ329" s="495"/>
    </row>
    <row r="330" spans="73:78" x14ac:dyDescent="0.2">
      <c r="BU330" s="495"/>
      <c r="BV330" s="495"/>
      <c r="BY330" s="495"/>
      <c r="BZ330" s="495"/>
    </row>
    <row r="331" spans="73:78" x14ac:dyDescent="0.2">
      <c r="BU331" s="495"/>
      <c r="BV331" s="495"/>
      <c r="BY331" s="495"/>
      <c r="BZ331" s="495"/>
    </row>
    <row r="332" spans="73:78" x14ac:dyDescent="0.2">
      <c r="BU332" s="495"/>
      <c r="BV332" s="495"/>
      <c r="BY332" s="495"/>
      <c r="BZ332" s="495"/>
    </row>
    <row r="333" spans="73:78" x14ac:dyDescent="0.2">
      <c r="BU333" s="495"/>
      <c r="BV333" s="495"/>
      <c r="BY333" s="495"/>
      <c r="BZ333" s="495"/>
    </row>
    <row r="334" spans="73:78" x14ac:dyDescent="0.2">
      <c r="BU334" s="495"/>
      <c r="BV334" s="495"/>
      <c r="BY334" s="495"/>
      <c r="BZ334" s="495"/>
    </row>
    <row r="335" spans="73:78" x14ac:dyDescent="0.2">
      <c r="BU335" s="495"/>
      <c r="BV335" s="495"/>
      <c r="BY335" s="495"/>
      <c r="BZ335" s="495"/>
    </row>
    <row r="336" spans="73:78" x14ac:dyDescent="0.2">
      <c r="BU336" s="495"/>
      <c r="BV336" s="495"/>
      <c r="BY336" s="495"/>
      <c r="BZ336" s="495"/>
    </row>
    <row r="337" spans="73:78" x14ac:dyDescent="0.2">
      <c r="BU337" s="495"/>
      <c r="BV337" s="495"/>
      <c r="BY337" s="495"/>
      <c r="BZ337" s="495"/>
    </row>
    <row r="338" spans="73:78" x14ac:dyDescent="0.2">
      <c r="BU338" s="495"/>
      <c r="BV338" s="495"/>
      <c r="BY338" s="495"/>
      <c r="BZ338" s="495"/>
    </row>
    <row r="339" spans="73:78" x14ac:dyDescent="0.2">
      <c r="BU339" s="495"/>
      <c r="BV339" s="495"/>
      <c r="BY339" s="495"/>
      <c r="BZ339" s="495"/>
    </row>
    <row r="340" spans="73:78" x14ac:dyDescent="0.2">
      <c r="BU340" s="495"/>
      <c r="BV340" s="495"/>
      <c r="BY340" s="495"/>
      <c r="BZ340" s="495"/>
    </row>
    <row r="341" spans="73:78" x14ac:dyDescent="0.2">
      <c r="BU341" s="495"/>
      <c r="BV341" s="495"/>
      <c r="BY341" s="495"/>
      <c r="BZ341" s="495"/>
    </row>
    <row r="342" spans="73:78" x14ac:dyDescent="0.2">
      <c r="BU342" s="495"/>
      <c r="BV342" s="495"/>
      <c r="BY342" s="495"/>
      <c r="BZ342" s="495"/>
    </row>
    <row r="343" spans="73:78" x14ac:dyDescent="0.2">
      <c r="BU343" s="495"/>
      <c r="BV343" s="495"/>
      <c r="BY343" s="495"/>
      <c r="BZ343" s="495"/>
    </row>
    <row r="344" spans="73:78" x14ac:dyDescent="0.2">
      <c r="BU344" s="495"/>
      <c r="BV344" s="495"/>
      <c r="BY344" s="495"/>
      <c r="BZ344" s="495"/>
    </row>
    <row r="345" spans="73:78" x14ac:dyDescent="0.2">
      <c r="BU345" s="495"/>
      <c r="BV345" s="495"/>
      <c r="BY345" s="495"/>
      <c r="BZ345" s="495"/>
    </row>
    <row r="346" spans="73:78" x14ac:dyDescent="0.2">
      <c r="BU346" s="495"/>
      <c r="BV346" s="495"/>
      <c r="BY346" s="495"/>
      <c r="BZ346" s="495"/>
    </row>
    <row r="347" spans="73:78" x14ac:dyDescent="0.2">
      <c r="BU347" s="495"/>
      <c r="BV347" s="495"/>
      <c r="BY347" s="495"/>
      <c r="BZ347" s="495"/>
    </row>
    <row r="348" spans="73:78" x14ac:dyDescent="0.2">
      <c r="BU348" s="495"/>
      <c r="BV348" s="495"/>
      <c r="BY348" s="495"/>
      <c r="BZ348" s="495"/>
    </row>
    <row r="349" spans="73:78" x14ac:dyDescent="0.2">
      <c r="BU349" s="495"/>
      <c r="BV349" s="495"/>
      <c r="BY349" s="495"/>
      <c r="BZ349" s="495"/>
    </row>
    <row r="350" spans="73:78" x14ac:dyDescent="0.2">
      <c r="BU350" s="495"/>
      <c r="BV350" s="495"/>
      <c r="BY350" s="495"/>
      <c r="BZ350" s="495"/>
    </row>
    <row r="351" spans="73:78" x14ac:dyDescent="0.2">
      <c r="BU351" s="495"/>
      <c r="BV351" s="495"/>
      <c r="BY351" s="495"/>
      <c r="BZ351" s="495"/>
    </row>
    <row r="352" spans="73:78" x14ac:dyDescent="0.2">
      <c r="BU352" s="495"/>
      <c r="BV352" s="495"/>
      <c r="BY352" s="495"/>
      <c r="BZ352" s="495"/>
    </row>
    <row r="353" spans="73:78" x14ac:dyDescent="0.2">
      <c r="BU353" s="495"/>
      <c r="BV353" s="495"/>
      <c r="BY353" s="495"/>
      <c r="BZ353" s="495"/>
    </row>
    <row r="354" spans="73:78" x14ac:dyDescent="0.2">
      <c r="BU354" s="495"/>
      <c r="BV354" s="495"/>
      <c r="BY354" s="495"/>
      <c r="BZ354" s="495"/>
    </row>
    <row r="355" spans="73:78" x14ac:dyDescent="0.2">
      <c r="BU355" s="495"/>
      <c r="BV355" s="495"/>
      <c r="BY355" s="495"/>
      <c r="BZ355" s="495"/>
    </row>
    <row r="356" spans="73:78" x14ac:dyDescent="0.2">
      <c r="BU356" s="495"/>
      <c r="BV356" s="495"/>
      <c r="BY356" s="495"/>
      <c r="BZ356" s="495"/>
    </row>
    <row r="357" spans="73:78" x14ac:dyDescent="0.2">
      <c r="BU357" s="495"/>
      <c r="BV357" s="495"/>
      <c r="BY357" s="495"/>
      <c r="BZ357" s="495"/>
    </row>
    <row r="358" spans="73:78" x14ac:dyDescent="0.2">
      <c r="BU358" s="495"/>
      <c r="BV358" s="495"/>
      <c r="BY358" s="495"/>
      <c r="BZ358" s="495"/>
    </row>
    <row r="359" spans="73:78" x14ac:dyDescent="0.2">
      <c r="BU359" s="495"/>
      <c r="BV359" s="495"/>
      <c r="BY359" s="495"/>
      <c r="BZ359" s="495"/>
    </row>
    <row r="360" spans="73:78" x14ac:dyDescent="0.2">
      <c r="BU360" s="495"/>
      <c r="BV360" s="495"/>
      <c r="BY360" s="495"/>
      <c r="BZ360" s="495"/>
    </row>
    <row r="361" spans="73:78" x14ac:dyDescent="0.2">
      <c r="BU361" s="495"/>
      <c r="BV361" s="495"/>
      <c r="BY361" s="495"/>
      <c r="BZ361" s="495"/>
    </row>
    <row r="362" spans="73:78" x14ac:dyDescent="0.2">
      <c r="BU362" s="495"/>
      <c r="BV362" s="495"/>
      <c r="BY362" s="495"/>
      <c r="BZ362" s="495"/>
    </row>
    <row r="363" spans="73:78" x14ac:dyDescent="0.2">
      <c r="BU363" s="495"/>
      <c r="BV363" s="495"/>
      <c r="BY363" s="495"/>
      <c r="BZ363" s="495"/>
    </row>
    <row r="364" spans="73:78" x14ac:dyDescent="0.2">
      <c r="BU364" s="495"/>
      <c r="BV364" s="495"/>
      <c r="BY364" s="495"/>
      <c r="BZ364" s="495"/>
    </row>
    <row r="365" spans="73:78" x14ac:dyDescent="0.2">
      <c r="BU365" s="495"/>
      <c r="BV365" s="495"/>
      <c r="BY365" s="495"/>
      <c r="BZ365" s="495"/>
    </row>
    <row r="366" spans="73:78" x14ac:dyDescent="0.2">
      <c r="BU366" s="495"/>
      <c r="BV366" s="495"/>
      <c r="BY366" s="495"/>
      <c r="BZ366" s="495"/>
    </row>
    <row r="367" spans="73:78" x14ac:dyDescent="0.2">
      <c r="BU367" s="495"/>
      <c r="BV367" s="495"/>
      <c r="BY367" s="495"/>
      <c r="BZ367" s="495"/>
    </row>
    <row r="368" spans="73:78" x14ac:dyDescent="0.2">
      <c r="BU368" s="495"/>
      <c r="BV368" s="495"/>
      <c r="BY368" s="495"/>
      <c r="BZ368" s="495"/>
    </row>
    <row r="369" spans="73:78" x14ac:dyDescent="0.2">
      <c r="BU369" s="495"/>
      <c r="BV369" s="495"/>
      <c r="BY369" s="495"/>
      <c r="BZ369" s="495"/>
    </row>
    <row r="370" spans="73:78" x14ac:dyDescent="0.2">
      <c r="BU370" s="495"/>
      <c r="BV370" s="495"/>
      <c r="BY370" s="495"/>
      <c r="BZ370" s="495"/>
    </row>
    <row r="371" spans="73:78" x14ac:dyDescent="0.2">
      <c r="BU371" s="495"/>
      <c r="BV371" s="495"/>
      <c r="BY371" s="495"/>
      <c r="BZ371" s="495"/>
    </row>
    <row r="372" spans="73:78" x14ac:dyDescent="0.2">
      <c r="BU372" s="495"/>
      <c r="BV372" s="495"/>
      <c r="BY372" s="495"/>
      <c r="BZ372" s="495"/>
    </row>
    <row r="373" spans="73:78" x14ac:dyDescent="0.2">
      <c r="BU373" s="495"/>
      <c r="BV373" s="495"/>
      <c r="BY373" s="495"/>
      <c r="BZ373" s="495"/>
    </row>
    <row r="374" spans="73:78" x14ac:dyDescent="0.2">
      <c r="BU374" s="495"/>
      <c r="BV374" s="495"/>
      <c r="BY374" s="495"/>
      <c r="BZ374" s="495"/>
    </row>
    <row r="375" spans="73:78" x14ac:dyDescent="0.2">
      <c r="BU375" s="495"/>
      <c r="BV375" s="495"/>
      <c r="BY375" s="495"/>
      <c r="BZ375" s="495"/>
    </row>
    <row r="376" spans="73:78" x14ac:dyDescent="0.2">
      <c r="BU376" s="495"/>
      <c r="BV376" s="495"/>
      <c r="BY376" s="495"/>
      <c r="BZ376" s="495"/>
    </row>
    <row r="377" spans="73:78" x14ac:dyDescent="0.2">
      <c r="BU377" s="495"/>
      <c r="BV377" s="495"/>
      <c r="BY377" s="495"/>
      <c r="BZ377" s="495"/>
    </row>
    <row r="378" spans="73:78" x14ac:dyDescent="0.2">
      <c r="BU378" s="495"/>
      <c r="BV378" s="495"/>
      <c r="BY378" s="495"/>
      <c r="BZ378" s="495"/>
    </row>
    <row r="379" spans="73:78" x14ac:dyDescent="0.2">
      <c r="BU379" s="495"/>
      <c r="BV379" s="495"/>
      <c r="BY379" s="495"/>
      <c r="BZ379" s="495"/>
    </row>
    <row r="380" spans="73:78" x14ac:dyDescent="0.2">
      <c r="BU380" s="495"/>
      <c r="BV380" s="495"/>
      <c r="BY380" s="495"/>
      <c r="BZ380" s="495"/>
    </row>
    <row r="381" spans="73:78" x14ac:dyDescent="0.2">
      <c r="BU381" s="495"/>
      <c r="BV381" s="495"/>
      <c r="BY381" s="495"/>
      <c r="BZ381" s="495"/>
    </row>
    <row r="382" spans="73:78" x14ac:dyDescent="0.2">
      <c r="BU382" s="495"/>
      <c r="BV382" s="495"/>
      <c r="BY382" s="495"/>
      <c r="BZ382" s="495"/>
    </row>
    <row r="383" spans="73:78" x14ac:dyDescent="0.2">
      <c r="BU383" s="495"/>
      <c r="BV383" s="495"/>
      <c r="BY383" s="495"/>
      <c r="BZ383" s="495"/>
    </row>
    <row r="384" spans="73:78" x14ac:dyDescent="0.2">
      <c r="BU384" s="495"/>
      <c r="BV384" s="495"/>
      <c r="BY384" s="495"/>
      <c r="BZ384" s="495"/>
    </row>
    <row r="385" spans="73:78" x14ac:dyDescent="0.2">
      <c r="BU385" s="495"/>
      <c r="BV385" s="495"/>
      <c r="BY385" s="495"/>
      <c r="BZ385" s="495"/>
    </row>
    <row r="386" spans="73:78" x14ac:dyDescent="0.2">
      <c r="BU386" s="495"/>
      <c r="BV386" s="495"/>
      <c r="BY386" s="495"/>
      <c r="BZ386" s="495"/>
    </row>
    <row r="387" spans="73:78" x14ac:dyDescent="0.2">
      <c r="BU387" s="495"/>
      <c r="BV387" s="495"/>
      <c r="BY387" s="495"/>
      <c r="BZ387" s="495"/>
    </row>
    <row r="388" spans="73:78" x14ac:dyDescent="0.2">
      <c r="BU388" s="495"/>
      <c r="BV388" s="495"/>
      <c r="BY388" s="495"/>
      <c r="BZ388" s="495"/>
    </row>
    <row r="389" spans="73:78" x14ac:dyDescent="0.2">
      <c r="BU389" s="495"/>
      <c r="BV389" s="495"/>
      <c r="BY389" s="495"/>
      <c r="BZ389" s="495"/>
    </row>
    <row r="390" spans="73:78" x14ac:dyDescent="0.2">
      <c r="BU390" s="495"/>
      <c r="BV390" s="495"/>
      <c r="BY390" s="495"/>
      <c r="BZ390" s="495"/>
    </row>
    <row r="391" spans="73:78" x14ac:dyDescent="0.2">
      <c r="BU391" s="495"/>
      <c r="BV391" s="495"/>
      <c r="BY391" s="495"/>
      <c r="BZ391" s="495"/>
    </row>
    <row r="392" spans="73:78" x14ac:dyDescent="0.2">
      <c r="BU392" s="495"/>
      <c r="BV392" s="495"/>
      <c r="BY392" s="495"/>
      <c r="BZ392" s="495"/>
    </row>
    <row r="393" spans="73:78" x14ac:dyDescent="0.2">
      <c r="BU393" s="495"/>
      <c r="BV393" s="495"/>
      <c r="BY393" s="495"/>
      <c r="BZ393" s="495"/>
    </row>
    <row r="394" spans="73:78" x14ac:dyDescent="0.2">
      <c r="BU394" s="495"/>
      <c r="BV394" s="495"/>
      <c r="BY394" s="495"/>
      <c r="BZ394" s="495"/>
    </row>
    <row r="395" spans="73:78" x14ac:dyDescent="0.2">
      <c r="BU395" s="495"/>
      <c r="BV395" s="495"/>
      <c r="BY395" s="495"/>
      <c r="BZ395" s="495"/>
    </row>
    <row r="396" spans="73:78" x14ac:dyDescent="0.2">
      <c r="BU396" s="495"/>
      <c r="BV396" s="495"/>
      <c r="BY396" s="495"/>
      <c r="BZ396" s="495"/>
    </row>
    <row r="397" spans="73:78" x14ac:dyDescent="0.2">
      <c r="BU397" s="495"/>
      <c r="BV397" s="495"/>
      <c r="BY397" s="495"/>
      <c r="BZ397" s="495"/>
    </row>
    <row r="398" spans="73:78" x14ac:dyDescent="0.2">
      <c r="BU398" s="495"/>
      <c r="BV398" s="495"/>
      <c r="BY398" s="495"/>
      <c r="BZ398" s="495"/>
    </row>
    <row r="399" spans="73:78" x14ac:dyDescent="0.2">
      <c r="BU399" s="495"/>
      <c r="BV399" s="495"/>
      <c r="BY399" s="495"/>
      <c r="BZ399" s="495"/>
    </row>
    <row r="400" spans="73:78" x14ac:dyDescent="0.2">
      <c r="BU400" s="495"/>
      <c r="BV400" s="495"/>
      <c r="BY400" s="495"/>
      <c r="BZ400" s="495"/>
    </row>
    <row r="401" spans="73:78" x14ac:dyDescent="0.2">
      <c r="BU401" s="495"/>
      <c r="BV401" s="495"/>
      <c r="BY401" s="495"/>
      <c r="BZ401" s="495"/>
    </row>
    <row r="402" spans="73:78" x14ac:dyDescent="0.2">
      <c r="BU402" s="495"/>
      <c r="BV402" s="495"/>
    </row>
    <row r="403" spans="73:78" x14ac:dyDescent="0.2">
      <c r="BU403" s="495"/>
      <c r="BV403" s="495"/>
    </row>
    <row r="404" spans="73:78" x14ac:dyDescent="0.2">
      <c r="BU404" s="495"/>
      <c r="BV404" s="495"/>
    </row>
    <row r="405" spans="73:78" x14ac:dyDescent="0.2">
      <c r="BU405" s="495"/>
      <c r="BV405" s="495"/>
    </row>
    <row r="406" spans="73:78" x14ac:dyDescent="0.2">
      <c r="BU406" s="495"/>
      <c r="BV406" s="495"/>
    </row>
    <row r="407" spans="73:78" x14ac:dyDescent="0.2">
      <c r="BU407" s="495"/>
      <c r="BV407" s="495"/>
    </row>
    <row r="408" spans="73:78" x14ac:dyDescent="0.2">
      <c r="BU408" s="495"/>
      <c r="BV408" s="495"/>
    </row>
    <row r="409" spans="73:78" x14ac:dyDescent="0.2">
      <c r="BU409" s="495"/>
      <c r="BV409" s="495"/>
    </row>
    <row r="410" spans="73:78" x14ac:dyDescent="0.2">
      <c r="BU410" s="495"/>
      <c r="BV410" s="495"/>
    </row>
    <row r="411" spans="73:78" x14ac:dyDescent="0.2">
      <c r="BU411" s="495"/>
      <c r="BV411" s="495"/>
    </row>
    <row r="412" spans="73:78" x14ac:dyDescent="0.2">
      <c r="BU412" s="495"/>
      <c r="BV412" s="495"/>
    </row>
    <row r="413" spans="73:78" x14ac:dyDescent="0.2">
      <c r="BU413" s="495"/>
      <c r="BV413" s="495"/>
    </row>
    <row r="414" spans="73:78" x14ac:dyDescent="0.2">
      <c r="BU414" s="495"/>
      <c r="BV414" s="495"/>
    </row>
    <row r="415" spans="73:78" x14ac:dyDescent="0.2">
      <c r="BU415" s="495"/>
      <c r="BV415" s="495"/>
    </row>
    <row r="416" spans="73:78" x14ac:dyDescent="0.2">
      <c r="BU416" s="495"/>
      <c r="BV416" s="495"/>
    </row>
    <row r="417" spans="73:74" x14ac:dyDescent="0.2">
      <c r="BU417" s="495"/>
      <c r="BV417" s="495"/>
    </row>
    <row r="418" spans="73:74" x14ac:dyDescent="0.2">
      <c r="BU418" s="495"/>
      <c r="BV418" s="495"/>
    </row>
    <row r="419" spans="73:74" x14ac:dyDescent="0.2">
      <c r="BU419" s="495"/>
      <c r="BV419" s="495"/>
    </row>
    <row r="420" spans="73:74" x14ac:dyDescent="0.2">
      <c r="BU420" s="495"/>
      <c r="BV420" s="495"/>
    </row>
    <row r="421" spans="73:74" x14ac:dyDescent="0.2">
      <c r="BU421" s="495"/>
      <c r="BV421" s="495"/>
    </row>
    <row r="422" spans="73:74" x14ac:dyDescent="0.2">
      <c r="BU422" s="495"/>
      <c r="BV422" s="495"/>
    </row>
    <row r="423" spans="73:74" x14ac:dyDescent="0.2">
      <c r="BU423" s="495"/>
      <c r="BV423" s="495"/>
    </row>
    <row r="424" spans="73:74" x14ac:dyDescent="0.2">
      <c r="BU424" s="495"/>
      <c r="BV424" s="495"/>
    </row>
    <row r="425" spans="73:74" x14ac:dyDescent="0.2">
      <c r="BU425" s="495"/>
      <c r="BV425" s="495"/>
    </row>
    <row r="426" spans="73:74" x14ac:dyDescent="0.2">
      <c r="BU426" s="495"/>
      <c r="BV426" s="495"/>
    </row>
    <row r="427" spans="73:74" x14ac:dyDescent="0.2">
      <c r="BU427" s="495"/>
      <c r="BV427" s="495"/>
    </row>
    <row r="428" spans="73:74" x14ac:dyDescent="0.2">
      <c r="BU428" s="495"/>
      <c r="BV428" s="495"/>
    </row>
    <row r="429" spans="73:74" x14ac:dyDescent="0.2">
      <c r="BU429" s="495"/>
      <c r="BV429" s="495"/>
    </row>
    <row r="430" spans="73:74" x14ac:dyDescent="0.2">
      <c r="BU430" s="495"/>
      <c r="BV430" s="495"/>
    </row>
    <row r="431" spans="73:74" x14ac:dyDescent="0.2">
      <c r="BU431" s="495"/>
      <c r="BV431" s="495"/>
    </row>
    <row r="432" spans="73:74" x14ac:dyDescent="0.2">
      <c r="BU432" s="495"/>
      <c r="BV432" s="495"/>
    </row>
    <row r="433" spans="73:74" x14ac:dyDescent="0.2">
      <c r="BU433" s="495"/>
      <c r="BV433" s="495"/>
    </row>
    <row r="434" spans="73:74" x14ac:dyDescent="0.2">
      <c r="BU434" s="495"/>
      <c r="BV434" s="495"/>
    </row>
    <row r="435" spans="73:74" x14ac:dyDescent="0.2">
      <c r="BU435" s="495"/>
      <c r="BV435" s="495"/>
    </row>
    <row r="436" spans="73:74" x14ac:dyDescent="0.2">
      <c r="BU436" s="495"/>
      <c r="BV436" s="495"/>
    </row>
    <row r="437" spans="73:74" x14ac:dyDescent="0.2">
      <c r="BU437" s="495"/>
      <c r="BV437" s="495"/>
    </row>
    <row r="438" spans="73:74" x14ac:dyDescent="0.2">
      <c r="BU438" s="495"/>
      <c r="BV438" s="495"/>
    </row>
    <row r="439" spans="73:74" x14ac:dyDescent="0.2">
      <c r="BU439" s="495"/>
      <c r="BV439" s="495"/>
    </row>
    <row r="440" spans="73:74" x14ac:dyDescent="0.2">
      <c r="BU440" s="495"/>
      <c r="BV440" s="495"/>
    </row>
    <row r="441" spans="73:74" x14ac:dyDescent="0.2">
      <c r="BU441" s="495"/>
      <c r="BV441" s="495"/>
    </row>
    <row r="442" spans="73:74" x14ac:dyDescent="0.2">
      <c r="BU442" s="495"/>
      <c r="BV442" s="495"/>
    </row>
    <row r="443" spans="73:74" x14ac:dyDescent="0.2">
      <c r="BU443" s="495"/>
      <c r="BV443" s="495"/>
    </row>
    <row r="444" spans="73:74" x14ac:dyDescent="0.2">
      <c r="BU444" s="495"/>
      <c r="BV444" s="495"/>
    </row>
    <row r="445" spans="73:74" x14ac:dyDescent="0.2">
      <c r="BU445" s="495"/>
      <c r="BV445" s="495"/>
    </row>
    <row r="446" spans="73:74" x14ac:dyDescent="0.2">
      <c r="BU446" s="495"/>
      <c r="BV446" s="495"/>
    </row>
    <row r="447" spans="73:74" x14ac:dyDescent="0.2">
      <c r="BU447" s="495"/>
      <c r="BV447" s="495"/>
    </row>
    <row r="448" spans="73:74" x14ac:dyDescent="0.2">
      <c r="BU448" s="495"/>
      <c r="BV448" s="495"/>
    </row>
    <row r="449" spans="73:74" x14ac:dyDescent="0.2">
      <c r="BU449" s="495"/>
      <c r="BV449" s="495"/>
    </row>
    <row r="450" spans="73:74" x14ac:dyDescent="0.2">
      <c r="BU450" s="495"/>
      <c r="BV450" s="495"/>
    </row>
    <row r="451" spans="73:74" x14ac:dyDescent="0.2">
      <c r="BU451" s="495"/>
      <c r="BV451" s="495"/>
    </row>
    <row r="452" spans="73:74" x14ac:dyDescent="0.2">
      <c r="BU452" s="495"/>
      <c r="BV452" s="495"/>
    </row>
    <row r="453" spans="73:74" x14ac:dyDescent="0.2">
      <c r="BU453" s="495"/>
      <c r="BV453" s="495"/>
    </row>
    <row r="454" spans="73:74" x14ac:dyDescent="0.2">
      <c r="BU454" s="495"/>
      <c r="BV454" s="495"/>
    </row>
    <row r="455" spans="73:74" x14ac:dyDescent="0.2">
      <c r="BU455" s="495"/>
      <c r="BV455" s="495"/>
    </row>
    <row r="456" spans="73:74" x14ac:dyDescent="0.2">
      <c r="BU456" s="495"/>
      <c r="BV456" s="495"/>
    </row>
    <row r="457" spans="73:74" x14ac:dyDescent="0.2">
      <c r="BU457" s="495"/>
      <c r="BV457" s="495"/>
    </row>
    <row r="458" spans="73:74" x14ac:dyDescent="0.2">
      <c r="BU458" s="495"/>
      <c r="BV458" s="495"/>
    </row>
    <row r="459" spans="73:74" x14ac:dyDescent="0.2">
      <c r="BU459" s="495"/>
      <c r="BV459" s="495"/>
    </row>
    <row r="460" spans="73:74" x14ac:dyDescent="0.2">
      <c r="BU460" s="495"/>
      <c r="BV460" s="495"/>
    </row>
    <row r="461" spans="73:74" x14ac:dyDescent="0.2">
      <c r="BU461" s="495"/>
      <c r="BV461" s="495"/>
    </row>
  </sheetData>
  <sheetProtection algorithmName="SHA-512" hashValue="ntaFh6HA0XpifFblxQwRNdqfAD+vzdJ2ggjX8efdUHRSNcOPDjmzO07TlrMD/d/gzCqHeLmOwhykyHEg3FB/3Q==" saltValue="jR7zQ2HZEtBURTP+eEtmSg=="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G93"/>
  <sheetViews>
    <sheetView showGridLines="0" zoomScale="90" zoomScaleNormal="90" workbookViewId="0">
      <selection sqref="A1:H1"/>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3" width="11.42578125" style="16"/>
    <col min="44" max="51" width="11.42578125" style="16" customWidth="1"/>
    <col min="52" max="85" width="11.42578125" style="16" hidden="1" customWidth="1"/>
    <col min="86" max="104" width="0" style="16" hidden="1" customWidth="1"/>
    <col min="105" max="16384" width="11.42578125" style="16"/>
  </cols>
  <sheetData>
    <row r="1" spans="1:65" ht="51.75" customHeight="1" x14ac:dyDescent="0.2">
      <c r="A1" s="2335"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35"/>
      <c r="C1" s="2335"/>
      <c r="D1" s="2335"/>
      <c r="E1" s="2335"/>
      <c r="F1" s="2335"/>
      <c r="G1" s="2335"/>
      <c r="H1" s="2335"/>
      <c r="I1" s="2332" t="str">
        <f>+IF(AND(Identification!B95&lt;=J6,Identification!B95&gt;J4),BC1,"")</f>
        <v/>
      </c>
      <c r="J1" s="2332"/>
      <c r="K1" s="2332"/>
      <c r="L1" s="2332"/>
      <c r="M1" s="2332"/>
      <c r="N1" s="2332"/>
      <c r="O1" s="24" t="str">
        <f>+IF(AND(Identification!B95&lt;=J6,Identification!B95&gt;J4),"faux","")</f>
        <v/>
      </c>
      <c r="S1" s="24" t="s">
        <v>665</v>
      </c>
      <c r="T1" s="24"/>
      <c r="BC1" s="16" t="s">
        <v>1438</v>
      </c>
    </row>
    <row r="2" spans="1:65" x14ac:dyDescent="0.2">
      <c r="C2" s="2333" t="s">
        <v>1457</v>
      </c>
      <c r="D2" s="2333"/>
      <c r="E2" s="2333"/>
      <c r="F2" s="2333"/>
      <c r="G2" s="2333"/>
      <c r="H2" s="2333"/>
      <c r="I2" s="2333"/>
      <c r="S2" s="24">
        <v>1</v>
      </c>
      <c r="T2" s="24" t="str">
        <f>+IF(AND(A40&lt;&gt;"Hors période",B40=0),"JAUNE","NON")</f>
        <v>JAUNE</v>
      </c>
      <c r="BA2" s="29" t="s">
        <v>1337</v>
      </c>
      <c r="BB2" s="30">
        <f>+DATE(YEAR(Identification!B61)-1,4,30)</f>
        <v>45412</v>
      </c>
      <c r="BC2" s="16">
        <f>+DATEDIF(Identification!B49,BB2,"Y")</f>
        <v>124</v>
      </c>
    </row>
    <row r="3" spans="1:65" x14ac:dyDescent="0.2">
      <c r="C3" s="26"/>
      <c r="D3" s="27"/>
      <c r="E3" s="27"/>
      <c r="F3" s="27"/>
      <c r="G3" s="27"/>
      <c r="H3" s="27"/>
      <c r="I3" s="27"/>
      <c r="K3" s="395"/>
      <c r="S3" s="24">
        <v>2</v>
      </c>
      <c r="T3" s="24" t="str">
        <f t="shared" ref="T3:T9" si="0">+IF(AND(A41&lt;&gt;"Hors période",B41=0),"JAUNE","NON")</f>
        <v>JAUNE</v>
      </c>
      <c r="BA3" s="29" t="s">
        <v>1338</v>
      </c>
      <c r="BB3" s="16" t="str">
        <f>+IF(BC2&lt;21,"OUI","NON")</f>
        <v>NON</v>
      </c>
      <c r="BM3" s="30">
        <f>+DATE(YEAR(BM5),6,1)</f>
        <v>45809</v>
      </c>
    </row>
    <row r="4" spans="1:65" ht="15" customHeight="1" x14ac:dyDescent="0.2">
      <c r="I4" s="29" t="s">
        <v>8</v>
      </c>
      <c r="J4" s="30">
        <f>+Identification!B28</f>
        <v>0</v>
      </c>
      <c r="K4" s="395"/>
      <c r="S4" s="24">
        <v>3</v>
      </c>
      <c r="T4" s="24" t="str">
        <f t="shared" si="0"/>
        <v>JAUNE</v>
      </c>
      <c r="BB4" s="29" t="s">
        <v>1435</v>
      </c>
      <c r="BC4" s="16" t="str">
        <f>+IF(I1=BC1,"OUI",IF(AND(BM10&gt;0,BM10&lt;&gt;52),"OUI",IF(BM12="OUI","OUI","NON")))</f>
        <v>NON</v>
      </c>
      <c r="BK4" s="16" t="s">
        <v>606</v>
      </c>
      <c r="BL4" s="27" t="s">
        <v>608</v>
      </c>
      <c r="BM4" s="27" t="s">
        <v>607</v>
      </c>
    </row>
    <row r="5" spans="1:65" ht="15" customHeight="1" x14ac:dyDescent="0.2">
      <c r="A5" s="25" t="s">
        <v>667</v>
      </c>
      <c r="B5" s="25"/>
      <c r="K5" s="395"/>
      <c r="S5" s="24">
        <v>4</v>
      </c>
      <c r="T5" s="24" t="str">
        <f t="shared" si="0"/>
        <v>JAUNE</v>
      </c>
      <c r="BK5" s="16">
        <v>1</v>
      </c>
      <c r="BL5" s="30">
        <f>+IF(AND(BM5&lt;BM3,J4&lt;=DATE(YEAR(BM3)-1,6,1)),DATE(YEAR(BM3)-1,6,1),IF(AND(BM5&lt;BM3,J4&gt;=DATE(YEAR(BM3)-1,6,1)),J4,IF(J4&gt;BM3,J4,BM3)))</f>
        <v>45444</v>
      </c>
      <c r="BM5" s="30">
        <f>+J6</f>
        <v>45808</v>
      </c>
    </row>
    <row r="6" spans="1:65" x14ac:dyDescent="0.2">
      <c r="I6" s="29" t="s">
        <v>629</v>
      </c>
      <c r="J6" s="79">
        <f>+DATE(YEAR(Identification!B61),5,31)</f>
        <v>45808</v>
      </c>
      <c r="K6" s="395"/>
      <c r="S6" s="24">
        <v>5</v>
      </c>
      <c r="T6" s="24" t="str">
        <f t="shared" si="0"/>
        <v>JAUNE</v>
      </c>
      <c r="BL6" s="30"/>
      <c r="BM6" s="30"/>
    </row>
    <row r="7" spans="1:65" x14ac:dyDescent="0.2">
      <c r="K7" s="395"/>
      <c r="S7" s="24">
        <v>6</v>
      </c>
      <c r="T7" s="24" t="str">
        <f t="shared" si="0"/>
        <v>JAUNE</v>
      </c>
    </row>
    <row r="8" spans="1:65" x14ac:dyDescent="0.2">
      <c r="I8" s="29"/>
      <c r="J8" s="30"/>
      <c r="K8" s="395"/>
      <c r="S8" s="24">
        <v>7</v>
      </c>
      <c r="T8" s="24" t="str">
        <f t="shared" si="0"/>
        <v>JAUNE</v>
      </c>
      <c r="BK8" s="30">
        <f>+DATE(YEAR(BM5)-1,6,1)</f>
        <v>45444</v>
      </c>
      <c r="BL8" s="29" t="s">
        <v>612</v>
      </c>
      <c r="BM8" s="30">
        <f>DATE(YEAR(J6),MONTH(J6),1)</f>
        <v>45778</v>
      </c>
    </row>
    <row r="9" spans="1:65" ht="13.5" thickBot="1" x14ac:dyDescent="0.25">
      <c r="S9" s="24">
        <v>8</v>
      </c>
      <c r="T9" s="24" t="str">
        <f t="shared" ca="1" si="0"/>
        <v>JAUNE</v>
      </c>
      <c r="BL9" s="29" t="s">
        <v>1645</v>
      </c>
      <c r="BM9" s="16">
        <f>+VLOOKUP(DATE(YEAR(J6),MONTH(J6),1),BDD,87,FALSE)</f>
        <v>0</v>
      </c>
    </row>
    <row r="10" spans="1:65" ht="13.5" thickTop="1" x14ac:dyDescent="0.2">
      <c r="H10" s="1240" t="str">
        <f>+" Récapitulatif des informations au "&amp;TEXT(BM5,"jj/mm/aaaa")&amp;" en Année complète"</f>
        <v xml:space="preserve"> Récapitulatif des informations au 31/05/2025 en Année complète</v>
      </c>
      <c r="I10" s="1241"/>
      <c r="J10" s="1241"/>
      <c r="K10" s="1241"/>
      <c r="L10" s="1241"/>
      <c r="M10" s="1242"/>
      <c r="R10" s="24">
        <v>9</v>
      </c>
      <c r="S10" s="24" t="str">
        <f>+IF(AND(A48&lt;&gt;"Hors période",B48=0),"JAUNE","NON")</f>
        <v>JAUNE</v>
      </c>
      <c r="BL10" s="29" t="s">
        <v>1651</v>
      </c>
      <c r="BM10" s="16">
        <f>+VLOOKUP(DATE(YEAR(J6),MONTH(J6),1),BDD,26,FALSE)</f>
        <v>0</v>
      </c>
    </row>
    <row r="11" spans="1:65" x14ac:dyDescent="0.2">
      <c r="H11" s="1243"/>
      <c r="M11" s="1244"/>
      <c r="R11" s="24">
        <v>10</v>
      </c>
      <c r="S11" s="24" t="str">
        <f>+IF(AND(A49&lt;&gt;"Hors période",B49=0),"JAUNE","NON")</f>
        <v>JAUNE</v>
      </c>
      <c r="BL11" s="29" t="s">
        <v>1647</v>
      </c>
      <c r="BM11" s="16" t="str">
        <f>+IF(AND(BM9="OUI",BM10&lt;&gt;52),"OUI","NON")</f>
        <v>NON</v>
      </c>
    </row>
    <row r="12" spans="1:65" x14ac:dyDescent="0.2">
      <c r="H12" s="2339" t="str">
        <f>"Pour la période "&amp;+B13&amp;" il y a un complément à percevoir de :"</f>
        <v>Pour la période Du 01/06/2024 au 31/05/2025 il y a un complément à percevoir de :</v>
      </c>
      <c r="I12" s="2328"/>
      <c r="J12" s="2328"/>
      <c r="K12" s="2328"/>
      <c r="L12" s="2328"/>
      <c r="M12" s="1270">
        <f>+IF(H91&lt;=0,0,H91)</f>
        <v>0</v>
      </c>
      <c r="R12" s="24">
        <v>11</v>
      </c>
      <c r="S12" s="24" t="str">
        <f>+IF(AND(A50&lt;&gt;"Hors période",B50=0),"JAUNE","NON")</f>
        <v>JAUNE</v>
      </c>
      <c r="BL12" s="29" t="s">
        <v>1650</v>
      </c>
      <c r="BM12" s="16">
        <f>+VLOOKUP(DATE(YEAR(J6),MONTH(J6),1),BDD,97,FALSE)</f>
        <v>0</v>
      </c>
    </row>
    <row r="13" spans="1:65" x14ac:dyDescent="0.2">
      <c r="A13" s="16" t="s">
        <v>605</v>
      </c>
      <c r="B13" s="2334" t="str">
        <f>"Du "&amp;TEXT(BL5,"jj/mm/aaaa")&amp;" au "&amp;TEXT(BM5,"jj/mm/aaaa")</f>
        <v>Du 01/06/2024 au 31/05/2025</v>
      </c>
      <c r="C13" s="2334"/>
      <c r="D13" s="2334"/>
      <c r="H13" s="2322"/>
      <c r="I13" s="2321"/>
      <c r="K13" s="58"/>
      <c r="L13" s="29"/>
      <c r="M13" s="1271"/>
      <c r="R13" s="24">
        <v>12</v>
      </c>
      <c r="S13" s="24" t="str">
        <f>+IF(AND(A51&lt;&gt;"Hors période",B51=0),"JAUNE","NON")</f>
        <v>JAUNE</v>
      </c>
    </row>
    <row r="14" spans="1:65" x14ac:dyDescent="0.2">
      <c r="A14" s="16" t="s">
        <v>29</v>
      </c>
      <c r="B14" s="2321">
        <f>+Identification!B25</f>
        <v>0</v>
      </c>
      <c r="C14" s="2321"/>
      <c r="D14" s="2321"/>
      <c r="H14" s="1243"/>
      <c r="J14" s="39"/>
      <c r="K14" s="40"/>
      <c r="L14" s="29" t="s">
        <v>721</v>
      </c>
      <c r="M14" s="1272">
        <f ca="1">+D57</f>
        <v>0</v>
      </c>
      <c r="R14" s="24"/>
      <c r="S14" s="24"/>
    </row>
    <row r="15" spans="1:65" x14ac:dyDescent="0.2">
      <c r="C15" s="29"/>
      <c r="D15" s="34"/>
      <c r="H15" s="1243"/>
      <c r="J15" s="39"/>
      <c r="K15" s="40"/>
      <c r="L15" s="29"/>
      <c r="M15" s="1273"/>
      <c r="R15" s="24" t="s">
        <v>666</v>
      </c>
      <c r="S15" s="24" t="str">
        <f>+IF(J4&gt;F69,"NON","OUI")</f>
        <v>OUI</v>
      </c>
    </row>
    <row r="16" spans="1:65" x14ac:dyDescent="0.2">
      <c r="A16" s="45" t="s">
        <v>648</v>
      </c>
      <c r="H16" s="2340" t="s">
        <v>657</v>
      </c>
      <c r="I16" s="2341"/>
      <c r="J16" s="2341"/>
      <c r="K16" s="2341"/>
      <c r="L16" s="2341"/>
      <c r="M16" s="1274">
        <f>+F33</f>
        <v>0</v>
      </c>
      <c r="R16" s="24"/>
      <c r="S16" s="24"/>
    </row>
    <row r="17" spans="3:19" ht="13.5" thickBot="1" x14ac:dyDescent="0.25">
      <c r="H17" s="1275"/>
      <c r="I17" s="1259"/>
      <c r="J17" s="1276"/>
      <c r="K17" s="1277"/>
      <c r="L17" s="1259"/>
      <c r="M17" s="1269"/>
      <c r="R17" s="24"/>
      <c r="S17" s="24"/>
    </row>
    <row r="18" spans="3:19" ht="13.5" thickTop="1" x14ac:dyDescent="0.2">
      <c r="E18" s="29"/>
      <c r="J18" s="29"/>
      <c r="K18" s="37"/>
    </row>
    <row r="19" spans="3:19" x14ac:dyDescent="0.2">
      <c r="E19" s="29" t="s">
        <v>584</v>
      </c>
      <c r="F19" s="41">
        <f>IFERROR(IF(F20="",+MROUND(VLOOKUP(BM8,BDD,27,FALSE),0.005),F20),0)</f>
        <v>0</v>
      </c>
      <c r="G19" s="80"/>
      <c r="J19" s="29"/>
      <c r="K19" s="37"/>
    </row>
    <row r="20" spans="3:19" x14ac:dyDescent="0.2">
      <c r="E20" s="29" t="s">
        <v>503</v>
      </c>
      <c r="F20" s="1133"/>
      <c r="G20" s="49"/>
      <c r="H20" s="46" t="s">
        <v>583</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1116</v>
      </c>
      <c r="F23" s="41">
        <f>IF(O1="faux",0,MIN(12,F19))</f>
        <v>0</v>
      </c>
      <c r="H23" s="47"/>
      <c r="K23" s="37"/>
    </row>
    <row r="24" spans="3:19" x14ac:dyDescent="0.2">
      <c r="H24" s="682" t="s">
        <v>1578</v>
      </c>
    </row>
    <row r="25" spans="3:19" x14ac:dyDescent="0.2">
      <c r="E25" s="29" t="s">
        <v>1667</v>
      </c>
      <c r="F25" s="1588">
        <f>IFERROR(IF(F26="",+MROUND(VLOOKUP(BM8,BDD,99,FALSE),0.005),F26),0)</f>
        <v>0</v>
      </c>
      <c r="H25" s="682"/>
    </row>
    <row r="26" spans="3:19" x14ac:dyDescent="0.2">
      <c r="E26" s="29" t="s">
        <v>503</v>
      </c>
      <c r="F26" s="1133"/>
      <c r="H26" s="682" t="s">
        <v>676</v>
      </c>
    </row>
    <row r="27" spans="3:19" x14ac:dyDescent="0.2">
      <c r="C27" s="29"/>
      <c r="H27" s="1547" t="s">
        <v>1669</v>
      </c>
    </row>
    <row r="28" spans="3:19" x14ac:dyDescent="0.2">
      <c r="C28" s="29" t="s">
        <v>585</v>
      </c>
      <c r="D28" s="1589">
        <f>IF(D29="",+Identification!B55*2,D29)</f>
        <v>0</v>
      </c>
      <c r="E28" s="16" t="s">
        <v>674</v>
      </c>
      <c r="F28" s="1589">
        <f>IF(BB3="NON",ROUND(+(MIN(F33,30)-D31),0),F33-D31)</f>
        <v>0</v>
      </c>
    </row>
    <row r="29" spans="3:19" x14ac:dyDescent="0.2">
      <c r="C29" s="29" t="s">
        <v>503</v>
      </c>
      <c r="D29" s="1320"/>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1340</v>
      </c>
      <c r="D31" s="1590">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587</v>
      </c>
      <c r="D33" s="1589">
        <f>ROUND(+F23*2.5+D28+F25,2)</f>
        <v>0</v>
      </c>
      <c r="E33" s="51" t="s">
        <v>1339</v>
      </c>
      <c r="F33" s="1591">
        <f>IF(BB3="NON",IF(D33&lt;30,ROUNDUP(D33,0),30),IF(AND(BB3="OUI",D31&lt;=5),ROUNDUP(D31+(D28/2),0),ROUNDUP(D33,0)))</f>
        <v>0</v>
      </c>
    </row>
    <row r="36" spans="1:13" ht="28.5" customHeight="1" x14ac:dyDescent="0.2">
      <c r="A36" s="645" t="s">
        <v>594</v>
      </c>
    </row>
    <row r="38" spans="1:13" x14ac:dyDescent="0.2">
      <c r="A38" s="16" t="s">
        <v>595</v>
      </c>
    </row>
    <row r="39" spans="1:13" ht="38.25" x14ac:dyDescent="0.2">
      <c r="B39" s="646" t="s">
        <v>1690</v>
      </c>
      <c r="C39" s="54" t="s">
        <v>614</v>
      </c>
      <c r="D39" s="494" t="s">
        <v>621</v>
      </c>
      <c r="E39" s="82"/>
      <c r="F39" s="82"/>
    </row>
    <row r="40" spans="1:13" x14ac:dyDescent="0.2">
      <c r="A40" s="647">
        <f>+IF(AND(DATE(YEAR($BK$8),6,30)&gt;=$BK$8,DATE(YEAR($BK$8),6,1)&lt;=$BM$5,$J$4&lt;=DATE(YEAR($BK$8),6,1)),DATE(YEAR($BK$8),6,1),"Hors période")</f>
        <v>45444</v>
      </c>
      <c r="B40" s="31">
        <f t="shared" ref="B40:B51" si="1">IF($O$1="faux",0,IF(C40="",IFERROR(+VLOOKUP(A40,BDD,2,FALSE)+VLOOKUP(A40,BDD,100,FALSE),0),C40))</f>
        <v>0</v>
      </c>
      <c r="C40" s="1130"/>
      <c r="D40" s="31">
        <f>+ROUND((+B40*10%),2)</f>
        <v>0</v>
      </c>
      <c r="E40" s="59"/>
      <c r="F40" s="83"/>
      <c r="G40" s="82"/>
      <c r="H40" s="46" t="s">
        <v>583</v>
      </c>
    </row>
    <row r="41" spans="1:13" x14ac:dyDescent="0.2">
      <c r="A41" s="647">
        <f>+IF(AND(DATE(YEAR($BK$8),7,31)&gt;=$BK$8,DATE(YEAR($BK$8),7,1)&lt;=$BM$5,$J$4&lt;=DATE(YEAR($BK$8),7,31)),DATE(YEAR($BK$8),7,1),"Hors période")</f>
        <v>45474</v>
      </c>
      <c r="B41" s="31">
        <f t="shared" si="1"/>
        <v>0</v>
      </c>
      <c r="C41" s="1130"/>
      <c r="D41" s="31">
        <f t="shared" ref="D41:D51" si="2">+ROUND((+B41*10%),2)</f>
        <v>0</v>
      </c>
      <c r="E41" s="59"/>
      <c r="F41" s="83"/>
      <c r="G41" s="83"/>
      <c r="H41" s="47" t="s">
        <v>619</v>
      </c>
    </row>
    <row r="42" spans="1:13" x14ac:dyDescent="0.2">
      <c r="A42" s="647">
        <f>+IF(AND(DATE(YEAR($BK$8),8,31)&gt;=$BK$8,DATE(YEAR($BK$8),8,1)&lt;=$BM$5,$J$4&lt;=DATE(YEAR($BK$8),8,31)),DATE(YEAR($BK$8),8,1),"Hors période")</f>
        <v>45505</v>
      </c>
      <c r="B42" s="31">
        <f t="shared" si="1"/>
        <v>0</v>
      </c>
      <c r="C42" s="1130"/>
      <c r="D42" s="31">
        <f t="shared" si="2"/>
        <v>0</v>
      </c>
      <c r="E42" s="59"/>
      <c r="F42" s="83"/>
      <c r="G42" s="83"/>
      <c r="H42" s="47"/>
    </row>
    <row r="43" spans="1:13" x14ac:dyDescent="0.2">
      <c r="A43" s="647">
        <f>+IF(AND(DATE(YEAR($BK$8),9,30)&gt;=$BK$8,DATE(YEAR($BK$8),9,1)&lt;=$BM$5,$J$4&lt;=DATE(YEAR($BK$8),9,30)),DATE(YEAR($BK$8),9,1),"Hors période")</f>
        <v>45536</v>
      </c>
      <c r="B43" s="31">
        <f t="shared" si="1"/>
        <v>0</v>
      </c>
      <c r="C43" s="1130"/>
      <c r="D43" s="31">
        <f t="shared" si="2"/>
        <v>0</v>
      </c>
      <c r="E43" s="59"/>
      <c r="F43" s="83"/>
      <c r="G43" s="83"/>
      <c r="H43" s="47" t="s">
        <v>622</v>
      </c>
      <c r="I43" s="47"/>
      <c r="J43" s="47"/>
      <c r="K43" s="47"/>
      <c r="L43" s="47"/>
    </row>
    <row r="44" spans="1:13" x14ac:dyDescent="0.2">
      <c r="A44" s="647">
        <f>+IF(AND(DATE(YEAR($BK$8),10,31)&gt;=$BK$8,DATE(YEAR($BK$8),10,1)&lt;=$BM$5,$J$4&lt;=DATE(YEAR($BK$8),10,31)),DATE(YEAR($BK$8),10,1),"Hors période")</f>
        <v>45566</v>
      </c>
      <c r="B44" s="31">
        <f t="shared" si="1"/>
        <v>0</v>
      </c>
      <c r="C44" s="1130"/>
      <c r="D44" s="31">
        <f t="shared" si="2"/>
        <v>0</v>
      </c>
      <c r="E44" s="59"/>
      <c r="F44" s="83"/>
      <c r="G44" s="83"/>
      <c r="H44" s="47" t="str">
        <f>+"[Salaire du mois ("&amp;B42&amp;" euros) x 10%]"</f>
        <v>[Salaire du mois (0 euros) x 10%]</v>
      </c>
      <c r="I44" s="47"/>
      <c r="J44" s="47"/>
      <c r="K44" s="47"/>
      <c r="L44" s="47"/>
    </row>
    <row r="45" spans="1:13" x14ac:dyDescent="0.2">
      <c r="A45" s="647">
        <f>+IF(AND(DATE(YEAR($BK$8),11,30)&gt;=$BK$8,DATE(YEAR($BK$8),11,1)&lt;=$BM$5,$J$4&lt;=DATE(YEAR($BK$8),11,30)),DATE(YEAR($BK$8),11,1),"Hors période")</f>
        <v>45597</v>
      </c>
      <c r="B45" s="31">
        <f t="shared" si="1"/>
        <v>0</v>
      </c>
      <c r="C45" s="1130"/>
      <c r="D45" s="31">
        <f t="shared" si="2"/>
        <v>0</v>
      </c>
      <c r="E45" s="59"/>
      <c r="F45" s="83"/>
      <c r="G45" s="83"/>
      <c r="H45" s="47" t="str">
        <f>+"Soit pour la ligne du mois de Août "&amp;D42&amp;" euros"</f>
        <v>Soit pour la ligne du mois de Août 0 euros</v>
      </c>
      <c r="I45" s="47"/>
      <c r="J45" s="47"/>
      <c r="K45" s="47"/>
      <c r="L45" s="47"/>
    </row>
    <row r="46" spans="1:13" x14ac:dyDescent="0.2">
      <c r="A46" s="647">
        <f>+IF(AND(DATE(YEAR($BK$8),12,31)&gt;=$BK$8,DATE(YEAR($BK$8),12,1)&lt;=$BM$5,$J$4&lt;=DATE(YEAR($BK$8),12,31)),DATE(YEAR($BK$8),12,1),"Hors période")</f>
        <v>45627</v>
      </c>
      <c r="B46" s="31">
        <f t="shared" si="1"/>
        <v>0</v>
      </c>
      <c r="C46" s="1130"/>
      <c r="D46" s="31">
        <f t="shared" si="2"/>
        <v>0</v>
      </c>
      <c r="E46" s="59"/>
      <c r="F46" s="83"/>
      <c r="G46" s="83"/>
      <c r="H46" s="47"/>
      <c r="I46" s="47"/>
      <c r="J46" s="47"/>
      <c r="K46" s="47"/>
      <c r="L46" s="47"/>
    </row>
    <row r="47" spans="1:13" x14ac:dyDescent="0.2">
      <c r="A47" s="647">
        <f>+IF(AND(DATE(YEAR($BK$8)+1,1,31)&gt;=$BK$8,DATE(YEAR($BK$8)+1,1,1)&lt;=$BM$5,$J$4&lt;=DATE(YEAR($BK$8)+1,1,31)),DATE(YEAR($BK$8)+1,1,1),"Hors période")</f>
        <v>45658</v>
      </c>
      <c r="B47" s="31">
        <f t="shared" ca="1" si="1"/>
        <v>0</v>
      </c>
      <c r="C47" s="1130"/>
      <c r="D47" s="31">
        <f t="shared" ca="1" si="2"/>
        <v>0</v>
      </c>
      <c r="E47" s="59"/>
      <c r="F47" s="83"/>
      <c r="G47" s="83"/>
      <c r="H47" s="47" t="s">
        <v>599</v>
      </c>
      <c r="I47" s="47"/>
      <c r="J47" s="47"/>
      <c r="K47" s="47"/>
      <c r="L47" s="47"/>
      <c r="M47" s="58"/>
    </row>
    <row r="48" spans="1:13" x14ac:dyDescent="0.2">
      <c r="A48" s="647">
        <f>+IF(AND(DATE(YEAR($BK$8)+1,2,29)&gt;=$BK$8,DATE(YEAR($BK$8)+1,2,1)&lt;=$BM$5,$J$4&lt;=DATE(YEAR($BK$8)+1,2,29)),DATE(YEAR($BK$8)+1,2,1),"Hors période")</f>
        <v>45689</v>
      </c>
      <c r="B48" s="31">
        <f t="shared" si="1"/>
        <v>0</v>
      </c>
      <c r="C48" s="1130"/>
      <c r="D48" s="31">
        <f t="shared" si="2"/>
        <v>0</v>
      </c>
      <c r="E48" s="59"/>
      <c r="F48" s="83"/>
      <c r="G48" s="83"/>
      <c r="H48" s="47" t="s">
        <v>600</v>
      </c>
    </row>
    <row r="49" spans="1:10" x14ac:dyDescent="0.2">
      <c r="A49" s="647">
        <f>+IF(AND(DATE(YEAR($BK$8)+1,3,31)&gt;=$BK$8,DATE(YEAR($BK$8)+1,3,1)&lt;=$BM$5,$J$4&lt;=DATE(YEAR($BK$8)+1,3,31)),DATE(YEAR($BK$8)+1,3,1),"Hors période")</f>
        <v>45717</v>
      </c>
      <c r="B49" s="31">
        <f t="shared" si="1"/>
        <v>0</v>
      </c>
      <c r="C49" s="1130"/>
      <c r="D49" s="31">
        <f t="shared" si="2"/>
        <v>0</v>
      </c>
      <c r="E49" s="59"/>
      <c r="F49" s="83"/>
      <c r="G49" s="83"/>
      <c r="I49" s="56" t="str">
        <f ca="1">+D52&amp;" / "&amp;D31&amp;" X "&amp;F28</f>
        <v>0 / 0 X 0</v>
      </c>
      <c r="J49" s="47" t="str">
        <f>"= "&amp;IF(D33,ROUND(D52/D31*F28,2),0)</f>
        <v>= 0</v>
      </c>
    </row>
    <row r="50" spans="1:10" x14ac:dyDescent="0.2">
      <c r="A50" s="647">
        <f>+IF(AND(DATE(YEAR($BK$8)+1,4,30)&gt;=$BK$8,DATE(YEAR($BK$8)+1,4,1)&lt;=$BM$5,$J$4&lt;=DATE(YEAR($BK$8)+1,4,30)),DATE(YEAR($BK$8)+1,4,1),"Hors période")</f>
        <v>45748</v>
      </c>
      <c r="B50" s="31">
        <f t="shared" si="1"/>
        <v>0</v>
      </c>
      <c r="C50" s="1130"/>
      <c r="D50" s="31">
        <f t="shared" si="2"/>
        <v>0</v>
      </c>
      <c r="E50" s="59"/>
      <c r="F50" s="83"/>
      <c r="G50" s="83"/>
    </row>
    <row r="51" spans="1:10" x14ac:dyDescent="0.2">
      <c r="A51" s="647">
        <f>+IF(AND(DATE(YEAR($BK$8)+1,5,31)&gt;=$BK$8,DATE(YEAR($BK$8)+1,5,1)&lt;=$BM$5,$J$4&lt;=DATE(YEAR($BK$8)+1,5,31)),DATE(YEAR($BK$8)+1,5,1),"Hors période")</f>
        <v>45778</v>
      </c>
      <c r="B51" s="31">
        <f t="shared" si="1"/>
        <v>0</v>
      </c>
      <c r="C51" s="1130"/>
      <c r="D51" s="31">
        <f t="shared" si="2"/>
        <v>0</v>
      </c>
      <c r="E51" s="59"/>
      <c r="F51" s="83"/>
      <c r="G51" s="83"/>
      <c r="H51" s="47" t="str">
        <f ca="1">"Soit pour l'ensemble des mois un montant total de "&amp;ROUND(D57,2)&amp;" euros"</f>
        <v>Soit pour l'ensemble des mois un montant total de 0 euros</v>
      </c>
    </row>
    <row r="52" spans="1:10" x14ac:dyDescent="0.2">
      <c r="C52" s="38" t="s">
        <v>450</v>
      </c>
      <c r="D52" s="57">
        <f ca="1">ROUND(SUM(D40:D51),2)</f>
        <v>0</v>
      </c>
      <c r="G52" s="83"/>
      <c r="H52" s="47"/>
    </row>
    <row r="53" spans="1:10" x14ac:dyDescent="0.2">
      <c r="H53" s="47"/>
    </row>
    <row r="55" spans="1:10" x14ac:dyDescent="0.2">
      <c r="C55" s="29" t="s">
        <v>624</v>
      </c>
      <c r="D55" s="59">
        <f>IF(D31,+D52/D31*F28,0)</f>
        <v>0</v>
      </c>
    </row>
    <row r="57" spans="1:10" x14ac:dyDescent="0.2">
      <c r="A57" s="2346" t="s">
        <v>662</v>
      </c>
      <c r="B57" s="2346"/>
      <c r="C57" s="2346"/>
      <c r="D57" s="432">
        <f ca="1">IF(OR(BM12="OUI",AND(BM9="OUI",BM10&lt;&gt;52)),0,ROUND(SUM(D40:D51)+D55,2))</f>
        <v>0</v>
      </c>
      <c r="E57" s="84" t="s">
        <v>460</v>
      </c>
      <c r="F57" s="30">
        <f>+J6</f>
        <v>45808</v>
      </c>
    </row>
    <row r="59" spans="1:10" x14ac:dyDescent="0.2">
      <c r="A59" s="2347" t="s">
        <v>649</v>
      </c>
      <c r="B59" s="2347"/>
      <c r="C59" s="2347"/>
      <c r="D59" s="432">
        <f>IF(F33,+D57/F33,0)</f>
        <v>0</v>
      </c>
      <c r="E59" s="84" t="s">
        <v>460</v>
      </c>
      <c r="F59" s="30">
        <f>+F57</f>
        <v>45808</v>
      </c>
    </row>
    <row r="65" spans="1:16" hidden="1" x14ac:dyDescent="0.2">
      <c r="A65" s="2338" t="s">
        <v>1507</v>
      </c>
      <c r="B65" s="2338"/>
      <c r="C65" s="2338"/>
      <c r="D65" s="2338"/>
      <c r="E65" s="2338"/>
      <c r="F65" s="2338"/>
      <c r="G65" s="581"/>
      <c r="H65" s="581"/>
    </row>
    <row r="66" spans="1:16" hidden="1" x14ac:dyDescent="0.2">
      <c r="A66" s="2338"/>
      <c r="B66" s="2338"/>
      <c r="C66" s="2338"/>
      <c r="D66" s="2338"/>
      <c r="E66" s="2338"/>
      <c r="F66" s="2338"/>
      <c r="G66" s="1207"/>
      <c r="H66" s="581"/>
    </row>
    <row r="67" spans="1:16" hidden="1" x14ac:dyDescent="0.2">
      <c r="A67" s="1207"/>
      <c r="B67" s="1207"/>
      <c r="C67" s="1207"/>
      <c r="D67" s="1207"/>
      <c r="E67" s="1207"/>
      <c r="F67" s="1207"/>
      <c r="G67" s="1207"/>
      <c r="H67" s="581"/>
    </row>
    <row r="68" spans="1:16" hidden="1" x14ac:dyDescent="0.2">
      <c r="A68" s="1207"/>
      <c r="B68" s="1207"/>
      <c r="C68" s="1207"/>
      <c r="D68" s="1207"/>
      <c r="E68" s="1207"/>
      <c r="F68" s="1207"/>
      <c r="G68" s="1207"/>
      <c r="H68" s="581"/>
    </row>
    <row r="69" spans="1:16" hidden="1" x14ac:dyDescent="0.2">
      <c r="A69" s="2342" t="s">
        <v>663</v>
      </c>
      <c r="B69" s="2342"/>
      <c r="C69" s="2342"/>
      <c r="D69" s="1208">
        <f ca="1">+D57</f>
        <v>0</v>
      </c>
      <c r="E69" s="1209" t="s">
        <v>460</v>
      </c>
      <c r="F69" s="1210">
        <f>+DATE(YEAR(F57), 5,31)</f>
        <v>45808</v>
      </c>
      <c r="G69" s="1207"/>
      <c r="H69" s="581"/>
    </row>
    <row r="70" spans="1:16" hidden="1" x14ac:dyDescent="0.2">
      <c r="A70" s="1211"/>
      <c r="B70" s="1211"/>
      <c r="C70" s="1211"/>
      <c r="D70" s="1212"/>
      <c r="E70" s="1209"/>
      <c r="F70" s="1210"/>
      <c r="G70" s="1207"/>
      <c r="H70" s="581"/>
    </row>
    <row r="71" spans="1:16" hidden="1" x14ac:dyDescent="0.2">
      <c r="A71" s="1211"/>
      <c r="B71" s="1211"/>
      <c r="C71" s="1211"/>
      <c r="D71" s="1213"/>
      <c r="E71" s="1209"/>
      <c r="F71" s="1210"/>
      <c r="G71" s="1207"/>
      <c r="H71" s="581"/>
    </row>
    <row r="72" spans="1:16" hidden="1" x14ac:dyDescent="0.2">
      <c r="A72" s="2343" t="s">
        <v>587</v>
      </c>
      <c r="B72" s="2344"/>
      <c r="C72" s="2345"/>
      <c r="D72" s="1214">
        <f>+F33</f>
        <v>0</v>
      </c>
      <c r="E72" s="1209" t="s">
        <v>460</v>
      </c>
      <c r="F72" s="1210">
        <f>+DATE(YEAR(F59), 5,31)</f>
        <v>45808</v>
      </c>
      <c r="G72" s="1207"/>
      <c r="H72" s="581"/>
    </row>
    <row r="73" spans="1:16" hidden="1" x14ac:dyDescent="0.2">
      <c r="A73" s="1211"/>
      <c r="B73" s="1211"/>
      <c r="C73" s="1211"/>
      <c r="D73" s="1215"/>
      <c r="E73" s="1209"/>
      <c r="F73" s="1210"/>
      <c r="G73" s="1207"/>
      <c r="H73" s="581"/>
      <c r="I73" s="47"/>
      <c r="J73" s="47"/>
      <c r="K73" s="47"/>
      <c r="L73" s="47"/>
      <c r="M73" s="47"/>
      <c r="N73" s="47"/>
      <c r="O73" s="47"/>
      <c r="P73" s="47"/>
    </row>
    <row r="74" spans="1:16" hidden="1" x14ac:dyDescent="0.2">
      <c r="A74" s="581"/>
      <c r="B74" s="581"/>
      <c r="C74" s="1216"/>
      <c r="D74" s="1216"/>
      <c r="E74" s="1216"/>
      <c r="F74" s="1216"/>
      <c r="G74" s="1207"/>
      <c r="H74" s="581"/>
      <c r="I74" s="372"/>
      <c r="J74" s="372"/>
      <c r="K74" s="47"/>
      <c r="L74" s="47"/>
      <c r="M74" s="47"/>
      <c r="N74" s="47"/>
      <c r="O74" s="47"/>
      <c r="P74" s="47"/>
    </row>
    <row r="75" spans="1:16" ht="63.75" hidden="1" x14ac:dyDescent="0.2">
      <c r="A75" s="581"/>
      <c r="B75" s="1217" t="s">
        <v>719</v>
      </c>
      <c r="C75" s="1218" t="s">
        <v>715</v>
      </c>
      <c r="D75" s="1217" t="s">
        <v>653</v>
      </c>
      <c r="E75" s="1218" t="s">
        <v>720</v>
      </c>
      <c r="F75" s="1217" t="s">
        <v>654</v>
      </c>
      <c r="G75" s="1217" t="s">
        <v>655</v>
      </c>
      <c r="H75" s="1217" t="s">
        <v>718</v>
      </c>
      <c r="I75" s="372"/>
      <c r="J75" s="372"/>
      <c r="K75" s="47"/>
      <c r="L75" s="47"/>
      <c r="M75" s="47"/>
      <c r="N75" s="47"/>
      <c r="O75" s="47"/>
      <c r="P75" s="47"/>
    </row>
    <row r="76" spans="1:16" hidden="1" x14ac:dyDescent="0.2">
      <c r="A76" s="1219">
        <f>+IF(AND(DATE(YEAR($BK$8),6,30)&gt;=$BK$8,DATE(YEAR($BK$8),6,1)&lt;=$BM$5,$J$4&lt;=DATE(YEAR($BK$8),6,1)),DATE(YEAR($BK$8),6,1),"Hors période")</f>
        <v>45444</v>
      </c>
      <c r="B76" s="1214">
        <f t="shared" ref="B76:B87" si="3">+IF(C76="",IFERROR(+VLOOKUP(A76,BDD,16,FALSE),0),C76)</f>
        <v>0</v>
      </c>
      <c r="C76" s="1220"/>
      <c r="D76" s="1221">
        <f>+IF($D$72,$D$69/$D$72,0)</f>
        <v>0</v>
      </c>
      <c r="E76" s="1222"/>
      <c r="F76" s="1221">
        <f t="shared" ref="F76:F87" si="4">IFERROR(+IF(E76="",VLOOKUP(A76,BDD,28,FALSE),E76),0)</f>
        <v>0</v>
      </c>
      <c r="G76" s="1221">
        <f t="shared" ref="G76:G87" si="5">+D76*B76</f>
        <v>0</v>
      </c>
      <c r="H76" s="1221">
        <f t="shared" ref="H76:H87" si="6">+IF(G76-F76&gt;0,G76-F76,0)</f>
        <v>0</v>
      </c>
      <c r="I76" s="372"/>
      <c r="J76" s="372"/>
      <c r="K76" s="47"/>
      <c r="L76" s="47"/>
      <c r="M76" s="47"/>
      <c r="N76" s="47"/>
      <c r="O76" s="47"/>
      <c r="P76" s="47"/>
    </row>
    <row r="77" spans="1:16" hidden="1" x14ac:dyDescent="0.2">
      <c r="A77" s="1219">
        <f>+IF(AND(DATE(YEAR($BK$8),7,31)&gt;=$BK$8,DATE(YEAR($BK$8),7,1)&lt;=$BM$5,$J$4&lt;=DATE(YEAR($BK$8),7,31)),DATE(YEAR($BK$8),7,1),"Hors période")</f>
        <v>45474</v>
      </c>
      <c r="B77" s="1214">
        <f t="shared" si="3"/>
        <v>0</v>
      </c>
      <c r="C77" s="1220"/>
      <c r="D77" s="1221">
        <f t="shared" ref="D77:D87" si="7">+IF($D$72,$D$69/$D$72,0)</f>
        <v>0</v>
      </c>
      <c r="E77" s="1222"/>
      <c r="F77" s="1221">
        <f t="shared" si="4"/>
        <v>0</v>
      </c>
      <c r="G77" s="1221">
        <f t="shared" si="5"/>
        <v>0</v>
      </c>
      <c r="H77" s="1221">
        <f t="shared" si="6"/>
        <v>0</v>
      </c>
      <c r="I77" s="372"/>
      <c r="J77" s="372"/>
      <c r="K77" s="47"/>
      <c r="L77" s="47"/>
      <c r="M77" s="47"/>
      <c r="N77" s="47"/>
      <c r="O77" s="47"/>
      <c r="P77" s="47"/>
    </row>
    <row r="78" spans="1:16" hidden="1" x14ac:dyDescent="0.2">
      <c r="A78" s="1219">
        <f>+IF(AND(DATE(YEAR($BK$8),8,31)&gt;=$BK$8,DATE(YEAR($BK$8),8,1)&lt;=$BM$5,$J$4&lt;=DATE(YEAR($BK$8),8,31)),DATE(YEAR($BK$8),8,1),"Hors période")</f>
        <v>45505</v>
      </c>
      <c r="B78" s="1214">
        <f t="shared" si="3"/>
        <v>0</v>
      </c>
      <c r="C78" s="1220"/>
      <c r="D78" s="1221">
        <f t="shared" si="7"/>
        <v>0</v>
      </c>
      <c r="E78" s="1222"/>
      <c r="F78" s="1221">
        <f t="shared" si="4"/>
        <v>0</v>
      </c>
      <c r="G78" s="1221">
        <f t="shared" si="5"/>
        <v>0</v>
      </c>
      <c r="H78" s="1221">
        <f t="shared" si="6"/>
        <v>0</v>
      </c>
      <c r="I78" s="372"/>
      <c r="J78" s="372"/>
      <c r="K78" s="47"/>
      <c r="L78" s="47"/>
      <c r="M78" s="47"/>
      <c r="N78" s="47"/>
      <c r="O78" s="47"/>
      <c r="P78" s="47"/>
    </row>
    <row r="79" spans="1:16" hidden="1" x14ac:dyDescent="0.2">
      <c r="A79" s="1219">
        <f>+IF(AND(DATE(YEAR($BK$8),9,30)&gt;=$BK$8,DATE(YEAR($BK$8),9,1)&lt;=$BM$5,$J$4&lt;=DATE(YEAR($BK$8),9,30)),DATE(YEAR($BK$8),9,1),"Hors période")</f>
        <v>45536</v>
      </c>
      <c r="B79" s="1214">
        <f t="shared" si="3"/>
        <v>0</v>
      </c>
      <c r="C79" s="1220"/>
      <c r="D79" s="1221">
        <f t="shared" si="7"/>
        <v>0</v>
      </c>
      <c r="E79" s="1222"/>
      <c r="F79" s="1221">
        <f t="shared" si="4"/>
        <v>0</v>
      </c>
      <c r="G79" s="1221">
        <f t="shared" si="5"/>
        <v>0</v>
      </c>
      <c r="H79" s="1221">
        <f t="shared" si="6"/>
        <v>0</v>
      </c>
      <c r="I79" s="372"/>
      <c r="J79" s="372"/>
      <c r="K79" s="47"/>
      <c r="L79" s="47"/>
      <c r="M79" s="47"/>
      <c r="N79" s="47"/>
      <c r="O79" s="47"/>
      <c r="P79" s="47"/>
    </row>
    <row r="80" spans="1:16" hidden="1" x14ac:dyDescent="0.2">
      <c r="A80" s="1219">
        <f>+IF(AND(DATE(YEAR($BK$8),10,31)&gt;=$BK$8,DATE(YEAR($BK$8),10,1)&lt;=$BM$5,$J$4&lt;=DATE(YEAR($BK$8),10,31)),DATE(YEAR($BK$8),10,1),"Hors période")</f>
        <v>45566</v>
      </c>
      <c r="B80" s="1214">
        <f t="shared" si="3"/>
        <v>0</v>
      </c>
      <c r="C80" s="1220"/>
      <c r="D80" s="1221">
        <f t="shared" si="7"/>
        <v>0</v>
      </c>
      <c r="E80" s="1222"/>
      <c r="F80" s="1221">
        <f t="shared" si="4"/>
        <v>0</v>
      </c>
      <c r="G80" s="1221">
        <f t="shared" si="5"/>
        <v>0</v>
      </c>
      <c r="H80" s="1221">
        <f t="shared" si="6"/>
        <v>0</v>
      </c>
      <c r="I80" s="372"/>
      <c r="J80" s="372"/>
      <c r="K80" s="47"/>
      <c r="L80" s="47"/>
      <c r="M80" s="47"/>
      <c r="N80" s="47"/>
      <c r="O80" s="47"/>
      <c r="P80" s="47"/>
    </row>
    <row r="81" spans="1:16" hidden="1" x14ac:dyDescent="0.2">
      <c r="A81" s="1219">
        <f>+IF(AND(DATE(YEAR($BK$8),11,30)&gt;=$BK$8,DATE(YEAR($BK$8),11,1)&lt;=$BM$5,$J$4&lt;=DATE(YEAR($BK$8),11,30)),DATE(YEAR($BK$8),11,1),"Hors période")</f>
        <v>45597</v>
      </c>
      <c r="B81" s="1214">
        <f t="shared" si="3"/>
        <v>0</v>
      </c>
      <c r="C81" s="1220"/>
      <c r="D81" s="1221">
        <f t="shared" si="7"/>
        <v>0</v>
      </c>
      <c r="E81" s="1222"/>
      <c r="F81" s="1221">
        <f t="shared" si="4"/>
        <v>0</v>
      </c>
      <c r="G81" s="1221">
        <f t="shared" si="5"/>
        <v>0</v>
      </c>
      <c r="H81" s="1221">
        <f t="shared" si="6"/>
        <v>0</v>
      </c>
      <c r="I81" s="372"/>
      <c r="J81" s="372"/>
      <c r="K81" s="47"/>
      <c r="L81" s="47"/>
      <c r="M81" s="47"/>
      <c r="N81" s="47"/>
      <c r="O81" s="47"/>
      <c r="P81" s="47"/>
    </row>
    <row r="82" spans="1:16" hidden="1" x14ac:dyDescent="0.2">
      <c r="A82" s="1219">
        <f>+IF(AND(DATE(YEAR($BK$8),12,31)&gt;=$BK$8,DATE(YEAR($BK$8),12,1)&lt;=$BM$5,$J$4&lt;=DATE(YEAR($BK$8),12,31)),DATE(YEAR($BK$8),12,1),"Hors période")</f>
        <v>45627</v>
      </c>
      <c r="B82" s="1214">
        <f t="shared" si="3"/>
        <v>0</v>
      </c>
      <c r="C82" s="1220"/>
      <c r="D82" s="1221">
        <f t="shared" si="7"/>
        <v>0</v>
      </c>
      <c r="E82" s="1222"/>
      <c r="F82" s="1221">
        <f t="shared" si="4"/>
        <v>0</v>
      </c>
      <c r="G82" s="1221">
        <f t="shared" si="5"/>
        <v>0</v>
      </c>
      <c r="H82" s="1221">
        <f t="shared" si="6"/>
        <v>0</v>
      </c>
      <c r="I82" s="372"/>
      <c r="J82" s="372"/>
      <c r="K82" s="47"/>
      <c r="L82" s="47"/>
      <c r="M82" s="47"/>
      <c r="N82" s="47"/>
      <c r="O82" s="47"/>
      <c r="P82" s="47"/>
    </row>
    <row r="83" spans="1:16" hidden="1" x14ac:dyDescent="0.2">
      <c r="A83" s="1219">
        <f>+IF(AND(DATE(YEAR($BK$8)+1,1,31)&gt;=$BK$8,DATE(YEAR($BK$8)+1,1,1)&lt;=$BM$5,$J$4&lt;=DATE(YEAR($BK$8)+1,1,31)),DATE(YEAR($BK$8)+1,1,1),"Hors période")</f>
        <v>45658</v>
      </c>
      <c r="B83" s="1214">
        <f t="shared" si="3"/>
        <v>0</v>
      </c>
      <c r="C83" s="1220"/>
      <c r="D83" s="1221">
        <f t="shared" si="7"/>
        <v>0</v>
      </c>
      <c r="E83" s="1222"/>
      <c r="F83" s="1221">
        <f t="shared" si="4"/>
        <v>0</v>
      </c>
      <c r="G83" s="1221">
        <f t="shared" si="5"/>
        <v>0</v>
      </c>
      <c r="H83" s="1221">
        <f t="shared" si="6"/>
        <v>0</v>
      </c>
      <c r="I83" s="372"/>
      <c r="J83" s="372"/>
      <c r="K83" s="47"/>
      <c r="L83" s="47"/>
      <c r="M83" s="47"/>
      <c r="N83" s="47"/>
      <c r="O83" s="47"/>
      <c r="P83" s="47"/>
    </row>
    <row r="84" spans="1:16" hidden="1" x14ac:dyDescent="0.2">
      <c r="A84" s="1219">
        <f>+IF(AND(DATE(YEAR($BK$8)+1,2,29)&gt;=$BK$8,DATE(YEAR($BK$8)+1,2,1)&lt;=$BM$5,$J$4&lt;=DATE(YEAR($BK$8)+1,2,29)),DATE(YEAR($BK$8)+1,2,1),"Hors période")</f>
        <v>45689</v>
      </c>
      <c r="B84" s="1214">
        <f t="shared" si="3"/>
        <v>0</v>
      </c>
      <c r="C84" s="1220"/>
      <c r="D84" s="1221">
        <f t="shared" si="7"/>
        <v>0</v>
      </c>
      <c r="E84" s="1222"/>
      <c r="F84" s="1221">
        <f t="shared" si="4"/>
        <v>0</v>
      </c>
      <c r="G84" s="1221">
        <f t="shared" si="5"/>
        <v>0</v>
      </c>
      <c r="H84" s="1221">
        <f t="shared" si="6"/>
        <v>0</v>
      </c>
      <c r="I84" s="372"/>
      <c r="J84" s="372"/>
      <c r="K84" s="47"/>
      <c r="L84" s="47"/>
      <c r="M84" s="47"/>
      <c r="N84" s="47"/>
      <c r="O84" s="47"/>
      <c r="P84" s="47"/>
    </row>
    <row r="85" spans="1:16" hidden="1" x14ac:dyDescent="0.2">
      <c r="A85" s="1219">
        <f>+IF(AND(DATE(YEAR($BK$8)+1,3,31)&gt;=$BK$8,DATE(YEAR($BK$8)+1,3,1)&lt;=$BM$5,$J$4&lt;=DATE(YEAR($BK$8)+1,3,31)),DATE(YEAR($BK$8)+1,3,1),"Hors période")</f>
        <v>45717</v>
      </c>
      <c r="B85" s="1214">
        <f t="shared" si="3"/>
        <v>0</v>
      </c>
      <c r="C85" s="1220"/>
      <c r="D85" s="1221">
        <f t="shared" si="7"/>
        <v>0</v>
      </c>
      <c r="E85" s="1222"/>
      <c r="F85" s="1221">
        <f t="shared" si="4"/>
        <v>0</v>
      </c>
      <c r="G85" s="1221">
        <f t="shared" si="5"/>
        <v>0</v>
      </c>
      <c r="H85" s="1221">
        <f t="shared" si="6"/>
        <v>0</v>
      </c>
      <c r="I85" s="372"/>
      <c r="J85" s="372"/>
      <c r="K85" s="47"/>
      <c r="L85" s="47"/>
      <c r="M85" s="47"/>
      <c r="N85" s="47"/>
      <c r="O85" s="47"/>
      <c r="P85" s="47"/>
    </row>
    <row r="86" spans="1:16" hidden="1" x14ac:dyDescent="0.2">
      <c r="A86" s="1219">
        <f>+IF(AND(DATE(YEAR($BK$8)+1,4,30)&gt;=$BK$8,DATE(YEAR($BK$8)+1,4,1)&lt;=$BM$5,$J$4&lt;=DATE(YEAR($BK$8)+1,4,30)),DATE(YEAR($BK$8)+1,4,1),"Hors période")</f>
        <v>45748</v>
      </c>
      <c r="B86" s="1214">
        <f t="shared" si="3"/>
        <v>0</v>
      </c>
      <c r="C86" s="1220"/>
      <c r="D86" s="1221">
        <f t="shared" si="7"/>
        <v>0</v>
      </c>
      <c r="E86" s="1222"/>
      <c r="F86" s="1221">
        <f t="shared" si="4"/>
        <v>0</v>
      </c>
      <c r="G86" s="1221">
        <f t="shared" si="5"/>
        <v>0</v>
      </c>
      <c r="H86" s="1221">
        <f t="shared" si="6"/>
        <v>0</v>
      </c>
      <c r="I86" s="47"/>
      <c r="J86" s="47"/>
      <c r="K86" s="47"/>
      <c r="L86" s="47"/>
      <c r="M86" s="47"/>
      <c r="N86" s="47"/>
      <c r="O86" s="47"/>
      <c r="P86" s="47"/>
    </row>
    <row r="87" spans="1:16" hidden="1" x14ac:dyDescent="0.2">
      <c r="A87" s="1219">
        <f>+IF(AND(DATE(YEAR($BK$8)+1,5,31)&gt;=$BK$8,DATE(YEAR($BK$8)+1,5,1)&lt;=$BM$5,$J$4&lt;=DATE(YEAR($BK$8)+1,5,31)),DATE(YEAR($BK$8)+1,5,1),"Hors période")</f>
        <v>45778</v>
      </c>
      <c r="B87" s="1214">
        <f t="shared" si="3"/>
        <v>0</v>
      </c>
      <c r="C87" s="1220"/>
      <c r="D87" s="1221">
        <f t="shared" si="7"/>
        <v>0</v>
      </c>
      <c r="E87" s="1222"/>
      <c r="F87" s="1221">
        <f t="shared" si="4"/>
        <v>0</v>
      </c>
      <c r="G87" s="1221">
        <f t="shared" si="5"/>
        <v>0</v>
      </c>
      <c r="H87" s="1221">
        <f t="shared" si="6"/>
        <v>0</v>
      </c>
      <c r="I87" s="47"/>
      <c r="J87" s="47"/>
      <c r="K87" s="47"/>
      <c r="L87" s="47"/>
      <c r="M87" s="47"/>
      <c r="N87" s="47"/>
      <c r="O87" s="47"/>
      <c r="P87" s="47"/>
    </row>
    <row r="88" spans="1:16" hidden="1" x14ac:dyDescent="0.2">
      <c r="A88" s="581"/>
      <c r="B88" s="1223">
        <f>SUM(B76:B87)</f>
        <v>0</v>
      </c>
      <c r="C88" s="1211"/>
      <c r="D88" s="1224"/>
      <c r="E88" s="581"/>
      <c r="F88" s="1225">
        <f>SUM(F76:F87)</f>
        <v>0</v>
      </c>
      <c r="G88" s="1225">
        <f>SUM(G76:G87)</f>
        <v>0</v>
      </c>
      <c r="H88" s="1221">
        <f>SUM(H76:H87)</f>
        <v>0</v>
      </c>
      <c r="I88" s="47"/>
      <c r="J88" s="47"/>
      <c r="K88" s="47"/>
      <c r="L88" s="47"/>
      <c r="M88" s="47"/>
      <c r="N88" s="47"/>
      <c r="O88" s="47"/>
      <c r="P88" s="47"/>
    </row>
    <row r="89" spans="1:16" hidden="1" x14ac:dyDescent="0.2">
      <c r="A89" s="581"/>
      <c r="B89" s="581"/>
      <c r="C89" s="1211"/>
      <c r="D89" s="1224"/>
      <c r="E89" s="581"/>
      <c r="F89" s="581"/>
      <c r="G89" s="581"/>
      <c r="H89" s="581"/>
    </row>
    <row r="90" spans="1:16" hidden="1" x14ac:dyDescent="0.2">
      <c r="A90" s="581"/>
      <c r="B90" s="581"/>
      <c r="C90" s="581"/>
      <c r="D90" s="581"/>
      <c r="E90" s="581"/>
      <c r="F90" s="581"/>
      <c r="G90" s="581"/>
      <c r="H90" s="581"/>
    </row>
    <row r="91" spans="1:16" hidden="1" x14ac:dyDescent="0.2">
      <c r="A91" s="581"/>
      <c r="B91" s="581"/>
      <c r="C91" s="581"/>
      <c r="D91" s="581"/>
      <c r="E91" s="581"/>
      <c r="F91" s="2336" t="s">
        <v>656</v>
      </c>
      <c r="G91" s="2337"/>
      <c r="H91" s="1226">
        <f>ROUND(IF(H88&lt;0,0,H88),2)</f>
        <v>0</v>
      </c>
    </row>
    <row r="92" spans="1:16" hidden="1" x14ac:dyDescent="0.2">
      <c r="A92" s="581"/>
      <c r="B92" s="581"/>
      <c r="C92" s="581"/>
      <c r="D92" s="581"/>
      <c r="E92" s="581"/>
      <c r="F92" s="581"/>
      <c r="G92" s="581"/>
      <c r="H92" s="581"/>
    </row>
    <row r="93" spans="1:16" hidden="1" x14ac:dyDescent="0.2"/>
  </sheetData>
  <sheetProtection algorithmName="SHA-512" hashValue="M9oMkNBEAGu8rFZ3QfmQL1D3dlrOqcYxcfUKuL+1P2PsREpYaPzHlNSjvrbYFlY6Wa1f2uFiQKAzdHnfroE05g==" saltValue="PjHaEy9Bb7NyqjI/wYt36A==" spinCount="100000" sheet="1" objects="1" scenarios="1" formatCells="0" formatColumns="0" formatRows="0" insertColumns="0" insertRows="0" insertHyperlinks="0" sort="0" autoFilter="0" pivotTables="0"/>
  <mergeCells count="14">
    <mergeCell ref="I1:N1"/>
    <mergeCell ref="C2:I2"/>
    <mergeCell ref="B13:D13"/>
    <mergeCell ref="B14:D14"/>
    <mergeCell ref="H13:I13"/>
    <mergeCell ref="A1:H1"/>
    <mergeCell ref="F91:G91"/>
    <mergeCell ref="A65:F66"/>
    <mergeCell ref="H12:L12"/>
    <mergeCell ref="H16:L16"/>
    <mergeCell ref="A69:C69"/>
    <mergeCell ref="A72:C72"/>
    <mergeCell ref="A57:C57"/>
    <mergeCell ref="A59:C59"/>
  </mergeCells>
  <conditionalFormatting sqref="A65:G91">
    <cfRule type="expression" dxfId="3315" priority="7">
      <formula>$S$15="NON"</formula>
    </cfRule>
  </conditionalFormatting>
  <conditionalFormatting sqref="A10:Q94">
    <cfRule type="expression" dxfId="3314" priority="1">
      <formula>$BC$4="OUI"</formula>
    </cfRule>
  </conditionalFormatting>
  <conditionalFormatting sqref="C40">
    <cfRule type="expression" dxfId="3313" priority="21">
      <formula>$T$2="JAUNE"</formula>
    </cfRule>
  </conditionalFormatting>
  <conditionalFormatting sqref="C41">
    <cfRule type="expression" dxfId="3312" priority="20">
      <formula>$T$3="JAUNE"</formula>
    </cfRule>
  </conditionalFormatting>
  <conditionalFormatting sqref="C42">
    <cfRule type="expression" dxfId="3311" priority="19">
      <formula>$T$4="JAUNE"</formula>
    </cfRule>
  </conditionalFormatting>
  <conditionalFormatting sqref="C43">
    <cfRule type="expression" dxfId="3310" priority="18">
      <formula>$T$5="JAUNE"</formula>
    </cfRule>
  </conditionalFormatting>
  <conditionalFormatting sqref="C44">
    <cfRule type="expression" dxfId="3309" priority="17">
      <formula>$T$6="JAUNE"</formula>
    </cfRule>
  </conditionalFormatting>
  <conditionalFormatting sqref="C45">
    <cfRule type="expression" dxfId="3308" priority="16">
      <formula>$T$7="JAUNE"</formula>
    </cfRule>
  </conditionalFormatting>
  <conditionalFormatting sqref="C46">
    <cfRule type="expression" dxfId="3307" priority="15">
      <formula>$T$8="JAUNE"</formula>
    </cfRule>
  </conditionalFormatting>
  <conditionalFormatting sqref="C47">
    <cfRule type="expression" dxfId="3306" priority="14">
      <formula>$T$9="JAUNE"</formula>
    </cfRule>
  </conditionalFormatting>
  <conditionalFormatting sqref="C48">
    <cfRule type="expression" dxfId="3305" priority="13">
      <formula>$S$10="JAUNE"</formula>
    </cfRule>
  </conditionalFormatting>
  <conditionalFormatting sqref="C49">
    <cfRule type="expression" dxfId="3304" priority="12">
      <formula>$S$11="JAUNE"</formula>
    </cfRule>
  </conditionalFormatting>
  <conditionalFormatting sqref="C50">
    <cfRule type="expression" dxfId="3303" priority="11">
      <formula>$S$12="JAUNE"</formula>
    </cfRule>
  </conditionalFormatting>
  <conditionalFormatting sqref="C51">
    <cfRule type="expression" dxfId="3302" priority="10">
      <formula>$S$13="JAUNE"</formula>
    </cfRule>
  </conditionalFormatting>
  <conditionalFormatting sqref="F20 C40:C51 C76:C87 E76:E87">
    <cfRule type="notContainsBlanks" dxfId="3301" priority="6">
      <formula>LEN(TRIM(C20))&gt;0</formula>
    </cfRule>
  </conditionalFormatting>
  <conditionalFormatting sqref="F26">
    <cfRule type="notContainsBlanks" dxfId="3300" priority="2">
      <formula>LEN(TRIM(F26))&gt;0</formula>
    </cfRule>
  </conditionalFormatting>
  <conditionalFormatting sqref="H63:H72 H75:H91">
    <cfRule type="expression" dxfId="3299"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35" width="11.42578125" style="333" hidden="1" customWidth="1"/>
    <col min="136" max="136" width="14.140625" style="333" hidden="1" customWidth="1"/>
    <col min="137"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 ca="1">+T35-T32-T33-T34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DATE(YEAR(Janvier!X3),MONTH(Janvier!X3)+5,DAY(Janvier!X3))</f>
        <v>45809</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22</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IF(Mai!BY8="OUI","Contrat fini",BY2)</f>
        <v>Fiche info</v>
      </c>
      <c r="EF4" s="333" t="s">
        <v>1044</v>
      </c>
      <c r="EG4" s="755">
        <f>+Identification!B95</f>
        <v>0</v>
      </c>
      <c r="FG4" s="333" t="str">
        <f>IFERROR(IF(VLOOKUP(AT4,Mai!$AT$4:$AU$10,2,FALSE)&lt;&gt;Juin!AU4,"rouge","ok"),0)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45809</v>
      </c>
      <c r="Y5" s="1948"/>
      <c r="Z5" s="1953" t="s">
        <v>460</v>
      </c>
      <c r="AA5" s="1953"/>
      <c r="AB5" s="1948">
        <f>+IF(AND(DATE(YEAR(EG4),MONTH(EG4),DAY(EG4))&gt;=DATE(YEAR(X3),MONTH(X3),DAY(X3)),DATE(YEAR(EG4),MONTH(EG4),DAY(EG4))&lt;=DATE(YEAR(X3),MONTH(X3),DAY(EOMONTH(X3,0)))),EG4,EOMONTH(X3,0))</f>
        <v>45838</v>
      </c>
      <c r="AC5" s="1952"/>
      <c r="AP5" s="211"/>
      <c r="AQ5" s="336"/>
      <c r="AR5" s="211"/>
      <c r="AS5" s="212"/>
      <c r="AT5" s="319">
        <f t="array" ref="AT5">IFERROR(INDEX($BK$20:$BK$50,MATCH(0,INDEX(COUNTIF($AT$3:AT4,$BK$20:$BK$50),0,0),0)),"")</f>
        <v>23</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45838</v>
      </c>
      <c r="FG5" s="333">
        <f>IFERROR(IF(VLOOKUP(AT5,Mai!$AT$4:$AU$10,2,FALSE)&lt;&gt;Juin!AU5,"rouge","ok"),0)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24</v>
      </c>
      <c r="AU6" s="1144" t="s">
        <v>235</v>
      </c>
      <c r="BQ6" s="596"/>
      <c r="BR6" s="596"/>
      <c r="BS6" s="596"/>
      <c r="BT6" s="596"/>
      <c r="BU6" s="596"/>
      <c r="BV6" s="596"/>
      <c r="BW6" s="596"/>
      <c r="BX6" s="597" t="s">
        <v>520</v>
      </c>
      <c r="BY6" s="598" t="str">
        <f>+IF(BZ6="",Mai!BY6,BZ6)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IFERROR(IF(VLOOKUP(AT6,Mai!$AT$4:$AU$10,2,FALSE)&lt;&gt;Juin!AU6,"rouge","ok"),0)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25</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IFERROR(IF(VLOOKUP(AT7,Mai!$AT$4:$AU$10,2,FALSE)&lt;&gt;Juin!AU7,"rouge","ok"),0)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26</v>
      </c>
      <c r="AU8" s="1144" t="s">
        <v>235</v>
      </c>
      <c r="BG8" s="252"/>
      <c r="BH8" s="1462" t="str">
        <f>+AT3</f>
        <v>N° Sem.</v>
      </c>
      <c r="BI8" s="1463" t="s">
        <v>1580</v>
      </c>
      <c r="BQ8" s="2132" t="s">
        <v>219</v>
      </c>
      <c r="BR8" s="2133"/>
      <c r="BS8" s="2133"/>
      <c r="BT8" s="2133"/>
      <c r="BU8" s="2133"/>
      <c r="BV8" s="2133"/>
      <c r="BW8" s="2133"/>
      <c r="BX8" s="2133"/>
      <c r="BY8" s="985" t="str">
        <f>IF(BZ8="",Mai!BY8,BZ8)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 ca="1">+IF(AND(EO6="",R89=0,R87&gt;0,OR(T30&gt;0,T32&gt;0)),"OUI","")</f>
        <v/>
      </c>
      <c r="FG8" s="333">
        <f>IFERROR(IF(VLOOKUP(AT8,Mai!$AT$4:$AU$10,2,FALSE)&lt;&gt;Juin!AU8,"rouge","ok"),0)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f t="array" ref="AT9">IFERROR(INDEX($BK$20:$BK$50,MATCH(0,INDEX(COUNTIF($AT$3:AT8,$BK$20:$BK$50),0,0),0)),"")</f>
        <v>27</v>
      </c>
      <c r="AU9" s="1144" t="s">
        <v>235</v>
      </c>
      <c r="BG9" s="1453" t="str">
        <f>+BH9&amp;$X$4</f>
        <v>222025</v>
      </c>
      <c r="BH9" s="1464">
        <f t="shared" ref="BH9:BH14" si="0">+AT4</f>
        <v>22</v>
      </c>
      <c r="BI9" s="1465">
        <f>IF($AR$13=S.CAL!$CU$2,+SUMIF(S.CAL!$FW$3:$FW$374,BG9,S.CAL!$FX$3:$FX$374),IF($AR$13=S.CAL!$CU$3,SUMIF(Feuilles_de_présence_planning!$EG$12:$EG$537,BG9,Feuilles_de_présence_planning!$EE$12:$EE$537),"err"))</f>
        <v>0</v>
      </c>
      <c r="BY9" s="198" t="str">
        <f>+IF(Mai!BY8="OUI","FIN","O")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f>IFERROR(IF(VLOOKUP(AT9,Mai!$AT$4:$AU$10,2,FALSE)&lt;&gt;Juin!AU9,"rouge","ok"),0)</f>
        <v>0</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232025</v>
      </c>
      <c r="BH10" s="1464">
        <f t="shared" si="0"/>
        <v>23</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IFERROR(IF(VLOOKUP(AT10,Mai!$AT$4:$AU$10,2,FALSE)&lt;&gt;Juin!AU10,"rouge","ok"),0)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242025</v>
      </c>
      <c r="BH11" s="1464">
        <f t="shared" si="0"/>
        <v>24</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252025</v>
      </c>
      <c r="BH12" s="1464">
        <f t="shared" si="0"/>
        <v>25</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1</v>
      </c>
      <c r="EN12" s="420" t="s">
        <v>1644</v>
      </c>
      <c r="EO12" s="870"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IF(AR14="",Mai!AR13,AR14)</f>
        <v>à partir du tableau ci-dessous</v>
      </c>
      <c r="AS13" s="2296"/>
      <c r="AT13" s="2296"/>
      <c r="AU13" s="2296"/>
      <c r="AV13" s="2296"/>
      <c r="AW13" s="2296"/>
      <c r="AX13" s="2296"/>
      <c r="AY13" s="2296"/>
      <c r="AZ13" s="2296"/>
      <c r="BA13" s="2308" t="s">
        <v>1102</v>
      </c>
      <c r="BB13" s="2308"/>
      <c r="BC13" s="2308"/>
      <c r="BD13" s="971"/>
      <c r="BG13" s="1453" t="str">
        <f t="shared" si="1"/>
        <v>262025</v>
      </c>
      <c r="BH13" s="1464">
        <f t="shared" si="0"/>
        <v>26</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+Juin!R89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272025</v>
      </c>
      <c r="BH14" s="1466">
        <f t="shared" si="0"/>
        <v>27</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ROUND('CP Année Complète au 31-05'!F19,2)</f>
        <v>0</v>
      </c>
      <c r="EG16" s="759">
        <f>MROUND('CP Année Incomplète au 31-05'!F24,0.05)</f>
        <v>0</v>
      </c>
      <c r="EH16" s="759">
        <v>0</v>
      </c>
      <c r="EI16" s="759">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Juin'!D18:D48,"&gt;0")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45809</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22</v>
      </c>
      <c r="AQ20" s="340"/>
      <c r="AR20" s="1145"/>
      <c r="AS20" s="332">
        <f t="shared" ref="AS20:AS50" si="3">SUM(AD20:AL20)</f>
        <v>0</v>
      </c>
      <c r="AT20" s="1146"/>
      <c r="AU20" s="1146"/>
      <c r="AV20" s="332"/>
      <c r="AW20" s="1989">
        <f>AB20</f>
        <v>45809</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infoA7</v>
      </c>
      <c r="BK20" s="129">
        <f>IFERROR(WEEKNUM(AB20,21),"")</f>
        <v>22</v>
      </c>
      <c r="BL20" s="129" t="str">
        <f t="shared" ref="BL20:BL50" si="4">+VLOOKUP(BK20,$AT$4:$AU$10,2,)</f>
        <v>A</v>
      </c>
      <c r="BM20" s="129">
        <f t="shared" ref="BM20:BM21" si="5">WEEKDAY(AB20,2)</f>
        <v>7</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25</v>
      </c>
      <c r="EQ20" s="766">
        <f>+AB20</f>
        <v>45809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45809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22</v>
      </c>
      <c r="GA20" s="129">
        <f>+$X$4</f>
        <v>2025</v>
      </c>
      <c r="GB20" s="129" t="str">
        <f>+FZ20&amp;GA20</f>
        <v>222025</v>
      </c>
      <c r="GC20" s="225">
        <f>IF(AND($GD$53=S.CAL!$P$3,$GD$52=FZ20),GE20,IF(BH20="",0,BH20))</f>
        <v>0</v>
      </c>
      <c r="GD20" s="129" t="str">
        <f>IFERROR(+Juillet!$BY$2&amp;BL20&amp;BM20,0)</f>
        <v>Fiche infoA7</v>
      </c>
      <c r="GE20" s="129" t="str">
        <f t="shared" ref="GE20:GE50" si="19">+IFERROR(VLOOKUP(GD20,Base_heures,6,FALSE),"")</f>
        <v/>
      </c>
      <c r="GF20" s="225" t="str">
        <f>IF(FP20=1,GG20,AM20)</f>
        <v/>
      </c>
      <c r="GG20" s="1469" t="str">
        <f>+'Retenue Juin'!D18</f>
        <v/>
      </c>
      <c r="GH20" s="1469">
        <f>+'Retenue Juin'!BF18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45810</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f>IFERROR(IF(WEEKDAY(AB21,11)=1,WEEKNUM(AB21,21),""),"")</f>
        <v>23</v>
      </c>
      <c r="AQ21" s="340"/>
      <c r="AR21" s="1126"/>
      <c r="AS21" s="332">
        <f t="shared" si="3"/>
        <v>0</v>
      </c>
      <c r="AT21" s="1147"/>
      <c r="AU21" s="1147"/>
      <c r="AV21" s="332"/>
      <c r="AW21" s="2017">
        <f t="shared" ref="AW21:AW50" si="22">AB21</f>
        <v>45810</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infoA1</v>
      </c>
      <c r="BK21" s="129">
        <f t="shared" ref="BK21" si="27">IFERROR(WEEKNUM(AB21,21),"")</f>
        <v>23</v>
      </c>
      <c r="BL21" s="129" t="str">
        <f t="shared" si="4"/>
        <v>A</v>
      </c>
      <c r="BM21" s="129">
        <f t="shared" si="5"/>
        <v>1</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45809</v>
      </c>
      <c r="EJ21" s="755"/>
      <c r="EK21" s="755"/>
      <c r="EQ21" s="766">
        <f t="shared" ref="EQ21" si="28">+AB21</f>
        <v>45810</v>
      </c>
      <c r="ER21" s="767">
        <f t="shared" si="10"/>
        <v>0</v>
      </c>
      <c r="ES21" s="768">
        <f t="shared" si="11"/>
        <v>0</v>
      </c>
      <c r="ET21" s="767">
        <f t="shared" si="12"/>
        <v>0</v>
      </c>
      <c r="EU21" s="768">
        <f t="shared" si="13"/>
        <v>0</v>
      </c>
      <c r="EV21" s="767" t="str">
        <f t="shared" si="14"/>
        <v/>
      </c>
      <c r="EW21" s="769">
        <f t="shared" ref="EW21:EW50" si="29">+EQ21</f>
        <v>45810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23</v>
      </c>
      <c r="GA21" s="129">
        <f t="shared" ref="GA21:GA50" si="39">+$X$4</f>
        <v>2025</v>
      </c>
      <c r="GB21" s="129" t="str">
        <f t="shared" ref="GB21:GB48" si="40">+FZ21&amp;GA21</f>
        <v>232025</v>
      </c>
      <c r="GC21" s="225">
        <f>IF(AND($GD$53=S.CAL!$P$3,$GD$52=FZ21),GE21,IF(BH21="",0,BH21))</f>
        <v>0</v>
      </c>
      <c r="GD21" s="129" t="str">
        <f>IFERROR(+Juillet!$BY$2&amp;BL21&amp;BM21,0)</f>
        <v>Fiche infoA1</v>
      </c>
      <c r="GE21" s="129" t="str">
        <f t="shared" si="19"/>
        <v/>
      </c>
      <c r="GF21" s="225" t="str">
        <f t="shared" ref="GF21:GF48" si="41">IF(FP21=1,GG21,AM21)</f>
        <v/>
      </c>
      <c r="GG21" s="1469" t="str">
        <f>+'Retenue Juin'!D19</f>
        <v/>
      </c>
      <c r="GH21" s="1469">
        <f>+'Retenue Juin'!BF19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45811</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45811</v>
      </c>
      <c r="AX22" s="1878"/>
      <c r="AY22" s="332"/>
      <c r="AZ22" s="1126"/>
      <c r="BA22" s="993"/>
      <c r="BB22" s="561"/>
      <c r="BC22" s="566">
        <f t="shared" si="23"/>
        <v>0</v>
      </c>
      <c r="BD22" s="1126"/>
      <c r="BE22" s="825">
        <f t="shared" si="24"/>
        <v>0</v>
      </c>
      <c r="BF22" s="1150"/>
      <c r="BG22" s="224"/>
      <c r="BH22" s="566" t="str">
        <f t="shared" si="25"/>
        <v/>
      </c>
      <c r="BI22" s="1150"/>
      <c r="BJ22" s="129" t="str">
        <f t="shared" si="26"/>
        <v>Fiche infoA2</v>
      </c>
      <c r="BK22" s="129">
        <f t="shared" ref="BK22:BK50" si="49">IFERROR(WEEKNUM(AB22,21),"")</f>
        <v>23</v>
      </c>
      <c r="BL22" s="129" t="str">
        <f t="shared" si="4"/>
        <v>A</v>
      </c>
      <c r="BM22" s="129">
        <f t="shared" ref="BM22:BM47" si="50">WEEKDAY(AB22,2)</f>
        <v>2</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45838</v>
      </c>
      <c r="EJ22" s="755"/>
      <c r="EK22" s="755"/>
      <c r="EQ22" s="766">
        <f t="shared" ref="EQ22:EQ50" si="53">+AB22</f>
        <v>45811</v>
      </c>
      <c r="ER22" s="767">
        <f t="shared" si="10"/>
        <v>0</v>
      </c>
      <c r="ES22" s="768">
        <f t="shared" si="11"/>
        <v>0</v>
      </c>
      <c r="ET22" s="767">
        <f t="shared" si="12"/>
        <v>0</v>
      </c>
      <c r="EU22" s="768">
        <f t="shared" si="13"/>
        <v>0</v>
      </c>
      <c r="EV22" s="767" t="str">
        <f t="shared" si="14"/>
        <v/>
      </c>
      <c r="EW22" s="769">
        <f t="shared" si="29"/>
        <v>45811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23</v>
      </c>
      <c r="GA22" s="129">
        <f t="shared" si="39"/>
        <v>2025</v>
      </c>
      <c r="GB22" s="129" t="str">
        <f t="shared" si="40"/>
        <v>232025</v>
      </c>
      <c r="GC22" s="225">
        <f>IF(AND($GD$53=S.CAL!$P$3,$GD$52=FZ22),GE22,IF(BH22="",0,BH22))</f>
        <v>0</v>
      </c>
      <c r="GD22" s="129" t="str">
        <f>IFERROR(+Juillet!$BY$2&amp;BL22&amp;BM22,0)</f>
        <v>Fiche infoA2</v>
      </c>
      <c r="GE22" s="129" t="str">
        <f t="shared" si="19"/>
        <v/>
      </c>
      <c r="GF22" s="225" t="str">
        <f t="shared" si="41"/>
        <v/>
      </c>
      <c r="GG22" s="1469" t="str">
        <f>+'Retenue Juin'!D20</f>
        <v/>
      </c>
      <c r="GH22" s="1469">
        <f>+'Retenue Juin'!BF20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45812</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45812</v>
      </c>
      <c r="AX23" s="1878"/>
      <c r="AY23" s="332"/>
      <c r="AZ23" s="1126"/>
      <c r="BA23" s="993"/>
      <c r="BB23" s="561"/>
      <c r="BC23" s="566">
        <f t="shared" si="23"/>
        <v>0</v>
      </c>
      <c r="BD23" s="1126"/>
      <c r="BE23" s="825">
        <f t="shared" si="24"/>
        <v>0</v>
      </c>
      <c r="BF23" s="1150"/>
      <c r="BG23" s="224"/>
      <c r="BH23" s="566" t="str">
        <f t="shared" si="25"/>
        <v/>
      </c>
      <c r="BI23" s="1150"/>
      <c r="BJ23" s="129" t="str">
        <f t="shared" si="26"/>
        <v>Fiche infoA3</v>
      </c>
      <c r="BK23" s="129">
        <f t="shared" si="49"/>
        <v>23</v>
      </c>
      <c r="BL23" s="129" t="str">
        <f t="shared" si="4"/>
        <v>A</v>
      </c>
      <c r="BM23" s="129">
        <f t="shared" si="50"/>
        <v>3</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45812</v>
      </c>
      <c r="ER23" s="767">
        <f t="shared" si="10"/>
        <v>0</v>
      </c>
      <c r="ES23" s="768">
        <f t="shared" si="11"/>
        <v>0</v>
      </c>
      <c r="ET23" s="767">
        <f t="shared" si="12"/>
        <v>0</v>
      </c>
      <c r="EU23" s="768">
        <f t="shared" si="13"/>
        <v>0</v>
      </c>
      <c r="EV23" s="767" t="str">
        <f t="shared" si="14"/>
        <v/>
      </c>
      <c r="EW23" s="769">
        <f t="shared" si="29"/>
        <v>45812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23</v>
      </c>
      <c r="GA23" s="129">
        <f t="shared" si="39"/>
        <v>2025</v>
      </c>
      <c r="GB23" s="129" t="str">
        <f t="shared" si="40"/>
        <v>232025</v>
      </c>
      <c r="GC23" s="225">
        <f>IF(AND($GD$53=S.CAL!$P$3,$GD$52=FZ23),GE23,IF(BH23="",0,BH23))</f>
        <v>0</v>
      </c>
      <c r="GD23" s="129" t="str">
        <f>IFERROR(+Juillet!$BY$2&amp;BL23&amp;BM23,0)</f>
        <v>Fiche infoA3</v>
      </c>
      <c r="GE23" s="129" t="str">
        <f t="shared" si="19"/>
        <v/>
      </c>
      <c r="GF23" s="225" t="str">
        <f t="shared" si="41"/>
        <v/>
      </c>
      <c r="GG23" s="1469" t="str">
        <f>+'Retenue Juin'!D21</f>
        <v/>
      </c>
      <c r="GH23" s="1469">
        <f>+'Retenue Juin'!BF21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45813</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45813</v>
      </c>
      <c r="AX24" s="1878"/>
      <c r="AY24" s="332"/>
      <c r="AZ24" s="1126"/>
      <c r="BA24" s="993"/>
      <c r="BB24" s="561"/>
      <c r="BC24" s="566">
        <f t="shared" si="23"/>
        <v>0</v>
      </c>
      <c r="BD24" s="1126"/>
      <c r="BE24" s="825">
        <f t="shared" si="24"/>
        <v>0</v>
      </c>
      <c r="BF24" s="1150"/>
      <c r="BG24" s="224"/>
      <c r="BH24" s="566" t="str">
        <f t="shared" si="25"/>
        <v/>
      </c>
      <c r="BI24" s="1150"/>
      <c r="BJ24" s="129" t="str">
        <f t="shared" si="26"/>
        <v>Fiche infoA4</v>
      </c>
      <c r="BK24" s="129">
        <f t="shared" si="49"/>
        <v>23</v>
      </c>
      <c r="BL24" s="129" t="str">
        <f t="shared" si="4"/>
        <v>A</v>
      </c>
      <c r="BM24" s="129">
        <f t="shared" si="50"/>
        <v>4</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45813</v>
      </c>
      <c r="ER24" s="767">
        <f t="shared" si="10"/>
        <v>0</v>
      </c>
      <c r="ES24" s="768">
        <f t="shared" si="11"/>
        <v>0</v>
      </c>
      <c r="ET24" s="767">
        <f t="shared" si="12"/>
        <v>0</v>
      </c>
      <c r="EU24" s="768">
        <f t="shared" si="13"/>
        <v>0</v>
      </c>
      <c r="EV24" s="767" t="str">
        <f t="shared" si="14"/>
        <v/>
      </c>
      <c r="EW24" s="769">
        <f t="shared" si="29"/>
        <v>45813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23</v>
      </c>
      <c r="GA24" s="129">
        <f t="shared" si="39"/>
        <v>2025</v>
      </c>
      <c r="GB24" s="129" t="str">
        <f t="shared" si="40"/>
        <v>232025</v>
      </c>
      <c r="GC24" s="225">
        <f>IF(AND($GD$53=S.CAL!$P$3,$GD$52=FZ24),GE24,IF(BH24="",0,BH24))</f>
        <v>0</v>
      </c>
      <c r="GD24" s="129" t="str">
        <f>IFERROR(+Juillet!$BY$2&amp;BL24&amp;BM24,0)</f>
        <v>Fiche infoA4</v>
      </c>
      <c r="GE24" s="129" t="str">
        <f t="shared" si="19"/>
        <v/>
      </c>
      <c r="GF24" s="225" t="str">
        <f t="shared" si="41"/>
        <v/>
      </c>
      <c r="GG24" s="1469" t="str">
        <f>+'Retenue Juin'!D22</f>
        <v/>
      </c>
      <c r="GH24" s="1469">
        <f>+'Retenue Juin'!BF22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Juin'!R48*-1)</f>
        <v>#DIV/0!</v>
      </c>
      <c r="M25" s="1811"/>
      <c r="N25" s="1811"/>
      <c r="O25" s="1812"/>
      <c r="P25" s="1816" t="e">
        <f>+IF(L25,T25/L25,0)</f>
        <v>#DIV/0!</v>
      </c>
      <c r="Q25" s="1817"/>
      <c r="R25" s="1817"/>
      <c r="S25" s="1818"/>
      <c r="T25" s="1913">
        <f>IF(A18="Salaire heures normales réelles",0,'Retenue Juin'!R52*-1)</f>
        <v>0</v>
      </c>
      <c r="U25" s="1914"/>
      <c r="V25" s="1914"/>
      <c r="W25" s="1915"/>
      <c r="X25" s="226"/>
      <c r="Y25" s="226"/>
      <c r="Z25" s="226"/>
      <c r="AA25" s="903" t="str">
        <f>IF(AND(BE25="OUI",$AR$13=S.CAL!$CU$2),"►",IF(AND(EV25="OUI",$AR$13=S.CAL!$CU$3),"►",""))</f>
        <v/>
      </c>
      <c r="AB25" s="1877">
        <f>+$X$3+5</f>
        <v>45814</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45814</v>
      </c>
      <c r="AX25" s="1878"/>
      <c r="AY25" s="332"/>
      <c r="AZ25" s="1126"/>
      <c r="BA25" s="993"/>
      <c r="BB25" s="561"/>
      <c r="BC25" s="566">
        <f t="shared" si="23"/>
        <v>0</v>
      </c>
      <c r="BD25" s="1126"/>
      <c r="BE25" s="825">
        <f t="shared" si="24"/>
        <v>0</v>
      </c>
      <c r="BF25" s="1150"/>
      <c r="BG25" s="224"/>
      <c r="BH25" s="566" t="str">
        <f t="shared" si="25"/>
        <v/>
      </c>
      <c r="BI25" s="1150"/>
      <c r="BJ25" s="129" t="str">
        <f t="shared" si="26"/>
        <v>Fiche infoA5</v>
      </c>
      <c r="BK25" s="129">
        <f t="shared" si="49"/>
        <v>23</v>
      </c>
      <c r="BL25" s="129" t="str">
        <f t="shared" si="4"/>
        <v>A</v>
      </c>
      <c r="BM25" s="129">
        <f t="shared" si="50"/>
        <v>5</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 ca="1">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45814</v>
      </c>
      <c r="ER25" s="767">
        <f t="shared" si="10"/>
        <v>0</v>
      </c>
      <c r="ES25" s="768">
        <f t="shared" si="11"/>
        <v>0</v>
      </c>
      <c r="ET25" s="767">
        <f t="shared" si="12"/>
        <v>0</v>
      </c>
      <c r="EU25" s="768">
        <f t="shared" si="13"/>
        <v>0</v>
      </c>
      <c r="EV25" s="767" t="str">
        <f t="shared" si="14"/>
        <v/>
      </c>
      <c r="EW25" s="769">
        <f t="shared" si="29"/>
        <v>45814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23</v>
      </c>
      <c r="GA25" s="129">
        <f t="shared" si="39"/>
        <v>2025</v>
      </c>
      <c r="GB25" s="129" t="str">
        <f t="shared" si="40"/>
        <v>232025</v>
      </c>
      <c r="GC25" s="225">
        <f>IF(AND($GD$53=S.CAL!$P$3,$GD$52=FZ25),GE25,IF(BH25="",0,BH25))</f>
        <v>0</v>
      </c>
      <c r="GD25" s="129" t="str">
        <f>IFERROR(+Juillet!$BY$2&amp;BL25&amp;BM25,0)</f>
        <v>Fiche infoA5</v>
      </c>
      <c r="GE25" s="129" t="str">
        <f t="shared" si="19"/>
        <v/>
      </c>
      <c r="GF25" s="225" t="str">
        <f t="shared" si="41"/>
        <v/>
      </c>
      <c r="GG25" s="1469" t="str">
        <f>+'Retenue Juin'!D23</f>
        <v/>
      </c>
      <c r="GH25" s="1469">
        <f>+'Retenue Juin'!BF23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Juin'!R50*-1)</f>
        <v>#DIV/0!</v>
      </c>
      <c r="M26" s="1811"/>
      <c r="N26" s="1811"/>
      <c r="O26" s="1812"/>
      <c r="P26" s="1816" t="e">
        <f>+IF(L26,T26/L26,0)</f>
        <v>#DIV/0!</v>
      </c>
      <c r="Q26" s="1817"/>
      <c r="R26" s="1817"/>
      <c r="S26" s="1818"/>
      <c r="T26" s="1913">
        <f>IF(A18="Salaire heures normales réelles",0,'Retenue Juin'!R54*-1)</f>
        <v>0</v>
      </c>
      <c r="U26" s="1914"/>
      <c r="V26" s="1914"/>
      <c r="W26" s="1915"/>
      <c r="X26" s="223"/>
      <c r="Y26" s="223"/>
      <c r="Z26" s="223"/>
      <c r="AA26" s="903" t="str">
        <f>IF(AND(BE26="OUI",$AR$13=S.CAL!$CU$2),"►",IF(AND(EV26="OUI",$AR$13=S.CAL!$CU$3),"►",""))</f>
        <v/>
      </c>
      <c r="AB26" s="1877">
        <f>+$X$3+6</f>
        <v>45815</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45815</v>
      </c>
      <c r="AX26" s="1878"/>
      <c r="AY26" s="332"/>
      <c r="AZ26" s="1126"/>
      <c r="BA26" s="993"/>
      <c r="BB26" s="561"/>
      <c r="BC26" s="566">
        <f t="shared" si="23"/>
        <v>0</v>
      </c>
      <c r="BD26" s="1126"/>
      <c r="BE26" s="825">
        <f t="shared" si="24"/>
        <v>0</v>
      </c>
      <c r="BF26" s="1150"/>
      <c r="BG26" s="224"/>
      <c r="BH26" s="566" t="str">
        <f t="shared" si="25"/>
        <v/>
      </c>
      <c r="BI26" s="1150"/>
      <c r="BJ26" s="129" t="str">
        <f t="shared" si="26"/>
        <v>Fiche infoA6</v>
      </c>
      <c r="BK26" s="129">
        <f t="shared" si="49"/>
        <v>23</v>
      </c>
      <c r="BL26" s="129" t="str">
        <f t="shared" si="4"/>
        <v>A</v>
      </c>
      <c r="BM26" s="129">
        <f t="shared" si="50"/>
        <v>6</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45815</v>
      </c>
      <c r="ER26" s="767">
        <f t="shared" si="10"/>
        <v>0</v>
      </c>
      <c r="ES26" s="768">
        <f t="shared" si="11"/>
        <v>0</v>
      </c>
      <c r="ET26" s="767">
        <f t="shared" si="12"/>
        <v>0</v>
      </c>
      <c r="EU26" s="768">
        <f t="shared" si="13"/>
        <v>0</v>
      </c>
      <c r="EV26" s="767" t="str">
        <f t="shared" si="14"/>
        <v/>
      </c>
      <c r="EW26" s="769">
        <f t="shared" si="29"/>
        <v>45815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23</v>
      </c>
      <c r="GA26" s="129">
        <f t="shared" si="39"/>
        <v>2025</v>
      </c>
      <c r="GB26" s="129" t="str">
        <f t="shared" si="40"/>
        <v>232025</v>
      </c>
      <c r="GC26" s="225">
        <f>IF(AND($GD$53=S.CAL!$P$3,$GD$52=FZ26),GE26,IF(BH26="",0,BH26))</f>
        <v>0</v>
      </c>
      <c r="GD26" s="129" t="str">
        <f>IFERROR(+Juillet!$BY$2&amp;BL26&amp;BM26,0)</f>
        <v>Fiche infoA6</v>
      </c>
      <c r="GE26" s="129" t="str">
        <f t="shared" si="19"/>
        <v/>
      </c>
      <c r="GF26" s="225" t="str">
        <f t="shared" si="41"/>
        <v/>
      </c>
      <c r="GG26" s="1469" t="str">
        <f>+'Retenue Juin'!D24</f>
        <v/>
      </c>
      <c r="GH26" s="1469">
        <f>+'Retenue Juin'!BF24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45816</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45816</v>
      </c>
      <c r="AX27" s="1878"/>
      <c r="AY27" s="332"/>
      <c r="AZ27" s="1126"/>
      <c r="BA27" s="993"/>
      <c r="BB27" s="561"/>
      <c r="BC27" s="566">
        <f t="shared" si="23"/>
        <v>0</v>
      </c>
      <c r="BD27" s="1126"/>
      <c r="BE27" s="825">
        <f t="shared" si="24"/>
        <v>0</v>
      </c>
      <c r="BF27" s="1150"/>
      <c r="BG27" s="224"/>
      <c r="BH27" s="566" t="str">
        <f t="shared" si="25"/>
        <v/>
      </c>
      <c r="BI27" s="1150"/>
      <c r="BJ27" s="129" t="str">
        <f t="shared" si="26"/>
        <v>Fiche infoA7</v>
      </c>
      <c r="BK27" s="129">
        <f t="shared" si="49"/>
        <v>23</v>
      </c>
      <c r="BL27" s="129" t="str">
        <f t="shared" si="4"/>
        <v>A</v>
      </c>
      <c r="BM27" s="129">
        <f t="shared" si="50"/>
        <v>7</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45816</v>
      </c>
      <c r="ER27" s="767">
        <f t="shared" si="10"/>
        <v>0</v>
      </c>
      <c r="ES27" s="768">
        <f t="shared" si="11"/>
        <v>0</v>
      </c>
      <c r="ET27" s="767">
        <f t="shared" si="12"/>
        <v>0</v>
      </c>
      <c r="EU27" s="768">
        <f t="shared" si="13"/>
        <v>0</v>
      </c>
      <c r="EV27" s="767" t="str">
        <f t="shared" si="14"/>
        <v/>
      </c>
      <c r="EW27" s="769">
        <f t="shared" si="29"/>
        <v>45816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23</v>
      </c>
      <c r="GA27" s="129">
        <f t="shared" si="39"/>
        <v>2025</v>
      </c>
      <c r="GB27" s="129" t="str">
        <f t="shared" si="40"/>
        <v>232025</v>
      </c>
      <c r="GC27" s="225">
        <f>IF(AND($GD$53=S.CAL!$P$3,$GD$52=FZ27),GE27,IF(BH27="",0,BH27))</f>
        <v>0</v>
      </c>
      <c r="GD27" s="129" t="str">
        <f>IFERROR(+Juillet!$BY$2&amp;BL27&amp;BM27,0)</f>
        <v>Fiche infoA7</v>
      </c>
      <c r="GE27" s="129" t="str">
        <f t="shared" si="19"/>
        <v/>
      </c>
      <c r="GF27" s="225" t="str">
        <f t="shared" si="41"/>
        <v/>
      </c>
      <c r="GG27" s="1469" t="str">
        <f>+'Retenue Juin'!D25</f>
        <v/>
      </c>
      <c r="GH27" s="1469">
        <f>+'Retenue Juin'!BF25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45817</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f t="shared" si="48"/>
        <v>24</v>
      </c>
      <c r="AQ28" s="340"/>
      <c r="AR28" s="1126"/>
      <c r="AS28" s="332">
        <f t="shared" si="3"/>
        <v>0</v>
      </c>
      <c r="AT28" s="1147"/>
      <c r="AU28" s="1147"/>
      <c r="AV28" s="332"/>
      <c r="AW28" s="2017">
        <f t="shared" si="22"/>
        <v>45817</v>
      </c>
      <c r="AX28" s="1878"/>
      <c r="AY28" s="332"/>
      <c r="AZ28" s="1126"/>
      <c r="BA28" s="993"/>
      <c r="BB28" s="561"/>
      <c r="BC28" s="566">
        <f t="shared" si="23"/>
        <v>0</v>
      </c>
      <c r="BD28" s="1126"/>
      <c r="BE28" s="825">
        <f t="shared" si="24"/>
        <v>0</v>
      </c>
      <c r="BF28" s="1150"/>
      <c r="BG28" s="224"/>
      <c r="BH28" s="566" t="str">
        <f t="shared" si="25"/>
        <v/>
      </c>
      <c r="BI28" s="1150"/>
      <c r="BJ28" s="129" t="str">
        <f t="shared" si="26"/>
        <v>Fiche infoA1</v>
      </c>
      <c r="BK28" s="129">
        <f t="shared" si="49"/>
        <v>24</v>
      </c>
      <c r="BL28" s="129" t="str">
        <f t="shared" si="4"/>
        <v>A</v>
      </c>
      <c r="BM28" s="129">
        <f t="shared" si="50"/>
        <v>1</v>
      </c>
      <c r="BN28" s="225" t="str">
        <f t="shared" si="60"/>
        <v>Fiche info</v>
      </c>
      <c r="BO28" s="332" t="str">
        <f t="shared" si="51"/>
        <v/>
      </c>
      <c r="BP28" s="198" t="str">
        <f t="shared" si="52"/>
        <v/>
      </c>
      <c r="BQ28" s="198"/>
      <c r="BS28" s="2012" t="str">
        <f>+"Semaine numéro : "&amp;AT4</f>
        <v>Semaine numéro : 22</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+SUMIF(Mai!$BK$20:$BK$50,AT4,Mai!$AM$20:$AO$50)</f>
        <v>0</v>
      </c>
      <c r="CD28" s="198">
        <f>+SUMIF(Juillet!$BK$20:$BK$50,AT4,Juillet!$AM$20:$AO$50)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45817</v>
      </c>
      <c r="ER28" s="767">
        <f t="shared" si="10"/>
        <v>0</v>
      </c>
      <c r="ES28" s="768">
        <f t="shared" si="11"/>
        <v>0</v>
      </c>
      <c r="ET28" s="767">
        <f t="shared" si="12"/>
        <v>0</v>
      </c>
      <c r="EU28" s="768">
        <f t="shared" si="13"/>
        <v>0</v>
      </c>
      <c r="EV28" s="767" t="str">
        <f t="shared" si="14"/>
        <v/>
      </c>
      <c r="EW28" s="769">
        <f t="shared" si="29"/>
        <v>45817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24</v>
      </c>
      <c r="GA28" s="129">
        <f t="shared" si="39"/>
        <v>2025</v>
      </c>
      <c r="GB28" s="129" t="str">
        <f t="shared" si="40"/>
        <v>242025</v>
      </c>
      <c r="GC28" s="225">
        <f>IF(AND($GD$53=S.CAL!$P$3,$GD$52=FZ28),GE28,IF(BH28="",0,BH28))</f>
        <v>0</v>
      </c>
      <c r="GD28" s="129" t="str">
        <f>IFERROR(+Juillet!$BY$2&amp;BL28&amp;BM28,0)</f>
        <v>Fiche infoA1</v>
      </c>
      <c r="GE28" s="129" t="str">
        <f t="shared" si="19"/>
        <v/>
      </c>
      <c r="GF28" s="225" t="str">
        <f t="shared" si="41"/>
        <v/>
      </c>
      <c r="GG28" s="1469" t="str">
        <f>+'Retenue Juin'!D26</f>
        <v/>
      </c>
      <c r="GH28" s="1469">
        <f>+'Retenue Juin'!BF26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45818</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45818</v>
      </c>
      <c r="AX29" s="1878"/>
      <c r="AY29" s="332"/>
      <c r="AZ29" s="1126"/>
      <c r="BA29" s="993"/>
      <c r="BB29" s="561"/>
      <c r="BC29" s="566">
        <f t="shared" si="23"/>
        <v>0</v>
      </c>
      <c r="BD29" s="1126"/>
      <c r="BE29" s="825">
        <f t="shared" si="24"/>
        <v>0</v>
      </c>
      <c r="BF29" s="1150"/>
      <c r="BG29" s="224"/>
      <c r="BH29" s="566" t="str">
        <f t="shared" si="25"/>
        <v/>
      </c>
      <c r="BI29" s="1150"/>
      <c r="BJ29" s="129" t="str">
        <f t="shared" si="26"/>
        <v>Fiche infoA2</v>
      </c>
      <c r="BK29" s="129">
        <f t="shared" si="49"/>
        <v>24</v>
      </c>
      <c r="BL29" s="129" t="str">
        <f t="shared" si="4"/>
        <v>A</v>
      </c>
      <c r="BM29" s="129">
        <f t="shared" si="50"/>
        <v>2</v>
      </c>
      <c r="BN29" s="225" t="str">
        <f t="shared" si="60"/>
        <v>Fiche info</v>
      </c>
      <c r="BO29" s="332" t="str">
        <f t="shared" si="51"/>
        <v/>
      </c>
      <c r="BP29" s="198" t="str">
        <f t="shared" si="52"/>
        <v/>
      </c>
      <c r="BQ29" s="198"/>
      <c r="BS29" s="2012" t="str">
        <f t="shared" ref="BS29:BS33" si="64">+"Semaine numéro : "&amp;AT5</f>
        <v>Semaine numéro : 23</v>
      </c>
      <c r="BT29" s="2013"/>
      <c r="BU29" s="2013"/>
      <c r="BV29" s="2013"/>
      <c r="BW29" s="2013"/>
      <c r="BX29" s="2014"/>
      <c r="BY29" s="1137"/>
      <c r="BZ29" s="674">
        <f t="shared" ref="BZ29:BZ33" si="65">+IF(BY29="",IF(AND(CC29&gt;0,CB29&gt;0),CC29+CB29,IF(CD29&gt;0,0,CB29)),BY29)</f>
        <v>0</v>
      </c>
      <c r="CA29" s="673">
        <f t="shared" si="62"/>
        <v>0</v>
      </c>
      <c r="CB29" s="198">
        <f t="shared" si="63"/>
        <v>0</v>
      </c>
      <c r="CC29" s="198">
        <f>+SUMIF(Mai!$BK$20:$BK$50,AT5,Mai!$AM$20:$AO$50)</f>
        <v>0</v>
      </c>
      <c r="CD29" s="198">
        <f>+SUMIF(Juillet!$BK$20:$BK$50,AT5,Juillet!$AM$20:$AO$50)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45818</v>
      </c>
      <c r="ER29" s="767">
        <f t="shared" si="10"/>
        <v>0</v>
      </c>
      <c r="ES29" s="768">
        <f t="shared" si="11"/>
        <v>0</v>
      </c>
      <c r="ET29" s="767">
        <f t="shared" si="12"/>
        <v>0</v>
      </c>
      <c r="EU29" s="768">
        <f t="shared" si="13"/>
        <v>0</v>
      </c>
      <c r="EV29" s="767" t="str">
        <f t="shared" si="14"/>
        <v/>
      </c>
      <c r="EW29" s="769">
        <f t="shared" si="29"/>
        <v>45818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24</v>
      </c>
      <c r="GA29" s="129">
        <f t="shared" si="39"/>
        <v>2025</v>
      </c>
      <c r="GB29" s="129" t="str">
        <f t="shared" si="40"/>
        <v>242025</v>
      </c>
      <c r="GC29" s="225">
        <f>IF(AND($GD$53=S.CAL!$P$3,$GD$52=FZ29),GE29,IF(BH29="",0,BH29))</f>
        <v>0</v>
      </c>
      <c r="GD29" s="129" t="str">
        <f>IFERROR(+Juillet!$BY$2&amp;BL29&amp;BM29,0)</f>
        <v>Fiche infoA2</v>
      </c>
      <c r="GE29" s="129" t="str">
        <f t="shared" si="19"/>
        <v/>
      </c>
      <c r="GF29" s="225" t="str">
        <f t="shared" si="41"/>
        <v/>
      </c>
      <c r="GG29" s="1469" t="str">
        <f>+'Retenue Juin'!D27</f>
        <v/>
      </c>
      <c r="GH29" s="1469">
        <f>+'Retenue Juin'!BF27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 ca="1">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45819</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45819</v>
      </c>
      <c r="AX30" s="1878"/>
      <c r="AY30" s="332"/>
      <c r="AZ30" s="1126"/>
      <c r="BA30" s="993"/>
      <c r="BB30" s="561"/>
      <c r="BC30" s="566">
        <f t="shared" si="23"/>
        <v>0</v>
      </c>
      <c r="BD30" s="1126"/>
      <c r="BE30" s="825">
        <f t="shared" si="24"/>
        <v>0</v>
      </c>
      <c r="BF30" s="1150"/>
      <c r="BG30" s="224"/>
      <c r="BH30" s="566" t="str">
        <f t="shared" si="25"/>
        <v/>
      </c>
      <c r="BI30" s="1150"/>
      <c r="BJ30" s="129" t="str">
        <f t="shared" si="26"/>
        <v>Fiche infoA3</v>
      </c>
      <c r="BK30" s="129">
        <f t="shared" si="49"/>
        <v>24</v>
      </c>
      <c r="BL30" s="129" t="str">
        <f t="shared" si="4"/>
        <v>A</v>
      </c>
      <c r="BM30" s="129">
        <f t="shared" si="50"/>
        <v>3</v>
      </c>
      <c r="BN30" s="225" t="str">
        <f t="shared" si="60"/>
        <v>Fiche info</v>
      </c>
      <c r="BO30" s="332" t="str">
        <f t="shared" si="51"/>
        <v/>
      </c>
      <c r="BP30" s="198" t="str">
        <f t="shared" si="52"/>
        <v/>
      </c>
      <c r="BQ30" s="198"/>
      <c r="BS30" s="2012" t="str">
        <f t="shared" si="64"/>
        <v>Semaine numéro : 24</v>
      </c>
      <c r="BT30" s="2013"/>
      <c r="BU30" s="2013"/>
      <c r="BV30" s="2013"/>
      <c r="BW30" s="2013"/>
      <c r="BX30" s="2014"/>
      <c r="BY30" s="1137"/>
      <c r="BZ30" s="674">
        <f t="shared" si="65"/>
        <v>0</v>
      </c>
      <c r="CA30" s="673">
        <f t="shared" si="62"/>
        <v>0</v>
      </c>
      <c r="CB30" s="198">
        <f t="shared" si="63"/>
        <v>0</v>
      </c>
      <c r="CC30" s="198">
        <f>+SUMIF(Mai!$BK$20:$BK$50,AT6,Mai!$AM$20:$AO$50)</f>
        <v>0</v>
      </c>
      <c r="CD30" s="198">
        <f>+SUMIF(Juillet!$BK$20:$BK$50,AT6,Juillet!$AM$20:$AO$50)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 ca="1">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45819</v>
      </c>
      <c r="ER30" s="767">
        <f t="shared" si="10"/>
        <v>0</v>
      </c>
      <c r="ES30" s="768">
        <f t="shared" si="11"/>
        <v>0</v>
      </c>
      <c r="ET30" s="767">
        <f t="shared" si="12"/>
        <v>0</v>
      </c>
      <c r="EU30" s="768">
        <f t="shared" si="13"/>
        <v>0</v>
      </c>
      <c r="EV30" s="767" t="str">
        <f t="shared" si="14"/>
        <v/>
      </c>
      <c r="EW30" s="769">
        <f t="shared" si="29"/>
        <v>45819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24</v>
      </c>
      <c r="GA30" s="129">
        <f t="shared" si="39"/>
        <v>2025</v>
      </c>
      <c r="GB30" s="129" t="str">
        <f t="shared" si="40"/>
        <v>242025</v>
      </c>
      <c r="GC30" s="225">
        <f>IF(AND($GD$53=S.CAL!$P$3,$GD$52=FZ30),GE30,IF(BH30="",0,BH30))</f>
        <v>0</v>
      </c>
      <c r="GD30" s="129" t="str">
        <f>IFERROR(+Juillet!$BY$2&amp;BL30&amp;BM30,0)</f>
        <v>Fiche infoA3</v>
      </c>
      <c r="GE30" s="129" t="str">
        <f t="shared" si="19"/>
        <v/>
      </c>
      <c r="GF30" s="225" t="str">
        <f t="shared" si="41"/>
        <v/>
      </c>
      <c r="GG30" s="1469" t="str">
        <f>+'Retenue Juin'!D28</f>
        <v/>
      </c>
      <c r="GH30" s="1469">
        <f>+'Retenue Juin'!BF28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45820</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45820</v>
      </c>
      <c r="AX31" s="1878"/>
      <c r="AY31" s="332"/>
      <c r="AZ31" s="1126"/>
      <c r="BA31" s="993"/>
      <c r="BB31" s="561"/>
      <c r="BC31" s="566">
        <f t="shared" si="23"/>
        <v>0</v>
      </c>
      <c r="BD31" s="1126"/>
      <c r="BE31" s="825">
        <f t="shared" si="24"/>
        <v>0</v>
      </c>
      <c r="BF31" s="1150"/>
      <c r="BG31" s="224"/>
      <c r="BH31" s="566" t="str">
        <f t="shared" si="25"/>
        <v/>
      </c>
      <c r="BI31" s="1150"/>
      <c r="BJ31" s="129" t="str">
        <f t="shared" si="26"/>
        <v>Fiche infoA4</v>
      </c>
      <c r="BK31" s="129">
        <f t="shared" si="49"/>
        <v>24</v>
      </c>
      <c r="BL31" s="129" t="str">
        <f t="shared" si="4"/>
        <v>A</v>
      </c>
      <c r="BM31" s="129">
        <f t="shared" si="50"/>
        <v>4</v>
      </c>
      <c r="BN31" s="225" t="str">
        <f t="shared" si="60"/>
        <v>Fiche info</v>
      </c>
      <c r="BO31" s="332" t="str">
        <f t="shared" si="51"/>
        <v/>
      </c>
      <c r="BP31" s="198" t="str">
        <f t="shared" si="52"/>
        <v/>
      </c>
      <c r="BQ31" s="198"/>
      <c r="BS31" s="2012" t="str">
        <f t="shared" si="64"/>
        <v>Semaine numéro : 25</v>
      </c>
      <c r="BT31" s="2013"/>
      <c r="BU31" s="2013"/>
      <c r="BV31" s="2013"/>
      <c r="BW31" s="2013"/>
      <c r="BX31" s="2014"/>
      <c r="BY31" s="1137"/>
      <c r="BZ31" s="674">
        <f t="shared" si="65"/>
        <v>0</v>
      </c>
      <c r="CA31" s="673">
        <f t="shared" si="62"/>
        <v>0</v>
      </c>
      <c r="CB31" s="198">
        <f t="shared" si="63"/>
        <v>0</v>
      </c>
      <c r="CC31" s="198">
        <f>+SUMIF(Mai!$BK$20:$BK$50,AT7,Mai!$AM$20:$AO$50)</f>
        <v>0</v>
      </c>
      <c r="CD31" s="198">
        <f>+SUMIF(Juillet!$BK$20:$BK$50,AT7,Juillet!$AM$20:$AO$50)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45820</v>
      </c>
      <c r="ER31" s="767">
        <f t="shared" si="10"/>
        <v>0</v>
      </c>
      <c r="ES31" s="768">
        <f t="shared" si="11"/>
        <v>0</v>
      </c>
      <c r="ET31" s="767">
        <f t="shared" si="12"/>
        <v>0</v>
      </c>
      <c r="EU31" s="768">
        <f t="shared" si="13"/>
        <v>0</v>
      </c>
      <c r="EV31" s="767" t="str">
        <f t="shared" si="14"/>
        <v/>
      </c>
      <c r="EW31" s="769">
        <f t="shared" si="29"/>
        <v>45820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24</v>
      </c>
      <c r="GA31" s="129">
        <f t="shared" si="39"/>
        <v>2025</v>
      </c>
      <c r="GB31" s="129" t="str">
        <f t="shared" si="40"/>
        <v>242025</v>
      </c>
      <c r="GC31" s="225">
        <f>IF(AND($GD$53=S.CAL!$P$3,$GD$52=FZ31),GE31,IF(BH31="",0,BH31))</f>
        <v>0</v>
      </c>
      <c r="GD31" s="129" t="str">
        <f>IFERROR(+Juillet!$BY$2&amp;BL31&amp;BM31,0)</f>
        <v>Fiche infoA4</v>
      </c>
      <c r="GE31" s="129" t="str">
        <f t="shared" si="19"/>
        <v/>
      </c>
      <c r="GF31" s="225" t="str">
        <f t="shared" si="41"/>
        <v/>
      </c>
      <c r="GG31" s="1469" t="str">
        <f>+'Retenue Juin'!D29</f>
        <v/>
      </c>
      <c r="GH31" s="1469">
        <f>+'Retenue Juin'!BF29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45821</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45821</v>
      </c>
      <c r="AX32" s="1878"/>
      <c r="AY32" s="332"/>
      <c r="AZ32" s="1126"/>
      <c r="BA32" s="993"/>
      <c r="BB32" s="561"/>
      <c r="BC32" s="566">
        <f t="shared" si="23"/>
        <v>0</v>
      </c>
      <c r="BD32" s="1126"/>
      <c r="BE32" s="825">
        <f t="shared" si="24"/>
        <v>0</v>
      </c>
      <c r="BF32" s="1150"/>
      <c r="BG32" s="224"/>
      <c r="BH32" s="566" t="str">
        <f t="shared" si="25"/>
        <v/>
      </c>
      <c r="BI32" s="1150"/>
      <c r="BJ32" s="129" t="str">
        <f t="shared" si="26"/>
        <v>Fiche infoA5</v>
      </c>
      <c r="BK32" s="129">
        <f t="shared" si="49"/>
        <v>24</v>
      </c>
      <c r="BL32" s="129" t="str">
        <f t="shared" si="4"/>
        <v>A</v>
      </c>
      <c r="BM32" s="129">
        <f t="shared" si="50"/>
        <v>5</v>
      </c>
      <c r="BN32" s="225" t="str">
        <f t="shared" si="60"/>
        <v>Fiche info</v>
      </c>
      <c r="BO32" s="332" t="str">
        <f t="shared" si="51"/>
        <v/>
      </c>
      <c r="BP32" s="198" t="str">
        <f t="shared" si="52"/>
        <v/>
      </c>
      <c r="BQ32" s="198"/>
      <c r="BS32" s="2012" t="str">
        <f t="shared" si="64"/>
        <v>Semaine numéro : 26</v>
      </c>
      <c r="BT32" s="2013"/>
      <c r="BU32" s="2013"/>
      <c r="BV32" s="2013"/>
      <c r="BW32" s="2013"/>
      <c r="BX32" s="2014"/>
      <c r="BY32" s="1137"/>
      <c r="BZ32" s="674">
        <f t="shared" si="65"/>
        <v>0</v>
      </c>
      <c r="CA32" s="673">
        <f t="shared" si="62"/>
        <v>0</v>
      </c>
      <c r="CB32" s="198">
        <f t="shared" si="63"/>
        <v>0</v>
      </c>
      <c r="CC32" s="198">
        <f>+SUMIF(Mai!$BK$20:$BK$50,AT8,Mai!$AM$20:$AO$50)</f>
        <v>0</v>
      </c>
      <c r="CD32" s="198">
        <f>+SUMIF(Juillet!$BK$20:$BK$50,AT8,Juillet!$AM$20:$AO$50)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45821</v>
      </c>
      <c r="ER32" s="767">
        <f t="shared" si="10"/>
        <v>0</v>
      </c>
      <c r="ES32" s="768">
        <f t="shared" si="11"/>
        <v>0</v>
      </c>
      <c r="ET32" s="767">
        <f t="shared" si="12"/>
        <v>0</v>
      </c>
      <c r="EU32" s="768">
        <f t="shared" si="13"/>
        <v>0</v>
      </c>
      <c r="EV32" s="767" t="str">
        <f t="shared" si="14"/>
        <v/>
      </c>
      <c r="EW32" s="769">
        <f t="shared" si="29"/>
        <v>45821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24</v>
      </c>
      <c r="GA32" s="129">
        <f t="shared" si="39"/>
        <v>2025</v>
      </c>
      <c r="GB32" s="129" t="str">
        <f t="shared" si="40"/>
        <v>242025</v>
      </c>
      <c r="GC32" s="225">
        <f>IF(AND($GD$53=S.CAL!$P$3,$GD$52=FZ32),GE32,IF(BH32="",0,BH32))</f>
        <v>0</v>
      </c>
      <c r="GD32" s="129" t="str">
        <f>IFERROR(+Juillet!$BY$2&amp;BL32&amp;BM32,0)</f>
        <v>Fiche infoA5</v>
      </c>
      <c r="GE32" s="129" t="str">
        <f t="shared" si="19"/>
        <v/>
      </c>
      <c r="GF32" s="225" t="str">
        <f t="shared" si="41"/>
        <v/>
      </c>
      <c r="GG32" s="1469" t="str">
        <f>+'Retenue Juin'!D30</f>
        <v/>
      </c>
      <c r="GH32" s="1469">
        <f>+'Retenue Juin'!BF30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45822</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45822</v>
      </c>
      <c r="AX33" s="1878"/>
      <c r="AY33" s="332"/>
      <c r="AZ33" s="1126"/>
      <c r="BA33" s="993"/>
      <c r="BB33" s="561"/>
      <c r="BC33" s="566">
        <f t="shared" si="23"/>
        <v>0</v>
      </c>
      <c r="BD33" s="1126"/>
      <c r="BE33" s="825">
        <f t="shared" si="24"/>
        <v>0</v>
      </c>
      <c r="BF33" s="1150"/>
      <c r="BG33" s="224"/>
      <c r="BH33" s="566" t="str">
        <f t="shared" si="25"/>
        <v/>
      </c>
      <c r="BI33" s="1150"/>
      <c r="BJ33" s="129" t="str">
        <f t="shared" si="26"/>
        <v>Fiche infoA6</v>
      </c>
      <c r="BK33" s="129">
        <f t="shared" si="49"/>
        <v>24</v>
      </c>
      <c r="BL33" s="129" t="str">
        <f t="shared" si="4"/>
        <v>A</v>
      </c>
      <c r="BM33" s="129">
        <f t="shared" si="50"/>
        <v>6</v>
      </c>
      <c r="BN33" s="225" t="str">
        <f t="shared" si="60"/>
        <v>Fiche info</v>
      </c>
      <c r="BO33" s="332" t="str">
        <f t="shared" si="51"/>
        <v/>
      </c>
      <c r="BP33" s="198" t="str">
        <f t="shared" si="52"/>
        <v/>
      </c>
      <c r="BQ33" s="198"/>
      <c r="BS33" s="2012" t="str">
        <f t="shared" si="64"/>
        <v>Semaine numéro : 27</v>
      </c>
      <c r="BT33" s="2013"/>
      <c r="BU33" s="2013"/>
      <c r="BV33" s="2013"/>
      <c r="BW33" s="2013"/>
      <c r="BX33" s="2014"/>
      <c r="BY33" s="1137"/>
      <c r="BZ33" s="674">
        <f t="shared" si="65"/>
        <v>0</v>
      </c>
      <c r="CA33" s="673">
        <f t="shared" si="62"/>
        <v>0</v>
      </c>
      <c r="CB33" s="198">
        <f t="shared" si="63"/>
        <v>0</v>
      </c>
      <c r="CC33" s="198">
        <f>+SUMIF(Mai!$BK$20:$BK$50,AT9,Mai!$AM$20:$AO$50)</f>
        <v>0</v>
      </c>
      <c r="CD33" s="198">
        <f>+SUMIF(Juillet!$BK$20:$BK$50,AT9,Juillet!$AM$20:$AO$50)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45822</v>
      </c>
      <c r="ER33" s="767">
        <f t="shared" si="10"/>
        <v>0</v>
      </c>
      <c r="ES33" s="768">
        <f t="shared" si="11"/>
        <v>0</v>
      </c>
      <c r="ET33" s="767">
        <f t="shared" si="12"/>
        <v>0</v>
      </c>
      <c r="EU33" s="768">
        <f t="shared" si="13"/>
        <v>0</v>
      </c>
      <c r="EV33" s="767" t="str">
        <f t="shared" si="14"/>
        <v/>
      </c>
      <c r="EW33" s="769">
        <f t="shared" si="29"/>
        <v>45822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24</v>
      </c>
      <c r="GA33" s="129">
        <f t="shared" si="39"/>
        <v>2025</v>
      </c>
      <c r="GB33" s="129" t="str">
        <f t="shared" si="40"/>
        <v>242025</v>
      </c>
      <c r="GC33" s="225">
        <f>IF(AND($GD$53=S.CAL!$P$3,$GD$52=FZ33),GE33,IF(BH33="",0,BH33))</f>
        <v>0</v>
      </c>
      <c r="GD33" s="129" t="str">
        <f>IFERROR(+Juillet!$BY$2&amp;BL33&amp;BM33,0)</f>
        <v>Fiche infoA6</v>
      </c>
      <c r="GE33" s="129" t="str">
        <f t="shared" si="19"/>
        <v/>
      </c>
      <c r="GF33" s="225" t="str">
        <f t="shared" si="41"/>
        <v/>
      </c>
      <c r="GG33" s="1469" t="str">
        <f>+'Retenue Juin'!D31</f>
        <v/>
      </c>
      <c r="GH33" s="1469">
        <f>+'Retenue Juin'!BF31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45823</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45823</v>
      </c>
      <c r="AX34" s="1878"/>
      <c r="AY34" s="332"/>
      <c r="AZ34" s="1126"/>
      <c r="BA34" s="993"/>
      <c r="BB34" s="561"/>
      <c r="BC34" s="566">
        <f t="shared" si="23"/>
        <v>0</v>
      </c>
      <c r="BD34" s="1126"/>
      <c r="BE34" s="825">
        <f t="shared" si="24"/>
        <v>0</v>
      </c>
      <c r="BF34" s="1150"/>
      <c r="BG34" s="224"/>
      <c r="BH34" s="566" t="str">
        <f t="shared" si="25"/>
        <v/>
      </c>
      <c r="BI34" s="1150"/>
      <c r="BJ34" s="129" t="str">
        <f t="shared" si="26"/>
        <v>Fiche infoA7</v>
      </c>
      <c r="BK34" s="129">
        <f t="shared" si="49"/>
        <v>24</v>
      </c>
      <c r="BL34" s="129" t="str">
        <f t="shared" si="4"/>
        <v>A</v>
      </c>
      <c r="BM34" s="129">
        <f t="shared" si="50"/>
        <v>7</v>
      </c>
      <c r="BN34" s="225" t="str">
        <f t="shared" si="60"/>
        <v>Fiche info</v>
      </c>
      <c r="BO34" s="332" t="str">
        <f t="shared" si="51"/>
        <v/>
      </c>
      <c r="BP34" s="198" t="str">
        <f t="shared" si="52"/>
        <v/>
      </c>
      <c r="BQ34" s="198"/>
      <c r="BZ34" s="676" t="s">
        <v>450</v>
      </c>
      <c r="CA34" s="677">
        <f>+IF(AND(DP14=1,OR(DP29="NON",DP29=0)),0,SUM(CA28:CA33))</f>
        <v>0</v>
      </c>
      <c r="DD34" s="198"/>
      <c r="DJ34" s="420" t="s">
        <v>165</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45823</v>
      </c>
      <c r="ER34" s="767">
        <f t="shared" si="10"/>
        <v>0</v>
      </c>
      <c r="ES34" s="768">
        <f t="shared" si="11"/>
        <v>0</v>
      </c>
      <c r="ET34" s="767">
        <f t="shared" si="12"/>
        <v>0</v>
      </c>
      <c r="EU34" s="768">
        <f t="shared" si="13"/>
        <v>0</v>
      </c>
      <c r="EV34" s="767" t="str">
        <f t="shared" si="14"/>
        <v/>
      </c>
      <c r="EW34" s="769">
        <f t="shared" si="29"/>
        <v>45823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24</v>
      </c>
      <c r="GA34" s="129">
        <f t="shared" si="39"/>
        <v>2025</v>
      </c>
      <c r="GB34" s="129" t="str">
        <f t="shared" si="40"/>
        <v>242025</v>
      </c>
      <c r="GC34" s="225">
        <f>IF(AND($GD$53=S.CAL!$P$3,$GD$52=FZ34),GE34,IF(BH34="",0,BH34))</f>
        <v>0</v>
      </c>
      <c r="GD34" s="129" t="str">
        <f>IFERROR(+Juillet!$BY$2&amp;BL34&amp;BM34,0)</f>
        <v>Fiche infoA7</v>
      </c>
      <c r="GE34" s="129" t="str">
        <f t="shared" si="19"/>
        <v/>
      </c>
      <c r="GF34" s="225" t="str">
        <f t="shared" si="41"/>
        <v/>
      </c>
      <c r="GG34" s="1469" t="str">
        <f>+'Retenue Juin'!D32</f>
        <v/>
      </c>
      <c r="GH34" s="1469">
        <f>+'Retenue Juin'!BF32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 ca="1">+ROUND(SUM(T18:W34),2)</f>
        <v>0</v>
      </c>
      <c r="U35" s="1993"/>
      <c r="V35" s="1993"/>
      <c r="W35" s="1994"/>
      <c r="X35" s="223"/>
      <c r="Y35" s="223"/>
      <c r="Z35" s="223"/>
      <c r="AA35" s="903" t="str">
        <f>IF(AND(BE35="OUI",$AR$13=S.CAL!$CU$2),"►",IF(AND(EV35="OUI",$AR$13=S.CAL!$CU$3),"►",""))</f>
        <v/>
      </c>
      <c r="AB35" s="1877">
        <f>+$X$3+15</f>
        <v>45824</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f t="shared" si="48"/>
        <v>25</v>
      </c>
      <c r="AQ35" s="340"/>
      <c r="AR35" s="1126"/>
      <c r="AS35" s="332">
        <f t="shared" si="3"/>
        <v>0</v>
      </c>
      <c r="AT35" s="1147"/>
      <c r="AU35" s="1147"/>
      <c r="AV35" s="332"/>
      <c r="AW35" s="2017">
        <f t="shared" si="22"/>
        <v>45824</v>
      </c>
      <c r="AX35" s="1878"/>
      <c r="AY35" s="332"/>
      <c r="AZ35" s="1126"/>
      <c r="BA35" s="993"/>
      <c r="BB35" s="561"/>
      <c r="BC35" s="566">
        <f t="shared" si="23"/>
        <v>0</v>
      </c>
      <c r="BD35" s="1126"/>
      <c r="BE35" s="825">
        <f t="shared" si="24"/>
        <v>0</v>
      </c>
      <c r="BF35" s="1150"/>
      <c r="BG35" s="224"/>
      <c r="BH35" s="566" t="str">
        <f t="shared" si="25"/>
        <v/>
      </c>
      <c r="BI35" s="1150"/>
      <c r="BJ35" s="129" t="str">
        <f t="shared" si="26"/>
        <v>Fiche infoA1</v>
      </c>
      <c r="BK35" s="129">
        <f t="shared" si="49"/>
        <v>25</v>
      </c>
      <c r="BL35" s="129" t="str">
        <f t="shared" si="4"/>
        <v>A</v>
      </c>
      <c r="BM35" s="129">
        <f t="shared" si="50"/>
        <v>1</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45824</v>
      </c>
      <c r="ER35" s="767">
        <f t="shared" si="10"/>
        <v>0</v>
      </c>
      <c r="ES35" s="768">
        <f t="shared" si="11"/>
        <v>0</v>
      </c>
      <c r="ET35" s="767">
        <f t="shared" si="12"/>
        <v>0</v>
      </c>
      <c r="EU35" s="768">
        <f t="shared" si="13"/>
        <v>0</v>
      </c>
      <c r="EV35" s="767" t="str">
        <f t="shared" si="14"/>
        <v/>
      </c>
      <c r="EW35" s="769">
        <f t="shared" si="29"/>
        <v>45824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25</v>
      </c>
      <c r="GA35" s="129">
        <f t="shared" si="39"/>
        <v>2025</v>
      </c>
      <c r="GB35" s="129" t="str">
        <f t="shared" si="40"/>
        <v>252025</v>
      </c>
      <c r="GC35" s="225">
        <f>IF(AND($GD$53=S.CAL!$P$3,$GD$52=FZ35),GE35,IF(BH35="",0,BH35))</f>
        <v>0</v>
      </c>
      <c r="GD35" s="129" t="str">
        <f>IFERROR(+Juillet!$BY$2&amp;BL35&amp;BM35,0)</f>
        <v>Fiche infoA1</v>
      </c>
      <c r="GE35" s="129" t="str">
        <f t="shared" si="19"/>
        <v/>
      </c>
      <c r="GF35" s="225" t="str">
        <f t="shared" si="41"/>
        <v/>
      </c>
      <c r="GG35" s="1469" t="str">
        <f>+'Retenue Juin'!D33</f>
        <v/>
      </c>
      <c r="GH35" s="1469">
        <f>+'Retenue Juin'!BF33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45825</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45825</v>
      </c>
      <c r="AX36" s="1878"/>
      <c r="AY36" s="332"/>
      <c r="AZ36" s="1126"/>
      <c r="BA36" s="993"/>
      <c r="BB36" s="561"/>
      <c r="BC36" s="566">
        <f t="shared" si="23"/>
        <v>0</v>
      </c>
      <c r="BD36" s="1126"/>
      <c r="BE36" s="825">
        <f t="shared" si="24"/>
        <v>0</v>
      </c>
      <c r="BF36" s="1150"/>
      <c r="BG36" s="224"/>
      <c r="BH36" s="566" t="str">
        <f t="shared" si="25"/>
        <v/>
      </c>
      <c r="BI36" s="1150"/>
      <c r="BJ36" s="129" t="str">
        <f t="shared" si="26"/>
        <v>Fiche infoA2</v>
      </c>
      <c r="BK36" s="129">
        <f t="shared" si="49"/>
        <v>25</v>
      </c>
      <c r="BL36" s="129" t="str">
        <f t="shared" si="4"/>
        <v>A</v>
      </c>
      <c r="BM36" s="129">
        <f t="shared" si="50"/>
        <v>2</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 ca="1">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45825</v>
      </c>
      <c r="ER36" s="767">
        <f t="shared" si="10"/>
        <v>0</v>
      </c>
      <c r="ES36" s="768">
        <f t="shared" si="11"/>
        <v>0</v>
      </c>
      <c r="ET36" s="767">
        <f t="shared" si="12"/>
        <v>0</v>
      </c>
      <c r="EU36" s="768">
        <f t="shared" si="13"/>
        <v>0</v>
      </c>
      <c r="EV36" s="767" t="str">
        <f t="shared" si="14"/>
        <v/>
      </c>
      <c r="EW36" s="769">
        <f t="shared" si="29"/>
        <v>45825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25</v>
      </c>
      <c r="GA36" s="129">
        <f t="shared" si="39"/>
        <v>2025</v>
      </c>
      <c r="GB36" s="129" t="str">
        <f t="shared" si="40"/>
        <v>252025</v>
      </c>
      <c r="GC36" s="225">
        <f>IF(AND($GD$53=S.CAL!$P$3,$GD$52=FZ36),GE36,IF(BH36="",0,BH36))</f>
        <v>0</v>
      </c>
      <c r="GD36" s="129" t="str">
        <f>IFERROR(+Juillet!$BY$2&amp;BL36&amp;BM36,0)</f>
        <v>Fiche infoA2</v>
      </c>
      <c r="GE36" s="129" t="str">
        <f t="shared" si="19"/>
        <v/>
      </c>
      <c r="GF36" s="225" t="str">
        <f t="shared" si="41"/>
        <v/>
      </c>
      <c r="GG36" s="1469" t="str">
        <f>+'Retenue Juin'!D34</f>
        <v/>
      </c>
      <c r="GH36" s="1469">
        <f>+'Retenue Juin'!BF34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45826</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45826</v>
      </c>
      <c r="AX37" s="1878"/>
      <c r="AY37" s="332"/>
      <c r="AZ37" s="1126"/>
      <c r="BA37" s="993"/>
      <c r="BB37" s="561"/>
      <c r="BC37" s="566">
        <f t="shared" si="23"/>
        <v>0</v>
      </c>
      <c r="BD37" s="1126"/>
      <c r="BE37" s="825">
        <f t="shared" si="24"/>
        <v>0</v>
      </c>
      <c r="BF37" s="1150"/>
      <c r="BG37" s="224"/>
      <c r="BH37" s="566" t="str">
        <f t="shared" si="25"/>
        <v/>
      </c>
      <c r="BI37" s="1150"/>
      <c r="BJ37" s="129" t="str">
        <f t="shared" si="26"/>
        <v>Fiche infoA3</v>
      </c>
      <c r="BK37" s="129">
        <f t="shared" si="49"/>
        <v>25</v>
      </c>
      <c r="BL37" s="129" t="str">
        <f t="shared" si="4"/>
        <v>A</v>
      </c>
      <c r="BM37" s="129">
        <f t="shared" si="50"/>
        <v>3</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45826</v>
      </c>
      <c r="ER37" s="767">
        <f t="shared" si="10"/>
        <v>0</v>
      </c>
      <c r="ES37" s="768">
        <f t="shared" si="11"/>
        <v>0</v>
      </c>
      <c r="ET37" s="767">
        <f t="shared" si="12"/>
        <v>0</v>
      </c>
      <c r="EU37" s="768">
        <f t="shared" si="13"/>
        <v>0</v>
      </c>
      <c r="EV37" s="767" t="str">
        <f t="shared" si="14"/>
        <v/>
      </c>
      <c r="EW37" s="769">
        <f t="shared" si="29"/>
        <v>45826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25</v>
      </c>
      <c r="GA37" s="129">
        <f t="shared" si="39"/>
        <v>2025</v>
      </c>
      <c r="GB37" s="129" t="str">
        <f t="shared" si="40"/>
        <v>252025</v>
      </c>
      <c r="GC37" s="225">
        <f>IF(AND($GD$53=S.CAL!$P$3,$GD$52=FZ37),GE37,IF(BH37="",0,BH37))</f>
        <v>0</v>
      </c>
      <c r="GD37" s="129" t="str">
        <f>IFERROR(+Juillet!$BY$2&amp;BL37&amp;BM37,0)</f>
        <v>Fiche infoA3</v>
      </c>
      <c r="GE37" s="129" t="str">
        <f t="shared" si="19"/>
        <v/>
      </c>
      <c r="GF37" s="225" t="str">
        <f t="shared" si="41"/>
        <v/>
      </c>
      <c r="GG37" s="1469" t="str">
        <f>+'Retenue Juin'!D35</f>
        <v/>
      </c>
      <c r="GH37" s="1469">
        <f>+'Retenue Juin'!BF35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45827</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45827</v>
      </c>
      <c r="AX38" s="1878"/>
      <c r="AY38" s="332"/>
      <c r="AZ38" s="1126"/>
      <c r="BA38" s="993"/>
      <c r="BB38" s="561"/>
      <c r="BC38" s="566">
        <f t="shared" si="23"/>
        <v>0</v>
      </c>
      <c r="BD38" s="1126"/>
      <c r="BE38" s="825">
        <f t="shared" si="24"/>
        <v>0</v>
      </c>
      <c r="BF38" s="1150"/>
      <c r="BG38" s="224"/>
      <c r="BH38" s="566" t="str">
        <f t="shared" si="25"/>
        <v/>
      </c>
      <c r="BI38" s="1150"/>
      <c r="BJ38" s="129" t="str">
        <f t="shared" si="26"/>
        <v>Fiche infoA4</v>
      </c>
      <c r="BK38" s="129">
        <f t="shared" si="49"/>
        <v>25</v>
      </c>
      <c r="BL38" s="129" t="str">
        <f t="shared" si="4"/>
        <v>A</v>
      </c>
      <c r="BM38" s="129">
        <f t="shared" si="50"/>
        <v>4</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45827</v>
      </c>
      <c r="ER38" s="767">
        <f t="shared" si="10"/>
        <v>0</v>
      </c>
      <c r="ES38" s="768">
        <f t="shared" si="11"/>
        <v>0</v>
      </c>
      <c r="ET38" s="767">
        <f t="shared" si="12"/>
        <v>0</v>
      </c>
      <c r="EU38" s="768">
        <f t="shared" si="13"/>
        <v>0</v>
      </c>
      <c r="EV38" s="767" t="str">
        <f t="shared" si="14"/>
        <v/>
      </c>
      <c r="EW38" s="769">
        <f t="shared" si="29"/>
        <v>45827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25</v>
      </c>
      <c r="GA38" s="129">
        <f t="shared" si="39"/>
        <v>2025</v>
      </c>
      <c r="GB38" s="129" t="str">
        <f t="shared" si="40"/>
        <v>252025</v>
      </c>
      <c r="GC38" s="225">
        <f>IF(AND($GD$53=S.CAL!$P$3,$GD$52=FZ38),GE38,IF(BH38="",0,BH38))</f>
        <v>0</v>
      </c>
      <c r="GD38" s="129" t="str">
        <f>IFERROR(+Juillet!$BY$2&amp;BL38&amp;BM38,0)</f>
        <v>Fiche infoA4</v>
      </c>
      <c r="GE38" s="129" t="str">
        <f t="shared" si="19"/>
        <v/>
      </c>
      <c r="GF38" s="225" t="str">
        <f t="shared" si="41"/>
        <v/>
      </c>
      <c r="GG38" s="1469" t="str">
        <f>+'Retenue Juin'!D36</f>
        <v/>
      </c>
      <c r="GH38" s="1469">
        <f>+'Retenue Juin'!BF36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45828</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45828</v>
      </c>
      <c r="AX39" s="1878"/>
      <c r="AY39" s="332"/>
      <c r="AZ39" s="1126"/>
      <c r="BA39" s="993"/>
      <c r="BB39" s="561"/>
      <c r="BC39" s="566">
        <f t="shared" si="23"/>
        <v>0</v>
      </c>
      <c r="BD39" s="1126"/>
      <c r="BE39" s="825">
        <f t="shared" si="24"/>
        <v>0</v>
      </c>
      <c r="BF39" s="1150"/>
      <c r="BG39" s="224"/>
      <c r="BH39" s="566" t="str">
        <f t="shared" si="25"/>
        <v/>
      </c>
      <c r="BI39" s="1150"/>
      <c r="BJ39" s="129" t="str">
        <f t="shared" si="26"/>
        <v>Fiche infoA5</v>
      </c>
      <c r="BK39" s="129">
        <f t="shared" si="49"/>
        <v>25</v>
      </c>
      <c r="BL39" s="129" t="str">
        <f t="shared" si="4"/>
        <v>A</v>
      </c>
      <c r="BM39" s="129">
        <f t="shared" si="50"/>
        <v>5</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45828</v>
      </c>
      <c r="ER39" s="767">
        <f t="shared" si="10"/>
        <v>0</v>
      </c>
      <c r="ES39" s="768">
        <f t="shared" si="11"/>
        <v>0</v>
      </c>
      <c r="ET39" s="767">
        <f t="shared" si="12"/>
        <v>0</v>
      </c>
      <c r="EU39" s="768">
        <f t="shared" si="13"/>
        <v>0</v>
      </c>
      <c r="EV39" s="767" t="str">
        <f t="shared" si="14"/>
        <v/>
      </c>
      <c r="EW39" s="769">
        <f t="shared" si="29"/>
        <v>45828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25</v>
      </c>
      <c r="GA39" s="129">
        <f t="shared" si="39"/>
        <v>2025</v>
      </c>
      <c r="GB39" s="129" t="str">
        <f t="shared" si="40"/>
        <v>252025</v>
      </c>
      <c r="GC39" s="225">
        <f>IF(AND($GD$53=S.CAL!$P$3,$GD$52=FZ39),GE39,IF(BH39="",0,BH39))</f>
        <v>0</v>
      </c>
      <c r="GD39" s="129" t="str">
        <f>IFERROR(+Juillet!$BY$2&amp;BL39&amp;BM39,0)</f>
        <v>Fiche infoA5</v>
      </c>
      <c r="GE39" s="129" t="str">
        <f t="shared" si="19"/>
        <v/>
      </c>
      <c r="GF39" s="225" t="str">
        <f t="shared" si="41"/>
        <v/>
      </c>
      <c r="GG39" s="1469" t="str">
        <f>+'Retenue Juin'!D37</f>
        <v/>
      </c>
      <c r="GH39" s="1469">
        <f>+'Retenue Juin'!BF37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45829</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45829</v>
      </c>
      <c r="AX40" s="1878"/>
      <c r="AY40" s="332"/>
      <c r="AZ40" s="1126"/>
      <c r="BA40" s="993"/>
      <c r="BB40" s="561"/>
      <c r="BC40" s="566">
        <f t="shared" si="23"/>
        <v>0</v>
      </c>
      <c r="BD40" s="1126"/>
      <c r="BE40" s="825">
        <f t="shared" si="24"/>
        <v>0</v>
      </c>
      <c r="BF40" s="1150"/>
      <c r="BG40" s="224"/>
      <c r="BH40" s="566" t="str">
        <f t="shared" si="25"/>
        <v/>
      </c>
      <c r="BI40" s="1150"/>
      <c r="BJ40" s="129" t="str">
        <f t="shared" si="26"/>
        <v>Fiche infoA6</v>
      </c>
      <c r="BK40" s="129">
        <f t="shared" si="49"/>
        <v>25</v>
      </c>
      <c r="BL40" s="129" t="str">
        <f t="shared" si="4"/>
        <v>A</v>
      </c>
      <c r="BM40" s="129">
        <f t="shared" si="50"/>
        <v>6</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Juin'!P27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45829</v>
      </c>
      <c r="ER40" s="767">
        <f t="shared" si="10"/>
        <v>0</v>
      </c>
      <c r="ES40" s="768">
        <f t="shared" si="11"/>
        <v>0</v>
      </c>
      <c r="ET40" s="767">
        <f t="shared" si="12"/>
        <v>0</v>
      </c>
      <c r="EU40" s="768">
        <f t="shared" si="13"/>
        <v>0</v>
      </c>
      <c r="EV40" s="767" t="str">
        <f t="shared" si="14"/>
        <v/>
      </c>
      <c r="EW40" s="769">
        <f t="shared" si="29"/>
        <v>45829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25</v>
      </c>
      <c r="GA40" s="129">
        <f t="shared" si="39"/>
        <v>2025</v>
      </c>
      <c r="GB40" s="129" t="str">
        <f t="shared" si="40"/>
        <v>252025</v>
      </c>
      <c r="GC40" s="225">
        <f>IF(AND($GD$53=S.CAL!$P$3,$GD$52=FZ40),GE40,IF(BH40="",0,BH40))</f>
        <v>0</v>
      </c>
      <c r="GD40" s="129" t="str">
        <f>IFERROR(+Juillet!$BY$2&amp;BL40&amp;BM40,0)</f>
        <v>Fiche infoA6</v>
      </c>
      <c r="GE40" s="129" t="str">
        <f t="shared" si="19"/>
        <v/>
      </c>
      <c r="GF40" s="225" t="str">
        <f t="shared" si="41"/>
        <v/>
      </c>
      <c r="GG40" s="1469" t="str">
        <f>+'Retenue Juin'!D38</f>
        <v/>
      </c>
      <c r="GH40" s="1469">
        <f>+'Retenue Juin'!BF38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 ca="1">+T35*INDEX(table_base_coef_patronale,MATCH(A41,Taux_cotisations!$A$110:$A$136,0),MATCH($X$3,Taux_cotisations!$A$110:$M$110,0))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 ca="1">ROUND(U41*R41,2)</f>
        <v>0</v>
      </c>
      <c r="Y41" s="1900"/>
      <c r="Z41" s="1900"/>
      <c r="AA41" s="903" t="str">
        <f>IF(AND(BE41="OUI",$AR$13=S.CAL!$CU$2),"►",IF(AND(EV41="OUI",$AR$13=S.CAL!$CU$3),"►",""))</f>
        <v/>
      </c>
      <c r="AB41" s="1877">
        <f>+$X$3+21</f>
        <v>45830</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45830</v>
      </c>
      <c r="AX41" s="1878"/>
      <c r="AY41" s="332"/>
      <c r="AZ41" s="1126"/>
      <c r="BA41" s="993"/>
      <c r="BB41" s="561"/>
      <c r="BC41" s="566">
        <f t="shared" si="23"/>
        <v>0</v>
      </c>
      <c r="BD41" s="1126"/>
      <c r="BE41" s="825">
        <f t="shared" si="24"/>
        <v>0</v>
      </c>
      <c r="BF41" s="1150"/>
      <c r="BG41" s="224"/>
      <c r="BH41" s="566" t="str">
        <f t="shared" si="25"/>
        <v/>
      </c>
      <c r="BI41" s="1150"/>
      <c r="BJ41" s="129" t="str">
        <f t="shared" si="26"/>
        <v>Fiche infoA7</v>
      </c>
      <c r="BK41" s="129">
        <f t="shared" si="49"/>
        <v>25</v>
      </c>
      <c r="BL41" s="129" t="str">
        <f t="shared" si="4"/>
        <v>A</v>
      </c>
      <c r="BM41" s="129">
        <f t="shared" si="50"/>
        <v>7</v>
      </c>
      <c r="BN41" s="225" t="str">
        <f t="shared" si="60"/>
        <v>Fiche info</v>
      </c>
      <c r="BO41" s="332" t="str">
        <f t="shared" si="51"/>
        <v/>
      </c>
      <c r="BP41" s="198" t="str">
        <f t="shared" si="52"/>
        <v/>
      </c>
      <c r="BQ41" s="2142" t="s">
        <v>1063</v>
      </c>
      <c r="BR41" s="2142"/>
      <c r="BS41" s="2142"/>
      <c r="BT41" s="2142"/>
      <c r="BU41" s="2142"/>
      <c r="BV41" s="2142"/>
      <c r="BW41" s="601" t="str">
        <f>+IF(BX41="",Mai!BW41,BX41)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45830</v>
      </c>
      <c r="ER41" s="767">
        <f t="shared" si="10"/>
        <v>0</v>
      </c>
      <c r="ES41" s="768">
        <f t="shared" si="11"/>
        <v>0</v>
      </c>
      <c r="ET41" s="767">
        <f t="shared" si="12"/>
        <v>0</v>
      </c>
      <c r="EU41" s="768">
        <f t="shared" si="13"/>
        <v>0</v>
      </c>
      <c r="EV41" s="767" t="str">
        <f t="shared" si="14"/>
        <v/>
      </c>
      <c r="EW41" s="769">
        <f t="shared" si="29"/>
        <v>45830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25</v>
      </c>
      <c r="GA41" s="129">
        <f t="shared" si="39"/>
        <v>2025</v>
      </c>
      <c r="GB41" s="129" t="str">
        <f t="shared" si="40"/>
        <v>252025</v>
      </c>
      <c r="GC41" s="225">
        <f>IF(AND($GD$53=S.CAL!$P$3,$GD$52=FZ41),GE41,IF(BH41="",0,BH41))</f>
        <v>0</v>
      </c>
      <c r="GD41" s="129" t="str">
        <f>IFERROR(+Juillet!$BY$2&amp;BL41&amp;BM41,0)</f>
        <v>Fiche infoA7</v>
      </c>
      <c r="GE41" s="129" t="str">
        <f t="shared" si="19"/>
        <v/>
      </c>
      <c r="GF41" s="225" t="str">
        <f t="shared" si="41"/>
        <v/>
      </c>
      <c r="GG41" s="1469" t="str">
        <f>+'Retenue Juin'!D39</f>
        <v/>
      </c>
      <c r="GH41" s="1469">
        <f>+'Retenue Juin'!BF39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 ca="1">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 ca="1">ROUND(K42*H42,4)</f>
        <v>0</v>
      </c>
      <c r="O42" s="1780"/>
      <c r="P42" s="1780"/>
      <c r="Q42" s="223"/>
      <c r="R42" s="1906">
        <f ca="1">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 ca="1">ROUND(U42*R42,2)</f>
        <v>0</v>
      </c>
      <c r="Y42" s="1900"/>
      <c r="Z42" s="1900"/>
      <c r="AA42" s="903" t="str">
        <f>IF(AND(BE42="OUI",$AR$13=S.CAL!$CU$2),"►",IF(AND(EV42="OUI",$AR$13=S.CAL!$CU$3),"►",""))</f>
        <v/>
      </c>
      <c r="AB42" s="1877">
        <f>+$X$3+22</f>
        <v>45831</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f t="shared" si="48"/>
        <v>26</v>
      </c>
      <c r="AQ42" s="340"/>
      <c r="AR42" s="1126"/>
      <c r="AS42" s="332">
        <f t="shared" si="3"/>
        <v>0</v>
      </c>
      <c r="AT42" s="1147"/>
      <c r="AU42" s="1147"/>
      <c r="AV42" s="332"/>
      <c r="AW42" s="2017">
        <f t="shared" si="22"/>
        <v>45831</v>
      </c>
      <c r="AX42" s="1878"/>
      <c r="AY42" s="332"/>
      <c r="AZ42" s="1126"/>
      <c r="BA42" s="993"/>
      <c r="BB42" s="561"/>
      <c r="BC42" s="566">
        <f t="shared" si="23"/>
        <v>0</v>
      </c>
      <c r="BD42" s="1126"/>
      <c r="BE42" s="825">
        <f t="shared" si="24"/>
        <v>0</v>
      </c>
      <c r="BF42" s="1150"/>
      <c r="BG42" s="224"/>
      <c r="BH42" s="566" t="str">
        <f t="shared" si="25"/>
        <v/>
      </c>
      <c r="BI42" s="1150"/>
      <c r="BJ42" s="129" t="str">
        <f t="shared" si="26"/>
        <v>Fiche infoA1</v>
      </c>
      <c r="BK42" s="129">
        <f t="shared" si="49"/>
        <v>26</v>
      </c>
      <c r="BL42" s="129" t="str">
        <f t="shared" si="4"/>
        <v>A</v>
      </c>
      <c r="BM42" s="129">
        <f t="shared" si="50"/>
        <v>1</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45831</v>
      </c>
      <c r="ER42" s="767">
        <f t="shared" si="10"/>
        <v>0</v>
      </c>
      <c r="ES42" s="768">
        <f t="shared" si="11"/>
        <v>0</v>
      </c>
      <c r="ET42" s="767">
        <f t="shared" si="12"/>
        <v>0</v>
      </c>
      <c r="EU42" s="768">
        <f t="shared" si="13"/>
        <v>0</v>
      </c>
      <c r="EV42" s="767" t="str">
        <f t="shared" si="14"/>
        <v/>
      </c>
      <c r="EW42" s="769">
        <f t="shared" si="29"/>
        <v>45831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26</v>
      </c>
      <c r="GA42" s="129">
        <f t="shared" si="39"/>
        <v>2025</v>
      </c>
      <c r="GB42" s="129" t="str">
        <f t="shared" si="40"/>
        <v>262025</v>
      </c>
      <c r="GC42" s="225">
        <f>IF(AND($GD$53=S.CAL!$P$3,$GD$52=FZ42),GE42,IF(BH42="",0,BH42))</f>
        <v>0</v>
      </c>
      <c r="GD42" s="129" t="str">
        <f>IFERROR(+Juillet!$BY$2&amp;BL42&amp;BM42,0)</f>
        <v>Fiche infoA1</v>
      </c>
      <c r="GE42" s="129" t="str">
        <f t="shared" si="19"/>
        <v/>
      </c>
      <c r="GF42" s="225" t="str">
        <f t="shared" si="41"/>
        <v/>
      </c>
      <c r="GG42" s="1469" t="str">
        <f>+'Retenue Juin'!D40</f>
        <v/>
      </c>
      <c r="GH42" s="1469">
        <f>+'Retenue Juin'!BF40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 ca="1">+IF(AND(T35&gt;0,T35&gt;EG6),(T35-EG6)*INDEX(table_base_coef_patronale,MATCH(A43,Taux_cotisations!$A$110:$A$136,0),MATCH($X$3,Taux_cotisations!$A$110:$M$110,0)),0)</f>
        <v>0</v>
      </c>
      <c r="S43" s="1906"/>
      <c r="T43" s="1906"/>
      <c r="U43" s="1907">
        <f ca="1">IF(R43=0,0,INDEX(table_taux_patronales,MATCH(A43,Taux_cotisations!$A$39:$A$65,0),MATCH($X$3,Taux_cotisations!$A$39:$M$39,0)))</f>
        <v>0</v>
      </c>
      <c r="V43" s="1907"/>
      <c r="W43" s="1907"/>
      <c r="X43" s="1900">
        <f ca="1">ROUND(U43*R43,2)</f>
        <v>0</v>
      </c>
      <c r="Y43" s="1900"/>
      <c r="Z43" s="1900"/>
      <c r="AA43" s="903" t="str">
        <f>IF(AND(BE43="OUI",$AR$13=S.CAL!$CU$2),"►",IF(AND(EV43="OUI",$AR$13=S.CAL!$CU$3),"►",""))</f>
        <v/>
      </c>
      <c r="AB43" s="1877">
        <f>+$X$3+23</f>
        <v>45832</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45832</v>
      </c>
      <c r="AX43" s="1878"/>
      <c r="AY43" s="332"/>
      <c r="AZ43" s="1126"/>
      <c r="BA43" s="993"/>
      <c r="BB43" s="561"/>
      <c r="BC43" s="566">
        <f t="shared" si="23"/>
        <v>0</v>
      </c>
      <c r="BD43" s="1126"/>
      <c r="BE43" s="825">
        <f t="shared" si="24"/>
        <v>0</v>
      </c>
      <c r="BF43" s="1150"/>
      <c r="BG43" s="224"/>
      <c r="BH43" s="566" t="str">
        <f t="shared" si="25"/>
        <v/>
      </c>
      <c r="BI43" s="1150"/>
      <c r="BJ43" s="129" t="str">
        <f t="shared" si="26"/>
        <v>Fiche infoA2</v>
      </c>
      <c r="BK43" s="129">
        <f t="shared" si="49"/>
        <v>26</v>
      </c>
      <c r="BL43" s="129" t="str">
        <f t="shared" si="4"/>
        <v>A</v>
      </c>
      <c r="BM43" s="129">
        <f t="shared" si="50"/>
        <v>2</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45832</v>
      </c>
      <c r="ER43" s="767">
        <f t="shared" si="10"/>
        <v>0</v>
      </c>
      <c r="ES43" s="768">
        <f t="shared" si="11"/>
        <v>0</v>
      </c>
      <c r="ET43" s="767">
        <f t="shared" si="12"/>
        <v>0</v>
      </c>
      <c r="EU43" s="768">
        <f t="shared" si="13"/>
        <v>0</v>
      </c>
      <c r="EV43" s="767" t="str">
        <f t="shared" si="14"/>
        <v/>
      </c>
      <c r="EW43" s="769">
        <f t="shared" si="29"/>
        <v>45832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26</v>
      </c>
      <c r="GA43" s="129">
        <f t="shared" si="39"/>
        <v>2025</v>
      </c>
      <c r="GB43" s="129" t="str">
        <f t="shared" si="40"/>
        <v>262025</v>
      </c>
      <c r="GC43" s="225">
        <f>IF(AND($GD$53=S.CAL!$P$3,$GD$52=FZ43),GE43,IF(BH43="",0,BH43))</f>
        <v>0</v>
      </c>
      <c r="GD43" s="129" t="str">
        <f>IFERROR(+Juillet!$BY$2&amp;BL43&amp;BM43,0)</f>
        <v>Fiche infoA2</v>
      </c>
      <c r="GE43" s="129" t="str">
        <f t="shared" si="19"/>
        <v/>
      </c>
      <c r="GF43" s="225" t="str">
        <f t="shared" si="41"/>
        <v/>
      </c>
      <c r="GG43" s="1469" t="str">
        <f>+'Retenue Juin'!D41</f>
        <v/>
      </c>
      <c r="GH43" s="1469">
        <f>+'Retenue Juin'!BF41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 ca="1">+T35*INDEX(table_base_coef_patronale,MATCH(A44,Taux_cotisations!$A$110:$A$136,0),MATCH($X$3,Taux_cotisations!$A$110:$M$110,0))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 ca="1">ROUND(U44*R44,2)</f>
        <v>0</v>
      </c>
      <c r="Y44" s="1900"/>
      <c r="Z44" s="1900"/>
      <c r="AA44" s="903" t="str">
        <f>IF(AND(BE44="OUI",$AR$13=S.CAL!$CU$2),"►",IF(AND(EV44="OUI",$AR$13=S.CAL!$CU$3),"►",""))</f>
        <v/>
      </c>
      <c r="AB44" s="1877">
        <f>+$X$3+24</f>
        <v>45833</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45833</v>
      </c>
      <c r="AX44" s="1878"/>
      <c r="AY44" s="332"/>
      <c r="AZ44" s="1126"/>
      <c r="BA44" s="993"/>
      <c r="BB44" s="561"/>
      <c r="BC44" s="566">
        <f t="shared" si="23"/>
        <v>0</v>
      </c>
      <c r="BD44" s="1126"/>
      <c r="BE44" s="825">
        <f t="shared" si="24"/>
        <v>0</v>
      </c>
      <c r="BF44" s="1150"/>
      <c r="BG44" s="224"/>
      <c r="BH44" s="566" t="str">
        <f t="shared" si="25"/>
        <v/>
      </c>
      <c r="BI44" s="1150"/>
      <c r="BJ44" s="129" t="str">
        <f t="shared" si="26"/>
        <v>Fiche infoA3</v>
      </c>
      <c r="BK44" s="129">
        <f t="shared" si="49"/>
        <v>26</v>
      </c>
      <c r="BL44" s="129" t="str">
        <f t="shared" si="4"/>
        <v>A</v>
      </c>
      <c r="BM44" s="129">
        <f t="shared" si="50"/>
        <v>3</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+IF(CC45="",Mai!CC44,CC45)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45833</v>
      </c>
      <c r="ER44" s="767">
        <f t="shared" si="10"/>
        <v>0</v>
      </c>
      <c r="ES44" s="768">
        <f t="shared" si="11"/>
        <v>0</v>
      </c>
      <c r="ET44" s="767">
        <f t="shared" si="12"/>
        <v>0</v>
      </c>
      <c r="EU44" s="768">
        <f t="shared" si="13"/>
        <v>0</v>
      </c>
      <c r="EV44" s="767" t="str">
        <f t="shared" si="14"/>
        <v/>
      </c>
      <c r="EW44" s="769">
        <f t="shared" si="29"/>
        <v>45833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26</v>
      </c>
      <c r="GA44" s="129">
        <f t="shared" si="39"/>
        <v>2025</v>
      </c>
      <c r="GB44" s="129" t="str">
        <f t="shared" si="40"/>
        <v>262025</v>
      </c>
      <c r="GC44" s="225">
        <f>IF(AND($GD$53=S.CAL!$P$3,$GD$52=FZ44),GE44,IF(BH44="",0,BH44))</f>
        <v>0</v>
      </c>
      <c r="GD44" s="129" t="str">
        <f>IFERROR(+Juillet!$BY$2&amp;BL44&amp;BM44,0)</f>
        <v>Fiche infoA3</v>
      </c>
      <c r="GE44" s="129" t="str">
        <f t="shared" si="19"/>
        <v/>
      </c>
      <c r="GF44" s="225" t="str">
        <f t="shared" si="41"/>
        <v/>
      </c>
      <c r="GG44" s="1469" t="str">
        <f>+'Retenue Juin'!D42</f>
        <v/>
      </c>
      <c r="GH44" s="1469">
        <f>+'Retenue Juin'!BF42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45834</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45834</v>
      </c>
      <c r="AX45" s="1878"/>
      <c r="AY45" s="332"/>
      <c r="AZ45" s="1126"/>
      <c r="BA45" s="993"/>
      <c r="BB45" s="561"/>
      <c r="BC45" s="566">
        <f t="shared" si="23"/>
        <v>0</v>
      </c>
      <c r="BD45" s="1126"/>
      <c r="BE45" s="825">
        <f t="shared" si="24"/>
        <v>0</v>
      </c>
      <c r="BF45" s="1150"/>
      <c r="BG45" s="224"/>
      <c r="BH45" s="566" t="str">
        <f t="shared" si="25"/>
        <v/>
      </c>
      <c r="BI45" s="1150"/>
      <c r="BJ45" s="129" t="str">
        <f t="shared" si="26"/>
        <v>Fiche infoA4</v>
      </c>
      <c r="BK45" s="129">
        <f t="shared" si="49"/>
        <v>26</v>
      </c>
      <c r="BL45" s="129" t="str">
        <f t="shared" si="4"/>
        <v>A</v>
      </c>
      <c r="BM45" s="129">
        <f t="shared" si="50"/>
        <v>4</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45834</v>
      </c>
      <c r="ER45" s="767">
        <f t="shared" si="10"/>
        <v>0</v>
      </c>
      <c r="ES45" s="768">
        <f t="shared" si="11"/>
        <v>0</v>
      </c>
      <c r="ET45" s="767">
        <f t="shared" si="12"/>
        <v>0</v>
      </c>
      <c r="EU45" s="768">
        <f t="shared" si="13"/>
        <v>0</v>
      </c>
      <c r="EV45" s="767" t="str">
        <f t="shared" si="14"/>
        <v/>
      </c>
      <c r="EW45" s="769">
        <f t="shared" si="29"/>
        <v>45834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26</v>
      </c>
      <c r="GA45" s="129">
        <f t="shared" si="39"/>
        <v>2025</v>
      </c>
      <c r="GB45" s="129" t="str">
        <f t="shared" si="40"/>
        <v>262025</v>
      </c>
      <c r="GC45" s="225">
        <f>IF(AND($GD$53=S.CAL!$P$3,$GD$52=FZ45),GE45,IF(BH45="",0,BH45))</f>
        <v>0</v>
      </c>
      <c r="GD45" s="129" t="str">
        <f>IFERROR(+Juillet!$BY$2&amp;BL45&amp;BM45,0)</f>
        <v>Fiche infoA4</v>
      </c>
      <c r="GE45" s="129" t="str">
        <f t="shared" si="19"/>
        <v/>
      </c>
      <c r="GF45" s="225" t="str">
        <f t="shared" si="41"/>
        <v/>
      </c>
      <c r="GG45" s="1469" t="str">
        <f>+'Retenue Juin'!D43</f>
        <v/>
      </c>
      <c r="GH45" s="1469">
        <f>+'Retenue Juin'!BF43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 ca="1">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 ca="1">ROUND(K46*H46,4)</f>
        <v>0</v>
      </c>
      <c r="O46" s="1780"/>
      <c r="P46" s="1780"/>
      <c r="Q46" s="223"/>
      <c r="R46" s="1906">
        <f ca="1">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 ca="1">ROUND(U46*R46,2)</f>
        <v>0</v>
      </c>
      <c r="Y46" s="1900"/>
      <c r="Z46" s="1900"/>
      <c r="AA46" s="903" t="str">
        <f>IF(AND(BE46="OUI",$AR$13=S.CAL!$CU$2),"►",IF(AND(EV46="OUI",$AR$13=S.CAL!$CU$3),"►",""))</f>
        <v/>
      </c>
      <c r="AB46" s="1877">
        <f>+$X$3+26</f>
        <v>45835</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45835</v>
      </c>
      <c r="AX46" s="1878"/>
      <c r="AY46" s="332"/>
      <c r="AZ46" s="1126"/>
      <c r="BA46" s="993"/>
      <c r="BB46" s="561"/>
      <c r="BC46" s="566">
        <f t="shared" si="23"/>
        <v>0</v>
      </c>
      <c r="BD46" s="1126"/>
      <c r="BE46" s="825">
        <f t="shared" si="24"/>
        <v>0</v>
      </c>
      <c r="BF46" s="1150"/>
      <c r="BG46" s="224"/>
      <c r="BH46" s="566" t="str">
        <f t="shared" si="25"/>
        <v/>
      </c>
      <c r="BI46" s="1150"/>
      <c r="BJ46" s="129" t="str">
        <f t="shared" si="26"/>
        <v>Fiche infoA5</v>
      </c>
      <c r="BK46" s="129">
        <f t="shared" si="49"/>
        <v>26</v>
      </c>
      <c r="BL46" s="129" t="str">
        <f t="shared" si="4"/>
        <v>A</v>
      </c>
      <c r="BM46" s="129">
        <f t="shared" si="50"/>
        <v>5</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45835</v>
      </c>
      <c r="ER46" s="767">
        <f t="shared" si="10"/>
        <v>0</v>
      </c>
      <c r="ES46" s="768">
        <f t="shared" si="11"/>
        <v>0</v>
      </c>
      <c r="ET46" s="767">
        <f t="shared" si="12"/>
        <v>0</v>
      </c>
      <c r="EU46" s="768">
        <f t="shared" si="13"/>
        <v>0</v>
      </c>
      <c r="EV46" s="767" t="str">
        <f t="shared" si="14"/>
        <v/>
      </c>
      <c r="EW46" s="769">
        <f t="shared" si="29"/>
        <v>45835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26</v>
      </c>
      <c r="GA46" s="129">
        <f t="shared" si="39"/>
        <v>2025</v>
      </c>
      <c r="GB46" s="129" t="str">
        <f t="shared" si="40"/>
        <v>262025</v>
      </c>
      <c r="GC46" s="225">
        <f>IF(AND($GD$53=S.CAL!$P$3,$GD$52=FZ46),GE46,IF(BH46="",0,BH46))</f>
        <v>0</v>
      </c>
      <c r="GD46" s="129" t="str">
        <f>IFERROR(+Juillet!$BY$2&amp;BL46&amp;BM46,0)</f>
        <v>Fiche infoA5</v>
      </c>
      <c r="GE46" s="129" t="str">
        <f t="shared" si="19"/>
        <v/>
      </c>
      <c r="GF46" s="225" t="str">
        <f t="shared" si="41"/>
        <v/>
      </c>
      <c r="GG46" s="1469" t="str">
        <f>+'Retenue Juin'!D44</f>
        <v/>
      </c>
      <c r="GH46" s="1469">
        <f>+'Retenue Juin'!BF44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 ca="1">+T35*INDEX(table_base_coef_salariale,MATCH(A47,Taux_cotisations!$A$75:$A$101,0),MATCH($X$3,Taux_cotisations!$A$75:$M$75,0))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ca="1" si="66">ROUND(K47*H47,4)</f>
        <v>0</v>
      </c>
      <c r="O47" s="1780"/>
      <c r="P47" s="1780"/>
      <c r="Q47" s="223"/>
      <c r="R47" s="1906">
        <f ca="1">+T35*INDEX(table_base_coef_patronale,MATCH(A47,Taux_cotisations!$A$110:$A$136,0),MATCH($X$3,Taux_cotisations!$A$110:$M$110,0))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ca="1" si="67">ROUND(U47*R47,2)</f>
        <v>0</v>
      </c>
      <c r="Y47" s="1900"/>
      <c r="Z47" s="1900"/>
      <c r="AA47" s="903" t="str">
        <f>IF(AND(BE47="OUI",$AR$13=S.CAL!$CU$2),"►",IF(AND(EV47="OUI",$AR$13=S.CAL!$CU$3),"►",""))</f>
        <v/>
      </c>
      <c r="AB47" s="1877">
        <f>+$X$3+27</f>
        <v>45836</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45836</v>
      </c>
      <c r="AX47" s="1878"/>
      <c r="AY47" s="332"/>
      <c r="AZ47" s="1126"/>
      <c r="BA47" s="993"/>
      <c r="BB47" s="561"/>
      <c r="BC47" s="566">
        <f t="shared" si="23"/>
        <v>0</v>
      </c>
      <c r="BD47" s="1126"/>
      <c r="BE47" s="825">
        <f t="shared" si="24"/>
        <v>0</v>
      </c>
      <c r="BF47" s="1150"/>
      <c r="BG47" s="224"/>
      <c r="BH47" s="566" t="str">
        <f t="shared" si="25"/>
        <v/>
      </c>
      <c r="BI47" s="1150"/>
      <c r="BJ47" s="129" t="str">
        <f t="shared" si="26"/>
        <v>Fiche infoA6</v>
      </c>
      <c r="BK47" s="129">
        <f t="shared" si="49"/>
        <v>26</v>
      </c>
      <c r="BL47" s="129" t="str">
        <f t="shared" si="4"/>
        <v>A</v>
      </c>
      <c r="BM47" s="129">
        <f t="shared" si="50"/>
        <v>6</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IF(CF47="",Mai!CE47,CF47)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45836</v>
      </c>
      <c r="ER47" s="767">
        <f t="shared" si="10"/>
        <v>0</v>
      </c>
      <c r="ES47" s="768">
        <f t="shared" si="11"/>
        <v>0</v>
      </c>
      <c r="ET47" s="767">
        <f t="shared" si="12"/>
        <v>0</v>
      </c>
      <c r="EU47" s="768">
        <f t="shared" si="13"/>
        <v>0</v>
      </c>
      <c r="EV47" s="767" t="str">
        <f t="shared" si="14"/>
        <v/>
      </c>
      <c r="EW47" s="769">
        <f t="shared" si="29"/>
        <v>45836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26</v>
      </c>
      <c r="GA47" s="129">
        <f t="shared" si="39"/>
        <v>2025</v>
      </c>
      <c r="GB47" s="129" t="str">
        <f t="shared" si="40"/>
        <v>262025</v>
      </c>
      <c r="GC47" s="225">
        <f>IF(AND($GD$53=S.CAL!$P$3,$GD$52=FZ47),GE47,IF(BH47="",0,BH47))</f>
        <v>0</v>
      </c>
      <c r="GD47" s="129" t="str">
        <f>IFERROR(+Juillet!$BY$2&amp;BL47&amp;BM47,0)</f>
        <v>Fiche infoA6</v>
      </c>
      <c r="GE47" s="129" t="str">
        <f t="shared" si="19"/>
        <v/>
      </c>
      <c r="GF47" s="225" t="str">
        <f t="shared" si="41"/>
        <v/>
      </c>
      <c r="GG47" s="1469" t="str">
        <f>+'Retenue Juin'!D45</f>
        <v/>
      </c>
      <c r="GH47" s="1469">
        <f>+'Retenue Juin'!BF45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 ca="1">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ca="1" si="66"/>
        <v>0</v>
      </c>
      <c r="O48" s="1780"/>
      <c r="P48" s="1780"/>
      <c r="Q48" s="223"/>
      <c r="R48" s="1906">
        <f ca="1">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ca="1" si="67"/>
        <v>0</v>
      </c>
      <c r="Y48" s="1900"/>
      <c r="Z48" s="1900"/>
      <c r="AA48" s="903" t="str">
        <f>IF(AND(BE48="OUI",$AR$13=S.CAL!$CU$2),"►",IF(AND(EV48="OUI",$AR$13=S.CAL!$CU$3),"►",""))</f>
        <v/>
      </c>
      <c r="AB48" s="1877">
        <f>IF(AB20+28&lt;DATE(YEAR(AB20),MONTH(AB20)+1,DAY(AB20)),AB20+28,"")</f>
        <v>45837</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45837</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infoA7</v>
      </c>
      <c r="BK48" s="129">
        <f t="shared" si="49"/>
        <v>26</v>
      </c>
      <c r="BL48" s="129" t="str">
        <f t="shared" si="4"/>
        <v>A</v>
      </c>
      <c r="BM48" s="129">
        <f>IFERROR(WEEKDAY(AB48,2),0)</f>
        <v>7</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45837</v>
      </c>
      <c r="ER48" s="767">
        <f t="shared" si="10"/>
        <v>0</v>
      </c>
      <c r="ES48" s="768">
        <f t="shared" si="11"/>
        <v>0</v>
      </c>
      <c r="ET48" s="767">
        <f t="shared" si="12"/>
        <v>0</v>
      </c>
      <c r="EU48" s="768">
        <f t="shared" si="13"/>
        <v>0</v>
      </c>
      <c r="EV48" s="767" t="str">
        <f t="shared" si="14"/>
        <v/>
      </c>
      <c r="EW48" s="769">
        <f t="shared" si="29"/>
        <v>45837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26</v>
      </c>
      <c r="GA48" s="129">
        <f t="shared" si="39"/>
        <v>2025</v>
      </c>
      <c r="GB48" s="129" t="str">
        <f t="shared" si="40"/>
        <v>262025</v>
      </c>
      <c r="GC48" s="225">
        <f>IF(AND($GD$53=S.CAL!$P$3,$GD$52=FZ48),GE48,IF(BH48="",0,BH48))</f>
        <v>0</v>
      </c>
      <c r="GD48" s="129" t="str">
        <f>IFERROR(+Juillet!$BY$2&amp;BL48&amp;BM48,0)</f>
        <v>Fiche infoA7</v>
      </c>
      <c r="GE48" s="129" t="str">
        <f t="shared" si="19"/>
        <v/>
      </c>
      <c r="GF48" s="225" t="str">
        <f t="shared" si="41"/>
        <v/>
      </c>
      <c r="GG48" s="1469" t="str">
        <f>+'Retenue Juin'!D46</f>
        <v/>
      </c>
      <c r="GH48" s="1469">
        <f>+'Retenue Juin'!BF46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 ca="1">+IF(AND(T35&gt;=EG6,T35&gt;0),T35*INDEX(table_base_coef_salariale,MATCH(A49,Taux_cotisations!$A$75:$A$101,0),MATCH($X$3,Taux_cotisations!$A$75:$M$75,0)),0)</f>
        <v>0</v>
      </c>
      <c r="I49" s="1794"/>
      <c r="J49" s="1795"/>
      <c r="K49" s="1802">
        <f ca="1">IF(AND(T35&gt;=EG6,T35&gt;0),INDEX(table_taux_salariales,MATCH(A49,Taux_cotisations!$A$6:$A$32,0),MATCH($X$3,Taux_cotisations!$A$6:$M$6,0)),0)</f>
        <v>0</v>
      </c>
      <c r="L49" s="1803"/>
      <c r="M49" s="1803"/>
      <c r="N49" s="1780">
        <f t="shared" ca="1" si="66"/>
        <v>0</v>
      </c>
      <c r="O49" s="1780"/>
      <c r="P49" s="1780"/>
      <c r="Q49" s="223"/>
      <c r="R49" s="1906">
        <f ca="1">IF(AND(T35&gt;=EG6,T35&gt;0),T35*INDEX(table_base_coef_patronale,MATCH(A49,Taux_cotisations!$A$110:$A$136,0),MATCH($X$3,Taux_cotisations!$A$110:$M$110,0)),0)</f>
        <v>0</v>
      </c>
      <c r="S49" s="1906"/>
      <c r="T49" s="1906"/>
      <c r="U49" s="1907">
        <f ca="1">+IF(AND(T35&gt;=EG6,T35&gt;0),INDEX(table_taux_patronales,MATCH(A49,Taux_cotisations!$A$39:$A$65,0),MATCH($X$3,Taux_cotisations!$A$39:$M$39,0)),0)</f>
        <v>0</v>
      </c>
      <c r="V49" s="1907"/>
      <c r="W49" s="1907"/>
      <c r="X49" s="1900">
        <f ca="1">ROUND(U49*R49,2)</f>
        <v>0</v>
      </c>
      <c r="Y49" s="1900"/>
      <c r="Z49" s="1900"/>
      <c r="AA49" s="903" t="str">
        <f>IF(AND(BE49="OUI",$AR$13=S.CAL!$CU$2),"►",IF(AND(EV49="OUI",$AR$13=S.CAL!$CU$3),"►",""))</f>
        <v/>
      </c>
      <c r="AB49" s="1877">
        <f>IF(AB20+29&lt;DATE(YEAR(AB20),MONTH(AB20)+1,DAY(AB20)),AB20+29,"")</f>
        <v>45838</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f t="shared" si="48"/>
        <v>27</v>
      </c>
      <c r="AQ49" s="340"/>
      <c r="AR49" s="1126"/>
      <c r="AS49" s="332">
        <f t="shared" si="3"/>
        <v>0</v>
      </c>
      <c r="AT49" s="1147"/>
      <c r="AU49" s="1147"/>
      <c r="AV49" s="332"/>
      <c r="AW49" s="2017">
        <f t="shared" si="22"/>
        <v>45838</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infoA1</v>
      </c>
      <c r="BK49" s="129">
        <f t="shared" si="49"/>
        <v>27</v>
      </c>
      <c r="BL49" s="129" t="str">
        <f t="shared" si="4"/>
        <v>A</v>
      </c>
      <c r="BM49" s="129">
        <f>IFERROR(WEEKDAY(AB49,2),0)</f>
        <v>1</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IF(CF49="",Mai!CE49,CF49)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45838</v>
      </c>
      <c r="ER49" s="767">
        <f t="shared" si="10"/>
        <v>0</v>
      </c>
      <c r="ES49" s="768">
        <f t="shared" si="11"/>
        <v>0</v>
      </c>
      <c r="ET49" s="767">
        <f t="shared" si="12"/>
        <v>0</v>
      </c>
      <c r="EU49" s="768">
        <f t="shared" si="13"/>
        <v>0</v>
      </c>
      <c r="EV49" s="767" t="str">
        <f t="shared" si="14"/>
        <v/>
      </c>
      <c r="EW49" s="769">
        <f t="shared" si="29"/>
        <v>45838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27</v>
      </c>
      <c r="GA49" s="129">
        <f t="shared" si="39"/>
        <v>2025</v>
      </c>
      <c r="GB49" s="129" t="str">
        <f t="shared" ref="GB49:GB50" si="69">+FZ49&amp;GA49</f>
        <v>272025</v>
      </c>
      <c r="GC49" s="225">
        <f>IF(AND($GD$53=S.CAL!$P$3,$GD$52=FZ49),GE49,IF(BH49="",0,BH49))</f>
        <v>0</v>
      </c>
      <c r="GD49" s="129" t="str">
        <f>IFERROR(+Juillet!$BY$2&amp;BL49&amp;BM49,0)</f>
        <v>Fiche infoA1</v>
      </c>
      <c r="GE49" s="129" t="str">
        <f t="shared" si="19"/>
        <v/>
      </c>
      <c r="GF49" s="225" t="str">
        <f t="shared" ref="GF49:GF50" si="70">IF(FP49=1,GG49,AM49)</f>
        <v/>
      </c>
      <c r="GG49" s="1469" t="str">
        <f>+'Retenue Juin'!D47</f>
        <v/>
      </c>
      <c r="GH49" s="1469">
        <f>+'Retenue Juin'!BF47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 ca="1">+IF(AND(T35&gt;0,T35&gt;EG6),(T35-EG6)*INDEX(table_base_coef_salariale,MATCH(A50,Taux_cotisations!$A$75:$A$101,0),MATCH($X$3,Taux_cotisations!$A$75:$M$75,0)),0)</f>
        <v>0</v>
      </c>
      <c r="I50" s="1794"/>
      <c r="J50" s="1795"/>
      <c r="K50" s="1802">
        <f ca="1">IF(H50=0,0,INDEX(table_taux_salariales,MATCH(A50,Taux_cotisations!$A$6:$A$32,0),MATCH($X$3,Taux_cotisations!$A$6:$M$6,0)))</f>
        <v>0</v>
      </c>
      <c r="L50" s="1803"/>
      <c r="M50" s="1803"/>
      <c r="N50" s="1780">
        <f t="shared" ca="1" si="66"/>
        <v>0</v>
      </c>
      <c r="O50" s="1780"/>
      <c r="P50" s="1780"/>
      <c r="Q50" s="223"/>
      <c r="R50" s="1900">
        <f ca="1">+IF(AND(T35&gt;0,T35&gt;EG6),(T35-EG6)*INDEX(table_base_coef_patronale,MATCH(A50,Taux_cotisations!$A$110:$A$136,0),MATCH($X$3,Taux_cotisations!$A$110:$M$110,0)),0)</f>
        <v>0</v>
      </c>
      <c r="S50" s="1900"/>
      <c r="T50" s="1900"/>
      <c r="U50" s="2244">
        <f ca="1">IF(R50=0,0,INDEX(table_taux_patronales,MATCH(A50,Taux_cotisations!$A$39:$A$65,0),MATCH($X$3,Taux_cotisations!$A$39:$M$39,0)))</f>
        <v>0</v>
      </c>
      <c r="V50" s="2244"/>
      <c r="W50" s="2244"/>
      <c r="X50" s="1900">
        <f ca="1">ROUND(U50*R50,2)</f>
        <v>0</v>
      </c>
      <c r="Y50" s="1900"/>
      <c r="Z50" s="1900"/>
      <c r="AA50" s="903" t="str">
        <f>IF(AND(BE50="OUI",$AR$13=S.CAL!$CU$2),"►",IF(AND(EV50="OUI",$AR$13=S.CAL!$CU$3),"►",""))</f>
        <v/>
      </c>
      <c r="AB50" s="1877" t="str">
        <f>IF(AB20+30&lt;DATE(YEAR(AB20),MONTH(AB20)+1,DAY(AB20)),AB20+30,"")</f>
        <v/>
      </c>
      <c r="AC50" s="1878"/>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t="str">
        <f t="shared" si="22"/>
        <v/>
      </c>
      <c r="AX50" s="2097"/>
      <c r="AY50" s="332"/>
      <c r="AZ50" s="1127"/>
      <c r="BA50" s="994"/>
      <c r="BB50" s="561"/>
      <c r="BC50" s="564">
        <f t="shared" si="23"/>
        <v>0</v>
      </c>
      <c r="BD50" s="1127"/>
      <c r="BE50" s="826">
        <f t="shared" si="24"/>
        <v>0</v>
      </c>
      <c r="BF50" s="1151"/>
      <c r="BG50" s="224"/>
      <c r="BH50" s="564" t="str">
        <f t="shared" si="25"/>
        <v/>
      </c>
      <c r="BI50" s="1151"/>
      <c r="BJ50" s="129" t="str">
        <f t="shared" si="68"/>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9"/>
        <v>2025</v>
      </c>
      <c r="GC50" s="225">
        <f>IF(AND($GD$53=S.CAL!$P$3,$GD$52=FZ50),GE50,IF(BH50="",0,BH50))</f>
        <v>0</v>
      </c>
      <c r="GD50" s="129" t="str">
        <f>IFERROR(+Juillet!$BY$2&amp;BL50&amp;BM50,0)</f>
        <v>Fiche infoA0</v>
      </c>
      <c r="GE50" s="129" t="str">
        <f t="shared" si="19"/>
        <v/>
      </c>
      <c r="GF50" s="225" t="str">
        <f t="shared" si="70"/>
        <v/>
      </c>
      <c r="GG50" s="1469" t="str">
        <f>+'Retenue Juin'!D48</f>
        <v/>
      </c>
      <c r="GH50" s="1469">
        <f>+'Retenue Juin'!BF48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 ca="1">+T35*INDEX(table_base_coef_patronale,MATCH(A51,Taux_cotisations!$A$110:$A$136,0),MATCH($X$3,Taux_cotisations!$A$110:$M$110,0))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ca="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 ca="1">+T35*INDEX(table_base_coef_patronale,MATCH(A52,Taux_cotisations!$A$110:$A$136,0),MATCH($X$3,Taux_cotisations!$A$110:$M$110,0))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 ca="1">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27</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 ca="1">+T35*INDEX(table_base_coef_patronale,MATCH(A53,Taux_cotisations!$A$110:$A$136,0),MATCH($X$3,Taux_cotisations!$A$110:$M$110,0))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 ca="1">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IF(CF53="",+Mai!CE53,CF53)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 ca="1">+T35*INDEX(table_base_coef_patronale,MATCH(A54,Taux_cotisations!$A$110:$A$136,0),MATCH($X$3,Taux_cotisations!$A$110:$M$110,0))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 ca="1">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IF(CF54="",Mai!CE54,CF54)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 ca="1">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ca="1"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IF(CF55&gt;0,CF55,IF(AND(CE53=Mai!CE53,CE54=Mai!CE54),Mai!CE55,IF(OR(CE53&lt;&gt;Mai!CE53,CE54&lt;&gt;Mai!CE54),CE53/CE54)))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 ca="1">(+T18+T23+T24+T25+T29+HO16+T30+T27+T28+T31+T32+T33+T34)*INDEX(table_base_coef_salariale,MATCH(A56,Taux_cotisations!$A$75:$A$101,0),MATCH($X$3,Taux_cotisations!$A$75:$M$75,0))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 ca="1">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Juin'!E52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+IF(BY57="",Mai!BY56,BY57)</f>
        <v>24</v>
      </c>
      <c r="BZ56" s="629" t="s">
        <v>1065</v>
      </c>
      <c r="CA56" s="632">
        <f>+IF(CA57="",Mai!CA56,CA57)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 ca="1">(+T18+T23+T24+T25+T29+HO16+T30+T27+T28+T31+T32+T33+T34)*INDEX(table_base_coef_salariale,MATCH(A57,Taux_cotisations!$A$75:$A$101,0),MATCH($X$3,Taux_cotisations!$A$75:$M$75,0))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 ca="1">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 ca="1">+EG1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IF(CF57="",+Mai!CE57,CF57)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IF(CF58="",Mai!CE58,CF58)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+IF(CA61="",Mai!CA60,CA61)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 ca="1">ROUND(SUM(N40:P59),2)</f>
        <v>0</v>
      </c>
      <c r="O61" s="2217"/>
      <c r="P61" s="2218"/>
      <c r="Q61" s="235"/>
      <c r="R61" s="2222" t="s">
        <v>134</v>
      </c>
      <c r="S61" s="2223"/>
      <c r="T61" s="2223"/>
      <c r="U61" s="2223"/>
      <c r="V61" s="2223"/>
      <c r="W61" s="2224"/>
      <c r="X61" s="2210">
        <f ca="1">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 ca="1">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+IF(BA65="",Mai!K67,BA65)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+IF(BA68="",Mai!K68,BA68)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 ca="1">+"(Détail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 ca="1">+(T35*3.15%)-((H57+H58)*1.7%)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 ca="1">+(BZ72+BZ77)*5*DP6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 ca="1">+ROUND((T18+T23+T24+T25+T29+HO16+T30+T31+T32+T33+T34)-(N61-(N57+N58)),2)</f>
        <v>0</v>
      </c>
      <c r="F74" s="1776"/>
      <c r="G74" s="2154"/>
      <c r="H74" s="1765">
        <f ca="1">E74+Mai!H74</f>
        <v>0</v>
      </c>
      <c r="I74" s="1766"/>
      <c r="J74" s="1766"/>
      <c r="K74" s="1767"/>
      <c r="L74" s="1778" t="s">
        <v>1601</v>
      </c>
      <c r="M74" s="1778"/>
      <c r="N74" s="1778"/>
      <c r="O74" s="1778"/>
      <c r="P74" s="1778"/>
      <c r="Q74" s="1742">
        <f ca="1">+N62+N71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E75+Mai!H75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Juin'!EH51=0,"",'Retenue Juin'!EH51),AX76)</f>
        <v/>
      </c>
      <c r="AZ75" s="2043"/>
      <c r="BA75" s="936" t="str">
        <f>+IF(BA76="",IF('Retenue Juin'!EF51=0,"",'Retenue Juin'!EF51),BA76)</f>
        <v/>
      </c>
      <c r="BB75" s="937"/>
      <c r="BC75" s="938" t="str">
        <f>IF(BC76="",IF(+'Retenue Juin'!EG51=0,"",'Retenue Juin'!EG51),BC76)</f>
        <v/>
      </c>
      <c r="BD75" s="972"/>
      <c r="BE75" s="129"/>
      <c r="BF75" s="129"/>
      <c r="BG75" s="129"/>
      <c r="BH75" s="129"/>
      <c r="BI75" s="129"/>
      <c r="BQ75" s="219" t="s">
        <v>69</v>
      </c>
      <c r="BZ75" s="245">
        <f>+BZ72+BZ73-BZ74</f>
        <v>0</v>
      </c>
      <c r="CA75" s="246">
        <f ca="1">+(BZ75+BZ77)*5*DP6</f>
        <v>0</v>
      </c>
      <c r="CB75" s="247"/>
      <c r="CC75" s="862"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 ca="1">+Q78*-1</f>
        <v>0</v>
      </c>
      <c r="F76" s="1776"/>
      <c r="G76" s="2154"/>
      <c r="H76" s="1775">
        <f ca="1">E76+Mai!H76</f>
        <v>0</v>
      </c>
      <c r="I76" s="1776"/>
      <c r="J76" s="1776"/>
      <c r="K76" s="1777"/>
      <c r="L76" s="1778" t="s">
        <v>73</v>
      </c>
      <c r="M76" s="1778"/>
      <c r="N76" s="1778"/>
      <c r="O76" s="1778"/>
      <c r="P76" s="1779"/>
      <c r="Q76" s="1742">
        <f ca="1">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+E77+Mai!H77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 ca="1">+IFERROR(IF(BY6="non",DK36,E74),0)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 ca="1">MROUND(+CC80+CC81,0.5)</f>
        <v>0</v>
      </c>
      <c r="CA77" s="661" t="s">
        <v>1095</v>
      </c>
      <c r="CB77" s="129" t="s">
        <v>72</v>
      </c>
    </row>
    <row r="78" spans="1:83" ht="15" customHeight="1" x14ac:dyDescent="0.2">
      <c r="H78" s="1031"/>
      <c r="I78" s="1031"/>
      <c r="J78" s="1031"/>
      <c r="K78" s="234"/>
      <c r="L78" s="1820" t="s">
        <v>76</v>
      </c>
      <c r="M78" s="1820"/>
      <c r="N78" s="1820"/>
      <c r="O78" s="1820"/>
      <c r="P78" s="2188"/>
      <c r="Q78" s="1742">
        <f ca="1">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+IF(AR78="",Mai!AL78,AR78)</f>
        <v>0</v>
      </c>
      <c r="AM78" s="2179"/>
      <c r="AN78" s="2179"/>
      <c r="AO78" s="2179"/>
      <c r="AQ78" s="438" t="s">
        <v>762</v>
      </c>
      <c r="AR78" s="2304"/>
      <c r="AS78" s="2304"/>
      <c r="AT78" s="2041" t="str">
        <f>IFERROR(VLOOKUP(AY78,'Liste des Libellés'!$A$4:$F$32,6,FALSE),"")</f>
        <v/>
      </c>
      <c r="AU78" s="2041"/>
      <c r="AV78" s="2041"/>
      <c r="AW78" s="2041"/>
      <c r="AX78" s="935"/>
      <c r="AY78" s="2043" t="str">
        <f>+IF(AX79="",IF('Retenue Juin'!EH53=0,"",'Retenue Juin'!EH53),AX79)</f>
        <v/>
      </c>
      <c r="AZ78" s="2043"/>
      <c r="BA78" s="936" t="str">
        <f>+IF(BA79="",IF('Retenue Juin'!EF53=0,"",'Retenue Juin'!EF53),BA79)</f>
        <v/>
      </c>
      <c r="BB78" s="937"/>
      <c r="BC78" s="938" t="str">
        <f>IF(BC79="",IF(+'Retenue Juin'!EG53=0,"",'Retenue Juin'!EG53),BC79)</f>
        <v/>
      </c>
      <c r="BD78" s="972"/>
      <c r="BE78" s="129"/>
      <c r="BF78" s="129"/>
      <c r="BG78" s="129"/>
      <c r="BH78" s="129"/>
      <c r="BI78" s="129"/>
      <c r="CA78" s="667" t="s">
        <v>1093</v>
      </c>
      <c r="CB78" s="213" t="str">
        <f ca="1">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+Mai!F80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 ca="1">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Juin'!EH55=0,"",'Retenue Juin'!EH55),AX82)</f>
        <v/>
      </c>
      <c r="AZ81" s="2043"/>
      <c r="BA81" s="936" t="str">
        <f>+IF(BA82="",IF('Retenue Juin'!EF55=0,"",'Retenue Juin'!EF55),BA82)</f>
        <v/>
      </c>
      <c r="BB81" s="937"/>
      <c r="BC81" s="938" t="str">
        <f>IF(BC82="",IF(+'Retenue Juin'!EG55=0,"",'Retenue Juin'!EG55),BC82)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MROUND(+IF(DP8=52,EF16,EG16),0.05)</f>
        <v>0</v>
      </c>
      <c r="AI83" s="2055"/>
      <c r="AJ83" s="2055"/>
      <c r="AK83" s="2056"/>
      <c r="AL83" s="2350"/>
      <c r="AM83" s="2351"/>
      <c r="AN83" s="2351"/>
      <c r="AO83" s="2352"/>
      <c r="AP83" s="249"/>
      <c r="AQ83" s="341"/>
      <c r="AR83" s="249"/>
      <c r="AU83" s="129"/>
      <c r="AV83" s="129"/>
      <c r="AW83" s="129"/>
      <c r="AX83" s="931"/>
      <c r="AY83" s="931"/>
      <c r="AZ83" s="931"/>
      <c r="BA83" s="931"/>
      <c r="BB83" s="931"/>
      <c r="BC83" s="931"/>
      <c r="BD83" s="931"/>
      <c r="BE83" s="129"/>
      <c r="BF83" s="129"/>
      <c r="BG83" s="129"/>
      <c r="BH83" s="129"/>
      <c r="BI83" s="129"/>
      <c r="BJ83" s="283"/>
      <c r="BK83" s="284"/>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S84" s="420" t="s">
        <v>503</v>
      </c>
      <c r="AT84" s="2040" t="str">
        <f>IFERROR(VLOOKUP(AY84,'Liste des Libellés'!$A$4:$F$32,6,FALSE),"")</f>
        <v/>
      </c>
      <c r="AU84" s="2041"/>
      <c r="AV84" s="2041"/>
      <c r="AW84" s="2041"/>
      <c r="AX84" s="935"/>
      <c r="AY84" s="2043" t="str">
        <f>+IF(AX85="",IF('Retenue Juin'!EH57=0,"",'Retenue Juin'!EH57),AX85)</f>
        <v/>
      </c>
      <c r="AZ84" s="2043"/>
      <c r="BA84" s="936" t="str">
        <f>+IF(BA85="",IF('Retenue Juin'!EF57=0,"",'Retenue Juin'!EF57),BA85)</f>
        <v/>
      </c>
      <c r="BB84" s="937"/>
      <c r="BC84" s="938" t="str">
        <f>IF(BC85="",IF(+'Retenue Juin'!EG57=0,"",'Retenue Juin'!EG57),BC85)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 ca="1">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42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Mai!F86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+IF(AR86="",IF(DP8=52,'CP Année Complète au 31-05'!F25,'CP Année Incomplète au 31-05'!F27),IF(DP8=52,'CP Année Complète au 31-05'!F25+AR86,'CP Année Incomplète au 31-05'!F27+AR86))</f>
        <v>0</v>
      </c>
      <c r="AI86" s="1732"/>
      <c r="AJ86" s="1732"/>
      <c r="AK86" s="1733"/>
      <c r="AL86" s="1731">
        <f>IF(AS86="",IF(DP8=52,EI29,+EI25),IF(DP8=52,EI29+AS86,+EI25+AS86))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 ca="1">+IF(Identification!B125="Net",IF(OR(BZ118="Scénario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45838</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IF(DP8=52,'CP Année Complète au 31-05'!F28,'CP Année Incomplète au 31-05'!F31)</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+Mai!AL89+Mai!AL90</f>
        <v>0</v>
      </c>
      <c r="AI89" s="1732"/>
      <c r="AJ89" s="1732"/>
      <c r="AK89" s="1733"/>
      <c r="AL89" s="1731"/>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IFERROR(IF(DP8=52,+'CP Année Complète au 31-05'!D57,0),0)</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IFERROR(IF(DP8=52,+'CP Année Complète au 31-05'!F33,0),0)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222025</v>
      </c>
      <c r="BA107" s="1473">
        <f>+$AT$4</f>
        <v>22</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232025</v>
      </c>
      <c r="BA108" s="1478">
        <f>+$AT$5</f>
        <v>23</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242025</v>
      </c>
      <c r="BA109" s="1478">
        <f>+$AT$6</f>
        <v>24</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252025</v>
      </c>
      <c r="BA110" s="1478">
        <f>+$AT$7</f>
        <v>25</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262025</v>
      </c>
      <c r="BA111" s="1478">
        <f>+$AT$8</f>
        <v>26</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272025</v>
      </c>
      <c r="BA112" s="1483">
        <f>+$AT$9</f>
        <v>27</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222025</v>
      </c>
      <c r="BA142" s="1473">
        <f>+$AT$4</f>
        <v>22</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232025</v>
      </c>
      <c r="BA143" s="1478">
        <f>+$AT$5</f>
        <v>23</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242025</v>
      </c>
      <c r="BA144" s="1478">
        <f>+$AT$6</f>
        <v>24</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252025</v>
      </c>
      <c r="BA145" s="1478">
        <f>+$AT$7</f>
        <v>25</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262025</v>
      </c>
      <c r="BA146" s="1478">
        <f>+$AT$8</f>
        <v>26</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272025</v>
      </c>
      <c r="BA147" s="1483">
        <f>+$AT$9</f>
        <v>27</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eP0cGn7AXvQJQEyQrm+Orm/OlQeDAHh+3bJfk2Y4nzAmeQMEYTO1C99gagIGgFL4JkFWWt04F+sdhpDFr5/Wfg==" saltValue="sfqd6sSQe9l87Lhq3CpLCA=="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3298" priority="16">
      <formula>$U$14=0</formula>
    </cfRule>
  </conditionalFormatting>
  <conditionalFormatting sqref="B26:K26">
    <cfRule type="expression" dxfId="3297" priority="26">
      <formula>$U$14=0</formula>
    </cfRule>
  </conditionalFormatting>
  <conditionalFormatting sqref="B29:K29">
    <cfRule type="cellIs" dxfId="3296" priority="13" operator="greaterThan">
      <formula>0</formula>
    </cfRule>
  </conditionalFormatting>
  <conditionalFormatting sqref="C70:G70">
    <cfRule type="cellIs" dxfId="3295" priority="7" operator="greaterThan">
      <formula>0</formula>
    </cfRule>
  </conditionalFormatting>
  <conditionalFormatting sqref="F87:I87">
    <cfRule type="cellIs" dxfId="3294" priority="2" operator="greaterThan">
      <formula>0</formula>
    </cfRule>
  </conditionalFormatting>
  <conditionalFormatting sqref="F86:L86">
    <cfRule type="cellIs" dxfId="3293" priority="3" operator="greaterThan">
      <formula>0</formula>
    </cfRule>
  </conditionalFormatting>
  <conditionalFormatting sqref="H65:J65">
    <cfRule type="expression" dxfId="3292" priority="38">
      <formula>AND($AX$60="Oui",$AZ$62="")</formula>
    </cfRule>
    <cfRule type="expression" dxfId="3291" priority="40">
      <formula>AND($AX$60="Oui",$AZ$62="hrs")</formula>
    </cfRule>
  </conditionalFormatting>
  <conditionalFormatting sqref="H66:J66">
    <cfRule type="expression" dxfId="3290" priority="34">
      <formula>AND($AX$61="Oui",$AZ$63="")</formula>
    </cfRule>
    <cfRule type="expression" dxfId="3289" priority="35">
      <formula>AND($AX$61="Oui",$AZ$63="jrs")</formula>
    </cfRule>
    <cfRule type="expression" dxfId="3288" priority="36">
      <formula>AND($BW$41="Non",$AX$61="Non")</formula>
    </cfRule>
    <cfRule type="expression" dxfId="3287" priority="37">
      <formula>AND($BW$41="Oui",$AX$61="Non")</formula>
    </cfRule>
  </conditionalFormatting>
  <conditionalFormatting sqref="H70:J71">
    <cfRule type="cellIs" dxfId="3286" priority="6" operator="greaterThan">
      <formula>0</formula>
    </cfRule>
  </conditionalFormatting>
  <conditionalFormatting sqref="H65:K66">
    <cfRule type="cellIs" dxfId="3285" priority="33" operator="equal">
      <formula>0</formula>
    </cfRule>
  </conditionalFormatting>
  <conditionalFormatting sqref="H67:M68">
    <cfRule type="cellIs" dxfId="3284" priority="54" operator="equal">
      <formula>0</formula>
    </cfRule>
  </conditionalFormatting>
  <conditionalFormatting sqref="H69:M69">
    <cfRule type="cellIs" dxfId="3283" priority="8" operator="greaterThan">
      <formula>0</formula>
    </cfRule>
  </conditionalFormatting>
  <conditionalFormatting sqref="H40:Z60">
    <cfRule type="cellIs" dxfId="3282" priority="32" operator="equal">
      <formula>0</formula>
    </cfRule>
  </conditionalFormatting>
  <conditionalFormatting sqref="K81:K82 L82:T83 K88:T88 K89:Q90">
    <cfRule type="expression" dxfId="3281" priority="514">
      <formula>$EO$6="OUI"</formula>
    </cfRule>
  </conditionalFormatting>
  <conditionalFormatting sqref="K87">
    <cfRule type="expression" dxfId="3280" priority="4">
      <formula>$EO$6="OUI"</formula>
    </cfRule>
  </conditionalFormatting>
  <conditionalFormatting sqref="L18:O19">
    <cfRule type="cellIs" dxfId="3279" priority="20" operator="equal">
      <formula>0</formula>
    </cfRule>
  </conditionalFormatting>
  <conditionalFormatting sqref="L21:O22">
    <cfRule type="cellIs" dxfId="3278" priority="31" operator="equal">
      <formula>0</formula>
    </cfRule>
  </conditionalFormatting>
  <conditionalFormatting sqref="L27:O28">
    <cfRule type="cellIs" dxfId="3277" priority="14" operator="greaterThan">
      <formula>0</formula>
    </cfRule>
  </conditionalFormatting>
  <conditionalFormatting sqref="L30:O32">
    <cfRule type="cellIs" dxfId="3276" priority="12" operator="greaterThan">
      <formula>0</formula>
    </cfRule>
  </conditionalFormatting>
  <conditionalFormatting sqref="L34:O34">
    <cfRule type="cellIs" dxfId="3275" priority="10" operator="greaterThan">
      <formula>0</formula>
    </cfRule>
  </conditionalFormatting>
  <conditionalFormatting sqref="L23:S24">
    <cfRule type="cellIs" dxfId="3274" priority="15" operator="greaterThan">
      <formula>0</formula>
    </cfRule>
  </conditionalFormatting>
  <conditionalFormatting sqref="L25:S26">
    <cfRule type="containsErrors" dxfId="3273" priority="24">
      <formula>ISERROR(L25)</formula>
    </cfRule>
    <cfRule type="cellIs" dxfId="3272" priority="25" operator="equal">
      <formula>0</formula>
    </cfRule>
  </conditionalFormatting>
  <conditionalFormatting sqref="M87:T87">
    <cfRule type="expression" dxfId="3271" priority="511">
      <formula>$EO$6="OUI"</formula>
    </cfRule>
  </conditionalFormatting>
  <conditionalFormatting sqref="N65:P71">
    <cfRule type="cellIs" dxfId="3270" priority="60" operator="equal">
      <formula>0</formula>
    </cfRule>
  </conditionalFormatting>
  <conditionalFormatting sqref="O86">
    <cfRule type="expression" dxfId="3269" priority="515">
      <formula>EO6="OUI"</formula>
    </cfRule>
  </conditionalFormatting>
  <conditionalFormatting sqref="O14:T14">
    <cfRule type="expression" dxfId="3268" priority="210">
      <formula>$U$14=0</formula>
    </cfRule>
  </conditionalFormatting>
  <conditionalFormatting sqref="P20">
    <cfRule type="expression" dxfId="3267" priority="17">
      <formula>$DP$14=1</formula>
    </cfRule>
  </conditionalFormatting>
  <conditionalFormatting sqref="P18:S18">
    <cfRule type="expression" dxfId="3266" priority="21">
      <formula>$L$18=0</formula>
    </cfRule>
  </conditionalFormatting>
  <conditionalFormatting sqref="P19:S19">
    <cfRule type="expression" dxfId="3265" priority="19">
      <formula>$L$19=0</formula>
    </cfRule>
  </conditionalFormatting>
  <conditionalFormatting sqref="P21:S21">
    <cfRule type="expression" dxfId="3264" priority="30">
      <formula>$L$21=0</formula>
    </cfRule>
  </conditionalFormatting>
  <conditionalFormatting sqref="P22:S22">
    <cfRule type="expression" dxfId="3263" priority="29">
      <formula>$L$22=0</formula>
    </cfRule>
  </conditionalFormatting>
  <conditionalFormatting sqref="R87:T87">
    <cfRule type="expression" dxfId="3262" priority="510">
      <formula>$EO$7="OUI"</formula>
    </cfRule>
  </conditionalFormatting>
  <conditionalFormatting sqref="R89:T89">
    <cfRule type="expression" dxfId="3261" priority="505">
      <formula>$EO$8="OUI"</formula>
    </cfRule>
    <cfRule type="expression" dxfId="3260" priority="506">
      <formula>$EO$6="OUI"</formula>
    </cfRule>
  </conditionalFormatting>
  <conditionalFormatting sqref="R90:T90">
    <cfRule type="expression" dxfId="3259" priority="513">
      <formula>$EO$6="OUI"</formula>
    </cfRule>
    <cfRule type="expression" dxfId="3258" priority="512">
      <formula>$EO$7="OUI"</formula>
    </cfRule>
  </conditionalFormatting>
  <conditionalFormatting sqref="T20">
    <cfRule type="expression" dxfId="3257" priority="18">
      <formula>$DP$14=1</formula>
    </cfRule>
  </conditionalFormatting>
  <conditionalFormatting sqref="T30:T32">
    <cfRule type="cellIs" dxfId="3256" priority="28" operator="equal">
      <formula>0</formula>
    </cfRule>
  </conditionalFormatting>
  <conditionalFormatting sqref="T18:W19">
    <cfRule type="cellIs" dxfId="3255" priority="22" operator="equal">
      <formula>0</formula>
    </cfRule>
  </conditionalFormatting>
  <conditionalFormatting sqref="T21:W28">
    <cfRule type="cellIs" dxfId="3254" priority="27" operator="equal">
      <formula>0</formula>
    </cfRule>
  </conditionalFormatting>
  <conditionalFormatting sqref="T29:W29">
    <cfRule type="cellIs" dxfId="3253" priority="11" operator="greaterThan">
      <formula>0</formula>
    </cfRule>
  </conditionalFormatting>
  <conditionalFormatting sqref="T33:W33">
    <cfRule type="cellIs" dxfId="3252" priority="9" operator="greaterThan">
      <formula>0</formula>
    </cfRule>
  </conditionalFormatting>
  <conditionalFormatting sqref="T34:W34">
    <cfRule type="cellIs" dxfId="3251" priority="23" operator="equal">
      <formula>0</formula>
    </cfRule>
  </conditionalFormatting>
  <conditionalFormatting sqref="U14:X14">
    <cfRule type="cellIs" dxfId="3250" priority="208" operator="equal">
      <formula>0</formula>
    </cfRule>
  </conditionalFormatting>
  <conditionalFormatting sqref="V80:AF81">
    <cfRule type="cellIs" dxfId="3249" priority="1" operator="notEqual">
      <formula>"Commentaires :"</formula>
    </cfRule>
  </conditionalFormatting>
  <conditionalFormatting sqref="Y73:AO75">
    <cfRule type="expression" dxfId="3248" priority="64">
      <formula>$DP$8=52</formula>
    </cfRule>
  </conditionalFormatting>
  <conditionalFormatting sqref="AB20:AC50">
    <cfRule type="expression" dxfId="3247" priority="430">
      <formula>VLOOKUP(AB20,base_feries,1,FALSE)</formula>
    </cfRule>
    <cfRule type="expression" dxfId="3246" priority="429">
      <formula>OR(WEEKDAY(AB20,2)=6,WEEKDAY(AB20,2)=7)</formula>
    </cfRule>
    <cfRule type="expression" dxfId="3245" priority="428">
      <formula>WEEKDAY(AB20,2)=7</formula>
    </cfRule>
  </conditionalFormatting>
  <conditionalFormatting sqref="AD20:AF50">
    <cfRule type="cellIs" dxfId="3244" priority="300" operator="equal">
      <formula>0</formula>
    </cfRule>
    <cfRule type="expression" dxfId="3243" priority="299">
      <formula>FC20="oui"</formula>
    </cfRule>
  </conditionalFormatting>
  <conditionalFormatting sqref="AG20:AI50">
    <cfRule type="expression" dxfId="3242" priority="301">
      <formula>FC20="oui"</formula>
    </cfRule>
  </conditionalFormatting>
  <conditionalFormatting sqref="AH83:AH84">
    <cfRule type="cellIs" dxfId="3241" priority="523" stopIfTrue="1" operator="equal">
      <formula>0</formula>
    </cfRule>
  </conditionalFormatting>
  <conditionalFormatting sqref="AH89:AH91">
    <cfRule type="cellIs" dxfId="3240" priority="70" stopIfTrue="1" operator="equal">
      <formula>0</formula>
    </cfRule>
  </conditionalFormatting>
  <conditionalFormatting sqref="AH93:AK93">
    <cfRule type="cellIs" dxfId="3239" priority="516" operator="equal">
      <formula>0</formula>
    </cfRule>
  </conditionalFormatting>
  <conditionalFormatting sqref="AH86:AL87">
    <cfRule type="cellIs" dxfId="3238" priority="65" stopIfTrue="1" operator="equal">
      <formula>0</formula>
    </cfRule>
  </conditionalFormatting>
  <conditionalFormatting sqref="AH92:AO92">
    <cfRule type="cellIs" dxfId="3237" priority="240" operator="lessThan">
      <formula>-0.001</formula>
    </cfRule>
  </conditionalFormatting>
  <conditionalFormatting sqref="AJ20:AL50">
    <cfRule type="expression" dxfId="3236" priority="302">
      <formula>FC20="oui"</formula>
    </cfRule>
  </conditionalFormatting>
  <conditionalFormatting sqref="AL89:AL91">
    <cfRule type="cellIs" dxfId="3235" priority="69" stopIfTrue="1" operator="equal">
      <formula>0</formula>
    </cfRule>
  </conditionalFormatting>
  <conditionalFormatting sqref="AL93">
    <cfRule type="cellIs" dxfId="3234" priority="524" stopIfTrue="1" operator="equal">
      <formula>0</formula>
    </cfRule>
  </conditionalFormatting>
  <conditionalFormatting sqref="AM20:AO50">
    <cfRule type="expression" dxfId="3233" priority="303">
      <formula>FC20="oui"</formula>
    </cfRule>
  </conditionalFormatting>
  <conditionalFormatting sqref="AP20:AP50">
    <cfRule type="expression" dxfId="3232" priority="147">
      <formula>BL20="F"</formula>
    </cfRule>
    <cfRule type="expression" dxfId="3231" priority="146">
      <formula>BL20="G"</formula>
    </cfRule>
    <cfRule type="expression" dxfId="3230" priority="145">
      <formula>BL20="H"</formula>
    </cfRule>
    <cfRule type="expression" dxfId="3229" priority="151">
      <formula>BL20="B"</formula>
    </cfRule>
    <cfRule type="expression" dxfId="3228" priority="150">
      <formula>BL20="C"</formula>
    </cfRule>
    <cfRule type="expression" dxfId="3227" priority="149">
      <formula>BL20="D"</formula>
    </cfRule>
    <cfRule type="expression" dxfId="3226" priority="148">
      <formula>BL20="E"</formula>
    </cfRule>
  </conditionalFormatting>
  <conditionalFormatting sqref="AQ62:AU62">
    <cfRule type="expression" dxfId="3225" priority="46">
      <formula>$AT$60="Non"</formula>
    </cfRule>
  </conditionalFormatting>
  <conditionalFormatting sqref="AQ63:AU63">
    <cfRule type="expression" dxfId="3224" priority="43">
      <formula>$AT$61="Non"</formula>
    </cfRule>
  </conditionalFormatting>
  <conditionalFormatting sqref="AR20:AR50">
    <cfRule type="expression" dxfId="3223" priority="186">
      <formula>FN20=10</formula>
    </cfRule>
    <cfRule type="expression" dxfId="3222" priority="190">
      <formula>AND(AR20&lt;&gt;"",AZ20&lt;&gt;"")</formula>
    </cfRule>
    <cfRule type="expression" dxfId="3221" priority="182">
      <formula>FC20="oui"</formula>
    </cfRule>
    <cfRule type="expression" dxfId="3220" priority="174">
      <formula>AB20=""</formula>
    </cfRule>
  </conditionalFormatting>
  <conditionalFormatting sqref="AR17:BJ50">
    <cfRule type="expression" dxfId="3219" priority="49">
      <formula>$EX$13="oui"</formula>
    </cfRule>
  </conditionalFormatting>
  <conditionalFormatting sqref="AS51:BJ51 DK51">
    <cfRule type="expression" dxfId="3218" priority="135">
      <formula>$EX$13="oui"</formula>
    </cfRule>
  </conditionalFormatting>
  <conditionalFormatting sqref="AT4:AT10">
    <cfRule type="expression" dxfId="3217" priority="447">
      <formula>AU4="F"</formula>
    </cfRule>
    <cfRule type="expression" dxfId="3216" priority="451">
      <formula>AU4="B"</formula>
    </cfRule>
    <cfRule type="expression" dxfId="3215" priority="450">
      <formula>AU4="C"</formula>
    </cfRule>
    <cfRule type="expression" dxfId="3214" priority="449">
      <formula>AU4="D"</formula>
    </cfRule>
    <cfRule type="expression" dxfId="3213" priority="445">
      <formula>AU4="H"</formula>
    </cfRule>
    <cfRule type="expression" dxfId="3212" priority="446">
      <formula>AU4="G"</formula>
    </cfRule>
    <cfRule type="expression" dxfId="3211" priority="448">
      <formula>AU4="E"</formula>
    </cfRule>
  </conditionalFormatting>
  <conditionalFormatting sqref="AT20:AT50">
    <cfRule type="expression" dxfId="3210" priority="181">
      <formula>AB20=""</formula>
    </cfRule>
    <cfRule type="expression" dxfId="3209" priority="185">
      <formula>FC20="oui"</formula>
    </cfRule>
  </conditionalFormatting>
  <conditionalFormatting sqref="AU4:AU10">
    <cfRule type="expression" dxfId="3208" priority="380">
      <formula>AT4=""</formula>
    </cfRule>
    <cfRule type="expression" dxfId="3207" priority="381">
      <formula>FG4="rouge"</formula>
    </cfRule>
  </conditionalFormatting>
  <conditionalFormatting sqref="AU20:AU50">
    <cfRule type="expression" dxfId="3206" priority="189">
      <formula>FC20="oui"</formula>
    </cfRule>
    <cfRule type="expression" dxfId="3205" priority="180">
      <formula>AB20=""</formula>
    </cfRule>
  </conditionalFormatting>
  <conditionalFormatting sqref="AW20:AX50">
    <cfRule type="expression" dxfId="3204" priority="192">
      <formula>WEEKDAY(AW20,2)=7</formula>
    </cfRule>
    <cfRule type="expression" dxfId="3203" priority="194">
      <formula>VLOOKUP(AW20,base_feries,1,FALSE)</formula>
    </cfRule>
    <cfRule type="expression" dxfId="3202" priority="193">
      <formula>OR(WEEKDAY(AW20,2)=6,WEEKDAY(AW20,2)=7)</formula>
    </cfRule>
  </conditionalFormatting>
  <conditionalFormatting sqref="AX62:AZ62">
    <cfRule type="expression" dxfId="3201" priority="45">
      <formula>$AX$60="Non"</formula>
    </cfRule>
  </conditionalFormatting>
  <conditionalFormatting sqref="AX63:AZ63">
    <cfRule type="expression" dxfId="3200" priority="42">
      <formula>$AX$61="Non"</formula>
    </cfRule>
  </conditionalFormatting>
  <conditionalFormatting sqref="AZ20:AZ50">
    <cfRule type="expression" dxfId="3199" priority="52">
      <formula>FL20=10</formula>
    </cfRule>
    <cfRule type="expression" dxfId="3198" priority="51">
      <formula>FC20="oui"</formula>
    </cfRule>
    <cfRule type="expression" dxfId="3197" priority="50">
      <formula>AB20=""</formula>
    </cfRule>
    <cfRule type="expression" dxfId="3196" priority="53">
      <formula>AND(AR20&lt;&gt;"",AZ20&lt;&gt;"")</formula>
    </cfRule>
  </conditionalFormatting>
  <conditionalFormatting sqref="BA20:BA50">
    <cfRule type="expression" dxfId="3195" priority="179">
      <formula>AB20=""</formula>
    </cfRule>
    <cfRule type="expression" dxfId="3194" priority="183">
      <formula>FC20="oui"</formula>
    </cfRule>
  </conditionalFormatting>
  <conditionalFormatting sqref="BA62">
    <cfRule type="expression" dxfId="3193" priority="44">
      <formula>$BA$60="Non"</formula>
    </cfRule>
  </conditionalFormatting>
  <conditionalFormatting sqref="BA63">
    <cfRule type="expression" dxfId="3192" priority="41">
      <formula>$BA$61="Non"</formula>
    </cfRule>
  </conditionalFormatting>
  <conditionalFormatting sqref="BA102 BA103:BH115">
    <cfRule type="expression" dxfId="3191" priority="96">
      <formula>$DP$8=52</formula>
    </cfRule>
  </conditionalFormatting>
  <conditionalFormatting sqref="BA137">
    <cfRule type="expression" dxfId="3190" priority="68">
      <formula>$DP$8=52</formula>
    </cfRule>
  </conditionalFormatting>
  <conditionalFormatting sqref="BA138:BH149">
    <cfRule type="expression" dxfId="3189" priority="66">
      <formula>$DP$8=52</formula>
    </cfRule>
  </conditionalFormatting>
  <conditionalFormatting sqref="BC20:BC55">
    <cfRule type="expression" dxfId="3188" priority="176">
      <formula>AJ20=""</formula>
    </cfRule>
    <cfRule type="cellIs" dxfId="3187" priority="188" operator="equal">
      <formula>0</formula>
    </cfRule>
  </conditionalFormatting>
  <conditionalFormatting sqref="BC112:BH112">
    <cfRule type="expression" dxfId="3186" priority="95">
      <formula>$BA$112=""</formula>
    </cfRule>
  </conditionalFormatting>
  <conditionalFormatting sqref="BC147:BH147">
    <cfRule type="expression" dxfId="3185" priority="67">
      <formula>$BA$112=""</formula>
    </cfRule>
  </conditionalFormatting>
  <conditionalFormatting sqref="BD20:BD50">
    <cfRule type="expression" dxfId="3184" priority="177">
      <formula>FL20="oui"</formula>
    </cfRule>
  </conditionalFormatting>
  <conditionalFormatting sqref="BE20:BE50">
    <cfRule type="expression" dxfId="3183" priority="187">
      <formula>OR(BE20=0,BE20="")</formula>
    </cfRule>
  </conditionalFormatting>
  <conditionalFormatting sqref="BH20:BH50">
    <cfRule type="expression" dxfId="3182" priority="136">
      <formula>AO20=""</formula>
    </cfRule>
    <cfRule type="cellIs" dxfId="3181" priority="173" operator="equal">
      <formula>0</formula>
    </cfRule>
  </conditionalFormatting>
  <conditionalFormatting sqref="BI9:BI14">
    <cfRule type="cellIs" dxfId="3180" priority="102" operator="equal">
      <formula>0</formula>
    </cfRule>
  </conditionalFormatting>
  <conditionalFormatting sqref="BQ54">
    <cfRule type="expression" dxfId="3179" priority="425">
      <formula>$BW$41="Non"</formula>
    </cfRule>
  </conditionalFormatting>
  <conditionalFormatting sqref="BQ36:CA36">
    <cfRule type="expression" dxfId="3178" priority="426">
      <formula>$BW$41="Oui"</formula>
    </cfRule>
  </conditionalFormatting>
  <conditionalFormatting sqref="BS21:CA34">
    <cfRule type="expression" dxfId="3177" priority="82">
      <formula>$EO$12="NON"</formula>
    </cfRule>
  </conditionalFormatting>
  <conditionalFormatting sqref="BY28:BY33">
    <cfRule type="notContainsBlanks" dxfId="3176" priority="83">
      <formula>LEN(TRIM(BY28))&gt;0</formula>
    </cfRule>
  </conditionalFormatting>
  <conditionalFormatting sqref="BY56">
    <cfRule type="duplicateValues" dxfId="3175" priority="473"/>
    <cfRule type="expression" dxfId="3174" priority="472">
      <formula>$BW$41="Oui"</formula>
    </cfRule>
  </conditionalFormatting>
  <conditionalFormatting sqref="BY60">
    <cfRule type="cellIs" dxfId="3173" priority="467" operator="lessThan">
      <formula>$BY$59</formula>
    </cfRule>
    <cfRule type="expression" dxfId="3172" priority="466">
      <formula>$BW$41="Oui"</formula>
    </cfRule>
    <cfRule type="duplicateValues" dxfId="3171" priority="468"/>
  </conditionalFormatting>
  <conditionalFormatting sqref="CA56">
    <cfRule type="expression" dxfId="3170" priority="276">
      <formula>AND($CA$56&lt;$CE$47,$BW$41="Non")</formula>
    </cfRule>
  </conditionalFormatting>
  <conditionalFormatting sqref="CB78">
    <cfRule type="cellIs" dxfId="3169" priority="561" stopIfTrue="1" operator="equal">
      <formula>"NON"</formula>
    </cfRule>
    <cfRule type="cellIs" dxfId="3168" priority="562" stopIfTrue="1" operator="equal">
      <formula>"OUI"</formula>
    </cfRule>
  </conditionalFormatting>
  <conditionalFormatting sqref="CE53:CE54">
    <cfRule type="expression" dxfId="3167" priority="154">
      <formula>$BW$41="Non"</formula>
    </cfRule>
  </conditionalFormatting>
  <conditionalFormatting sqref="CE57:CE58">
    <cfRule type="expression" dxfId="3166" priority="153">
      <formula>$BW$41="Non"</formula>
    </cfRule>
  </conditionalFormatting>
  <conditionalFormatting sqref="CE3:CF3">
    <cfRule type="expression" dxfId="3165" priority="114">
      <formula>AND($CE$3="",$CE$5&lt;&gt;"")</formula>
    </cfRule>
    <cfRule type="expression" dxfId="3164" priority="115">
      <formula>$CD$3=""</formula>
    </cfRule>
    <cfRule type="expression" dxfId="3163" priority="113">
      <formula>$FX$3="vrai"</formula>
    </cfRule>
  </conditionalFormatting>
  <conditionalFormatting sqref="CE5:CF5">
    <cfRule type="expression" dxfId="3162" priority="122">
      <formula>OR(AND(CE5&lt;&gt;0,CE5&lt;AJ4),AND(CE5&lt;&gt;0,CE5&gt;EG5),AND(CE5&lt;&gt;0,CE5&lt;AB20))</formula>
    </cfRule>
    <cfRule type="expression" dxfId="3161" priority="121">
      <formula>CD5=""</formula>
    </cfRule>
    <cfRule type="expression" dxfId="3160" priority="120">
      <formula>$FX$5="vrai"</formula>
    </cfRule>
  </conditionalFormatting>
  <conditionalFormatting sqref="CE8:CF8">
    <cfRule type="cellIs" dxfId="3159" priority="119" operator="greaterThan">
      <formula>$CE$5</formula>
    </cfRule>
    <cfRule type="expression" dxfId="3158" priority="116">
      <formula>$FX$8="vrai"</formula>
    </cfRule>
    <cfRule type="expression" dxfId="3157" priority="117">
      <formula>CD8=""</formula>
    </cfRule>
    <cfRule type="expression" dxfId="3156" priority="118">
      <formula>AND(CE8&lt;&gt;0,CE8&lt;AJ4)</formula>
    </cfRule>
  </conditionalFormatting>
  <conditionalFormatting sqref="CF47">
    <cfRule type="notContainsBlanks" dxfId="3155" priority="412">
      <formula>LEN(TRIM(CF47))&gt;0</formula>
    </cfRule>
  </conditionalFormatting>
  <conditionalFormatting sqref="CF49">
    <cfRule type="notContainsBlanks" dxfId="3154" priority="411">
      <formula>LEN(TRIM(CF49))&gt;0</formula>
    </cfRule>
  </conditionalFormatting>
  <conditionalFormatting sqref="CF53:CF54">
    <cfRule type="expression" dxfId="3153" priority="157">
      <formula>$BW$41="Non"</formula>
    </cfRule>
  </conditionalFormatting>
  <conditionalFormatting sqref="CF57:CF58">
    <cfRule type="expression" dxfId="3152" priority="155">
      <formula>$BW$41="Non"</formula>
    </cfRule>
  </conditionalFormatting>
  <conditionalFormatting sqref="CG8:CI8">
    <cfRule type="expression" dxfId="3151" priority="249">
      <formula>CD8=""</formula>
    </cfRule>
  </conditionalFormatting>
  <conditionalFormatting sqref="GW16:HR16">
    <cfRule type="expression" dxfId="3150" priority="402">
      <formula>$AE$123="NON"</formula>
    </cfRule>
  </conditionalFormatting>
  <conditionalFormatting sqref="HG16:HJ16">
    <cfRule type="expression" dxfId="3149" priority="4933">
      <formula>AR123&gt;0</formula>
    </cfRule>
  </conditionalFormatting>
  <conditionalFormatting sqref="HK16:HN16">
    <cfRule type="expression" dxfId="3148" priority="493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8"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2"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DATE(YEAR(Janvier!X3),MONTH(Janvier!X3)+6,DAY(Janvier!X3))</f>
        <v>45839</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27</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IF(Juin!BY8="OUI","Contrat fini",BY2)</f>
        <v>Fiche info</v>
      </c>
      <c r="EF4" s="333" t="s">
        <v>1044</v>
      </c>
      <c r="EG4" s="755">
        <f>+Identification!B95</f>
        <v>0</v>
      </c>
      <c r="FG4" s="333" t="str">
        <f>IFERROR(IF(VLOOKUP(AT4,Juin!$AT$4:$AU$10,2,FALSE)&lt;&gt;Juillet!AU4,"rouge","ok"),0)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45839</v>
      </c>
      <c r="Y5" s="1948"/>
      <c r="Z5" s="1953" t="s">
        <v>460</v>
      </c>
      <c r="AA5" s="1953"/>
      <c r="AB5" s="1948">
        <f>+IF(AND(DATE(YEAR(EG4),MONTH(EG4),DAY(EG4))&gt;=DATE(YEAR(X3),MONTH(X3),DAY(X3)),DATE(YEAR(EG4),MONTH(EG4),DAY(EG4))&lt;=DATE(YEAR(X3),MONTH(X3),DAY(EOMONTH(X3,0)))),EG4,EOMONTH(X3,0))</f>
        <v>45869</v>
      </c>
      <c r="AC5" s="1952"/>
      <c r="AP5" s="211"/>
      <c r="AQ5" s="336"/>
      <c r="AR5" s="211"/>
      <c r="AS5" s="212"/>
      <c r="AT5" s="319">
        <f t="array" ref="AT5">IFERROR(INDEX($BK$20:$BK$50,MATCH(0,INDEX(COUNTIF($AT$3:AT4,$BK$20:$BK$50),0,0),0)),"")</f>
        <v>28</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45869</v>
      </c>
      <c r="FG5" s="333">
        <f>IFERROR(IF(VLOOKUP(AT5,Juin!$AT$4:$AU$10,2,FALSE)&lt;&gt;Juillet!AU5,"rouge","ok"),0)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29</v>
      </c>
      <c r="AU6" s="1144" t="s">
        <v>235</v>
      </c>
      <c r="BQ6" s="596"/>
      <c r="BR6" s="596"/>
      <c r="BS6" s="596"/>
      <c r="BT6" s="596"/>
      <c r="BU6" s="596"/>
      <c r="BV6" s="596"/>
      <c r="BW6" s="596"/>
      <c r="BX6" s="597" t="s">
        <v>520</v>
      </c>
      <c r="BY6" s="598" t="str">
        <f>+IF(BZ6="",Juin!BY6,BZ6)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IFERROR(IF(VLOOKUP(AT6,Juin!$AT$4:$AU$10,2,FALSE)&lt;&gt;Juillet!AU6,"rouge","ok"),0)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30</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IFERROR(IF(VLOOKUP(AT7,Juin!$AT$4:$AU$10,2,FALSE)&lt;&gt;Juillet!AU7,"rouge","ok"),0)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31</v>
      </c>
      <c r="AU8" s="1144" t="s">
        <v>235</v>
      </c>
      <c r="BG8" s="252"/>
      <c r="BH8" s="1462" t="str">
        <f>+AT3</f>
        <v>N° Sem.</v>
      </c>
      <c r="BI8" s="1463" t="s">
        <v>1580</v>
      </c>
      <c r="BQ8" s="2132" t="s">
        <v>219</v>
      </c>
      <c r="BR8" s="2133"/>
      <c r="BS8" s="2133"/>
      <c r="BT8" s="2133"/>
      <c r="BU8" s="2133"/>
      <c r="BV8" s="2133"/>
      <c r="BW8" s="2133"/>
      <c r="BX8" s="2133"/>
      <c r="BY8" s="985" t="str">
        <f>IF(BZ8="",Juin!BY8,BZ8)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IFERROR(IF(VLOOKUP(AT8,Juin!$AT$4:$AU$10,2,FALSE)&lt;&gt;Juillet!AU8,"rouge","ok"),0)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272025</v>
      </c>
      <c r="BH9" s="1464">
        <f t="shared" ref="BH9:BH14" si="0">+AT4</f>
        <v>27</v>
      </c>
      <c r="BI9" s="1465">
        <f>IF($AR$13=S.CAL!$CU$2,+SUMIF(S.CAL!$FW$3:$FW$374,BG9,S.CAL!$FX$3:$FX$374),IF($AR$13=S.CAL!$CU$3,SUMIF(Feuilles_de_présence_planning!$EG$12:$EG$537,BG9,Feuilles_de_présence_planning!$EE$12:$EE$537),"err"))</f>
        <v>0</v>
      </c>
      <c r="BY9" s="198" t="str">
        <f>+IF(Juin!BY8="OUI","FIN","O")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IFERROR(IF(VLOOKUP(AT9,Juin!$AT$4:$AU$10,2,FALSE)&lt;&gt;Juillet!AU9,"rouge","ok"),0)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282025</v>
      </c>
      <c r="BH10" s="1464">
        <f t="shared" si="0"/>
        <v>28</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IFERROR(IF(VLOOKUP(AT10,Juin!$AT$4:$AU$10,2,FALSE)&lt;&gt;Juillet!AU10,"rouge","ok"),0)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292025</v>
      </c>
      <c r="BH11" s="1464">
        <f t="shared" si="0"/>
        <v>29</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302025</v>
      </c>
      <c r="BH12" s="1464">
        <f t="shared" si="0"/>
        <v>30</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2</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IF(AR14="",Juin!AR13,AR14)</f>
        <v>à partir du tableau ci-dessous</v>
      </c>
      <c r="AS13" s="2296"/>
      <c r="AT13" s="2296"/>
      <c r="AU13" s="2296"/>
      <c r="AV13" s="2296"/>
      <c r="AW13" s="2296"/>
      <c r="AX13" s="2296"/>
      <c r="AY13" s="2296"/>
      <c r="AZ13" s="2296"/>
      <c r="BA13" s="2308" t="s">
        <v>1102</v>
      </c>
      <c r="BB13" s="2308"/>
      <c r="BC13" s="2308"/>
      <c r="BD13" s="971"/>
      <c r="BG13" s="1453" t="str">
        <f t="shared" si="1"/>
        <v>312025</v>
      </c>
      <c r="BH13" s="1464">
        <f t="shared" si="0"/>
        <v>31</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+Juin!R89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+Juin!EF16</f>
        <v>0</v>
      </c>
      <c r="EG16" s="759">
        <f>+Juin!EG16</f>
        <v>0</v>
      </c>
      <c r="EH16" s="759">
        <f>+Juin!EH16+Juin!EH17</f>
        <v>0</v>
      </c>
      <c r="EI16" s="759">
        <f>+Juin!EI16+Juin!EI17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Juil'!D18:D48,"&gt;0")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45839</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27</v>
      </c>
      <c r="AQ20" s="340"/>
      <c r="AR20" s="1145"/>
      <c r="AS20" s="332">
        <f t="shared" ref="AS20:AS50" si="3">SUM(AD20:AL20)</f>
        <v>0</v>
      </c>
      <c r="AT20" s="1146"/>
      <c r="AU20" s="1146"/>
      <c r="AV20" s="332"/>
      <c r="AW20" s="1989">
        <f>AB20</f>
        <v>45839</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infoA2</v>
      </c>
      <c r="BK20" s="129">
        <f>IFERROR(WEEKNUM(AB20,21),"")</f>
        <v>27</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27</v>
      </c>
      <c r="EQ20" s="766">
        <f>+AB20</f>
        <v>45839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45839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27</v>
      </c>
      <c r="GA20" s="129">
        <f>+$X$4</f>
        <v>2025</v>
      </c>
      <c r="GB20" s="129" t="str">
        <f>+FZ20&amp;GA20</f>
        <v>272025</v>
      </c>
      <c r="GC20" s="225">
        <f>IF(AND($GD$53=S.CAL!$P$3,$GD$52=FZ20),GE20,IF(BH20="",0,BH20))</f>
        <v>0</v>
      </c>
      <c r="GD20" s="129" t="str">
        <f>IFERROR(+Aout!$BY$2&amp;BL20&amp;BM20,0)</f>
        <v>Fiche infoA2</v>
      </c>
      <c r="GE20" s="129" t="str">
        <f t="shared" ref="GE20:GE50" si="19">+IFERROR(VLOOKUP(GD20,Base_heures,6,FALSE),"")</f>
        <v/>
      </c>
      <c r="GF20" s="225" t="str">
        <f>IF(FP20=1,GG20,AM20)</f>
        <v/>
      </c>
      <c r="GG20" s="1469" t="str">
        <f>+'Retenue Juil'!D18</f>
        <v/>
      </c>
      <c r="GH20" s="1469">
        <f>+'Retenue Juil'!BF18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45840</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45840</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infoA3</v>
      </c>
      <c r="BK21" s="129">
        <f t="shared" ref="BK21" si="27">IFERROR(WEEKNUM(AB21,21),"")</f>
        <v>27</v>
      </c>
      <c r="BL21" s="129" t="str">
        <f t="shared" si="4"/>
        <v>A</v>
      </c>
      <c r="BM21" s="129">
        <f t="shared" si="5"/>
        <v>3</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45839</v>
      </c>
      <c r="EJ21" s="755"/>
      <c r="EK21" s="755"/>
      <c r="EQ21" s="766">
        <f t="shared" ref="EQ21" si="28">+AB21</f>
        <v>45840</v>
      </c>
      <c r="ER21" s="767">
        <f t="shared" si="10"/>
        <v>0</v>
      </c>
      <c r="ES21" s="768">
        <f t="shared" si="11"/>
        <v>0</v>
      </c>
      <c r="ET21" s="767">
        <f t="shared" si="12"/>
        <v>0</v>
      </c>
      <c r="EU21" s="768">
        <f t="shared" si="13"/>
        <v>0</v>
      </c>
      <c r="EV21" s="767" t="str">
        <f t="shared" si="14"/>
        <v/>
      </c>
      <c r="EW21" s="769">
        <f t="shared" ref="EW21:EW50" si="29">+EQ21</f>
        <v>45840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27</v>
      </c>
      <c r="GA21" s="129">
        <f t="shared" ref="GA21:GA50" si="39">+$X$4</f>
        <v>2025</v>
      </c>
      <c r="GB21" s="129" t="str">
        <f t="shared" ref="GB21:GB48" si="40">+FZ21&amp;GA21</f>
        <v>272025</v>
      </c>
      <c r="GC21" s="225">
        <f>IF(AND($GD$53=S.CAL!$P$3,$GD$52=FZ21),GE21,IF(BH21="",0,BH21))</f>
        <v>0</v>
      </c>
      <c r="GD21" s="129" t="str">
        <f>IFERROR(+Aout!$BY$2&amp;BL21&amp;BM21,0)</f>
        <v>Fiche infoA3</v>
      </c>
      <c r="GE21" s="129" t="str">
        <f t="shared" si="19"/>
        <v/>
      </c>
      <c r="GF21" s="225" t="str">
        <f t="shared" ref="GF21:GF48" si="41">IF(FP21=1,GG21,AM21)</f>
        <v/>
      </c>
      <c r="GG21" s="1469" t="str">
        <f>+'Retenue Juil'!D19</f>
        <v/>
      </c>
      <c r="GH21" s="1469">
        <f>+'Retenue Juil'!BF19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45841</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45841</v>
      </c>
      <c r="AX22" s="1878"/>
      <c r="AY22" s="332"/>
      <c r="AZ22" s="1126"/>
      <c r="BA22" s="993"/>
      <c r="BB22" s="561"/>
      <c r="BC22" s="566">
        <f t="shared" si="23"/>
        <v>0</v>
      </c>
      <c r="BD22" s="1126"/>
      <c r="BE22" s="825">
        <f t="shared" si="24"/>
        <v>0</v>
      </c>
      <c r="BF22" s="1150"/>
      <c r="BG22" s="224"/>
      <c r="BH22" s="566" t="str">
        <f t="shared" si="25"/>
        <v/>
      </c>
      <c r="BI22" s="1150"/>
      <c r="BJ22" s="129" t="str">
        <f t="shared" si="26"/>
        <v>Fiche infoA4</v>
      </c>
      <c r="BK22" s="129">
        <f t="shared" ref="BK22:BK50" si="49">IFERROR(WEEKNUM(AB22,21),"")</f>
        <v>27</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45869</v>
      </c>
      <c r="EJ22" s="755"/>
      <c r="EK22" s="755"/>
      <c r="EQ22" s="766">
        <f t="shared" ref="EQ22:EQ50" si="53">+AB22</f>
        <v>45841</v>
      </c>
      <c r="ER22" s="767">
        <f t="shared" si="10"/>
        <v>0</v>
      </c>
      <c r="ES22" s="768">
        <f t="shared" si="11"/>
        <v>0</v>
      </c>
      <c r="ET22" s="767">
        <f t="shared" si="12"/>
        <v>0</v>
      </c>
      <c r="EU22" s="768">
        <f t="shared" si="13"/>
        <v>0</v>
      </c>
      <c r="EV22" s="767" t="str">
        <f t="shared" si="14"/>
        <v/>
      </c>
      <c r="EW22" s="769">
        <f t="shared" si="29"/>
        <v>45841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27</v>
      </c>
      <c r="GA22" s="129">
        <f t="shared" si="39"/>
        <v>2025</v>
      </c>
      <c r="GB22" s="129" t="str">
        <f t="shared" si="40"/>
        <v>272025</v>
      </c>
      <c r="GC22" s="225">
        <f>IF(AND($GD$53=S.CAL!$P$3,$GD$52=FZ22),GE22,IF(BH22="",0,BH22))</f>
        <v>0</v>
      </c>
      <c r="GD22" s="129" t="str">
        <f>IFERROR(+Aout!$BY$2&amp;BL22&amp;BM22,0)</f>
        <v>Fiche infoA4</v>
      </c>
      <c r="GE22" s="129" t="str">
        <f t="shared" si="19"/>
        <v/>
      </c>
      <c r="GF22" s="225" t="str">
        <f t="shared" si="41"/>
        <v/>
      </c>
      <c r="GG22" s="1469" t="str">
        <f>+'Retenue Juil'!D20</f>
        <v/>
      </c>
      <c r="GH22" s="1469">
        <f>+'Retenue Juil'!BF20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45842</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45842</v>
      </c>
      <c r="AX23" s="1878"/>
      <c r="AY23" s="332"/>
      <c r="AZ23" s="1126"/>
      <c r="BA23" s="993"/>
      <c r="BB23" s="561"/>
      <c r="BC23" s="566">
        <f t="shared" si="23"/>
        <v>0</v>
      </c>
      <c r="BD23" s="1126"/>
      <c r="BE23" s="825">
        <f t="shared" si="24"/>
        <v>0</v>
      </c>
      <c r="BF23" s="1150"/>
      <c r="BG23" s="224"/>
      <c r="BH23" s="566" t="str">
        <f t="shared" si="25"/>
        <v/>
      </c>
      <c r="BI23" s="1150"/>
      <c r="BJ23" s="129" t="str">
        <f t="shared" si="26"/>
        <v>Fiche infoA5</v>
      </c>
      <c r="BK23" s="129">
        <f t="shared" si="49"/>
        <v>27</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45842</v>
      </c>
      <c r="ER23" s="767">
        <f t="shared" si="10"/>
        <v>0</v>
      </c>
      <c r="ES23" s="768">
        <f t="shared" si="11"/>
        <v>0</v>
      </c>
      <c r="ET23" s="767">
        <f t="shared" si="12"/>
        <v>0</v>
      </c>
      <c r="EU23" s="768">
        <f t="shared" si="13"/>
        <v>0</v>
      </c>
      <c r="EV23" s="767" t="str">
        <f t="shared" si="14"/>
        <v/>
      </c>
      <c r="EW23" s="769">
        <f t="shared" si="29"/>
        <v>45842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27</v>
      </c>
      <c r="GA23" s="129">
        <f t="shared" si="39"/>
        <v>2025</v>
      </c>
      <c r="GB23" s="129" t="str">
        <f t="shared" si="40"/>
        <v>272025</v>
      </c>
      <c r="GC23" s="225">
        <f>IF(AND($GD$53=S.CAL!$P$3,$GD$52=FZ23),GE23,IF(BH23="",0,BH23))</f>
        <v>0</v>
      </c>
      <c r="GD23" s="129" t="str">
        <f>IFERROR(+Aout!$BY$2&amp;BL23&amp;BM23,0)</f>
        <v>Fiche infoA5</v>
      </c>
      <c r="GE23" s="129" t="str">
        <f t="shared" si="19"/>
        <v/>
      </c>
      <c r="GF23" s="225" t="str">
        <f t="shared" si="41"/>
        <v/>
      </c>
      <c r="GG23" s="1469" t="str">
        <f>+'Retenue Juil'!D21</f>
        <v/>
      </c>
      <c r="GH23" s="1469">
        <f>+'Retenue Juil'!BF21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45843</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45843</v>
      </c>
      <c r="AX24" s="1878"/>
      <c r="AY24" s="332"/>
      <c r="AZ24" s="1126"/>
      <c r="BA24" s="993"/>
      <c r="BB24" s="561"/>
      <c r="BC24" s="566">
        <f t="shared" si="23"/>
        <v>0</v>
      </c>
      <c r="BD24" s="1126"/>
      <c r="BE24" s="825">
        <f t="shared" si="24"/>
        <v>0</v>
      </c>
      <c r="BF24" s="1150"/>
      <c r="BG24" s="224"/>
      <c r="BH24" s="566" t="str">
        <f t="shared" si="25"/>
        <v/>
      </c>
      <c r="BI24" s="1150"/>
      <c r="BJ24" s="129" t="str">
        <f t="shared" si="26"/>
        <v>Fiche infoA6</v>
      </c>
      <c r="BK24" s="129">
        <f t="shared" si="49"/>
        <v>27</v>
      </c>
      <c r="BL24" s="129" t="str">
        <f t="shared" si="4"/>
        <v>A</v>
      </c>
      <c r="BM24" s="129">
        <f t="shared" si="50"/>
        <v>6</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45843</v>
      </c>
      <c r="ER24" s="767">
        <f t="shared" si="10"/>
        <v>0</v>
      </c>
      <c r="ES24" s="768">
        <f t="shared" si="11"/>
        <v>0</v>
      </c>
      <c r="ET24" s="767">
        <f t="shared" si="12"/>
        <v>0</v>
      </c>
      <c r="EU24" s="768">
        <f t="shared" si="13"/>
        <v>0</v>
      </c>
      <c r="EV24" s="767" t="str">
        <f t="shared" si="14"/>
        <v/>
      </c>
      <c r="EW24" s="769">
        <f t="shared" si="29"/>
        <v>45843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27</v>
      </c>
      <c r="GA24" s="129">
        <f t="shared" si="39"/>
        <v>2025</v>
      </c>
      <c r="GB24" s="129" t="str">
        <f t="shared" si="40"/>
        <v>272025</v>
      </c>
      <c r="GC24" s="225">
        <f>IF(AND($GD$53=S.CAL!$P$3,$GD$52=FZ24),GE24,IF(BH24="",0,BH24))</f>
        <v>0</v>
      </c>
      <c r="GD24" s="129" t="str">
        <f>IFERROR(+Aout!$BY$2&amp;BL24&amp;BM24,0)</f>
        <v>Fiche infoA6</v>
      </c>
      <c r="GE24" s="129" t="str">
        <f t="shared" si="19"/>
        <v/>
      </c>
      <c r="GF24" s="225" t="str">
        <f t="shared" si="41"/>
        <v/>
      </c>
      <c r="GG24" s="1469" t="str">
        <f>+'Retenue Juil'!D22</f>
        <v/>
      </c>
      <c r="GH24" s="1469">
        <f>+'Retenue Juil'!BF22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Juil'!R48*-1)</f>
        <v>#DIV/0!</v>
      </c>
      <c r="M25" s="1811"/>
      <c r="N25" s="1811"/>
      <c r="O25" s="1812"/>
      <c r="P25" s="1816" t="e">
        <f>+IF(L25,T25/L25,0)</f>
        <v>#DIV/0!</v>
      </c>
      <c r="Q25" s="1817"/>
      <c r="R25" s="1817"/>
      <c r="S25" s="1818"/>
      <c r="T25" s="1913">
        <f>IF(A18="Salaire heures normales réelles",0,'Retenue Juil'!R52*-1)</f>
        <v>0</v>
      </c>
      <c r="U25" s="1914"/>
      <c r="V25" s="1914"/>
      <c r="W25" s="1915"/>
      <c r="X25" s="226"/>
      <c r="Y25" s="226"/>
      <c r="Z25" s="226"/>
      <c r="AA25" s="903" t="str">
        <f>IF(AND(BE25="OUI",$AR$13=S.CAL!$CU$2),"►",IF(AND(EV25="OUI",$AR$13=S.CAL!$CU$3),"►",""))</f>
        <v/>
      </c>
      <c r="AB25" s="1877">
        <f>+$X$3+5</f>
        <v>45844</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45844</v>
      </c>
      <c r="AX25" s="1878"/>
      <c r="AY25" s="332"/>
      <c r="AZ25" s="1126"/>
      <c r="BA25" s="993"/>
      <c r="BB25" s="561"/>
      <c r="BC25" s="566">
        <f t="shared" si="23"/>
        <v>0</v>
      </c>
      <c r="BD25" s="1126"/>
      <c r="BE25" s="825">
        <f t="shared" si="24"/>
        <v>0</v>
      </c>
      <c r="BF25" s="1150"/>
      <c r="BG25" s="224"/>
      <c r="BH25" s="566" t="str">
        <f t="shared" si="25"/>
        <v/>
      </c>
      <c r="BI25" s="1150"/>
      <c r="BJ25" s="129" t="str">
        <f t="shared" si="26"/>
        <v>Fiche infoA7</v>
      </c>
      <c r="BK25" s="129">
        <f t="shared" si="49"/>
        <v>27</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45844</v>
      </c>
      <c r="ER25" s="767">
        <f t="shared" si="10"/>
        <v>0</v>
      </c>
      <c r="ES25" s="768">
        <f t="shared" si="11"/>
        <v>0</v>
      </c>
      <c r="ET25" s="767">
        <f t="shared" si="12"/>
        <v>0</v>
      </c>
      <c r="EU25" s="768">
        <f t="shared" si="13"/>
        <v>0</v>
      </c>
      <c r="EV25" s="767" t="str">
        <f t="shared" si="14"/>
        <v/>
      </c>
      <c r="EW25" s="769">
        <f t="shared" si="29"/>
        <v>45844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27</v>
      </c>
      <c r="GA25" s="129">
        <f t="shared" si="39"/>
        <v>2025</v>
      </c>
      <c r="GB25" s="129" t="str">
        <f t="shared" si="40"/>
        <v>272025</v>
      </c>
      <c r="GC25" s="225">
        <f>IF(AND($GD$53=S.CAL!$P$3,$GD$52=FZ25),GE25,IF(BH25="",0,BH25))</f>
        <v>0</v>
      </c>
      <c r="GD25" s="129" t="str">
        <f>IFERROR(+Aout!$BY$2&amp;BL25&amp;BM25,0)</f>
        <v>Fiche infoA7</v>
      </c>
      <c r="GE25" s="129" t="str">
        <f t="shared" si="19"/>
        <v/>
      </c>
      <c r="GF25" s="225" t="str">
        <f t="shared" si="41"/>
        <v/>
      </c>
      <c r="GG25" s="1469" t="str">
        <f>+'Retenue Juil'!D23</f>
        <v/>
      </c>
      <c r="GH25" s="1469">
        <f>+'Retenue Juil'!BF23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Juil'!R50*-1)</f>
        <v>#DIV/0!</v>
      </c>
      <c r="M26" s="1811"/>
      <c r="N26" s="1811"/>
      <c r="O26" s="1812"/>
      <c r="P26" s="1816" t="e">
        <f>+IF(L26,T26/L26,0)</f>
        <v>#DIV/0!</v>
      </c>
      <c r="Q26" s="1817"/>
      <c r="R26" s="1817"/>
      <c r="S26" s="1818"/>
      <c r="T26" s="1913">
        <f>IF(A18="Salaire heures normales réelles",0,'Retenue Juil'!R54*-1)</f>
        <v>0</v>
      </c>
      <c r="U26" s="1914"/>
      <c r="V26" s="1914"/>
      <c r="W26" s="1915"/>
      <c r="X26" s="223"/>
      <c r="Y26" s="223"/>
      <c r="Z26" s="223"/>
      <c r="AA26" s="903" t="str">
        <f>IF(AND(BE26="OUI",$AR$13=S.CAL!$CU$2),"►",IF(AND(EV26="OUI",$AR$13=S.CAL!$CU$3),"►",""))</f>
        <v/>
      </c>
      <c r="AB26" s="1877">
        <f>+$X$3+6</f>
        <v>45845</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f t="shared" si="48"/>
        <v>28</v>
      </c>
      <c r="AQ26" s="340"/>
      <c r="AR26" s="1126"/>
      <c r="AS26" s="332">
        <f t="shared" si="3"/>
        <v>0</v>
      </c>
      <c r="AT26" s="1147"/>
      <c r="AU26" s="1147"/>
      <c r="AV26" s="332"/>
      <c r="AW26" s="2017">
        <f t="shared" si="22"/>
        <v>45845</v>
      </c>
      <c r="AX26" s="1878"/>
      <c r="AY26" s="332"/>
      <c r="AZ26" s="1126"/>
      <c r="BA26" s="993"/>
      <c r="BB26" s="561"/>
      <c r="BC26" s="566">
        <f t="shared" si="23"/>
        <v>0</v>
      </c>
      <c r="BD26" s="1126"/>
      <c r="BE26" s="825">
        <f t="shared" si="24"/>
        <v>0</v>
      </c>
      <c r="BF26" s="1150"/>
      <c r="BG26" s="224"/>
      <c r="BH26" s="566" t="str">
        <f t="shared" si="25"/>
        <v/>
      </c>
      <c r="BI26" s="1150"/>
      <c r="BJ26" s="129" t="str">
        <f t="shared" si="26"/>
        <v>Fiche infoA1</v>
      </c>
      <c r="BK26" s="129">
        <f t="shared" si="49"/>
        <v>28</v>
      </c>
      <c r="BL26" s="129" t="str">
        <f t="shared" si="4"/>
        <v>A</v>
      </c>
      <c r="BM26" s="129">
        <f t="shared" si="50"/>
        <v>1</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45845</v>
      </c>
      <c r="ER26" s="767">
        <f t="shared" si="10"/>
        <v>0</v>
      </c>
      <c r="ES26" s="768">
        <f t="shared" si="11"/>
        <v>0</v>
      </c>
      <c r="ET26" s="767">
        <f t="shared" si="12"/>
        <v>0</v>
      </c>
      <c r="EU26" s="768">
        <f t="shared" si="13"/>
        <v>0</v>
      </c>
      <c r="EV26" s="767" t="str">
        <f t="shared" si="14"/>
        <v/>
      </c>
      <c r="EW26" s="769">
        <f t="shared" si="29"/>
        <v>45845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28</v>
      </c>
      <c r="GA26" s="129">
        <f t="shared" si="39"/>
        <v>2025</v>
      </c>
      <c r="GB26" s="129" t="str">
        <f t="shared" si="40"/>
        <v>282025</v>
      </c>
      <c r="GC26" s="225">
        <f>IF(AND($GD$53=S.CAL!$P$3,$GD$52=FZ26),GE26,IF(BH26="",0,BH26))</f>
        <v>0</v>
      </c>
      <c r="GD26" s="129" t="str">
        <f>IFERROR(+Aout!$BY$2&amp;BL26&amp;BM26,0)</f>
        <v>Fiche infoA1</v>
      </c>
      <c r="GE26" s="129" t="str">
        <f t="shared" si="19"/>
        <v/>
      </c>
      <c r="GF26" s="225" t="str">
        <f t="shared" si="41"/>
        <v/>
      </c>
      <c r="GG26" s="1469" t="str">
        <f>+'Retenue Juil'!D24</f>
        <v/>
      </c>
      <c r="GH26" s="1469">
        <f>+'Retenue Juil'!BF24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45846</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45846</v>
      </c>
      <c r="AX27" s="1878"/>
      <c r="AY27" s="332"/>
      <c r="AZ27" s="1126"/>
      <c r="BA27" s="993"/>
      <c r="BB27" s="561"/>
      <c r="BC27" s="566">
        <f t="shared" si="23"/>
        <v>0</v>
      </c>
      <c r="BD27" s="1126"/>
      <c r="BE27" s="825">
        <f t="shared" si="24"/>
        <v>0</v>
      </c>
      <c r="BF27" s="1150"/>
      <c r="BG27" s="224"/>
      <c r="BH27" s="566" t="str">
        <f t="shared" si="25"/>
        <v/>
      </c>
      <c r="BI27" s="1150"/>
      <c r="BJ27" s="129" t="str">
        <f t="shared" si="26"/>
        <v>Fiche infoA2</v>
      </c>
      <c r="BK27" s="129">
        <f t="shared" si="49"/>
        <v>28</v>
      </c>
      <c r="BL27" s="129" t="str">
        <f t="shared" si="4"/>
        <v>A</v>
      </c>
      <c r="BM27" s="129">
        <f t="shared" si="50"/>
        <v>2</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45846</v>
      </c>
      <c r="ER27" s="767">
        <f t="shared" si="10"/>
        <v>0</v>
      </c>
      <c r="ES27" s="768">
        <f t="shared" si="11"/>
        <v>0</v>
      </c>
      <c r="ET27" s="767">
        <f t="shared" si="12"/>
        <v>0</v>
      </c>
      <c r="EU27" s="768">
        <f t="shared" si="13"/>
        <v>0</v>
      </c>
      <c r="EV27" s="767" t="str">
        <f t="shared" si="14"/>
        <v/>
      </c>
      <c r="EW27" s="769">
        <f t="shared" si="29"/>
        <v>45846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28</v>
      </c>
      <c r="GA27" s="129">
        <f t="shared" si="39"/>
        <v>2025</v>
      </c>
      <c r="GB27" s="129" t="str">
        <f t="shared" si="40"/>
        <v>282025</v>
      </c>
      <c r="GC27" s="225">
        <f>IF(AND($GD$53=S.CAL!$P$3,$GD$52=FZ27),GE27,IF(BH27="",0,BH27))</f>
        <v>0</v>
      </c>
      <c r="GD27" s="129" t="str">
        <f>IFERROR(+Aout!$BY$2&amp;BL27&amp;BM27,0)</f>
        <v>Fiche infoA2</v>
      </c>
      <c r="GE27" s="129" t="str">
        <f t="shared" si="19"/>
        <v/>
      </c>
      <c r="GF27" s="225" t="str">
        <f t="shared" si="41"/>
        <v/>
      </c>
      <c r="GG27" s="1469" t="str">
        <f>+'Retenue Juil'!D25</f>
        <v/>
      </c>
      <c r="GH27" s="1469">
        <f>+'Retenue Juil'!BF25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45847</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45847</v>
      </c>
      <c r="AX28" s="1878"/>
      <c r="AY28" s="332"/>
      <c r="AZ28" s="1126"/>
      <c r="BA28" s="993"/>
      <c r="BB28" s="561"/>
      <c r="BC28" s="566">
        <f t="shared" si="23"/>
        <v>0</v>
      </c>
      <c r="BD28" s="1126"/>
      <c r="BE28" s="825">
        <f t="shared" si="24"/>
        <v>0</v>
      </c>
      <c r="BF28" s="1150"/>
      <c r="BG28" s="224"/>
      <c r="BH28" s="566" t="str">
        <f t="shared" si="25"/>
        <v/>
      </c>
      <c r="BI28" s="1150"/>
      <c r="BJ28" s="129" t="str">
        <f t="shared" si="26"/>
        <v>Fiche infoA3</v>
      </c>
      <c r="BK28" s="129">
        <f t="shared" si="49"/>
        <v>28</v>
      </c>
      <c r="BL28" s="129" t="str">
        <f t="shared" si="4"/>
        <v>A</v>
      </c>
      <c r="BM28" s="129">
        <f t="shared" si="50"/>
        <v>3</v>
      </c>
      <c r="BN28" s="225" t="str">
        <f t="shared" si="60"/>
        <v>Fiche info</v>
      </c>
      <c r="BO28" s="332" t="str">
        <f t="shared" si="51"/>
        <v/>
      </c>
      <c r="BP28" s="198" t="str">
        <f t="shared" si="52"/>
        <v/>
      </c>
      <c r="BQ28" s="198"/>
      <c r="BS28" s="2012" t="str">
        <f>+"Semaine numéro : "&amp;AT4</f>
        <v>Semaine numéro : 27</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+SUMIF(Juin!$BK$20:$BK$50,AT4,Juin!$AM$20:$AO$50)</f>
        <v>0</v>
      </c>
      <c r="CD28" s="198">
        <f>+SUMIF(Aout!$BK$20:$BK$50,AT4,Aout!$AM$20:$AO$50)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45847</v>
      </c>
      <c r="ER28" s="767">
        <f t="shared" si="10"/>
        <v>0</v>
      </c>
      <c r="ES28" s="768">
        <f t="shared" si="11"/>
        <v>0</v>
      </c>
      <c r="ET28" s="767">
        <f t="shared" si="12"/>
        <v>0</v>
      </c>
      <c r="EU28" s="768">
        <f t="shared" si="13"/>
        <v>0</v>
      </c>
      <c r="EV28" s="767" t="str">
        <f t="shared" si="14"/>
        <v/>
      </c>
      <c r="EW28" s="769">
        <f t="shared" si="29"/>
        <v>45847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28</v>
      </c>
      <c r="GA28" s="129">
        <f t="shared" si="39"/>
        <v>2025</v>
      </c>
      <c r="GB28" s="129" t="str">
        <f t="shared" si="40"/>
        <v>282025</v>
      </c>
      <c r="GC28" s="225">
        <f>IF(AND($GD$53=S.CAL!$P$3,$GD$52=FZ28),GE28,IF(BH28="",0,BH28))</f>
        <v>0</v>
      </c>
      <c r="GD28" s="129" t="str">
        <f>IFERROR(+Aout!$BY$2&amp;BL28&amp;BM28,0)</f>
        <v>Fiche infoA3</v>
      </c>
      <c r="GE28" s="129" t="str">
        <f t="shared" si="19"/>
        <v/>
      </c>
      <c r="GF28" s="225" t="str">
        <f t="shared" si="41"/>
        <v/>
      </c>
      <c r="GG28" s="1469" t="str">
        <f>+'Retenue Juil'!D26</f>
        <v/>
      </c>
      <c r="GH28" s="1469">
        <f>+'Retenue Juil'!BF26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45848</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45848</v>
      </c>
      <c r="AX29" s="1878"/>
      <c r="AY29" s="332"/>
      <c r="AZ29" s="1126"/>
      <c r="BA29" s="993"/>
      <c r="BB29" s="561"/>
      <c r="BC29" s="566">
        <f t="shared" si="23"/>
        <v>0</v>
      </c>
      <c r="BD29" s="1126"/>
      <c r="BE29" s="825">
        <f t="shared" si="24"/>
        <v>0</v>
      </c>
      <c r="BF29" s="1150"/>
      <c r="BG29" s="224"/>
      <c r="BH29" s="566" t="str">
        <f t="shared" si="25"/>
        <v/>
      </c>
      <c r="BI29" s="1150"/>
      <c r="BJ29" s="129" t="str">
        <f t="shared" si="26"/>
        <v>Fiche infoA4</v>
      </c>
      <c r="BK29" s="129">
        <f t="shared" si="49"/>
        <v>28</v>
      </c>
      <c r="BL29" s="129" t="str">
        <f t="shared" si="4"/>
        <v>A</v>
      </c>
      <c r="BM29" s="129">
        <f t="shared" si="50"/>
        <v>4</v>
      </c>
      <c r="BN29" s="225" t="str">
        <f t="shared" si="60"/>
        <v>Fiche info</v>
      </c>
      <c r="BO29" s="332" t="str">
        <f t="shared" si="51"/>
        <v/>
      </c>
      <c r="BP29" s="198" t="str">
        <f t="shared" si="52"/>
        <v/>
      </c>
      <c r="BQ29" s="198"/>
      <c r="BS29" s="2012" t="str">
        <f t="shared" ref="BS29:BS33" si="64">+"Semaine numéro : "&amp;AT5</f>
        <v>Semaine numéro : 28</v>
      </c>
      <c r="BT29" s="2013"/>
      <c r="BU29" s="2013"/>
      <c r="BV29" s="2013"/>
      <c r="BW29" s="2013"/>
      <c r="BX29" s="2014"/>
      <c r="BY29" s="1137"/>
      <c r="BZ29" s="674">
        <f t="shared" ref="BZ29:BZ33" si="65">+IF(BY29="",IF(AND(CC29&gt;0,CB29&gt;0),CC29+CB29,IF(CD29&gt;0,0,CB29)),BY29)</f>
        <v>0</v>
      </c>
      <c r="CA29" s="673">
        <f t="shared" si="62"/>
        <v>0</v>
      </c>
      <c r="CB29" s="198">
        <f t="shared" si="63"/>
        <v>0</v>
      </c>
      <c r="CC29" s="198">
        <f>+SUMIF(Juin!$BK$20:$BK$50,AT5,Juin!$AM$20:$AO$50)</f>
        <v>0</v>
      </c>
      <c r="CD29" s="198">
        <f>+SUMIF(Aout!$BK$20:$BK$50,AT5,Aout!$AM$20:$AO$50)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45848</v>
      </c>
      <c r="ER29" s="767">
        <f t="shared" si="10"/>
        <v>0</v>
      </c>
      <c r="ES29" s="768">
        <f t="shared" si="11"/>
        <v>0</v>
      </c>
      <c r="ET29" s="767">
        <f t="shared" si="12"/>
        <v>0</v>
      </c>
      <c r="EU29" s="768">
        <f t="shared" si="13"/>
        <v>0</v>
      </c>
      <c r="EV29" s="767" t="str">
        <f t="shared" si="14"/>
        <v/>
      </c>
      <c r="EW29" s="769">
        <f t="shared" si="29"/>
        <v>45848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28</v>
      </c>
      <c r="GA29" s="129">
        <f t="shared" si="39"/>
        <v>2025</v>
      </c>
      <c r="GB29" s="129" t="str">
        <f t="shared" si="40"/>
        <v>282025</v>
      </c>
      <c r="GC29" s="225">
        <f>IF(AND($GD$53=S.CAL!$P$3,$GD$52=FZ29),GE29,IF(BH29="",0,BH29))</f>
        <v>0</v>
      </c>
      <c r="GD29" s="129" t="str">
        <f>IFERROR(+Aout!$BY$2&amp;BL29&amp;BM29,0)</f>
        <v>Fiche infoA4</v>
      </c>
      <c r="GE29" s="129" t="str">
        <f t="shared" si="19"/>
        <v/>
      </c>
      <c r="GF29" s="225" t="str">
        <f t="shared" si="41"/>
        <v/>
      </c>
      <c r="GG29" s="1469" t="str">
        <f>+'Retenue Juil'!D27</f>
        <v/>
      </c>
      <c r="GH29" s="1469">
        <f>+'Retenue Juil'!BF27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45849</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45849</v>
      </c>
      <c r="AX30" s="1878"/>
      <c r="AY30" s="332"/>
      <c r="AZ30" s="1126"/>
      <c r="BA30" s="993"/>
      <c r="BB30" s="561"/>
      <c r="BC30" s="566">
        <f t="shared" si="23"/>
        <v>0</v>
      </c>
      <c r="BD30" s="1126"/>
      <c r="BE30" s="825">
        <f t="shared" si="24"/>
        <v>0</v>
      </c>
      <c r="BF30" s="1150"/>
      <c r="BG30" s="224"/>
      <c r="BH30" s="566" t="str">
        <f t="shared" si="25"/>
        <v/>
      </c>
      <c r="BI30" s="1150"/>
      <c r="BJ30" s="129" t="str">
        <f t="shared" si="26"/>
        <v>Fiche infoA5</v>
      </c>
      <c r="BK30" s="129">
        <f t="shared" si="49"/>
        <v>28</v>
      </c>
      <c r="BL30" s="129" t="str">
        <f t="shared" si="4"/>
        <v>A</v>
      </c>
      <c r="BM30" s="129">
        <f t="shared" si="50"/>
        <v>5</v>
      </c>
      <c r="BN30" s="225" t="str">
        <f t="shared" si="60"/>
        <v>Fiche info</v>
      </c>
      <c r="BO30" s="332" t="str">
        <f t="shared" si="51"/>
        <v/>
      </c>
      <c r="BP30" s="198" t="str">
        <f t="shared" si="52"/>
        <v/>
      </c>
      <c r="BQ30" s="198"/>
      <c r="BS30" s="2012" t="str">
        <f t="shared" si="64"/>
        <v>Semaine numéro : 29</v>
      </c>
      <c r="BT30" s="2013"/>
      <c r="BU30" s="2013"/>
      <c r="BV30" s="2013"/>
      <c r="BW30" s="2013"/>
      <c r="BX30" s="2014"/>
      <c r="BY30" s="1137"/>
      <c r="BZ30" s="674">
        <f t="shared" si="65"/>
        <v>0</v>
      </c>
      <c r="CA30" s="673">
        <f t="shared" si="62"/>
        <v>0</v>
      </c>
      <c r="CB30" s="198">
        <f t="shared" si="63"/>
        <v>0</v>
      </c>
      <c r="CC30" s="198">
        <f>+SUMIF(Juin!$BK$20:$BK$50,AT6,Juin!$AM$20:$AO$50)</f>
        <v>0</v>
      </c>
      <c r="CD30" s="198">
        <f>+SUMIF(Aout!$BK$20:$BK$50,AT6,Aout!$AM$20:$AO$50)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45849</v>
      </c>
      <c r="ER30" s="767">
        <f t="shared" si="10"/>
        <v>0</v>
      </c>
      <c r="ES30" s="768">
        <f t="shared" si="11"/>
        <v>0</v>
      </c>
      <c r="ET30" s="767">
        <f t="shared" si="12"/>
        <v>0</v>
      </c>
      <c r="EU30" s="768">
        <f t="shared" si="13"/>
        <v>0</v>
      </c>
      <c r="EV30" s="767" t="str">
        <f t="shared" si="14"/>
        <v/>
      </c>
      <c r="EW30" s="769">
        <f t="shared" si="29"/>
        <v>45849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28</v>
      </c>
      <c r="GA30" s="129">
        <f t="shared" si="39"/>
        <v>2025</v>
      </c>
      <c r="GB30" s="129" t="str">
        <f t="shared" si="40"/>
        <v>282025</v>
      </c>
      <c r="GC30" s="225">
        <f>IF(AND($GD$53=S.CAL!$P$3,$GD$52=FZ30),GE30,IF(BH30="",0,BH30))</f>
        <v>0</v>
      </c>
      <c r="GD30" s="129" t="str">
        <f>IFERROR(+Aout!$BY$2&amp;BL30&amp;BM30,0)</f>
        <v>Fiche infoA5</v>
      </c>
      <c r="GE30" s="129" t="str">
        <f t="shared" si="19"/>
        <v/>
      </c>
      <c r="GF30" s="225" t="str">
        <f t="shared" si="41"/>
        <v/>
      </c>
      <c r="GG30" s="1469" t="str">
        <f>+'Retenue Juil'!D28</f>
        <v/>
      </c>
      <c r="GH30" s="1469">
        <f>+'Retenue Juil'!BF28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45850</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45850</v>
      </c>
      <c r="AX31" s="1878"/>
      <c r="AY31" s="332"/>
      <c r="AZ31" s="1126"/>
      <c r="BA31" s="993"/>
      <c r="BB31" s="561"/>
      <c r="BC31" s="566">
        <f t="shared" si="23"/>
        <v>0</v>
      </c>
      <c r="BD31" s="1126"/>
      <c r="BE31" s="825">
        <f t="shared" si="24"/>
        <v>0</v>
      </c>
      <c r="BF31" s="1150"/>
      <c r="BG31" s="224"/>
      <c r="BH31" s="566" t="str">
        <f t="shared" si="25"/>
        <v/>
      </c>
      <c r="BI31" s="1150"/>
      <c r="BJ31" s="129" t="str">
        <f t="shared" si="26"/>
        <v>Fiche infoA6</v>
      </c>
      <c r="BK31" s="129">
        <f t="shared" si="49"/>
        <v>28</v>
      </c>
      <c r="BL31" s="129" t="str">
        <f t="shared" si="4"/>
        <v>A</v>
      </c>
      <c r="BM31" s="129">
        <f t="shared" si="50"/>
        <v>6</v>
      </c>
      <c r="BN31" s="225" t="str">
        <f t="shared" si="60"/>
        <v>Fiche info</v>
      </c>
      <c r="BO31" s="332" t="str">
        <f t="shared" si="51"/>
        <v/>
      </c>
      <c r="BP31" s="198" t="str">
        <f t="shared" si="52"/>
        <v/>
      </c>
      <c r="BQ31" s="198"/>
      <c r="BS31" s="2012" t="str">
        <f t="shared" si="64"/>
        <v>Semaine numéro : 30</v>
      </c>
      <c r="BT31" s="2013"/>
      <c r="BU31" s="2013"/>
      <c r="BV31" s="2013"/>
      <c r="BW31" s="2013"/>
      <c r="BX31" s="2014"/>
      <c r="BY31" s="1137"/>
      <c r="BZ31" s="674">
        <f t="shared" si="65"/>
        <v>0</v>
      </c>
      <c r="CA31" s="673">
        <f t="shared" si="62"/>
        <v>0</v>
      </c>
      <c r="CB31" s="198">
        <f t="shared" si="63"/>
        <v>0</v>
      </c>
      <c r="CC31" s="198">
        <f>+SUMIF(Juin!$BK$20:$BK$50,AT7,Juin!$AM$20:$AO$50)</f>
        <v>0</v>
      </c>
      <c r="CD31" s="198">
        <f>+SUMIF(Aout!$BK$20:$BK$50,AT7,Aout!$AM$20:$AO$50)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45850</v>
      </c>
      <c r="ER31" s="767">
        <f t="shared" si="10"/>
        <v>0</v>
      </c>
      <c r="ES31" s="768">
        <f t="shared" si="11"/>
        <v>0</v>
      </c>
      <c r="ET31" s="767">
        <f t="shared" si="12"/>
        <v>0</v>
      </c>
      <c r="EU31" s="768">
        <f t="shared" si="13"/>
        <v>0</v>
      </c>
      <c r="EV31" s="767" t="str">
        <f t="shared" si="14"/>
        <v/>
      </c>
      <c r="EW31" s="769">
        <f t="shared" si="29"/>
        <v>45850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28</v>
      </c>
      <c r="GA31" s="129">
        <f t="shared" si="39"/>
        <v>2025</v>
      </c>
      <c r="GB31" s="129" t="str">
        <f t="shared" si="40"/>
        <v>282025</v>
      </c>
      <c r="GC31" s="225">
        <f>IF(AND($GD$53=S.CAL!$P$3,$GD$52=FZ31),GE31,IF(BH31="",0,BH31))</f>
        <v>0</v>
      </c>
      <c r="GD31" s="129" t="str">
        <f>IFERROR(+Aout!$BY$2&amp;BL31&amp;BM31,0)</f>
        <v>Fiche infoA6</v>
      </c>
      <c r="GE31" s="129" t="str">
        <f t="shared" si="19"/>
        <v/>
      </c>
      <c r="GF31" s="225" t="str">
        <f t="shared" si="41"/>
        <v/>
      </c>
      <c r="GG31" s="1469" t="str">
        <f>+'Retenue Juil'!D29</f>
        <v/>
      </c>
      <c r="GH31" s="1469">
        <f>+'Retenue Juil'!BF29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45851</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45851</v>
      </c>
      <c r="AX32" s="1878"/>
      <c r="AY32" s="332"/>
      <c r="AZ32" s="1126"/>
      <c r="BA32" s="993"/>
      <c r="BB32" s="561"/>
      <c r="BC32" s="566">
        <f t="shared" si="23"/>
        <v>0</v>
      </c>
      <c r="BD32" s="1126"/>
      <c r="BE32" s="825">
        <f t="shared" si="24"/>
        <v>0</v>
      </c>
      <c r="BF32" s="1150"/>
      <c r="BG32" s="224"/>
      <c r="BH32" s="566" t="str">
        <f t="shared" si="25"/>
        <v/>
      </c>
      <c r="BI32" s="1150"/>
      <c r="BJ32" s="129" t="str">
        <f t="shared" si="26"/>
        <v>Fiche infoA7</v>
      </c>
      <c r="BK32" s="129">
        <f t="shared" si="49"/>
        <v>28</v>
      </c>
      <c r="BL32" s="129" t="str">
        <f t="shared" si="4"/>
        <v>A</v>
      </c>
      <c r="BM32" s="129">
        <f t="shared" si="50"/>
        <v>7</v>
      </c>
      <c r="BN32" s="225" t="str">
        <f t="shared" si="60"/>
        <v>Fiche info</v>
      </c>
      <c r="BO32" s="332" t="str">
        <f t="shared" si="51"/>
        <v/>
      </c>
      <c r="BP32" s="198" t="str">
        <f t="shared" si="52"/>
        <v/>
      </c>
      <c r="BQ32" s="198"/>
      <c r="BS32" s="2012" t="str">
        <f t="shared" si="64"/>
        <v>Semaine numéro : 31</v>
      </c>
      <c r="BT32" s="2013"/>
      <c r="BU32" s="2013"/>
      <c r="BV32" s="2013"/>
      <c r="BW32" s="2013"/>
      <c r="BX32" s="2014"/>
      <c r="BY32" s="1137"/>
      <c r="BZ32" s="674">
        <f t="shared" si="65"/>
        <v>0</v>
      </c>
      <c r="CA32" s="673">
        <f t="shared" si="62"/>
        <v>0</v>
      </c>
      <c r="CB32" s="198">
        <f t="shared" si="63"/>
        <v>0</v>
      </c>
      <c r="CC32" s="198">
        <f>+SUMIF(Juin!$BK$20:$BK$50,AT8,Juin!$AM$20:$AO$50)</f>
        <v>0</v>
      </c>
      <c r="CD32" s="198">
        <f>+SUMIF(Aout!$BK$20:$BK$50,AT8,Aout!$AM$20:$AO$50)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45851</v>
      </c>
      <c r="ER32" s="767">
        <f t="shared" si="10"/>
        <v>0</v>
      </c>
      <c r="ES32" s="768">
        <f t="shared" si="11"/>
        <v>0</v>
      </c>
      <c r="ET32" s="767">
        <f t="shared" si="12"/>
        <v>0</v>
      </c>
      <c r="EU32" s="768">
        <f t="shared" si="13"/>
        <v>0</v>
      </c>
      <c r="EV32" s="767" t="str">
        <f t="shared" si="14"/>
        <v/>
      </c>
      <c r="EW32" s="769">
        <f t="shared" si="29"/>
        <v>45851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28</v>
      </c>
      <c r="GA32" s="129">
        <f t="shared" si="39"/>
        <v>2025</v>
      </c>
      <c r="GB32" s="129" t="str">
        <f t="shared" si="40"/>
        <v>282025</v>
      </c>
      <c r="GC32" s="225">
        <f>IF(AND($GD$53=S.CAL!$P$3,$GD$52=FZ32),GE32,IF(BH32="",0,BH32))</f>
        <v>0</v>
      </c>
      <c r="GD32" s="129" t="str">
        <f>IFERROR(+Aout!$BY$2&amp;BL32&amp;BM32,0)</f>
        <v>Fiche infoA7</v>
      </c>
      <c r="GE32" s="129" t="str">
        <f t="shared" si="19"/>
        <v/>
      </c>
      <c r="GF32" s="225" t="str">
        <f t="shared" si="41"/>
        <v/>
      </c>
      <c r="GG32" s="1469" t="str">
        <f>+'Retenue Juil'!D30</f>
        <v/>
      </c>
      <c r="GH32" s="1469">
        <f>+'Retenue Juil'!BF30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45852</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f t="shared" si="48"/>
        <v>29</v>
      </c>
      <c r="AQ33" s="340"/>
      <c r="AR33" s="1126"/>
      <c r="AS33" s="332">
        <f t="shared" si="3"/>
        <v>0</v>
      </c>
      <c r="AT33" s="1147"/>
      <c r="AU33" s="1147"/>
      <c r="AV33" s="332"/>
      <c r="AW33" s="2017">
        <f t="shared" si="22"/>
        <v>45852</v>
      </c>
      <c r="AX33" s="1878"/>
      <c r="AY33" s="332"/>
      <c r="AZ33" s="1126"/>
      <c r="BA33" s="993"/>
      <c r="BB33" s="561"/>
      <c r="BC33" s="566">
        <f t="shared" si="23"/>
        <v>0</v>
      </c>
      <c r="BD33" s="1126"/>
      <c r="BE33" s="825">
        <f t="shared" si="24"/>
        <v>0</v>
      </c>
      <c r="BF33" s="1150"/>
      <c r="BG33" s="224"/>
      <c r="BH33" s="566" t="str">
        <f t="shared" si="25"/>
        <v/>
      </c>
      <c r="BI33" s="1150"/>
      <c r="BJ33" s="129" t="str">
        <f t="shared" si="26"/>
        <v>Fiche infoA1</v>
      </c>
      <c r="BK33" s="129">
        <f t="shared" si="49"/>
        <v>29</v>
      </c>
      <c r="BL33" s="129" t="str">
        <f t="shared" si="4"/>
        <v>A</v>
      </c>
      <c r="BM33" s="129">
        <f t="shared" si="50"/>
        <v>1</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+SUMIF(Juin!$BK$20:$BK$50,AT9,Juin!$AM$20:$AO$50)</f>
        <v>0</v>
      </c>
      <c r="CD33" s="198">
        <f>+SUMIF(Aout!$BK$20:$BK$50,AT9,Aout!$AM$20:$AO$50)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45852</v>
      </c>
      <c r="ER33" s="767">
        <f t="shared" si="10"/>
        <v>0</v>
      </c>
      <c r="ES33" s="768">
        <f t="shared" si="11"/>
        <v>0</v>
      </c>
      <c r="ET33" s="767">
        <f t="shared" si="12"/>
        <v>0</v>
      </c>
      <c r="EU33" s="768">
        <f t="shared" si="13"/>
        <v>0</v>
      </c>
      <c r="EV33" s="767" t="str">
        <f t="shared" si="14"/>
        <v/>
      </c>
      <c r="EW33" s="769">
        <f t="shared" si="29"/>
        <v>45852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29</v>
      </c>
      <c r="GA33" s="129">
        <f t="shared" si="39"/>
        <v>2025</v>
      </c>
      <c r="GB33" s="129" t="str">
        <f t="shared" si="40"/>
        <v>292025</v>
      </c>
      <c r="GC33" s="225">
        <f>IF(AND($GD$53=S.CAL!$P$3,$GD$52=FZ33),GE33,IF(BH33="",0,BH33))</f>
        <v>0</v>
      </c>
      <c r="GD33" s="129" t="str">
        <f>IFERROR(+Aout!$BY$2&amp;BL33&amp;BM33,0)</f>
        <v>Fiche infoA1</v>
      </c>
      <c r="GE33" s="129" t="str">
        <f t="shared" si="19"/>
        <v/>
      </c>
      <c r="GF33" s="225" t="str">
        <f t="shared" si="41"/>
        <v/>
      </c>
      <c r="GG33" s="1469" t="str">
        <f>+'Retenue Juil'!D31</f>
        <v/>
      </c>
      <c r="GH33" s="1469">
        <f>+'Retenue Juil'!BF31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45853</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45853</v>
      </c>
      <c r="AX34" s="1878"/>
      <c r="AY34" s="332"/>
      <c r="AZ34" s="1126"/>
      <c r="BA34" s="993"/>
      <c r="BB34" s="561"/>
      <c r="BC34" s="566">
        <f t="shared" si="23"/>
        <v>0</v>
      </c>
      <c r="BD34" s="1126"/>
      <c r="BE34" s="825">
        <f t="shared" si="24"/>
        <v>0</v>
      </c>
      <c r="BF34" s="1150"/>
      <c r="BG34" s="224"/>
      <c r="BH34" s="566" t="str">
        <f t="shared" si="25"/>
        <v/>
      </c>
      <c r="BI34" s="1150"/>
      <c r="BJ34" s="129" t="str">
        <f t="shared" si="26"/>
        <v>Fiche infoA2</v>
      </c>
      <c r="BK34" s="129">
        <f t="shared" si="49"/>
        <v>29</v>
      </c>
      <c r="BL34" s="129" t="str">
        <f t="shared" si="4"/>
        <v>A</v>
      </c>
      <c r="BM34" s="129">
        <f t="shared" si="50"/>
        <v>2</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45853</v>
      </c>
      <c r="ER34" s="767">
        <f t="shared" si="10"/>
        <v>0</v>
      </c>
      <c r="ES34" s="768">
        <f t="shared" si="11"/>
        <v>0</v>
      </c>
      <c r="ET34" s="767">
        <f t="shared" si="12"/>
        <v>0</v>
      </c>
      <c r="EU34" s="768">
        <f t="shared" si="13"/>
        <v>0</v>
      </c>
      <c r="EV34" s="767" t="str">
        <f t="shared" si="14"/>
        <v/>
      </c>
      <c r="EW34" s="769">
        <f t="shared" si="29"/>
        <v>45853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29</v>
      </c>
      <c r="GA34" s="129">
        <f t="shared" si="39"/>
        <v>2025</v>
      </c>
      <c r="GB34" s="129" t="str">
        <f t="shared" si="40"/>
        <v>292025</v>
      </c>
      <c r="GC34" s="225">
        <f>IF(AND($GD$53=S.CAL!$P$3,$GD$52=FZ34),GE34,IF(BH34="",0,BH34))</f>
        <v>0</v>
      </c>
      <c r="GD34" s="129" t="str">
        <f>IFERROR(+Aout!$BY$2&amp;BL34&amp;BM34,0)</f>
        <v>Fiche infoA2</v>
      </c>
      <c r="GE34" s="129" t="str">
        <f t="shared" si="19"/>
        <v/>
      </c>
      <c r="GF34" s="225" t="str">
        <f t="shared" si="41"/>
        <v/>
      </c>
      <c r="GG34" s="1469" t="str">
        <f>+'Retenue Juil'!D32</f>
        <v/>
      </c>
      <c r="GH34" s="1469">
        <f>+'Retenue Juil'!BF32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45854</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45854</v>
      </c>
      <c r="AX35" s="1878"/>
      <c r="AY35" s="332"/>
      <c r="AZ35" s="1126"/>
      <c r="BA35" s="993"/>
      <c r="BB35" s="561"/>
      <c r="BC35" s="566">
        <f t="shared" si="23"/>
        <v>0</v>
      </c>
      <c r="BD35" s="1126"/>
      <c r="BE35" s="825">
        <f t="shared" si="24"/>
        <v>0</v>
      </c>
      <c r="BF35" s="1150"/>
      <c r="BG35" s="224"/>
      <c r="BH35" s="566" t="str">
        <f t="shared" si="25"/>
        <v/>
      </c>
      <c r="BI35" s="1150"/>
      <c r="BJ35" s="129" t="str">
        <f t="shared" si="26"/>
        <v>Fiche infoA3</v>
      </c>
      <c r="BK35" s="129">
        <f t="shared" si="49"/>
        <v>29</v>
      </c>
      <c r="BL35" s="129" t="str">
        <f t="shared" si="4"/>
        <v>A</v>
      </c>
      <c r="BM35" s="129">
        <f t="shared" si="50"/>
        <v>3</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45854</v>
      </c>
      <c r="ER35" s="767">
        <f t="shared" si="10"/>
        <v>0</v>
      </c>
      <c r="ES35" s="768">
        <f t="shared" si="11"/>
        <v>0</v>
      </c>
      <c r="ET35" s="767">
        <f t="shared" si="12"/>
        <v>0</v>
      </c>
      <c r="EU35" s="768">
        <f t="shared" si="13"/>
        <v>0</v>
      </c>
      <c r="EV35" s="767" t="str">
        <f t="shared" si="14"/>
        <v/>
      </c>
      <c r="EW35" s="769">
        <f t="shared" si="29"/>
        <v>45854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29</v>
      </c>
      <c r="GA35" s="129">
        <f t="shared" si="39"/>
        <v>2025</v>
      </c>
      <c r="GB35" s="129" t="str">
        <f t="shared" si="40"/>
        <v>292025</v>
      </c>
      <c r="GC35" s="225">
        <f>IF(AND($GD$53=S.CAL!$P$3,$GD$52=FZ35),GE35,IF(BH35="",0,BH35))</f>
        <v>0</v>
      </c>
      <c r="GD35" s="129" t="str">
        <f>IFERROR(+Aout!$BY$2&amp;BL35&amp;BM35,0)</f>
        <v>Fiche infoA3</v>
      </c>
      <c r="GE35" s="129" t="str">
        <f t="shared" si="19"/>
        <v/>
      </c>
      <c r="GF35" s="225" t="str">
        <f t="shared" si="41"/>
        <v/>
      </c>
      <c r="GG35" s="1469" t="str">
        <f>+'Retenue Juil'!D33</f>
        <v/>
      </c>
      <c r="GH35" s="1469">
        <f>+'Retenue Juil'!BF33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45855</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45855</v>
      </c>
      <c r="AX36" s="1878"/>
      <c r="AY36" s="332"/>
      <c r="AZ36" s="1126"/>
      <c r="BA36" s="993"/>
      <c r="BB36" s="561"/>
      <c r="BC36" s="566">
        <f t="shared" si="23"/>
        <v>0</v>
      </c>
      <c r="BD36" s="1126"/>
      <c r="BE36" s="825">
        <f t="shared" si="24"/>
        <v>0</v>
      </c>
      <c r="BF36" s="1150"/>
      <c r="BG36" s="224"/>
      <c r="BH36" s="566" t="str">
        <f t="shared" si="25"/>
        <v/>
      </c>
      <c r="BI36" s="1150"/>
      <c r="BJ36" s="129" t="str">
        <f t="shared" si="26"/>
        <v>Fiche infoA4</v>
      </c>
      <c r="BK36" s="129">
        <f t="shared" si="49"/>
        <v>29</v>
      </c>
      <c r="BL36" s="129" t="str">
        <f t="shared" si="4"/>
        <v>A</v>
      </c>
      <c r="BM36" s="129">
        <f t="shared" si="50"/>
        <v>4</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45855</v>
      </c>
      <c r="ER36" s="767">
        <f t="shared" si="10"/>
        <v>0</v>
      </c>
      <c r="ES36" s="768">
        <f t="shared" si="11"/>
        <v>0</v>
      </c>
      <c r="ET36" s="767">
        <f t="shared" si="12"/>
        <v>0</v>
      </c>
      <c r="EU36" s="768">
        <f t="shared" si="13"/>
        <v>0</v>
      </c>
      <c r="EV36" s="767" t="str">
        <f t="shared" si="14"/>
        <v/>
      </c>
      <c r="EW36" s="769">
        <f t="shared" si="29"/>
        <v>45855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29</v>
      </c>
      <c r="GA36" s="129">
        <f t="shared" si="39"/>
        <v>2025</v>
      </c>
      <c r="GB36" s="129" t="str">
        <f t="shared" si="40"/>
        <v>292025</v>
      </c>
      <c r="GC36" s="225">
        <f>IF(AND($GD$53=S.CAL!$P$3,$GD$52=FZ36),GE36,IF(BH36="",0,BH36))</f>
        <v>0</v>
      </c>
      <c r="GD36" s="129" t="str">
        <f>IFERROR(+Aout!$BY$2&amp;BL36&amp;BM36,0)</f>
        <v>Fiche infoA4</v>
      </c>
      <c r="GE36" s="129" t="str">
        <f t="shared" si="19"/>
        <v/>
      </c>
      <c r="GF36" s="225" t="str">
        <f t="shared" si="41"/>
        <v/>
      </c>
      <c r="GG36" s="1469" t="str">
        <f>+'Retenue Juil'!D34</f>
        <v/>
      </c>
      <c r="GH36" s="1469">
        <f>+'Retenue Juil'!BF34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45856</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45856</v>
      </c>
      <c r="AX37" s="1878"/>
      <c r="AY37" s="332"/>
      <c r="AZ37" s="1126"/>
      <c r="BA37" s="993"/>
      <c r="BB37" s="561"/>
      <c r="BC37" s="566">
        <f t="shared" si="23"/>
        <v>0</v>
      </c>
      <c r="BD37" s="1126"/>
      <c r="BE37" s="825">
        <f t="shared" si="24"/>
        <v>0</v>
      </c>
      <c r="BF37" s="1150"/>
      <c r="BG37" s="224"/>
      <c r="BH37" s="566" t="str">
        <f t="shared" si="25"/>
        <v/>
      </c>
      <c r="BI37" s="1150"/>
      <c r="BJ37" s="129" t="str">
        <f t="shared" si="26"/>
        <v>Fiche infoA5</v>
      </c>
      <c r="BK37" s="129">
        <f t="shared" si="49"/>
        <v>29</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45856</v>
      </c>
      <c r="ER37" s="767">
        <f t="shared" si="10"/>
        <v>0</v>
      </c>
      <c r="ES37" s="768">
        <f t="shared" si="11"/>
        <v>0</v>
      </c>
      <c r="ET37" s="767">
        <f t="shared" si="12"/>
        <v>0</v>
      </c>
      <c r="EU37" s="768">
        <f t="shared" si="13"/>
        <v>0</v>
      </c>
      <c r="EV37" s="767" t="str">
        <f t="shared" si="14"/>
        <v/>
      </c>
      <c r="EW37" s="769">
        <f t="shared" si="29"/>
        <v>45856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29</v>
      </c>
      <c r="GA37" s="129">
        <f t="shared" si="39"/>
        <v>2025</v>
      </c>
      <c r="GB37" s="129" t="str">
        <f t="shared" si="40"/>
        <v>292025</v>
      </c>
      <c r="GC37" s="225">
        <f>IF(AND($GD$53=S.CAL!$P$3,$GD$52=FZ37),GE37,IF(BH37="",0,BH37))</f>
        <v>0</v>
      </c>
      <c r="GD37" s="129" t="str">
        <f>IFERROR(+Aout!$BY$2&amp;BL37&amp;BM37,0)</f>
        <v>Fiche infoA5</v>
      </c>
      <c r="GE37" s="129" t="str">
        <f t="shared" si="19"/>
        <v/>
      </c>
      <c r="GF37" s="225" t="str">
        <f t="shared" si="41"/>
        <v/>
      </c>
      <c r="GG37" s="1469" t="str">
        <f>+'Retenue Juil'!D35</f>
        <v/>
      </c>
      <c r="GH37" s="1469">
        <f>+'Retenue Juil'!BF35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45857</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45857</v>
      </c>
      <c r="AX38" s="1878"/>
      <c r="AY38" s="332"/>
      <c r="AZ38" s="1126"/>
      <c r="BA38" s="993"/>
      <c r="BB38" s="561"/>
      <c r="BC38" s="566">
        <f t="shared" si="23"/>
        <v>0</v>
      </c>
      <c r="BD38" s="1126"/>
      <c r="BE38" s="825">
        <f t="shared" si="24"/>
        <v>0</v>
      </c>
      <c r="BF38" s="1150"/>
      <c r="BG38" s="224"/>
      <c r="BH38" s="566" t="str">
        <f t="shared" si="25"/>
        <v/>
      </c>
      <c r="BI38" s="1150"/>
      <c r="BJ38" s="129" t="str">
        <f t="shared" si="26"/>
        <v>Fiche infoA6</v>
      </c>
      <c r="BK38" s="129">
        <f t="shared" si="49"/>
        <v>29</v>
      </c>
      <c r="BL38" s="129" t="str">
        <f t="shared" si="4"/>
        <v>A</v>
      </c>
      <c r="BM38" s="129">
        <f t="shared" si="50"/>
        <v>6</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45857</v>
      </c>
      <c r="ER38" s="767">
        <f t="shared" si="10"/>
        <v>0</v>
      </c>
      <c r="ES38" s="768">
        <f t="shared" si="11"/>
        <v>0</v>
      </c>
      <c r="ET38" s="767">
        <f t="shared" si="12"/>
        <v>0</v>
      </c>
      <c r="EU38" s="768">
        <f t="shared" si="13"/>
        <v>0</v>
      </c>
      <c r="EV38" s="767" t="str">
        <f t="shared" si="14"/>
        <v/>
      </c>
      <c r="EW38" s="769">
        <f t="shared" si="29"/>
        <v>45857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29</v>
      </c>
      <c r="GA38" s="129">
        <f t="shared" si="39"/>
        <v>2025</v>
      </c>
      <c r="GB38" s="129" t="str">
        <f t="shared" si="40"/>
        <v>292025</v>
      </c>
      <c r="GC38" s="225">
        <f>IF(AND($GD$53=S.CAL!$P$3,$GD$52=FZ38),GE38,IF(BH38="",0,BH38))</f>
        <v>0</v>
      </c>
      <c r="GD38" s="129" t="str">
        <f>IFERROR(+Aout!$BY$2&amp;BL38&amp;BM38,0)</f>
        <v>Fiche infoA6</v>
      </c>
      <c r="GE38" s="129" t="str">
        <f t="shared" si="19"/>
        <v/>
      </c>
      <c r="GF38" s="225" t="str">
        <f t="shared" si="41"/>
        <v/>
      </c>
      <c r="GG38" s="1469" t="str">
        <f>+'Retenue Juil'!D36</f>
        <v/>
      </c>
      <c r="GH38" s="1469">
        <f>+'Retenue Juil'!BF36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45858</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45858</v>
      </c>
      <c r="AX39" s="1878"/>
      <c r="AY39" s="332"/>
      <c r="AZ39" s="1126"/>
      <c r="BA39" s="993"/>
      <c r="BB39" s="561"/>
      <c r="BC39" s="566">
        <f t="shared" si="23"/>
        <v>0</v>
      </c>
      <c r="BD39" s="1126"/>
      <c r="BE39" s="825">
        <f t="shared" si="24"/>
        <v>0</v>
      </c>
      <c r="BF39" s="1150"/>
      <c r="BG39" s="224"/>
      <c r="BH39" s="566" t="str">
        <f t="shared" si="25"/>
        <v/>
      </c>
      <c r="BI39" s="1150"/>
      <c r="BJ39" s="129" t="str">
        <f t="shared" si="26"/>
        <v>Fiche infoA7</v>
      </c>
      <c r="BK39" s="129">
        <f t="shared" si="49"/>
        <v>29</v>
      </c>
      <c r="BL39" s="129" t="str">
        <f t="shared" si="4"/>
        <v>A</v>
      </c>
      <c r="BM39" s="129">
        <f t="shared" si="50"/>
        <v>7</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45858</v>
      </c>
      <c r="ER39" s="767">
        <f t="shared" si="10"/>
        <v>0</v>
      </c>
      <c r="ES39" s="768">
        <f t="shared" si="11"/>
        <v>0</v>
      </c>
      <c r="ET39" s="767">
        <f t="shared" si="12"/>
        <v>0</v>
      </c>
      <c r="EU39" s="768">
        <f t="shared" si="13"/>
        <v>0</v>
      </c>
      <c r="EV39" s="767" t="str">
        <f t="shared" si="14"/>
        <v/>
      </c>
      <c r="EW39" s="769">
        <f t="shared" si="29"/>
        <v>45858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29</v>
      </c>
      <c r="GA39" s="129">
        <f t="shared" si="39"/>
        <v>2025</v>
      </c>
      <c r="GB39" s="129" t="str">
        <f t="shared" si="40"/>
        <v>292025</v>
      </c>
      <c r="GC39" s="225">
        <f>IF(AND($GD$53=S.CAL!$P$3,$GD$52=FZ39),GE39,IF(BH39="",0,BH39))</f>
        <v>0</v>
      </c>
      <c r="GD39" s="129" t="str">
        <f>IFERROR(+Aout!$BY$2&amp;BL39&amp;BM39,0)</f>
        <v>Fiche infoA7</v>
      </c>
      <c r="GE39" s="129" t="str">
        <f t="shared" si="19"/>
        <v/>
      </c>
      <c r="GF39" s="225" t="str">
        <f t="shared" si="41"/>
        <v/>
      </c>
      <c r="GG39" s="1469" t="str">
        <f>+'Retenue Juil'!D37</f>
        <v/>
      </c>
      <c r="GH39" s="1469">
        <f>+'Retenue Juil'!BF37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45859</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f t="shared" si="48"/>
        <v>30</v>
      </c>
      <c r="AQ40" s="340"/>
      <c r="AR40" s="1126"/>
      <c r="AS40" s="332">
        <f t="shared" si="3"/>
        <v>0</v>
      </c>
      <c r="AT40" s="1147"/>
      <c r="AU40" s="1147"/>
      <c r="AV40" s="332"/>
      <c r="AW40" s="2017">
        <f t="shared" si="22"/>
        <v>45859</v>
      </c>
      <c r="AX40" s="1878"/>
      <c r="AY40" s="332"/>
      <c r="AZ40" s="1126"/>
      <c r="BA40" s="993"/>
      <c r="BB40" s="561"/>
      <c r="BC40" s="566">
        <f t="shared" si="23"/>
        <v>0</v>
      </c>
      <c r="BD40" s="1126"/>
      <c r="BE40" s="825">
        <f t="shared" si="24"/>
        <v>0</v>
      </c>
      <c r="BF40" s="1150"/>
      <c r="BG40" s="224"/>
      <c r="BH40" s="566" t="str">
        <f t="shared" si="25"/>
        <v/>
      </c>
      <c r="BI40" s="1150"/>
      <c r="BJ40" s="129" t="str">
        <f t="shared" si="26"/>
        <v>Fiche infoA1</v>
      </c>
      <c r="BK40" s="129">
        <f t="shared" si="49"/>
        <v>30</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Juil'!P27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45859</v>
      </c>
      <c r="ER40" s="767">
        <f t="shared" si="10"/>
        <v>0</v>
      </c>
      <c r="ES40" s="768">
        <f t="shared" si="11"/>
        <v>0</v>
      </c>
      <c r="ET40" s="767">
        <f t="shared" si="12"/>
        <v>0</v>
      </c>
      <c r="EU40" s="768">
        <f t="shared" si="13"/>
        <v>0</v>
      </c>
      <c r="EV40" s="767" t="str">
        <f t="shared" si="14"/>
        <v/>
      </c>
      <c r="EW40" s="769">
        <f t="shared" si="29"/>
        <v>45859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30</v>
      </c>
      <c r="GA40" s="129">
        <f t="shared" si="39"/>
        <v>2025</v>
      </c>
      <c r="GB40" s="129" t="str">
        <f t="shared" si="40"/>
        <v>302025</v>
      </c>
      <c r="GC40" s="225">
        <f>IF(AND($GD$53=S.CAL!$P$3,$GD$52=FZ40),GE40,IF(BH40="",0,BH40))</f>
        <v>0</v>
      </c>
      <c r="GD40" s="129" t="str">
        <f>IFERROR(+Aout!$BY$2&amp;BL40&amp;BM40,0)</f>
        <v>Fiche infoA1</v>
      </c>
      <c r="GE40" s="129" t="str">
        <f t="shared" si="19"/>
        <v/>
      </c>
      <c r="GF40" s="225" t="str">
        <f t="shared" si="41"/>
        <v/>
      </c>
      <c r="GG40" s="1469" t="str">
        <f>+'Retenue Juil'!D38</f>
        <v/>
      </c>
      <c r="GH40" s="1469">
        <f>+'Retenue Juil'!BF38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45860</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45860</v>
      </c>
      <c r="AX41" s="1878"/>
      <c r="AY41" s="332"/>
      <c r="AZ41" s="1126"/>
      <c r="BA41" s="993"/>
      <c r="BB41" s="561"/>
      <c r="BC41" s="566">
        <f t="shared" si="23"/>
        <v>0</v>
      </c>
      <c r="BD41" s="1126"/>
      <c r="BE41" s="825">
        <f t="shared" si="24"/>
        <v>0</v>
      </c>
      <c r="BF41" s="1150"/>
      <c r="BG41" s="224"/>
      <c r="BH41" s="566" t="str">
        <f t="shared" si="25"/>
        <v/>
      </c>
      <c r="BI41" s="1150"/>
      <c r="BJ41" s="129" t="str">
        <f t="shared" si="26"/>
        <v>Fiche infoA2</v>
      </c>
      <c r="BK41" s="129">
        <f t="shared" si="49"/>
        <v>30</v>
      </c>
      <c r="BL41" s="129" t="str">
        <f t="shared" si="4"/>
        <v>A</v>
      </c>
      <c r="BM41" s="129">
        <f t="shared" si="50"/>
        <v>2</v>
      </c>
      <c r="BN41" s="225" t="str">
        <f t="shared" si="60"/>
        <v>Fiche info</v>
      </c>
      <c r="BO41" s="332" t="str">
        <f t="shared" si="51"/>
        <v/>
      </c>
      <c r="BP41" s="198" t="str">
        <f t="shared" si="52"/>
        <v/>
      </c>
      <c r="BQ41" s="2142" t="s">
        <v>1063</v>
      </c>
      <c r="BR41" s="2142"/>
      <c r="BS41" s="2142"/>
      <c r="BT41" s="2142"/>
      <c r="BU41" s="2142"/>
      <c r="BV41" s="2142"/>
      <c r="BW41" s="601" t="str">
        <f>+IF(BX41="",Juin!BW41,BX41)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45860</v>
      </c>
      <c r="ER41" s="767">
        <f t="shared" si="10"/>
        <v>0</v>
      </c>
      <c r="ES41" s="768">
        <f t="shared" si="11"/>
        <v>0</v>
      </c>
      <c r="ET41" s="767">
        <f t="shared" si="12"/>
        <v>0</v>
      </c>
      <c r="EU41" s="768">
        <f t="shared" si="13"/>
        <v>0</v>
      </c>
      <c r="EV41" s="767" t="str">
        <f t="shared" si="14"/>
        <v/>
      </c>
      <c r="EW41" s="769">
        <f t="shared" si="29"/>
        <v>45860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30</v>
      </c>
      <c r="GA41" s="129">
        <f t="shared" si="39"/>
        <v>2025</v>
      </c>
      <c r="GB41" s="129" t="str">
        <f t="shared" si="40"/>
        <v>302025</v>
      </c>
      <c r="GC41" s="225">
        <f>IF(AND($GD$53=S.CAL!$P$3,$GD$52=FZ41),GE41,IF(BH41="",0,BH41))</f>
        <v>0</v>
      </c>
      <c r="GD41" s="129" t="str">
        <f>IFERROR(+Aout!$BY$2&amp;BL41&amp;BM41,0)</f>
        <v>Fiche infoA2</v>
      </c>
      <c r="GE41" s="129" t="str">
        <f t="shared" si="19"/>
        <v/>
      </c>
      <c r="GF41" s="225" t="str">
        <f t="shared" si="41"/>
        <v/>
      </c>
      <c r="GG41" s="1469" t="str">
        <f>+'Retenue Juil'!D39</f>
        <v/>
      </c>
      <c r="GH41" s="1469">
        <f>+'Retenue Juil'!BF39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45861</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45861</v>
      </c>
      <c r="AX42" s="1878"/>
      <c r="AY42" s="332"/>
      <c r="AZ42" s="1126"/>
      <c r="BA42" s="993"/>
      <c r="BB42" s="561"/>
      <c r="BC42" s="566">
        <f t="shared" si="23"/>
        <v>0</v>
      </c>
      <c r="BD42" s="1126"/>
      <c r="BE42" s="825">
        <f t="shared" si="24"/>
        <v>0</v>
      </c>
      <c r="BF42" s="1150"/>
      <c r="BG42" s="224"/>
      <c r="BH42" s="566" t="str">
        <f t="shared" si="25"/>
        <v/>
      </c>
      <c r="BI42" s="1150"/>
      <c r="BJ42" s="129" t="str">
        <f t="shared" si="26"/>
        <v>Fiche infoA3</v>
      </c>
      <c r="BK42" s="129">
        <f t="shared" si="49"/>
        <v>30</v>
      </c>
      <c r="BL42" s="129" t="str">
        <f t="shared" si="4"/>
        <v>A</v>
      </c>
      <c r="BM42" s="129">
        <f t="shared" si="50"/>
        <v>3</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45861</v>
      </c>
      <c r="ER42" s="767">
        <f t="shared" si="10"/>
        <v>0</v>
      </c>
      <c r="ES42" s="768">
        <f t="shared" si="11"/>
        <v>0</v>
      </c>
      <c r="ET42" s="767">
        <f t="shared" si="12"/>
        <v>0</v>
      </c>
      <c r="EU42" s="768">
        <f t="shared" si="13"/>
        <v>0</v>
      </c>
      <c r="EV42" s="767" t="str">
        <f t="shared" si="14"/>
        <v/>
      </c>
      <c r="EW42" s="769">
        <f t="shared" si="29"/>
        <v>45861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30</v>
      </c>
      <c r="GA42" s="129">
        <f t="shared" si="39"/>
        <v>2025</v>
      </c>
      <c r="GB42" s="129" t="str">
        <f t="shared" si="40"/>
        <v>302025</v>
      </c>
      <c r="GC42" s="225">
        <f>IF(AND($GD$53=S.CAL!$P$3,$GD$52=FZ42),GE42,IF(BH42="",0,BH42))</f>
        <v>0</v>
      </c>
      <c r="GD42" s="129" t="str">
        <f>IFERROR(+Aout!$BY$2&amp;BL42&amp;BM42,0)</f>
        <v>Fiche infoA3</v>
      </c>
      <c r="GE42" s="129" t="str">
        <f t="shared" si="19"/>
        <v/>
      </c>
      <c r="GF42" s="225" t="str">
        <f t="shared" si="41"/>
        <v/>
      </c>
      <c r="GG42" s="1469" t="str">
        <f>+'Retenue Juil'!D40</f>
        <v/>
      </c>
      <c r="GH42" s="1469">
        <f>+'Retenue Juil'!BF40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45862</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45862</v>
      </c>
      <c r="AX43" s="1878"/>
      <c r="AY43" s="332"/>
      <c r="AZ43" s="1126"/>
      <c r="BA43" s="993"/>
      <c r="BB43" s="561"/>
      <c r="BC43" s="566">
        <f t="shared" si="23"/>
        <v>0</v>
      </c>
      <c r="BD43" s="1126"/>
      <c r="BE43" s="825">
        <f t="shared" si="24"/>
        <v>0</v>
      </c>
      <c r="BF43" s="1150"/>
      <c r="BG43" s="224"/>
      <c r="BH43" s="566" t="str">
        <f t="shared" si="25"/>
        <v/>
      </c>
      <c r="BI43" s="1150"/>
      <c r="BJ43" s="129" t="str">
        <f t="shared" si="26"/>
        <v>Fiche infoA4</v>
      </c>
      <c r="BK43" s="129">
        <f t="shared" si="49"/>
        <v>30</v>
      </c>
      <c r="BL43" s="129" t="str">
        <f t="shared" si="4"/>
        <v>A</v>
      </c>
      <c r="BM43" s="129">
        <f t="shared" si="50"/>
        <v>4</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45862</v>
      </c>
      <c r="ER43" s="767">
        <f t="shared" si="10"/>
        <v>0</v>
      </c>
      <c r="ES43" s="768">
        <f t="shared" si="11"/>
        <v>0</v>
      </c>
      <c r="ET43" s="767">
        <f t="shared" si="12"/>
        <v>0</v>
      </c>
      <c r="EU43" s="768">
        <f t="shared" si="13"/>
        <v>0</v>
      </c>
      <c r="EV43" s="767" t="str">
        <f t="shared" si="14"/>
        <v/>
      </c>
      <c r="EW43" s="769">
        <f t="shared" si="29"/>
        <v>45862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30</v>
      </c>
      <c r="GA43" s="129">
        <f t="shared" si="39"/>
        <v>2025</v>
      </c>
      <c r="GB43" s="129" t="str">
        <f t="shared" si="40"/>
        <v>302025</v>
      </c>
      <c r="GC43" s="225">
        <f>IF(AND($GD$53=S.CAL!$P$3,$GD$52=FZ43),GE43,IF(BH43="",0,BH43))</f>
        <v>0</v>
      </c>
      <c r="GD43" s="129" t="str">
        <f>IFERROR(+Aout!$BY$2&amp;BL43&amp;BM43,0)</f>
        <v>Fiche infoA4</v>
      </c>
      <c r="GE43" s="129" t="str">
        <f t="shared" si="19"/>
        <v/>
      </c>
      <c r="GF43" s="225" t="str">
        <f t="shared" si="41"/>
        <v/>
      </c>
      <c r="GG43" s="1469" t="str">
        <f>+'Retenue Juil'!D41</f>
        <v/>
      </c>
      <c r="GH43" s="1469">
        <f>+'Retenue Juil'!BF41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45863</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45863</v>
      </c>
      <c r="AX44" s="1878"/>
      <c r="AY44" s="332"/>
      <c r="AZ44" s="1126"/>
      <c r="BA44" s="993"/>
      <c r="BB44" s="561"/>
      <c r="BC44" s="566">
        <f t="shared" si="23"/>
        <v>0</v>
      </c>
      <c r="BD44" s="1126"/>
      <c r="BE44" s="825">
        <f t="shared" si="24"/>
        <v>0</v>
      </c>
      <c r="BF44" s="1150"/>
      <c r="BG44" s="224"/>
      <c r="BH44" s="566" t="str">
        <f t="shared" si="25"/>
        <v/>
      </c>
      <c r="BI44" s="1150"/>
      <c r="BJ44" s="129" t="str">
        <f t="shared" si="26"/>
        <v>Fiche infoA5</v>
      </c>
      <c r="BK44" s="129">
        <f t="shared" si="49"/>
        <v>30</v>
      </c>
      <c r="BL44" s="129" t="str">
        <f t="shared" si="4"/>
        <v>A</v>
      </c>
      <c r="BM44" s="129">
        <f t="shared" si="50"/>
        <v>5</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+IF(CC45="",Juin!CC44,CC45)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45863</v>
      </c>
      <c r="ER44" s="767">
        <f t="shared" si="10"/>
        <v>0</v>
      </c>
      <c r="ES44" s="768">
        <f t="shared" si="11"/>
        <v>0</v>
      </c>
      <c r="ET44" s="767">
        <f t="shared" si="12"/>
        <v>0</v>
      </c>
      <c r="EU44" s="768">
        <f t="shared" si="13"/>
        <v>0</v>
      </c>
      <c r="EV44" s="767" t="str">
        <f t="shared" si="14"/>
        <v/>
      </c>
      <c r="EW44" s="769">
        <f t="shared" si="29"/>
        <v>45863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30</v>
      </c>
      <c r="GA44" s="129">
        <f t="shared" si="39"/>
        <v>2025</v>
      </c>
      <c r="GB44" s="129" t="str">
        <f t="shared" si="40"/>
        <v>302025</v>
      </c>
      <c r="GC44" s="225">
        <f>IF(AND($GD$53=S.CAL!$P$3,$GD$52=FZ44),GE44,IF(BH44="",0,BH44))</f>
        <v>0</v>
      </c>
      <c r="GD44" s="129" t="str">
        <f>IFERROR(+Aout!$BY$2&amp;BL44&amp;BM44,0)</f>
        <v>Fiche infoA5</v>
      </c>
      <c r="GE44" s="129" t="str">
        <f t="shared" si="19"/>
        <v/>
      </c>
      <c r="GF44" s="225" t="str">
        <f t="shared" si="41"/>
        <v/>
      </c>
      <c r="GG44" s="1469" t="str">
        <f>+'Retenue Juil'!D42</f>
        <v/>
      </c>
      <c r="GH44" s="1469">
        <f>+'Retenue Juil'!BF42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45864</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45864</v>
      </c>
      <c r="AX45" s="1878"/>
      <c r="AY45" s="332"/>
      <c r="AZ45" s="1126"/>
      <c r="BA45" s="993"/>
      <c r="BB45" s="561"/>
      <c r="BC45" s="566">
        <f t="shared" si="23"/>
        <v>0</v>
      </c>
      <c r="BD45" s="1126"/>
      <c r="BE45" s="825">
        <f t="shared" si="24"/>
        <v>0</v>
      </c>
      <c r="BF45" s="1150"/>
      <c r="BG45" s="224"/>
      <c r="BH45" s="566" t="str">
        <f t="shared" si="25"/>
        <v/>
      </c>
      <c r="BI45" s="1150"/>
      <c r="BJ45" s="129" t="str">
        <f t="shared" si="26"/>
        <v>Fiche infoA6</v>
      </c>
      <c r="BK45" s="129">
        <f t="shared" si="49"/>
        <v>30</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45864</v>
      </c>
      <c r="ER45" s="767">
        <f t="shared" si="10"/>
        <v>0</v>
      </c>
      <c r="ES45" s="768">
        <f t="shared" si="11"/>
        <v>0</v>
      </c>
      <c r="ET45" s="767">
        <f t="shared" si="12"/>
        <v>0</v>
      </c>
      <c r="EU45" s="768">
        <f t="shared" si="13"/>
        <v>0</v>
      </c>
      <c r="EV45" s="767" t="str">
        <f t="shared" si="14"/>
        <v/>
      </c>
      <c r="EW45" s="769">
        <f t="shared" si="29"/>
        <v>45864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30</v>
      </c>
      <c r="GA45" s="129">
        <f t="shared" si="39"/>
        <v>2025</v>
      </c>
      <c r="GB45" s="129" t="str">
        <f t="shared" si="40"/>
        <v>302025</v>
      </c>
      <c r="GC45" s="225">
        <f>IF(AND($GD$53=S.CAL!$P$3,$GD$52=FZ45),GE45,IF(BH45="",0,BH45))</f>
        <v>0</v>
      </c>
      <c r="GD45" s="129" t="str">
        <f>IFERROR(+Aout!$BY$2&amp;BL45&amp;BM45,0)</f>
        <v>Fiche infoA6</v>
      </c>
      <c r="GE45" s="129" t="str">
        <f t="shared" si="19"/>
        <v/>
      </c>
      <c r="GF45" s="225" t="str">
        <f t="shared" si="41"/>
        <v/>
      </c>
      <c r="GG45" s="1469" t="str">
        <f>+'Retenue Juil'!D43</f>
        <v/>
      </c>
      <c r="GH45" s="1469">
        <f>+'Retenue Juil'!BF43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45865</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45865</v>
      </c>
      <c r="AX46" s="1878"/>
      <c r="AY46" s="332"/>
      <c r="AZ46" s="1126"/>
      <c r="BA46" s="993"/>
      <c r="BB46" s="561"/>
      <c r="BC46" s="566">
        <f t="shared" si="23"/>
        <v>0</v>
      </c>
      <c r="BD46" s="1126"/>
      <c r="BE46" s="825">
        <f t="shared" si="24"/>
        <v>0</v>
      </c>
      <c r="BF46" s="1150"/>
      <c r="BG46" s="224"/>
      <c r="BH46" s="566" t="str">
        <f t="shared" si="25"/>
        <v/>
      </c>
      <c r="BI46" s="1150"/>
      <c r="BJ46" s="129" t="str">
        <f t="shared" si="26"/>
        <v>Fiche infoA7</v>
      </c>
      <c r="BK46" s="129">
        <f t="shared" si="49"/>
        <v>30</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45865</v>
      </c>
      <c r="ER46" s="767">
        <f t="shared" si="10"/>
        <v>0</v>
      </c>
      <c r="ES46" s="768">
        <f t="shared" si="11"/>
        <v>0</v>
      </c>
      <c r="ET46" s="767">
        <f t="shared" si="12"/>
        <v>0</v>
      </c>
      <c r="EU46" s="768">
        <f t="shared" si="13"/>
        <v>0</v>
      </c>
      <c r="EV46" s="767" t="str">
        <f t="shared" si="14"/>
        <v/>
      </c>
      <c r="EW46" s="769">
        <f t="shared" si="29"/>
        <v>45865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30</v>
      </c>
      <c r="GA46" s="129">
        <f t="shared" si="39"/>
        <v>2025</v>
      </c>
      <c r="GB46" s="129" t="str">
        <f t="shared" si="40"/>
        <v>302025</v>
      </c>
      <c r="GC46" s="225">
        <f>IF(AND($GD$53=S.CAL!$P$3,$GD$52=FZ46),GE46,IF(BH46="",0,BH46))</f>
        <v>0</v>
      </c>
      <c r="GD46" s="129" t="str">
        <f>IFERROR(+Aout!$BY$2&amp;BL46&amp;BM46,0)</f>
        <v>Fiche infoA7</v>
      </c>
      <c r="GE46" s="129" t="str">
        <f t="shared" si="19"/>
        <v/>
      </c>
      <c r="GF46" s="225" t="str">
        <f t="shared" si="41"/>
        <v/>
      </c>
      <c r="GG46" s="1469" t="str">
        <f>+'Retenue Juil'!D44</f>
        <v/>
      </c>
      <c r="GH46" s="1469">
        <f>+'Retenue Juil'!BF44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45866</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f t="shared" si="48"/>
        <v>31</v>
      </c>
      <c r="AQ47" s="340"/>
      <c r="AR47" s="1126"/>
      <c r="AS47" s="332">
        <f t="shared" si="3"/>
        <v>0</v>
      </c>
      <c r="AT47" s="1147"/>
      <c r="AU47" s="1147"/>
      <c r="AV47" s="332"/>
      <c r="AW47" s="2017">
        <f t="shared" si="22"/>
        <v>45866</v>
      </c>
      <c r="AX47" s="1878"/>
      <c r="AY47" s="332"/>
      <c r="AZ47" s="1126"/>
      <c r="BA47" s="993"/>
      <c r="BB47" s="561"/>
      <c r="BC47" s="566">
        <f t="shared" si="23"/>
        <v>0</v>
      </c>
      <c r="BD47" s="1126"/>
      <c r="BE47" s="825">
        <f t="shared" si="24"/>
        <v>0</v>
      </c>
      <c r="BF47" s="1150"/>
      <c r="BG47" s="224"/>
      <c r="BH47" s="566" t="str">
        <f t="shared" si="25"/>
        <v/>
      </c>
      <c r="BI47" s="1150"/>
      <c r="BJ47" s="129" t="str">
        <f t="shared" si="26"/>
        <v>Fiche infoA1</v>
      </c>
      <c r="BK47" s="129">
        <f t="shared" si="49"/>
        <v>31</v>
      </c>
      <c r="BL47" s="129" t="str">
        <f t="shared" si="4"/>
        <v>A</v>
      </c>
      <c r="BM47" s="129">
        <f t="shared" si="50"/>
        <v>1</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IF(CF47="",Juin!CE47,CF47)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45866</v>
      </c>
      <c r="ER47" s="767">
        <f t="shared" si="10"/>
        <v>0</v>
      </c>
      <c r="ES47" s="768">
        <f t="shared" si="11"/>
        <v>0</v>
      </c>
      <c r="ET47" s="767">
        <f t="shared" si="12"/>
        <v>0</v>
      </c>
      <c r="EU47" s="768">
        <f t="shared" si="13"/>
        <v>0</v>
      </c>
      <c r="EV47" s="767" t="str">
        <f t="shared" si="14"/>
        <v/>
      </c>
      <c r="EW47" s="769">
        <f t="shared" si="29"/>
        <v>45866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31</v>
      </c>
      <c r="GA47" s="129">
        <f t="shared" si="39"/>
        <v>2025</v>
      </c>
      <c r="GB47" s="129" t="str">
        <f t="shared" si="40"/>
        <v>312025</v>
      </c>
      <c r="GC47" s="225">
        <f>IF(AND($GD$53=S.CAL!$P$3,$GD$52=FZ47),GE47,IF(BH47="",0,BH47))</f>
        <v>0</v>
      </c>
      <c r="GD47" s="129" t="str">
        <f>IFERROR(+Aout!$BY$2&amp;BL47&amp;BM47,0)</f>
        <v>Fiche infoA1</v>
      </c>
      <c r="GE47" s="129" t="str">
        <f t="shared" si="19"/>
        <v/>
      </c>
      <c r="GF47" s="225" t="str">
        <f t="shared" si="41"/>
        <v/>
      </c>
      <c r="GG47" s="1469" t="str">
        <f>+'Retenue Juil'!D45</f>
        <v/>
      </c>
      <c r="GH47" s="1469">
        <f>+'Retenue Juil'!BF45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45867</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45867</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infoA2</v>
      </c>
      <c r="BK48" s="129">
        <f t="shared" si="49"/>
        <v>31</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45867</v>
      </c>
      <c r="ER48" s="767">
        <f t="shared" si="10"/>
        <v>0</v>
      </c>
      <c r="ES48" s="768">
        <f t="shared" si="11"/>
        <v>0</v>
      </c>
      <c r="ET48" s="767">
        <f t="shared" si="12"/>
        <v>0</v>
      </c>
      <c r="EU48" s="768">
        <f t="shared" si="13"/>
        <v>0</v>
      </c>
      <c r="EV48" s="767" t="str">
        <f t="shared" si="14"/>
        <v/>
      </c>
      <c r="EW48" s="769">
        <f t="shared" si="29"/>
        <v>45867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31</v>
      </c>
      <c r="GA48" s="129">
        <f t="shared" si="39"/>
        <v>2025</v>
      </c>
      <c r="GB48" s="129" t="str">
        <f t="shared" si="40"/>
        <v>312025</v>
      </c>
      <c r="GC48" s="225">
        <f>IF(AND($GD$53=S.CAL!$P$3,$GD$52=FZ48),GE48,IF(BH48="",0,BH48))</f>
        <v>0</v>
      </c>
      <c r="GD48" s="129" t="str">
        <f>IFERROR(+Aout!$BY$2&amp;BL48&amp;BM48,0)</f>
        <v>Fiche infoA2</v>
      </c>
      <c r="GE48" s="129" t="str">
        <f t="shared" si="19"/>
        <v/>
      </c>
      <c r="GF48" s="225" t="str">
        <f t="shared" si="41"/>
        <v/>
      </c>
      <c r="GG48" s="1469" t="str">
        <f>+'Retenue Juil'!D46</f>
        <v/>
      </c>
      <c r="GH48" s="1469">
        <f>+'Retenue Juil'!BF46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45868</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45868</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infoA3</v>
      </c>
      <c r="BK49" s="129">
        <f t="shared" si="49"/>
        <v>31</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IF(CF49="",Juin!CE49,CF49)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45868</v>
      </c>
      <c r="ER49" s="767">
        <f t="shared" si="10"/>
        <v>0</v>
      </c>
      <c r="ES49" s="768">
        <f t="shared" si="11"/>
        <v>0</v>
      </c>
      <c r="ET49" s="767">
        <f t="shared" si="12"/>
        <v>0</v>
      </c>
      <c r="EU49" s="768">
        <f t="shared" si="13"/>
        <v>0</v>
      </c>
      <c r="EV49" s="767" t="str">
        <f t="shared" si="14"/>
        <v/>
      </c>
      <c r="EW49" s="769">
        <f t="shared" si="29"/>
        <v>45868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31</v>
      </c>
      <c r="GA49" s="129">
        <f t="shared" si="39"/>
        <v>2025</v>
      </c>
      <c r="GB49" s="129" t="str">
        <f t="shared" ref="GB49:GB50" si="69">+FZ49&amp;GA49</f>
        <v>312025</v>
      </c>
      <c r="GC49" s="225">
        <f>IF(AND($GD$53=S.CAL!$P$3,$GD$52=FZ49),GE49,IF(BH49="",0,BH49))</f>
        <v>0</v>
      </c>
      <c r="GD49" s="129" t="str">
        <f>IFERROR(+Aout!$BY$2&amp;BL49&amp;BM49,0)</f>
        <v>Fiche infoA3</v>
      </c>
      <c r="GE49" s="129" t="str">
        <f t="shared" si="19"/>
        <v/>
      </c>
      <c r="GF49" s="225" t="str">
        <f t="shared" ref="GF49:GF50" si="70">IF(FP49=1,GG49,AM49)</f>
        <v/>
      </c>
      <c r="GG49" s="1469" t="str">
        <f>+'Retenue Juil'!D47</f>
        <v/>
      </c>
      <c r="GH49" s="1469">
        <f>+'Retenue Juil'!BF47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45869</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f t="shared" si="22"/>
        <v>45869</v>
      </c>
      <c r="AX50" s="2097"/>
      <c r="AY50" s="332"/>
      <c r="AZ50" s="1127"/>
      <c r="BA50" s="994"/>
      <c r="BB50" s="561"/>
      <c r="BC50" s="564">
        <f t="shared" si="23"/>
        <v>0</v>
      </c>
      <c r="BD50" s="1127"/>
      <c r="BE50" s="826">
        <f t="shared" si="24"/>
        <v>0</v>
      </c>
      <c r="BF50" s="1151"/>
      <c r="BG50" s="224"/>
      <c r="BH50" s="564" t="str">
        <f t="shared" si="25"/>
        <v/>
      </c>
      <c r="BI50" s="1151"/>
      <c r="BJ50" s="129" t="str">
        <f t="shared" si="68"/>
        <v>Fiche infoA4</v>
      </c>
      <c r="BK50" s="129">
        <f t="shared" si="49"/>
        <v>31</v>
      </c>
      <c r="BL50" s="129" t="str">
        <f t="shared" si="4"/>
        <v>A</v>
      </c>
      <c r="BM50" s="129">
        <f>IFERROR(WEEKDAY(AB50,2),0)</f>
        <v>4</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45869</v>
      </c>
      <c r="ER50" s="787">
        <f t="shared" si="10"/>
        <v>0</v>
      </c>
      <c r="ES50" s="788">
        <f t="shared" si="11"/>
        <v>0</v>
      </c>
      <c r="ET50" s="787">
        <f t="shared" si="12"/>
        <v>0</v>
      </c>
      <c r="EU50" s="788">
        <f t="shared" si="13"/>
        <v>0</v>
      </c>
      <c r="EV50" s="787" t="str">
        <f t="shared" si="14"/>
        <v/>
      </c>
      <c r="EW50" s="789">
        <f t="shared" si="29"/>
        <v>45869</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31</v>
      </c>
      <c r="GA50" s="129">
        <f t="shared" si="39"/>
        <v>2025</v>
      </c>
      <c r="GB50" s="129" t="str">
        <f t="shared" si="69"/>
        <v>312025</v>
      </c>
      <c r="GC50" s="225">
        <f>IF(AND($GD$53=S.CAL!$P$3,$GD$52=FZ50),GE50,IF(BH50="",0,BH50))</f>
        <v>0</v>
      </c>
      <c r="GD50" s="129" t="str">
        <f>IFERROR(+Aout!$BY$2&amp;BL50&amp;BM50,0)</f>
        <v>Fiche infoA4</v>
      </c>
      <c r="GE50" s="129" t="str">
        <f t="shared" si="19"/>
        <v/>
      </c>
      <c r="GF50" s="225" t="str">
        <f t="shared" si="70"/>
        <v/>
      </c>
      <c r="GG50" s="1469" t="str">
        <f>+'Retenue Juil'!D48</f>
        <v/>
      </c>
      <c r="GH50" s="1469">
        <f>+'Retenue Juil'!BF48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31</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IF(CF53="",+Juin!CE53,CF53)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IF(CF54="",Juin!CE54,CF54)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IF(CF55&gt;0,CF55,IF(AND(CE53=Juin!CE53,CE54=Juin!CE54),Juin!CE55,IF(OR(CE53&lt;&gt;Juin!CE53,CE54&lt;&gt;Juin!CE54),CE53/CE54)))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Juil'!E52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+IF(BY57="",Juin!BY56,BY57)</f>
        <v>24</v>
      </c>
      <c r="BZ56" s="629" t="s">
        <v>1065</v>
      </c>
      <c r="CA56" s="632">
        <f>+IF(CA57="",Juin!CA56,CA57)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IF(CF57="",+Juin!CE57,CF57)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IF(CF58="",Juin!CE58,CF58)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+IF(CA61="",Juin!CA60,CA61)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+IF(BA65="",Juin!K67,BA65)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+IF(BA68="",Juin!K68,BA68)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E74+Juin!H74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E75+Juin!H75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Juil'!EH51=0,"",'Retenue Juil'!EH51),AX76)</f>
        <v/>
      </c>
      <c r="AZ75" s="2043"/>
      <c r="BA75" s="936" t="str">
        <f>+IF(BA76="",IF('Retenue Juil'!EF51=0,"",'Retenue Juil'!EF51),BA76)</f>
        <v/>
      </c>
      <c r="BB75" s="937"/>
      <c r="BC75" s="938" t="str">
        <f>IF(BC76="",IF(+'Retenue Juil'!EG51=0,"",'Retenue Juil'!EG51),BC76)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E76+Juin!H76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+E77+Juin!H77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+IF(AR78="",Juin!AL78,AR78)</f>
        <v>0</v>
      </c>
      <c r="AM78" s="2179"/>
      <c r="AN78" s="2179"/>
      <c r="AO78" s="2179"/>
      <c r="AQ78" s="438" t="s">
        <v>762</v>
      </c>
      <c r="AR78" s="2304"/>
      <c r="AS78" s="2304"/>
      <c r="AT78" s="2041" t="str">
        <f>IFERROR(VLOOKUP(AY78,'Liste des Libellés'!$A$4:$F$32,6,FALSE),"")</f>
        <v/>
      </c>
      <c r="AU78" s="2041"/>
      <c r="AV78" s="2041"/>
      <c r="AW78" s="2041"/>
      <c r="AX78" s="935"/>
      <c r="AY78" s="2043" t="str">
        <f>+IF(AX79="",IF('Retenue Juil'!EH53=0,"",'Retenue Juil'!EH53),AX79)</f>
        <v/>
      </c>
      <c r="AZ78" s="2043"/>
      <c r="BA78" s="936" t="str">
        <f>+IF(BA79="",IF('Retenue Juil'!EF53=0,"",'Retenue Juil'!EF53),BA79)</f>
        <v/>
      </c>
      <c r="BB78" s="937"/>
      <c r="BC78" s="938" t="str">
        <f>IF(BC79="",IF(+'Retenue Juil'!EG53=0,"",'Retenue Juil'!EG53),BC79)</f>
        <v/>
      </c>
      <c r="BD78" s="972"/>
      <c r="BE78" s="129"/>
      <c r="BF78" s="129"/>
      <c r="BG78" s="129"/>
      <c r="BH78" s="129"/>
      <c r="BI78" s="129"/>
      <c r="CA78" s="667"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+Juin!F80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Juil'!EH55=0,"",'Retenue Juil'!EH55),AX82)</f>
        <v/>
      </c>
      <c r="AZ81" s="2043"/>
      <c r="BA81" s="936" t="str">
        <f>+IF(BA82="",IF('Retenue Juil'!EF55=0,"",'Retenue Juil'!EF55),BA82)</f>
        <v/>
      </c>
      <c r="BB81" s="937"/>
      <c r="BC81" s="938" t="str">
        <f>IF(BC82="",IF(+'Retenue Juil'!EG55=0,"",'Retenue Juil'!EG55),BC82)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Juil'!EH57=0,"",'Retenue Juil'!EH57),AX85)</f>
        <v/>
      </c>
      <c r="AZ84" s="2043"/>
      <c r="BA84" s="936" t="str">
        <f>+IF(BA85="",IF('Retenue Juil'!EF57=0,"",'Retenue Juil'!EF57),BA85)</f>
        <v/>
      </c>
      <c r="BB84" s="937"/>
      <c r="BC84" s="938" t="str">
        <f>IF(BC85="",IF(+'Retenue Juil'!EG57=0,"",'Retenue Juil'!EG57),BC85)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Juin!F86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IF(AR86="",+Juin!AH86,AR86)</f>
        <v>0</v>
      </c>
      <c r="AI86" s="1732"/>
      <c r="AJ86" s="1732"/>
      <c r="AK86" s="1733"/>
      <c r="AL86" s="1731">
        <f>IF(AS86="",IF(DP8=52,+EI29+Juin!AL86,+EI25+Juin!AL86),IF(DP8=52,+EI29+Juin!AL86+AS86,+EI25+Juin!AL86+AS86))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45869</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+Juin!AH87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+Juin!AH89+Juin!AH90</f>
        <v>0</v>
      </c>
      <c r="AI89" s="1732"/>
      <c r="AJ89" s="1732"/>
      <c r="AK89" s="1733"/>
      <c r="AL89" s="1731">
        <f>+Juin!AL90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+Juin!G99</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+Juin!G100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272025</v>
      </c>
      <c r="BA107" s="1473">
        <f>+$AT$4</f>
        <v>27</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282025</v>
      </c>
      <c r="BA108" s="1478">
        <f>+$AT$5</f>
        <v>28</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292025</v>
      </c>
      <c r="BA109" s="1478">
        <f>+$AT$6</f>
        <v>29</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302025</v>
      </c>
      <c r="BA110" s="1478">
        <f>+$AT$7</f>
        <v>30</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312025</v>
      </c>
      <c r="BA111" s="1478">
        <f>+$AT$8</f>
        <v>31</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272025</v>
      </c>
      <c r="BA142" s="1473">
        <f>+$AT$4</f>
        <v>27</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282025</v>
      </c>
      <c r="BA143" s="1478">
        <f>+$AT$5</f>
        <v>28</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292025</v>
      </c>
      <c r="BA144" s="1478">
        <f>+$AT$6</f>
        <v>29</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302025</v>
      </c>
      <c r="BA145" s="1478">
        <f>+$AT$7</f>
        <v>30</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312025</v>
      </c>
      <c r="BA146" s="1478">
        <f>+$AT$8</f>
        <v>31</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G9/n40AXQ1Zn6U6v/aLlyHdr3yx0xCc0Zr+PjOyXTxkCbwiLivcfUGnmRDKqnVjz1mY4qm3xgYQ7l6J52K0Y+w==" saltValue="kTVp4PdedcX/121L0iRApw=="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3144" priority="16">
      <formula>$U$14=0</formula>
    </cfRule>
  </conditionalFormatting>
  <conditionalFormatting sqref="B26:K26">
    <cfRule type="expression" dxfId="3143" priority="26">
      <formula>$U$14=0</formula>
    </cfRule>
  </conditionalFormatting>
  <conditionalFormatting sqref="B29:K29">
    <cfRule type="cellIs" dxfId="3142" priority="13" operator="greaterThan">
      <formula>0</formula>
    </cfRule>
  </conditionalFormatting>
  <conditionalFormatting sqref="C70:G70">
    <cfRule type="cellIs" dxfId="3141" priority="7" operator="greaterThan">
      <formula>0</formula>
    </cfRule>
  </conditionalFormatting>
  <conditionalFormatting sqref="F87:I87">
    <cfRule type="cellIs" dxfId="3140" priority="2" operator="greaterThan">
      <formula>0</formula>
    </cfRule>
  </conditionalFormatting>
  <conditionalFormatting sqref="F86:L86">
    <cfRule type="cellIs" dxfId="3139" priority="3" operator="greaterThan">
      <formula>0</formula>
    </cfRule>
  </conditionalFormatting>
  <conditionalFormatting sqref="H65:J65">
    <cfRule type="expression" dxfId="3138" priority="40">
      <formula>AND($AX$60="Oui",$AZ$62="hrs")</formula>
    </cfRule>
    <cfRule type="expression" dxfId="3137" priority="38">
      <formula>AND($AX$60="Oui",$AZ$62="")</formula>
    </cfRule>
  </conditionalFormatting>
  <conditionalFormatting sqref="H66:J66">
    <cfRule type="expression" dxfId="3136" priority="36">
      <formula>AND($BW$41="Non",$AX$61="Non")</formula>
    </cfRule>
    <cfRule type="expression" dxfId="3135" priority="35">
      <formula>AND($AX$61="Oui",$AZ$63="jrs")</formula>
    </cfRule>
    <cfRule type="expression" dxfId="3134" priority="34">
      <formula>AND($AX$61="Oui",$AZ$63="")</formula>
    </cfRule>
    <cfRule type="expression" dxfId="3133" priority="37">
      <formula>AND($BW$41="Oui",$AX$61="Non")</formula>
    </cfRule>
  </conditionalFormatting>
  <conditionalFormatting sqref="H70:J71">
    <cfRule type="cellIs" dxfId="3132" priority="6" operator="greaterThan">
      <formula>0</formula>
    </cfRule>
  </conditionalFormatting>
  <conditionalFormatting sqref="H65:K66">
    <cfRule type="cellIs" dxfId="3131" priority="33" operator="equal">
      <formula>0</formula>
    </cfRule>
  </conditionalFormatting>
  <conditionalFormatting sqref="H67:M68">
    <cfRule type="cellIs" dxfId="3130" priority="54" operator="equal">
      <formula>0</formula>
    </cfRule>
  </conditionalFormatting>
  <conditionalFormatting sqref="H69:M69">
    <cfRule type="cellIs" dxfId="3129" priority="8" operator="greaterThan">
      <formula>0</formula>
    </cfRule>
  </conditionalFormatting>
  <conditionalFormatting sqref="H40:Z60">
    <cfRule type="cellIs" dxfId="3128" priority="32" operator="equal">
      <formula>0</formula>
    </cfRule>
  </conditionalFormatting>
  <conditionalFormatting sqref="K81:K82 L82:T83 K88:T88 K89:Q90">
    <cfRule type="expression" dxfId="3127" priority="514">
      <formula>$EO$6="OUI"</formula>
    </cfRule>
  </conditionalFormatting>
  <conditionalFormatting sqref="K87">
    <cfRule type="expression" dxfId="3126" priority="4">
      <formula>$EO$6="OUI"</formula>
    </cfRule>
  </conditionalFormatting>
  <conditionalFormatting sqref="L18:O19">
    <cfRule type="cellIs" dxfId="3125" priority="20" operator="equal">
      <formula>0</formula>
    </cfRule>
  </conditionalFormatting>
  <conditionalFormatting sqref="L21:O22">
    <cfRule type="cellIs" dxfId="3124" priority="31" operator="equal">
      <formula>0</formula>
    </cfRule>
  </conditionalFormatting>
  <conditionalFormatting sqref="L27:O28">
    <cfRule type="cellIs" dxfId="3123" priority="14" operator="greaterThan">
      <formula>0</formula>
    </cfRule>
  </conditionalFormatting>
  <conditionalFormatting sqref="L30:O32">
    <cfRule type="cellIs" dxfId="3122" priority="12" operator="greaterThan">
      <formula>0</formula>
    </cfRule>
  </conditionalFormatting>
  <conditionalFormatting sqref="L34:O34">
    <cfRule type="cellIs" dxfId="3121" priority="10" operator="greaterThan">
      <formula>0</formula>
    </cfRule>
  </conditionalFormatting>
  <conditionalFormatting sqref="L23:S24">
    <cfRule type="cellIs" dxfId="3120" priority="15" operator="greaterThan">
      <formula>0</formula>
    </cfRule>
  </conditionalFormatting>
  <conditionalFormatting sqref="L25:S26">
    <cfRule type="containsErrors" dxfId="3119" priority="24">
      <formula>ISERROR(L25)</formula>
    </cfRule>
    <cfRule type="cellIs" dxfId="3118" priority="25" operator="equal">
      <formula>0</formula>
    </cfRule>
  </conditionalFormatting>
  <conditionalFormatting sqref="M87:T87">
    <cfRule type="expression" dxfId="3117" priority="511">
      <formula>$EO$6="OUI"</formula>
    </cfRule>
  </conditionalFormatting>
  <conditionalFormatting sqref="N65:P71">
    <cfRule type="cellIs" dxfId="3116" priority="60" operator="equal">
      <formula>0</formula>
    </cfRule>
  </conditionalFormatting>
  <conditionalFormatting sqref="O86">
    <cfRule type="expression" dxfId="3115" priority="515">
      <formula>EO6="OUI"</formula>
    </cfRule>
  </conditionalFormatting>
  <conditionalFormatting sqref="O14:T14">
    <cfRule type="expression" dxfId="3114" priority="209">
      <formula>$U$14=0</formula>
    </cfRule>
  </conditionalFormatting>
  <conditionalFormatting sqref="P20">
    <cfRule type="expression" dxfId="3113" priority="17">
      <formula>$DP$14=1</formula>
    </cfRule>
  </conditionalFormatting>
  <conditionalFormatting sqref="P18:S18">
    <cfRule type="expression" dxfId="3112" priority="21">
      <formula>$L$18=0</formula>
    </cfRule>
  </conditionalFormatting>
  <conditionalFormatting sqref="P19:S19">
    <cfRule type="expression" dxfId="3111" priority="19">
      <formula>$L$19=0</formula>
    </cfRule>
  </conditionalFormatting>
  <conditionalFormatting sqref="P21:S21">
    <cfRule type="expression" dxfId="3110" priority="30">
      <formula>$L$21=0</formula>
    </cfRule>
  </conditionalFormatting>
  <conditionalFormatting sqref="P22:S22">
    <cfRule type="expression" dxfId="3109" priority="29">
      <formula>$L$22=0</formula>
    </cfRule>
  </conditionalFormatting>
  <conditionalFormatting sqref="R87:T87">
    <cfRule type="expression" dxfId="3108" priority="510">
      <formula>$EO$7="OUI"</formula>
    </cfRule>
  </conditionalFormatting>
  <conditionalFormatting sqref="R89:T89">
    <cfRule type="expression" dxfId="3107" priority="506">
      <formula>$EO$6="OUI"</formula>
    </cfRule>
    <cfRule type="expression" dxfId="3106" priority="505">
      <formula>$EO$8="OUI"</formula>
    </cfRule>
  </conditionalFormatting>
  <conditionalFormatting sqref="R90:T90">
    <cfRule type="expression" dxfId="3105" priority="512">
      <formula>$EO$7="OUI"</formula>
    </cfRule>
    <cfRule type="expression" dxfId="3104" priority="513">
      <formula>$EO$6="OUI"</formula>
    </cfRule>
  </conditionalFormatting>
  <conditionalFormatting sqref="T20">
    <cfRule type="expression" dxfId="3103" priority="18">
      <formula>$DP$14=1</formula>
    </cfRule>
  </conditionalFormatting>
  <conditionalFormatting sqref="T30:T32">
    <cfRule type="cellIs" dxfId="3102" priority="28" operator="equal">
      <formula>0</formula>
    </cfRule>
  </conditionalFormatting>
  <conditionalFormatting sqref="T18:W19">
    <cfRule type="cellIs" dxfId="3101" priority="22" operator="equal">
      <formula>0</formula>
    </cfRule>
  </conditionalFormatting>
  <conditionalFormatting sqref="T21:W28">
    <cfRule type="cellIs" dxfId="3100" priority="27" operator="equal">
      <formula>0</formula>
    </cfRule>
  </conditionalFormatting>
  <conditionalFormatting sqref="T29:W29">
    <cfRule type="cellIs" dxfId="3099" priority="11" operator="greaterThan">
      <formula>0</formula>
    </cfRule>
  </conditionalFormatting>
  <conditionalFormatting sqref="T33:W33">
    <cfRule type="cellIs" dxfId="3098" priority="9" operator="greaterThan">
      <formula>0</formula>
    </cfRule>
  </conditionalFormatting>
  <conditionalFormatting sqref="T34:W34">
    <cfRule type="cellIs" dxfId="3097" priority="23" operator="equal">
      <formula>0</formula>
    </cfRule>
  </conditionalFormatting>
  <conditionalFormatting sqref="U14:X14">
    <cfRule type="cellIs" dxfId="3096" priority="207" operator="equal">
      <formula>0</formula>
    </cfRule>
  </conditionalFormatting>
  <conditionalFormatting sqref="V80:AF81">
    <cfRule type="cellIs" dxfId="3095" priority="1" operator="notEqual">
      <formula>"Commentaires :"</formula>
    </cfRule>
  </conditionalFormatting>
  <conditionalFormatting sqref="Y73:AO75">
    <cfRule type="expression" dxfId="3094" priority="64">
      <formula>$DP$8=52</formula>
    </cfRule>
  </conditionalFormatting>
  <conditionalFormatting sqref="AB20:AC50">
    <cfRule type="expression" dxfId="3093" priority="430">
      <formula>VLOOKUP(AB20,base_feries,1,FALSE)</formula>
    </cfRule>
    <cfRule type="expression" dxfId="3092" priority="429">
      <formula>OR(WEEKDAY(AB20,2)=6,WEEKDAY(AB20,2)=7)</formula>
    </cfRule>
    <cfRule type="expression" dxfId="3091" priority="428">
      <formula>WEEKDAY(AB20,2)=7</formula>
    </cfRule>
  </conditionalFormatting>
  <conditionalFormatting sqref="AD20:AF50">
    <cfRule type="cellIs" dxfId="3090" priority="300" operator="equal">
      <formula>0</formula>
    </cfRule>
    <cfRule type="expression" dxfId="3089" priority="299">
      <formula>FC20="oui"</formula>
    </cfRule>
  </conditionalFormatting>
  <conditionalFormatting sqref="AG20:AI50">
    <cfRule type="expression" dxfId="3088" priority="301">
      <formula>FC20="oui"</formula>
    </cfRule>
  </conditionalFormatting>
  <conditionalFormatting sqref="AH83:AH84">
    <cfRule type="cellIs" dxfId="3087" priority="524" stopIfTrue="1" operator="equal">
      <formula>0</formula>
    </cfRule>
  </conditionalFormatting>
  <conditionalFormatting sqref="AH89:AH91">
    <cfRule type="cellIs" dxfId="3086" priority="69" stopIfTrue="1" operator="equal">
      <formula>0</formula>
    </cfRule>
  </conditionalFormatting>
  <conditionalFormatting sqref="AH93:AK93">
    <cfRule type="cellIs" dxfId="3085" priority="516" operator="equal">
      <formula>0</formula>
    </cfRule>
  </conditionalFormatting>
  <conditionalFormatting sqref="AH86:AL87">
    <cfRule type="cellIs" dxfId="3084" priority="65" stopIfTrue="1" operator="equal">
      <formula>0</formula>
    </cfRule>
  </conditionalFormatting>
  <conditionalFormatting sqref="AH92:AO92">
    <cfRule type="cellIs" dxfId="3083" priority="239" operator="lessThan">
      <formula>-0.001</formula>
    </cfRule>
  </conditionalFormatting>
  <conditionalFormatting sqref="AJ20:AL50">
    <cfRule type="expression" dxfId="3082" priority="302">
      <formula>FC20="oui"</formula>
    </cfRule>
  </conditionalFormatting>
  <conditionalFormatting sqref="AL83">
    <cfRule type="cellIs" dxfId="3081" priority="523" stopIfTrue="1" operator="equal">
      <formula>0</formula>
    </cfRule>
  </conditionalFormatting>
  <conditionalFormatting sqref="AL89:AL91">
    <cfRule type="cellIs" dxfId="3080" priority="68" stopIfTrue="1" operator="equal">
      <formula>0</formula>
    </cfRule>
  </conditionalFormatting>
  <conditionalFormatting sqref="AL93">
    <cfRule type="cellIs" dxfId="3079" priority="521" stopIfTrue="1" operator="equal">
      <formula>0</formula>
    </cfRule>
  </conditionalFormatting>
  <conditionalFormatting sqref="AM20:AO50">
    <cfRule type="expression" dxfId="3078" priority="303">
      <formula>FC20="oui"</formula>
    </cfRule>
  </conditionalFormatting>
  <conditionalFormatting sqref="AP20:AP50">
    <cfRule type="expression" dxfId="3077" priority="147">
      <formula>BL20="E"</formula>
    </cfRule>
    <cfRule type="expression" dxfId="3076" priority="150">
      <formula>BL20="B"</formula>
    </cfRule>
    <cfRule type="expression" dxfId="3075" priority="149">
      <formula>BL20="C"</formula>
    </cfRule>
    <cfRule type="expression" dxfId="3074" priority="148">
      <formula>BL20="D"</formula>
    </cfRule>
    <cfRule type="expression" dxfId="3073" priority="144">
      <formula>BL20="H"</formula>
    </cfRule>
    <cfRule type="expression" dxfId="3072" priority="145">
      <formula>BL20="G"</formula>
    </cfRule>
    <cfRule type="expression" dxfId="3071" priority="146">
      <formula>BL20="F"</formula>
    </cfRule>
  </conditionalFormatting>
  <conditionalFormatting sqref="AQ62:AU62">
    <cfRule type="expression" dxfId="3070" priority="46">
      <formula>$AT$60="Non"</formula>
    </cfRule>
  </conditionalFormatting>
  <conditionalFormatting sqref="AQ63:AU63">
    <cfRule type="expression" dxfId="3069" priority="43">
      <formula>$AT$61="Non"</formula>
    </cfRule>
  </conditionalFormatting>
  <conditionalFormatting sqref="AR20:AR50">
    <cfRule type="expression" dxfId="3068" priority="189">
      <formula>AND(AR20&lt;&gt;"",AZ20&lt;&gt;"")</formula>
    </cfRule>
    <cfRule type="expression" dxfId="3067" priority="185">
      <formula>FN20=10</formula>
    </cfRule>
    <cfRule type="expression" dxfId="3066" priority="181">
      <formula>FC20="oui"</formula>
    </cfRule>
    <cfRule type="expression" dxfId="3065" priority="173">
      <formula>AB20=""</formula>
    </cfRule>
  </conditionalFormatting>
  <conditionalFormatting sqref="AR17:BJ50">
    <cfRule type="expression" dxfId="3064" priority="49">
      <formula>$EX$13="oui"</formula>
    </cfRule>
  </conditionalFormatting>
  <conditionalFormatting sqref="AS51:BJ51 DK51">
    <cfRule type="expression" dxfId="3063" priority="134">
      <formula>$EX$13="oui"</formula>
    </cfRule>
  </conditionalFormatting>
  <conditionalFormatting sqref="AT4:AT10">
    <cfRule type="expression" dxfId="3062" priority="445">
      <formula>AU4="H"</formula>
    </cfRule>
    <cfRule type="expression" dxfId="3061" priority="447">
      <formula>AU4="F"</formula>
    </cfRule>
    <cfRule type="expression" dxfId="3060" priority="448">
      <formula>AU4="E"</formula>
    </cfRule>
    <cfRule type="expression" dxfId="3059" priority="449">
      <formula>AU4="D"</formula>
    </cfRule>
    <cfRule type="expression" dxfId="3058" priority="451">
      <formula>AU4="B"</formula>
    </cfRule>
    <cfRule type="expression" dxfId="3057" priority="446">
      <formula>AU4="G"</formula>
    </cfRule>
    <cfRule type="expression" dxfId="3056" priority="450">
      <formula>AU4="C"</formula>
    </cfRule>
  </conditionalFormatting>
  <conditionalFormatting sqref="AT20:AT50">
    <cfRule type="expression" dxfId="3055" priority="184">
      <formula>FC20="oui"</formula>
    </cfRule>
    <cfRule type="expression" dxfId="3054" priority="180">
      <formula>AB20=""</formula>
    </cfRule>
  </conditionalFormatting>
  <conditionalFormatting sqref="AU4:AU10">
    <cfRule type="expression" dxfId="3053" priority="381">
      <formula>FG4="rouge"</formula>
    </cfRule>
    <cfRule type="expression" dxfId="3052" priority="380">
      <formula>AT4=""</formula>
    </cfRule>
  </conditionalFormatting>
  <conditionalFormatting sqref="AU20:AU50">
    <cfRule type="expression" dxfId="3051" priority="179">
      <formula>AB20=""</formula>
    </cfRule>
    <cfRule type="expression" dxfId="3050" priority="188">
      <formula>FC20="oui"</formula>
    </cfRule>
  </conditionalFormatting>
  <conditionalFormatting sqref="AW20:AX50">
    <cfRule type="expression" dxfId="3049" priority="191">
      <formula>WEEKDAY(AW20,2)=7</formula>
    </cfRule>
    <cfRule type="expression" dxfId="3048" priority="192">
      <formula>OR(WEEKDAY(AW20,2)=6,WEEKDAY(AW20,2)=7)</formula>
    </cfRule>
    <cfRule type="expression" dxfId="3047" priority="193">
      <formula>VLOOKUP(AW20,base_feries,1,FALSE)</formula>
    </cfRule>
  </conditionalFormatting>
  <conditionalFormatting sqref="AX62:AZ62">
    <cfRule type="expression" dxfId="3046" priority="45">
      <formula>$AX$60="Non"</formula>
    </cfRule>
  </conditionalFormatting>
  <conditionalFormatting sqref="AX63:AZ63">
    <cfRule type="expression" dxfId="3045" priority="42">
      <formula>$AX$61="Non"</formula>
    </cfRule>
  </conditionalFormatting>
  <conditionalFormatting sqref="AZ20:AZ50">
    <cfRule type="expression" dxfId="3044" priority="50">
      <formula>AB20=""</formula>
    </cfRule>
    <cfRule type="expression" dxfId="3043" priority="53">
      <formula>AND(AR20&lt;&gt;"",AZ20&lt;&gt;"")</formula>
    </cfRule>
    <cfRule type="expression" dxfId="3042" priority="52">
      <formula>FL20=10</formula>
    </cfRule>
    <cfRule type="expression" dxfId="3041" priority="51">
      <formula>FC20="oui"</formula>
    </cfRule>
  </conditionalFormatting>
  <conditionalFormatting sqref="BA20:BA50">
    <cfRule type="expression" dxfId="3040" priority="178">
      <formula>AB20=""</formula>
    </cfRule>
    <cfRule type="expression" dxfId="3039" priority="182">
      <formula>FC20="oui"</formula>
    </cfRule>
  </conditionalFormatting>
  <conditionalFormatting sqref="BA62">
    <cfRule type="expression" dxfId="3038" priority="44">
      <formula>$BA$60="Non"</formula>
    </cfRule>
  </conditionalFormatting>
  <conditionalFormatting sqref="BA63">
    <cfRule type="expression" dxfId="3037" priority="41">
      <formula>$BA$61="Non"</formula>
    </cfRule>
  </conditionalFormatting>
  <conditionalFormatting sqref="BA102 BA103:BH115">
    <cfRule type="expression" dxfId="3036" priority="95">
      <formula>$DP$8=52</formula>
    </cfRule>
  </conditionalFormatting>
  <conditionalFormatting sqref="BA137 BA138:BH149">
    <cfRule type="expression" dxfId="3035" priority="67">
      <formula>$DP$8=52</formula>
    </cfRule>
  </conditionalFormatting>
  <conditionalFormatting sqref="BC20:BC55">
    <cfRule type="cellIs" dxfId="3034" priority="187" operator="equal">
      <formula>0</formula>
    </cfRule>
    <cfRule type="expression" dxfId="3033" priority="175">
      <formula>AJ20=""</formula>
    </cfRule>
  </conditionalFormatting>
  <conditionalFormatting sqref="BC112:BH112">
    <cfRule type="expression" dxfId="3032" priority="94">
      <formula>$BA$112=""</formula>
    </cfRule>
  </conditionalFormatting>
  <conditionalFormatting sqref="BC147:BH147">
    <cfRule type="expression" dxfId="3031" priority="66">
      <formula>$BA$112=""</formula>
    </cfRule>
  </conditionalFormatting>
  <conditionalFormatting sqref="BD20:BD50">
    <cfRule type="expression" dxfId="3030" priority="176">
      <formula>FL20="oui"</formula>
    </cfRule>
  </conditionalFormatting>
  <conditionalFormatting sqref="BE20:BE50">
    <cfRule type="expression" dxfId="3029" priority="186">
      <formula>OR(BE20=0,BE20="")</formula>
    </cfRule>
  </conditionalFormatting>
  <conditionalFormatting sqref="BH20:BH50">
    <cfRule type="expression" dxfId="3028" priority="135">
      <formula>AO20=""</formula>
    </cfRule>
    <cfRule type="cellIs" dxfId="3027" priority="172" operator="equal">
      <formula>0</formula>
    </cfRule>
  </conditionalFormatting>
  <conditionalFormatting sqref="BI9:BI14">
    <cfRule type="cellIs" dxfId="3026" priority="101" operator="equal">
      <formula>0</formula>
    </cfRule>
  </conditionalFormatting>
  <conditionalFormatting sqref="BQ54">
    <cfRule type="expression" dxfId="3025" priority="425">
      <formula>$BW$41="Non"</formula>
    </cfRule>
  </conditionalFormatting>
  <conditionalFormatting sqref="BQ36:CA36">
    <cfRule type="expression" dxfId="3024" priority="426">
      <formula>$BW$41="Oui"</formula>
    </cfRule>
  </conditionalFormatting>
  <conditionalFormatting sqref="BS21:CA34">
    <cfRule type="expression" dxfId="3023" priority="81">
      <formula>$EO$12="NON"</formula>
    </cfRule>
  </conditionalFormatting>
  <conditionalFormatting sqref="BY28:BY33">
    <cfRule type="notContainsBlanks" dxfId="3022" priority="82">
      <formula>LEN(TRIM(BY28))&gt;0</formula>
    </cfRule>
  </conditionalFormatting>
  <conditionalFormatting sqref="BY56">
    <cfRule type="duplicateValues" dxfId="3021" priority="473"/>
    <cfRule type="expression" dxfId="3020" priority="472">
      <formula>$BW$41="Oui"</formula>
    </cfRule>
  </conditionalFormatting>
  <conditionalFormatting sqref="BY60">
    <cfRule type="expression" dxfId="3019" priority="466">
      <formula>$BW$41="Oui"</formula>
    </cfRule>
    <cfRule type="cellIs" dxfId="3018" priority="467" operator="lessThan">
      <formula>$BY$59</formula>
    </cfRule>
    <cfRule type="duplicateValues" dxfId="3017" priority="468"/>
  </conditionalFormatting>
  <conditionalFormatting sqref="CA56">
    <cfRule type="expression" dxfId="3016" priority="276">
      <formula>AND($CA$56&lt;$CE$47,$BW$41="Non")</formula>
    </cfRule>
  </conditionalFormatting>
  <conditionalFormatting sqref="CB78">
    <cfRule type="cellIs" dxfId="3015" priority="563" stopIfTrue="1" operator="equal">
      <formula>"NON"</formula>
    </cfRule>
    <cfRule type="cellIs" dxfId="3014" priority="564" stopIfTrue="1" operator="equal">
      <formula>"OUI"</formula>
    </cfRule>
  </conditionalFormatting>
  <conditionalFormatting sqref="CE53:CE54">
    <cfRule type="expression" dxfId="3013" priority="153">
      <formula>$BW$41="Non"</formula>
    </cfRule>
  </conditionalFormatting>
  <conditionalFormatting sqref="CE57:CE58">
    <cfRule type="expression" dxfId="3012" priority="152">
      <formula>$BW$41="Non"</formula>
    </cfRule>
  </conditionalFormatting>
  <conditionalFormatting sqref="CE3:CF3">
    <cfRule type="expression" dxfId="3011" priority="114">
      <formula>$CD$3=""</formula>
    </cfRule>
    <cfRule type="expression" dxfId="3010" priority="113">
      <formula>AND($CE$3="",$CE$5&lt;&gt;"")</formula>
    </cfRule>
    <cfRule type="expression" dxfId="3009" priority="112">
      <formula>$FX$3="vrai"</formula>
    </cfRule>
  </conditionalFormatting>
  <conditionalFormatting sqref="CE5:CF5">
    <cfRule type="expression" dxfId="3008" priority="121">
      <formula>OR(AND(CE5&lt;&gt;0,CE5&lt;AJ4),AND(CE5&lt;&gt;0,CE5&gt;EG5),AND(CE5&lt;&gt;0,CE5&lt;AB20))</formula>
    </cfRule>
    <cfRule type="expression" dxfId="3007" priority="120">
      <formula>CD5=""</formula>
    </cfRule>
    <cfRule type="expression" dxfId="3006" priority="119">
      <formula>$FX$5="vrai"</formula>
    </cfRule>
  </conditionalFormatting>
  <conditionalFormatting sqref="CE8:CF8">
    <cfRule type="cellIs" dxfId="3005" priority="118" operator="greaterThan">
      <formula>$CE$5</formula>
    </cfRule>
    <cfRule type="expression" dxfId="3004" priority="117">
      <formula>AND(CE8&lt;&gt;0,CE8&lt;AJ4)</formula>
    </cfRule>
    <cfRule type="expression" dxfId="3003" priority="116">
      <formula>CD8=""</formula>
    </cfRule>
    <cfRule type="expression" dxfId="3002" priority="115">
      <formula>$FX$8="vrai"</formula>
    </cfRule>
  </conditionalFormatting>
  <conditionalFormatting sqref="CF47">
    <cfRule type="notContainsBlanks" dxfId="3001" priority="412">
      <formula>LEN(TRIM(CF47))&gt;0</formula>
    </cfRule>
  </conditionalFormatting>
  <conditionalFormatting sqref="CF49">
    <cfRule type="notContainsBlanks" dxfId="3000" priority="411">
      <formula>LEN(TRIM(CF49))&gt;0</formula>
    </cfRule>
  </conditionalFormatting>
  <conditionalFormatting sqref="CF53:CF54">
    <cfRule type="expression" dxfId="2999" priority="156">
      <formula>$BW$41="Non"</formula>
    </cfRule>
  </conditionalFormatting>
  <conditionalFormatting sqref="CF57:CF58">
    <cfRule type="expression" dxfId="2998" priority="154">
      <formula>$BW$41="Non"</formula>
    </cfRule>
  </conditionalFormatting>
  <conditionalFormatting sqref="CG8:CI8">
    <cfRule type="expression" dxfId="2997" priority="248">
      <formula>CD8=""</formula>
    </cfRule>
  </conditionalFormatting>
  <conditionalFormatting sqref="GW16:HR16">
    <cfRule type="expression" dxfId="2996" priority="402">
      <formula>$AE$123="NON"</formula>
    </cfRule>
  </conditionalFormatting>
  <conditionalFormatting sqref="HG16:HJ16">
    <cfRule type="expression" dxfId="2995" priority="4926">
      <formula>AR123&gt;0</formula>
    </cfRule>
  </conditionalFormatting>
  <conditionalFormatting sqref="HK16:HN16">
    <cfRule type="expression" dxfId="2994" priority="492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7"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1"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DATE(YEAR(Janvier!X3),MONTH(Janvier!X3)+7,DAY(Janvier!X3))</f>
        <v>45870</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31</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IF(Juillet!BY8="OUI","Contrat fini",BY2)</f>
        <v>Fiche info</v>
      </c>
      <c r="EF4" s="333" t="s">
        <v>1044</v>
      </c>
      <c r="EG4" s="755">
        <f>+Identification!B95</f>
        <v>0</v>
      </c>
      <c r="FG4" s="333" t="str">
        <f>IFERROR(IF(VLOOKUP(AT4,Juillet!$AT$4:$AU$10,2,FALSE)&lt;&gt;Aout!AU4,"rouge","ok"),0)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45870</v>
      </c>
      <c r="Y5" s="1948"/>
      <c r="Z5" s="1953" t="s">
        <v>460</v>
      </c>
      <c r="AA5" s="1953"/>
      <c r="AB5" s="1948">
        <f>+IF(AND(DATE(YEAR(EG4),MONTH(EG4),DAY(EG4))&gt;=DATE(YEAR(X3),MONTH(X3),DAY(X3)),DATE(YEAR(EG4),MONTH(EG4),DAY(EG4))&lt;=DATE(YEAR(X3),MONTH(X3),DAY(EOMONTH(X3,0)))),EG4,EOMONTH(X3,0))</f>
        <v>45900</v>
      </c>
      <c r="AC5" s="1952"/>
      <c r="AP5" s="211"/>
      <c r="AQ5" s="336"/>
      <c r="AR5" s="211"/>
      <c r="AS5" s="212"/>
      <c r="AT5" s="319">
        <f t="array" ref="AT5">IFERROR(INDEX($BK$20:$BK$50,MATCH(0,INDEX(COUNTIF($AT$3:AT4,$BK$20:$BK$50),0,0),0)),"")</f>
        <v>32</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45900</v>
      </c>
      <c r="FG5" s="333">
        <f>IFERROR(IF(VLOOKUP(AT5,Juillet!$AT$4:$AU$10,2,FALSE)&lt;&gt;Aout!AU5,"rouge","ok"),0)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33</v>
      </c>
      <c r="AU6" s="1144" t="s">
        <v>235</v>
      </c>
      <c r="BQ6" s="596"/>
      <c r="BR6" s="596"/>
      <c r="BS6" s="596"/>
      <c r="BT6" s="596"/>
      <c r="BU6" s="596"/>
      <c r="BV6" s="596"/>
      <c r="BW6" s="596"/>
      <c r="BX6" s="597" t="s">
        <v>520</v>
      </c>
      <c r="BY6" s="598" t="str">
        <f>+IF(BZ6="",Juillet!BY6,BZ6)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IFERROR(IF(VLOOKUP(AT6,Juillet!$AT$4:$AU$10,2,FALSE)&lt;&gt;Aout!AU6,"rouge","ok"),0)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34</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IFERROR(IF(VLOOKUP(AT7,Juillet!$AT$4:$AU$10,2,FALSE)&lt;&gt;Aout!AU7,"rouge","ok"),0)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35</v>
      </c>
      <c r="AU8" s="1144" t="s">
        <v>235</v>
      </c>
      <c r="BG8" s="252"/>
      <c r="BH8" s="1462" t="str">
        <f>+AT3</f>
        <v>N° Sem.</v>
      </c>
      <c r="BI8" s="1463" t="s">
        <v>1580</v>
      </c>
      <c r="BQ8" s="2132" t="s">
        <v>219</v>
      </c>
      <c r="BR8" s="2133"/>
      <c r="BS8" s="2133"/>
      <c r="BT8" s="2133"/>
      <c r="BU8" s="2133"/>
      <c r="BV8" s="2133"/>
      <c r="BW8" s="2133"/>
      <c r="BX8" s="2133"/>
      <c r="BY8" s="985" t="str">
        <f>IF(BZ8="",Juillet!BY8,BZ8)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IFERROR(IF(VLOOKUP(AT8,Juillet!$AT$4:$AU$10,2,FALSE)&lt;&gt;Aout!AU8,"rouge","ok"),0)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312025</v>
      </c>
      <c r="BH9" s="1464">
        <f t="shared" ref="BH9:BH14" si="0">+AT4</f>
        <v>31</v>
      </c>
      <c r="BI9" s="1465">
        <f>IF($AR$13=S.CAL!$CU$2,+SUMIF(S.CAL!$FW$3:$FW$374,BG9,S.CAL!$FX$3:$FX$374),IF($AR$13=S.CAL!$CU$3,SUMIF(Feuilles_de_présence_planning!$EG$12:$EG$537,BG9,Feuilles_de_présence_planning!$EE$12:$EE$537),"err"))</f>
        <v>0</v>
      </c>
      <c r="BY9" s="198" t="str">
        <f>+IF(Juillet!BY8="OUI","FIN","O")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IFERROR(IF(VLOOKUP(AT9,Juillet!$AT$4:$AU$10,2,FALSE)&lt;&gt;Aout!AU9,"rouge","ok"),0)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322025</v>
      </c>
      <c r="BH10" s="1464">
        <f t="shared" si="0"/>
        <v>32</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IFERROR(IF(VLOOKUP(AT10,Juillet!$AT$4:$AU$10,2,FALSE)&lt;&gt;Aout!AU10,"rouge","ok"),0)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332025</v>
      </c>
      <c r="BH11" s="1464">
        <f t="shared" si="0"/>
        <v>33</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342025</v>
      </c>
      <c r="BH12" s="1464">
        <f t="shared" si="0"/>
        <v>34</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3</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IF(AR14="",Juillet!AR13,AR14)</f>
        <v>à partir du tableau ci-dessous</v>
      </c>
      <c r="AS13" s="2296"/>
      <c r="AT13" s="2296"/>
      <c r="AU13" s="2296"/>
      <c r="AV13" s="2296"/>
      <c r="AW13" s="2296"/>
      <c r="AX13" s="2296"/>
      <c r="AY13" s="2296"/>
      <c r="AZ13" s="2296"/>
      <c r="BA13" s="2308" t="s">
        <v>1102</v>
      </c>
      <c r="BB13" s="2308"/>
      <c r="BC13" s="2308"/>
      <c r="BD13" s="971"/>
      <c r="BG13" s="1453" t="str">
        <f t="shared" si="1"/>
        <v>352025</v>
      </c>
      <c r="BH13" s="1464">
        <f t="shared" si="0"/>
        <v>35</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Juillet!EO13+Juillet!R89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+Juillet!EF16</f>
        <v>0</v>
      </c>
      <c r="EG16" s="759">
        <f>+Juillet!EG16</f>
        <v>0</v>
      </c>
      <c r="EH16" s="759">
        <f>+Juillet!EH16+Juillet!EH17</f>
        <v>0</v>
      </c>
      <c r="EI16" s="759">
        <f>+Juillet!EI16+Juillet!EI17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Aout'!D18:D48,"&gt;0")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45870</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31</v>
      </c>
      <c r="AQ20" s="340"/>
      <c r="AR20" s="1145"/>
      <c r="AS20" s="332">
        <f t="shared" ref="AS20:AS50" si="3">SUM(AD20:AL20)</f>
        <v>0</v>
      </c>
      <c r="AT20" s="1146"/>
      <c r="AU20" s="1146"/>
      <c r="AV20" s="332"/>
      <c r="AW20" s="1989">
        <f>AB20</f>
        <v>45870</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infoA5</v>
      </c>
      <c r="BK20" s="129">
        <f>IFERROR(WEEKNUM(AB20,21),"")</f>
        <v>31</v>
      </c>
      <c r="BL20" s="129" t="str">
        <f t="shared" ref="BL20:BL50" si="4">+VLOOKUP(BK20,$AT$4:$AU$10,2,)</f>
        <v>A</v>
      </c>
      <c r="BM20" s="129">
        <f t="shared" ref="BM20:BM21" si="5">WEEKDAY(AB20,2)</f>
        <v>5</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26</v>
      </c>
      <c r="EQ20" s="766">
        <f>+AB20</f>
        <v>45870</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45870</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31</v>
      </c>
      <c r="GA20" s="129">
        <f>+$X$4</f>
        <v>2025</v>
      </c>
      <c r="GB20" s="129" t="str">
        <f>+FZ20&amp;GA20</f>
        <v>312025</v>
      </c>
      <c r="GC20" s="225">
        <f>IF(AND($GD$53=S.CAL!$P$3,$GD$52=FZ20),GE20,IF(BH20="",0,BH20))</f>
        <v>0</v>
      </c>
      <c r="GD20" s="129" t="str">
        <f>IFERROR(+Septembre!$BY$2&amp;BL20&amp;BM20,0)</f>
        <v>Fiche infoA5</v>
      </c>
      <c r="GE20" s="129" t="str">
        <f t="shared" ref="GE20:GE50" si="19">+IFERROR(VLOOKUP(GD20,Base_heures,6,FALSE),"")</f>
        <v/>
      </c>
      <c r="GF20" s="225" t="str">
        <f>IF(FP20=1,GG20,AM20)</f>
        <v/>
      </c>
      <c r="GG20" s="1469" t="str">
        <f>+'Retenue Aout'!D18</f>
        <v/>
      </c>
      <c r="GH20" s="1469">
        <f>+'Retenue Aout'!BF18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45871</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45871</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infoA6</v>
      </c>
      <c r="BK21" s="129">
        <f t="shared" ref="BK21" si="27">IFERROR(WEEKNUM(AB21,21),"")</f>
        <v>31</v>
      </c>
      <c r="BL21" s="129" t="str">
        <f t="shared" si="4"/>
        <v>A</v>
      </c>
      <c r="BM21" s="129">
        <f t="shared" si="5"/>
        <v>6</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45870</v>
      </c>
      <c r="EJ21" s="755"/>
      <c r="EK21" s="755"/>
      <c r="EQ21" s="766">
        <f t="shared" ref="EQ21" si="28">+AB21</f>
        <v>45871</v>
      </c>
      <c r="ER21" s="767">
        <f t="shared" si="10"/>
        <v>0</v>
      </c>
      <c r="ES21" s="768">
        <f t="shared" si="11"/>
        <v>0</v>
      </c>
      <c r="ET21" s="767">
        <f t="shared" si="12"/>
        <v>0</v>
      </c>
      <c r="EU21" s="768">
        <f t="shared" si="13"/>
        <v>0</v>
      </c>
      <c r="EV21" s="767" t="str">
        <f t="shared" si="14"/>
        <v/>
      </c>
      <c r="EW21" s="769">
        <f t="shared" ref="EW21:EW50" si="29">+EQ21</f>
        <v>45871</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31</v>
      </c>
      <c r="GA21" s="129">
        <f t="shared" ref="GA21:GA50" si="39">+$X$4</f>
        <v>2025</v>
      </c>
      <c r="GB21" s="129" t="str">
        <f t="shared" ref="GB21:GB48" si="40">+FZ21&amp;GA21</f>
        <v>312025</v>
      </c>
      <c r="GC21" s="225">
        <f>IF(AND($GD$53=S.CAL!$P$3,$GD$52=FZ21),GE21,IF(BH21="",0,BH21))</f>
        <v>0</v>
      </c>
      <c r="GD21" s="129" t="str">
        <f>IFERROR(+Septembre!$BY$2&amp;BL21&amp;BM21,0)</f>
        <v>Fiche infoA6</v>
      </c>
      <c r="GE21" s="129" t="str">
        <f t="shared" si="19"/>
        <v/>
      </c>
      <c r="GF21" s="225" t="str">
        <f t="shared" ref="GF21:GF48" si="41">IF(FP21=1,GG21,AM21)</f>
        <v/>
      </c>
      <c r="GG21" s="1469" t="str">
        <f>+'Retenue Aout'!D19</f>
        <v/>
      </c>
      <c r="GH21" s="1469">
        <f>+'Retenue Aout'!BF19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45872</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45872</v>
      </c>
      <c r="AX22" s="1878"/>
      <c r="AY22" s="332"/>
      <c r="AZ22" s="1126"/>
      <c r="BA22" s="993"/>
      <c r="BB22" s="561"/>
      <c r="BC22" s="566">
        <f t="shared" si="23"/>
        <v>0</v>
      </c>
      <c r="BD22" s="1126"/>
      <c r="BE22" s="825">
        <f t="shared" si="24"/>
        <v>0</v>
      </c>
      <c r="BF22" s="1150"/>
      <c r="BG22" s="224"/>
      <c r="BH22" s="566" t="str">
        <f t="shared" si="25"/>
        <v/>
      </c>
      <c r="BI22" s="1150"/>
      <c r="BJ22" s="129" t="str">
        <f t="shared" si="26"/>
        <v>Fiche infoA7</v>
      </c>
      <c r="BK22" s="129">
        <f t="shared" ref="BK22:BK50" si="49">IFERROR(WEEKNUM(AB22,21),"")</f>
        <v>31</v>
      </c>
      <c r="BL22" s="129" t="str">
        <f t="shared" si="4"/>
        <v>A</v>
      </c>
      <c r="BM22" s="129">
        <f t="shared" ref="BM22:BM47" si="50">WEEKDAY(AB22,2)</f>
        <v>7</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45900</v>
      </c>
      <c r="EJ22" s="755"/>
      <c r="EK22" s="755"/>
      <c r="EQ22" s="766">
        <f t="shared" ref="EQ22:EQ50" si="53">+AB22</f>
        <v>45872</v>
      </c>
      <c r="ER22" s="767">
        <f t="shared" si="10"/>
        <v>0</v>
      </c>
      <c r="ES22" s="768">
        <f t="shared" si="11"/>
        <v>0</v>
      </c>
      <c r="ET22" s="767">
        <f t="shared" si="12"/>
        <v>0</v>
      </c>
      <c r="EU22" s="768">
        <f t="shared" si="13"/>
        <v>0</v>
      </c>
      <c r="EV22" s="767" t="str">
        <f t="shared" si="14"/>
        <v/>
      </c>
      <c r="EW22" s="769">
        <f t="shared" si="29"/>
        <v>45872</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31</v>
      </c>
      <c r="GA22" s="129">
        <f t="shared" si="39"/>
        <v>2025</v>
      </c>
      <c r="GB22" s="129" t="str">
        <f t="shared" si="40"/>
        <v>312025</v>
      </c>
      <c r="GC22" s="225">
        <f>IF(AND($GD$53=S.CAL!$P$3,$GD$52=FZ22),GE22,IF(BH22="",0,BH22))</f>
        <v>0</v>
      </c>
      <c r="GD22" s="129" t="str">
        <f>IFERROR(+Septembre!$BY$2&amp;BL22&amp;BM22,0)</f>
        <v>Fiche infoA7</v>
      </c>
      <c r="GE22" s="129" t="str">
        <f t="shared" si="19"/>
        <v/>
      </c>
      <c r="GF22" s="225" t="str">
        <f t="shared" si="41"/>
        <v/>
      </c>
      <c r="GG22" s="1469" t="str">
        <f>+'Retenue Aout'!D20</f>
        <v/>
      </c>
      <c r="GH22" s="1469">
        <f>+'Retenue Aout'!BF20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45873</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f t="shared" si="48"/>
        <v>32</v>
      </c>
      <c r="AQ23" s="340"/>
      <c r="AR23" s="1126"/>
      <c r="AS23" s="332">
        <f t="shared" si="3"/>
        <v>0</v>
      </c>
      <c r="AT23" s="1147"/>
      <c r="AU23" s="1147"/>
      <c r="AV23" s="332"/>
      <c r="AW23" s="2017">
        <f t="shared" si="22"/>
        <v>45873</v>
      </c>
      <c r="AX23" s="1878"/>
      <c r="AY23" s="332"/>
      <c r="AZ23" s="1126"/>
      <c r="BA23" s="993"/>
      <c r="BB23" s="561"/>
      <c r="BC23" s="566">
        <f t="shared" si="23"/>
        <v>0</v>
      </c>
      <c r="BD23" s="1126"/>
      <c r="BE23" s="825">
        <f t="shared" si="24"/>
        <v>0</v>
      </c>
      <c r="BF23" s="1150"/>
      <c r="BG23" s="224"/>
      <c r="BH23" s="566" t="str">
        <f t="shared" si="25"/>
        <v/>
      </c>
      <c r="BI23" s="1150"/>
      <c r="BJ23" s="129" t="str">
        <f t="shared" si="26"/>
        <v>Fiche infoA1</v>
      </c>
      <c r="BK23" s="129">
        <f t="shared" si="49"/>
        <v>32</v>
      </c>
      <c r="BL23" s="129" t="str">
        <f t="shared" si="4"/>
        <v>A</v>
      </c>
      <c r="BM23" s="129">
        <f t="shared" si="50"/>
        <v>1</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45873</v>
      </c>
      <c r="ER23" s="767">
        <f t="shared" si="10"/>
        <v>0</v>
      </c>
      <c r="ES23" s="768">
        <f t="shared" si="11"/>
        <v>0</v>
      </c>
      <c r="ET23" s="767">
        <f t="shared" si="12"/>
        <v>0</v>
      </c>
      <c r="EU23" s="768">
        <f t="shared" si="13"/>
        <v>0</v>
      </c>
      <c r="EV23" s="767" t="str">
        <f t="shared" si="14"/>
        <v/>
      </c>
      <c r="EW23" s="769">
        <f t="shared" si="29"/>
        <v>45873</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32</v>
      </c>
      <c r="GA23" s="129">
        <f t="shared" si="39"/>
        <v>2025</v>
      </c>
      <c r="GB23" s="129" t="str">
        <f t="shared" si="40"/>
        <v>322025</v>
      </c>
      <c r="GC23" s="225">
        <f>IF(AND($GD$53=S.CAL!$P$3,$GD$52=FZ23),GE23,IF(BH23="",0,BH23))</f>
        <v>0</v>
      </c>
      <c r="GD23" s="129" t="str">
        <f>IFERROR(+Septembre!$BY$2&amp;BL23&amp;BM23,0)</f>
        <v>Fiche infoA1</v>
      </c>
      <c r="GE23" s="129" t="str">
        <f t="shared" si="19"/>
        <v/>
      </c>
      <c r="GF23" s="225" t="str">
        <f t="shared" si="41"/>
        <v/>
      </c>
      <c r="GG23" s="1469" t="str">
        <f>+'Retenue Aout'!D21</f>
        <v/>
      </c>
      <c r="GH23" s="1469">
        <f>+'Retenue Aout'!BF21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45874</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45874</v>
      </c>
      <c r="AX24" s="1878"/>
      <c r="AY24" s="332"/>
      <c r="AZ24" s="1126"/>
      <c r="BA24" s="993"/>
      <c r="BB24" s="561"/>
      <c r="BC24" s="566">
        <f t="shared" si="23"/>
        <v>0</v>
      </c>
      <c r="BD24" s="1126"/>
      <c r="BE24" s="825">
        <f t="shared" si="24"/>
        <v>0</v>
      </c>
      <c r="BF24" s="1150"/>
      <c r="BG24" s="224"/>
      <c r="BH24" s="566" t="str">
        <f t="shared" si="25"/>
        <v/>
      </c>
      <c r="BI24" s="1150"/>
      <c r="BJ24" s="129" t="str">
        <f t="shared" si="26"/>
        <v>Fiche infoA2</v>
      </c>
      <c r="BK24" s="129">
        <f t="shared" si="49"/>
        <v>32</v>
      </c>
      <c r="BL24" s="129" t="str">
        <f t="shared" si="4"/>
        <v>A</v>
      </c>
      <c r="BM24" s="129">
        <f t="shared" si="50"/>
        <v>2</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45874</v>
      </c>
      <c r="ER24" s="767">
        <f t="shared" si="10"/>
        <v>0</v>
      </c>
      <c r="ES24" s="768">
        <f t="shared" si="11"/>
        <v>0</v>
      </c>
      <c r="ET24" s="767">
        <f t="shared" si="12"/>
        <v>0</v>
      </c>
      <c r="EU24" s="768">
        <f t="shared" si="13"/>
        <v>0</v>
      </c>
      <c r="EV24" s="767" t="str">
        <f t="shared" si="14"/>
        <v/>
      </c>
      <c r="EW24" s="769">
        <f t="shared" si="29"/>
        <v>45874</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32</v>
      </c>
      <c r="GA24" s="129">
        <f t="shared" si="39"/>
        <v>2025</v>
      </c>
      <c r="GB24" s="129" t="str">
        <f t="shared" si="40"/>
        <v>322025</v>
      </c>
      <c r="GC24" s="225">
        <f>IF(AND($GD$53=S.CAL!$P$3,$GD$52=FZ24),GE24,IF(BH24="",0,BH24))</f>
        <v>0</v>
      </c>
      <c r="GD24" s="129" t="str">
        <f>IFERROR(+Septembre!$BY$2&amp;BL24&amp;BM24,0)</f>
        <v>Fiche infoA2</v>
      </c>
      <c r="GE24" s="129" t="str">
        <f t="shared" si="19"/>
        <v/>
      </c>
      <c r="GF24" s="225" t="str">
        <f t="shared" si="41"/>
        <v/>
      </c>
      <c r="GG24" s="1469" t="str">
        <f>+'Retenue Aout'!D22</f>
        <v/>
      </c>
      <c r="GH24" s="1469">
        <f>+'Retenue Aout'!BF22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Aout'!R48*-1)</f>
        <v>#DIV/0!</v>
      </c>
      <c r="M25" s="1811"/>
      <c r="N25" s="1811"/>
      <c r="O25" s="1812"/>
      <c r="P25" s="1816" t="e">
        <f>+IF(L25,T25/L25,0)</f>
        <v>#DIV/0!</v>
      </c>
      <c r="Q25" s="1817"/>
      <c r="R25" s="1817"/>
      <c r="S25" s="1818"/>
      <c r="T25" s="1913">
        <f>IF(A18="Salaire heures normales réelles",0,'Retenue Aout'!R52*-1)</f>
        <v>0</v>
      </c>
      <c r="U25" s="1914"/>
      <c r="V25" s="1914"/>
      <c r="W25" s="1915"/>
      <c r="X25" s="226"/>
      <c r="Y25" s="226"/>
      <c r="Z25" s="226"/>
      <c r="AA25" s="903" t="str">
        <f>IF(AND(BE25="OUI",$AR$13=S.CAL!$CU$2),"►",IF(AND(EV25="OUI",$AR$13=S.CAL!$CU$3),"►",""))</f>
        <v/>
      </c>
      <c r="AB25" s="1877">
        <f>+$X$3+5</f>
        <v>45875</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45875</v>
      </c>
      <c r="AX25" s="1878"/>
      <c r="AY25" s="332"/>
      <c r="AZ25" s="1126"/>
      <c r="BA25" s="993"/>
      <c r="BB25" s="561"/>
      <c r="BC25" s="566">
        <f t="shared" si="23"/>
        <v>0</v>
      </c>
      <c r="BD25" s="1126"/>
      <c r="BE25" s="825">
        <f t="shared" si="24"/>
        <v>0</v>
      </c>
      <c r="BF25" s="1150"/>
      <c r="BG25" s="224"/>
      <c r="BH25" s="566" t="str">
        <f t="shared" si="25"/>
        <v/>
      </c>
      <c r="BI25" s="1150"/>
      <c r="BJ25" s="129" t="str">
        <f t="shared" si="26"/>
        <v>Fiche infoA3</v>
      </c>
      <c r="BK25" s="129">
        <f t="shared" si="49"/>
        <v>32</v>
      </c>
      <c r="BL25" s="129" t="str">
        <f t="shared" si="4"/>
        <v>A</v>
      </c>
      <c r="BM25" s="129">
        <f t="shared" si="50"/>
        <v>3</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45875</v>
      </c>
      <c r="ER25" s="767">
        <f t="shared" si="10"/>
        <v>0</v>
      </c>
      <c r="ES25" s="768">
        <f t="shared" si="11"/>
        <v>0</v>
      </c>
      <c r="ET25" s="767">
        <f t="shared" si="12"/>
        <v>0</v>
      </c>
      <c r="EU25" s="768">
        <f t="shared" si="13"/>
        <v>0</v>
      </c>
      <c r="EV25" s="767" t="str">
        <f t="shared" si="14"/>
        <v/>
      </c>
      <c r="EW25" s="769">
        <f t="shared" si="29"/>
        <v>45875</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32</v>
      </c>
      <c r="GA25" s="129">
        <f t="shared" si="39"/>
        <v>2025</v>
      </c>
      <c r="GB25" s="129" t="str">
        <f t="shared" si="40"/>
        <v>322025</v>
      </c>
      <c r="GC25" s="225">
        <f>IF(AND($GD$53=S.CAL!$P$3,$GD$52=FZ25),GE25,IF(BH25="",0,BH25))</f>
        <v>0</v>
      </c>
      <c r="GD25" s="129" t="str">
        <f>IFERROR(+Septembre!$BY$2&amp;BL25&amp;BM25,0)</f>
        <v>Fiche infoA3</v>
      </c>
      <c r="GE25" s="129" t="str">
        <f t="shared" si="19"/>
        <v/>
      </c>
      <c r="GF25" s="225" t="str">
        <f t="shared" si="41"/>
        <v/>
      </c>
      <c r="GG25" s="1469" t="str">
        <f>+'Retenue Aout'!D23</f>
        <v/>
      </c>
      <c r="GH25" s="1469">
        <f>+'Retenue Aout'!BF23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Aout'!R50*-1)</f>
        <v>#DIV/0!</v>
      </c>
      <c r="M26" s="1811"/>
      <c r="N26" s="1811"/>
      <c r="O26" s="1812"/>
      <c r="P26" s="1816" t="e">
        <f>+IF(L26,T26/L26,0)</f>
        <v>#DIV/0!</v>
      </c>
      <c r="Q26" s="1817"/>
      <c r="R26" s="1817"/>
      <c r="S26" s="1818"/>
      <c r="T26" s="1913">
        <f>IF(A18="Salaire heures normales réelles",0,'Retenue Aout'!R54*-1)</f>
        <v>0</v>
      </c>
      <c r="U26" s="1914"/>
      <c r="V26" s="1914"/>
      <c r="W26" s="1915"/>
      <c r="X26" s="223"/>
      <c r="Y26" s="223"/>
      <c r="Z26" s="223"/>
      <c r="AA26" s="903" t="str">
        <f>IF(AND(BE26="OUI",$AR$13=S.CAL!$CU$2),"►",IF(AND(EV26="OUI",$AR$13=S.CAL!$CU$3),"►",""))</f>
        <v/>
      </c>
      <c r="AB26" s="1877">
        <f>+$X$3+6</f>
        <v>45876</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45876</v>
      </c>
      <c r="AX26" s="1878"/>
      <c r="AY26" s="332"/>
      <c r="AZ26" s="1126"/>
      <c r="BA26" s="993"/>
      <c r="BB26" s="561"/>
      <c r="BC26" s="566">
        <f t="shared" si="23"/>
        <v>0</v>
      </c>
      <c r="BD26" s="1126"/>
      <c r="BE26" s="825">
        <f t="shared" si="24"/>
        <v>0</v>
      </c>
      <c r="BF26" s="1150"/>
      <c r="BG26" s="224"/>
      <c r="BH26" s="566" t="str">
        <f t="shared" si="25"/>
        <v/>
      </c>
      <c r="BI26" s="1150"/>
      <c r="BJ26" s="129" t="str">
        <f t="shared" si="26"/>
        <v>Fiche infoA4</v>
      </c>
      <c r="BK26" s="129">
        <f t="shared" si="49"/>
        <v>32</v>
      </c>
      <c r="BL26" s="129" t="str">
        <f t="shared" si="4"/>
        <v>A</v>
      </c>
      <c r="BM26" s="129">
        <f t="shared" si="50"/>
        <v>4</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45876</v>
      </c>
      <c r="ER26" s="767">
        <f t="shared" si="10"/>
        <v>0</v>
      </c>
      <c r="ES26" s="768">
        <f t="shared" si="11"/>
        <v>0</v>
      </c>
      <c r="ET26" s="767">
        <f t="shared" si="12"/>
        <v>0</v>
      </c>
      <c r="EU26" s="768">
        <f t="shared" si="13"/>
        <v>0</v>
      </c>
      <c r="EV26" s="767" t="str">
        <f t="shared" si="14"/>
        <v/>
      </c>
      <c r="EW26" s="769">
        <f t="shared" si="29"/>
        <v>45876</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32</v>
      </c>
      <c r="GA26" s="129">
        <f t="shared" si="39"/>
        <v>2025</v>
      </c>
      <c r="GB26" s="129" t="str">
        <f t="shared" si="40"/>
        <v>322025</v>
      </c>
      <c r="GC26" s="225">
        <f>IF(AND($GD$53=S.CAL!$P$3,$GD$52=FZ26),GE26,IF(BH26="",0,BH26))</f>
        <v>0</v>
      </c>
      <c r="GD26" s="129" t="str">
        <f>IFERROR(+Septembre!$BY$2&amp;BL26&amp;BM26,0)</f>
        <v>Fiche infoA4</v>
      </c>
      <c r="GE26" s="129" t="str">
        <f t="shared" si="19"/>
        <v/>
      </c>
      <c r="GF26" s="225" t="str">
        <f t="shared" si="41"/>
        <v/>
      </c>
      <c r="GG26" s="1469" t="str">
        <f>+'Retenue Aout'!D24</f>
        <v/>
      </c>
      <c r="GH26" s="1469">
        <f>+'Retenue Aout'!BF24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45877</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45877</v>
      </c>
      <c r="AX27" s="1878"/>
      <c r="AY27" s="332"/>
      <c r="AZ27" s="1126"/>
      <c r="BA27" s="993"/>
      <c r="BB27" s="561"/>
      <c r="BC27" s="566">
        <f t="shared" si="23"/>
        <v>0</v>
      </c>
      <c r="BD27" s="1126"/>
      <c r="BE27" s="825">
        <f t="shared" si="24"/>
        <v>0</v>
      </c>
      <c r="BF27" s="1150"/>
      <c r="BG27" s="224"/>
      <c r="BH27" s="566" t="str">
        <f t="shared" si="25"/>
        <v/>
      </c>
      <c r="BI27" s="1150"/>
      <c r="BJ27" s="129" t="str">
        <f t="shared" si="26"/>
        <v>Fiche infoA5</v>
      </c>
      <c r="BK27" s="129">
        <f t="shared" si="49"/>
        <v>32</v>
      </c>
      <c r="BL27" s="129" t="str">
        <f t="shared" si="4"/>
        <v>A</v>
      </c>
      <c r="BM27" s="129">
        <f t="shared" si="50"/>
        <v>5</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45877</v>
      </c>
      <c r="ER27" s="767">
        <f t="shared" si="10"/>
        <v>0</v>
      </c>
      <c r="ES27" s="768">
        <f t="shared" si="11"/>
        <v>0</v>
      </c>
      <c r="ET27" s="767">
        <f t="shared" si="12"/>
        <v>0</v>
      </c>
      <c r="EU27" s="768">
        <f t="shared" si="13"/>
        <v>0</v>
      </c>
      <c r="EV27" s="767" t="str">
        <f t="shared" si="14"/>
        <v/>
      </c>
      <c r="EW27" s="769">
        <f t="shared" si="29"/>
        <v>45877</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32</v>
      </c>
      <c r="GA27" s="129">
        <f t="shared" si="39"/>
        <v>2025</v>
      </c>
      <c r="GB27" s="129" t="str">
        <f t="shared" si="40"/>
        <v>322025</v>
      </c>
      <c r="GC27" s="225">
        <f>IF(AND($GD$53=S.CAL!$P$3,$GD$52=FZ27),GE27,IF(BH27="",0,BH27))</f>
        <v>0</v>
      </c>
      <c r="GD27" s="129" t="str">
        <f>IFERROR(+Septembre!$BY$2&amp;BL27&amp;BM27,0)</f>
        <v>Fiche infoA5</v>
      </c>
      <c r="GE27" s="129" t="str">
        <f t="shared" si="19"/>
        <v/>
      </c>
      <c r="GF27" s="225" t="str">
        <f t="shared" si="41"/>
        <v/>
      </c>
      <c r="GG27" s="1469" t="str">
        <f>+'Retenue Aout'!D25</f>
        <v/>
      </c>
      <c r="GH27" s="1469">
        <f>+'Retenue Aout'!BF25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45878</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45878</v>
      </c>
      <c r="AX28" s="1878"/>
      <c r="AY28" s="332"/>
      <c r="AZ28" s="1126"/>
      <c r="BA28" s="993"/>
      <c r="BB28" s="561"/>
      <c r="BC28" s="566">
        <f t="shared" si="23"/>
        <v>0</v>
      </c>
      <c r="BD28" s="1126"/>
      <c r="BE28" s="825">
        <f t="shared" si="24"/>
        <v>0</v>
      </c>
      <c r="BF28" s="1150"/>
      <c r="BG28" s="224"/>
      <c r="BH28" s="566" t="str">
        <f t="shared" si="25"/>
        <v/>
      </c>
      <c r="BI28" s="1150"/>
      <c r="BJ28" s="129" t="str">
        <f t="shared" si="26"/>
        <v>Fiche infoA6</v>
      </c>
      <c r="BK28" s="129">
        <f t="shared" si="49"/>
        <v>32</v>
      </c>
      <c r="BL28" s="129" t="str">
        <f t="shared" si="4"/>
        <v>A</v>
      </c>
      <c r="BM28" s="129">
        <f t="shared" si="50"/>
        <v>6</v>
      </c>
      <c r="BN28" s="225" t="str">
        <f t="shared" si="60"/>
        <v>Fiche info</v>
      </c>
      <c r="BO28" s="332" t="str">
        <f t="shared" si="51"/>
        <v/>
      </c>
      <c r="BP28" s="198" t="str">
        <f t="shared" si="52"/>
        <v/>
      </c>
      <c r="BQ28" s="198"/>
      <c r="BS28" s="2012" t="str">
        <f>+"Semaine numéro : "&amp;AT4</f>
        <v>Semaine numéro : 31</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+SUMIF(Juillet!$BK$20:$BK$50,AT4,Juillet!$AM$20:$AO$50)</f>
        <v>0</v>
      </c>
      <c r="CD28" s="198">
        <f>+SUMIF(Septembre!$BK$20:$BK$50,AT4,Septembre!$AM$20:$AO$50)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45878</v>
      </c>
      <c r="ER28" s="767">
        <f t="shared" si="10"/>
        <v>0</v>
      </c>
      <c r="ES28" s="768">
        <f t="shared" si="11"/>
        <v>0</v>
      </c>
      <c r="ET28" s="767">
        <f t="shared" si="12"/>
        <v>0</v>
      </c>
      <c r="EU28" s="768">
        <f t="shared" si="13"/>
        <v>0</v>
      </c>
      <c r="EV28" s="767" t="str">
        <f t="shared" si="14"/>
        <v/>
      </c>
      <c r="EW28" s="769">
        <f t="shared" si="29"/>
        <v>45878</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32</v>
      </c>
      <c r="GA28" s="129">
        <f t="shared" si="39"/>
        <v>2025</v>
      </c>
      <c r="GB28" s="129" t="str">
        <f t="shared" si="40"/>
        <v>322025</v>
      </c>
      <c r="GC28" s="225">
        <f>IF(AND($GD$53=S.CAL!$P$3,$GD$52=FZ28),GE28,IF(BH28="",0,BH28))</f>
        <v>0</v>
      </c>
      <c r="GD28" s="129" t="str">
        <f>IFERROR(+Septembre!$BY$2&amp;BL28&amp;BM28,0)</f>
        <v>Fiche infoA6</v>
      </c>
      <c r="GE28" s="129" t="str">
        <f t="shared" si="19"/>
        <v/>
      </c>
      <c r="GF28" s="225" t="str">
        <f t="shared" si="41"/>
        <v/>
      </c>
      <c r="GG28" s="1469" t="str">
        <f>+'Retenue Aout'!D26</f>
        <v/>
      </c>
      <c r="GH28" s="1469">
        <f>+'Retenue Aout'!BF26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45879</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45879</v>
      </c>
      <c r="AX29" s="1878"/>
      <c r="AY29" s="332"/>
      <c r="AZ29" s="1126"/>
      <c r="BA29" s="993"/>
      <c r="BB29" s="561"/>
      <c r="BC29" s="566">
        <f t="shared" si="23"/>
        <v>0</v>
      </c>
      <c r="BD29" s="1126"/>
      <c r="BE29" s="825">
        <f t="shared" si="24"/>
        <v>0</v>
      </c>
      <c r="BF29" s="1150"/>
      <c r="BG29" s="224"/>
      <c r="BH29" s="566" t="str">
        <f t="shared" si="25"/>
        <v/>
      </c>
      <c r="BI29" s="1150"/>
      <c r="BJ29" s="129" t="str">
        <f t="shared" si="26"/>
        <v>Fiche infoA7</v>
      </c>
      <c r="BK29" s="129">
        <f t="shared" si="49"/>
        <v>32</v>
      </c>
      <c r="BL29" s="129" t="str">
        <f t="shared" si="4"/>
        <v>A</v>
      </c>
      <c r="BM29" s="129">
        <f t="shared" si="50"/>
        <v>7</v>
      </c>
      <c r="BN29" s="225" t="str">
        <f t="shared" si="60"/>
        <v>Fiche info</v>
      </c>
      <c r="BO29" s="332" t="str">
        <f t="shared" si="51"/>
        <v/>
      </c>
      <c r="BP29" s="198" t="str">
        <f t="shared" si="52"/>
        <v/>
      </c>
      <c r="BQ29" s="198"/>
      <c r="BS29" s="2012" t="str">
        <f t="shared" ref="BS29:BS33" si="64">+"Semaine numéro : "&amp;AT5</f>
        <v>Semaine numéro : 32</v>
      </c>
      <c r="BT29" s="2013"/>
      <c r="BU29" s="2013"/>
      <c r="BV29" s="2013"/>
      <c r="BW29" s="2013"/>
      <c r="BX29" s="2014"/>
      <c r="BY29" s="1137"/>
      <c r="BZ29" s="674">
        <f t="shared" ref="BZ29:BZ33" si="65">+IF(BY29="",IF(AND(CC29&gt;0,CB29&gt;0),CC29+CB29,IF(CD29&gt;0,0,CB29)),BY29)</f>
        <v>0</v>
      </c>
      <c r="CA29" s="673">
        <f t="shared" si="62"/>
        <v>0</v>
      </c>
      <c r="CB29" s="198">
        <f t="shared" si="63"/>
        <v>0</v>
      </c>
      <c r="CC29" s="198">
        <f>+SUMIF(Juillet!$BK$20:$BK$50,AT5,Juillet!$AM$20:$AO$50)</f>
        <v>0</v>
      </c>
      <c r="CD29" s="198">
        <f>+SUMIF(Septembre!$BK$20:$BK$50,AT5,Septembre!$AM$20:$AO$50)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45879</v>
      </c>
      <c r="ER29" s="767">
        <f t="shared" si="10"/>
        <v>0</v>
      </c>
      <c r="ES29" s="768">
        <f t="shared" si="11"/>
        <v>0</v>
      </c>
      <c r="ET29" s="767">
        <f t="shared" si="12"/>
        <v>0</v>
      </c>
      <c r="EU29" s="768">
        <f t="shared" si="13"/>
        <v>0</v>
      </c>
      <c r="EV29" s="767" t="str">
        <f t="shared" si="14"/>
        <v/>
      </c>
      <c r="EW29" s="769">
        <f t="shared" si="29"/>
        <v>45879</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32</v>
      </c>
      <c r="GA29" s="129">
        <f t="shared" si="39"/>
        <v>2025</v>
      </c>
      <c r="GB29" s="129" t="str">
        <f t="shared" si="40"/>
        <v>322025</v>
      </c>
      <c r="GC29" s="225">
        <f>IF(AND($GD$53=S.CAL!$P$3,$GD$52=FZ29),GE29,IF(BH29="",0,BH29))</f>
        <v>0</v>
      </c>
      <c r="GD29" s="129" t="str">
        <f>IFERROR(+Septembre!$BY$2&amp;BL29&amp;BM29,0)</f>
        <v>Fiche infoA7</v>
      </c>
      <c r="GE29" s="129" t="str">
        <f t="shared" si="19"/>
        <v/>
      </c>
      <c r="GF29" s="225" t="str">
        <f t="shared" si="41"/>
        <v/>
      </c>
      <c r="GG29" s="1469" t="str">
        <f>+'Retenue Aout'!D27</f>
        <v/>
      </c>
      <c r="GH29" s="1469">
        <f>+'Retenue Aout'!BF27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45880</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f t="shared" si="48"/>
        <v>33</v>
      </c>
      <c r="AQ30" s="340"/>
      <c r="AR30" s="1126"/>
      <c r="AS30" s="332">
        <f t="shared" si="3"/>
        <v>0</v>
      </c>
      <c r="AT30" s="1147"/>
      <c r="AU30" s="1147"/>
      <c r="AV30" s="332"/>
      <c r="AW30" s="2017">
        <f t="shared" si="22"/>
        <v>45880</v>
      </c>
      <c r="AX30" s="1878"/>
      <c r="AY30" s="332"/>
      <c r="AZ30" s="1126"/>
      <c r="BA30" s="993"/>
      <c r="BB30" s="561"/>
      <c r="BC30" s="566">
        <f t="shared" si="23"/>
        <v>0</v>
      </c>
      <c r="BD30" s="1126"/>
      <c r="BE30" s="825">
        <f t="shared" si="24"/>
        <v>0</v>
      </c>
      <c r="BF30" s="1150"/>
      <c r="BG30" s="224"/>
      <c r="BH30" s="566" t="str">
        <f t="shared" si="25"/>
        <v/>
      </c>
      <c r="BI30" s="1150"/>
      <c r="BJ30" s="129" t="str">
        <f t="shared" si="26"/>
        <v>Fiche infoA1</v>
      </c>
      <c r="BK30" s="129">
        <f t="shared" si="49"/>
        <v>33</v>
      </c>
      <c r="BL30" s="129" t="str">
        <f t="shared" si="4"/>
        <v>A</v>
      </c>
      <c r="BM30" s="129">
        <f t="shared" si="50"/>
        <v>1</v>
      </c>
      <c r="BN30" s="225" t="str">
        <f t="shared" si="60"/>
        <v>Fiche info</v>
      </c>
      <c r="BO30" s="332" t="str">
        <f t="shared" si="51"/>
        <v/>
      </c>
      <c r="BP30" s="198" t="str">
        <f t="shared" si="52"/>
        <v/>
      </c>
      <c r="BQ30" s="198"/>
      <c r="BS30" s="2012" t="str">
        <f t="shared" si="64"/>
        <v>Semaine numéro : 33</v>
      </c>
      <c r="BT30" s="2013"/>
      <c r="BU30" s="2013"/>
      <c r="BV30" s="2013"/>
      <c r="BW30" s="2013"/>
      <c r="BX30" s="2014"/>
      <c r="BY30" s="1137"/>
      <c r="BZ30" s="674">
        <f t="shared" si="65"/>
        <v>0</v>
      </c>
      <c r="CA30" s="673">
        <f t="shared" si="62"/>
        <v>0</v>
      </c>
      <c r="CB30" s="198">
        <f t="shared" si="63"/>
        <v>0</v>
      </c>
      <c r="CC30" s="198">
        <f>+SUMIF(Juillet!$BK$20:$BK$50,AT6,Juillet!$AM$20:$AO$50)</f>
        <v>0</v>
      </c>
      <c r="CD30" s="198">
        <f>+SUMIF(Septembre!$BK$20:$BK$50,AT6,Septembre!$AM$20:$AO$50)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45880</v>
      </c>
      <c r="ER30" s="767">
        <f t="shared" si="10"/>
        <v>0</v>
      </c>
      <c r="ES30" s="768">
        <f t="shared" si="11"/>
        <v>0</v>
      </c>
      <c r="ET30" s="767">
        <f t="shared" si="12"/>
        <v>0</v>
      </c>
      <c r="EU30" s="768">
        <f t="shared" si="13"/>
        <v>0</v>
      </c>
      <c r="EV30" s="767" t="str">
        <f t="shared" si="14"/>
        <v/>
      </c>
      <c r="EW30" s="769">
        <f t="shared" si="29"/>
        <v>45880</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33</v>
      </c>
      <c r="GA30" s="129">
        <f t="shared" si="39"/>
        <v>2025</v>
      </c>
      <c r="GB30" s="129" t="str">
        <f t="shared" si="40"/>
        <v>332025</v>
      </c>
      <c r="GC30" s="225">
        <f>IF(AND($GD$53=S.CAL!$P$3,$GD$52=FZ30),GE30,IF(BH30="",0,BH30))</f>
        <v>0</v>
      </c>
      <c r="GD30" s="129" t="str">
        <f>IFERROR(+Septembre!$BY$2&amp;BL30&amp;BM30,0)</f>
        <v>Fiche infoA1</v>
      </c>
      <c r="GE30" s="129" t="str">
        <f t="shared" si="19"/>
        <v/>
      </c>
      <c r="GF30" s="225" t="str">
        <f t="shared" si="41"/>
        <v/>
      </c>
      <c r="GG30" s="1469" t="str">
        <f>+'Retenue Aout'!D28</f>
        <v/>
      </c>
      <c r="GH30" s="1469">
        <f>+'Retenue Aout'!BF28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45881</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45881</v>
      </c>
      <c r="AX31" s="1878"/>
      <c r="AY31" s="332"/>
      <c r="AZ31" s="1126"/>
      <c r="BA31" s="993"/>
      <c r="BB31" s="561"/>
      <c r="BC31" s="566">
        <f t="shared" si="23"/>
        <v>0</v>
      </c>
      <c r="BD31" s="1126"/>
      <c r="BE31" s="825">
        <f t="shared" si="24"/>
        <v>0</v>
      </c>
      <c r="BF31" s="1150"/>
      <c r="BG31" s="224"/>
      <c r="BH31" s="566" t="str">
        <f t="shared" si="25"/>
        <v/>
      </c>
      <c r="BI31" s="1150"/>
      <c r="BJ31" s="129" t="str">
        <f t="shared" si="26"/>
        <v>Fiche infoA2</v>
      </c>
      <c r="BK31" s="129">
        <f t="shared" si="49"/>
        <v>33</v>
      </c>
      <c r="BL31" s="129" t="str">
        <f t="shared" si="4"/>
        <v>A</v>
      </c>
      <c r="BM31" s="129">
        <f t="shared" si="50"/>
        <v>2</v>
      </c>
      <c r="BN31" s="225" t="str">
        <f t="shared" si="60"/>
        <v>Fiche info</v>
      </c>
      <c r="BO31" s="332" t="str">
        <f t="shared" si="51"/>
        <v/>
      </c>
      <c r="BP31" s="198" t="str">
        <f t="shared" si="52"/>
        <v/>
      </c>
      <c r="BQ31" s="198"/>
      <c r="BS31" s="2012" t="str">
        <f t="shared" si="64"/>
        <v>Semaine numéro : 34</v>
      </c>
      <c r="BT31" s="2013"/>
      <c r="BU31" s="2013"/>
      <c r="BV31" s="2013"/>
      <c r="BW31" s="2013"/>
      <c r="BX31" s="2014"/>
      <c r="BY31" s="1137"/>
      <c r="BZ31" s="674">
        <f t="shared" si="65"/>
        <v>0</v>
      </c>
      <c r="CA31" s="673">
        <f t="shared" si="62"/>
        <v>0</v>
      </c>
      <c r="CB31" s="198">
        <f t="shared" si="63"/>
        <v>0</v>
      </c>
      <c r="CC31" s="198">
        <f>+SUMIF(Juillet!$BK$20:$BK$50,AT7,Juillet!$AM$20:$AO$50)</f>
        <v>0</v>
      </c>
      <c r="CD31" s="198">
        <f>+SUMIF(Septembre!$BK$20:$BK$50,AT7,Septembre!$AM$20:$AO$50)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45881</v>
      </c>
      <c r="ER31" s="767">
        <f t="shared" si="10"/>
        <v>0</v>
      </c>
      <c r="ES31" s="768">
        <f t="shared" si="11"/>
        <v>0</v>
      </c>
      <c r="ET31" s="767">
        <f t="shared" si="12"/>
        <v>0</v>
      </c>
      <c r="EU31" s="768">
        <f t="shared" si="13"/>
        <v>0</v>
      </c>
      <c r="EV31" s="767" t="str">
        <f t="shared" si="14"/>
        <v/>
      </c>
      <c r="EW31" s="769">
        <f t="shared" si="29"/>
        <v>45881</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33</v>
      </c>
      <c r="GA31" s="129">
        <f t="shared" si="39"/>
        <v>2025</v>
      </c>
      <c r="GB31" s="129" t="str">
        <f t="shared" si="40"/>
        <v>332025</v>
      </c>
      <c r="GC31" s="225">
        <f>IF(AND($GD$53=S.CAL!$P$3,$GD$52=FZ31),GE31,IF(BH31="",0,BH31))</f>
        <v>0</v>
      </c>
      <c r="GD31" s="129" t="str">
        <f>IFERROR(+Septembre!$BY$2&amp;BL31&amp;BM31,0)</f>
        <v>Fiche infoA2</v>
      </c>
      <c r="GE31" s="129" t="str">
        <f t="shared" si="19"/>
        <v/>
      </c>
      <c r="GF31" s="225" t="str">
        <f t="shared" si="41"/>
        <v/>
      </c>
      <c r="GG31" s="1469" t="str">
        <f>+'Retenue Aout'!D29</f>
        <v/>
      </c>
      <c r="GH31" s="1469">
        <f>+'Retenue Aout'!BF29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45882</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45882</v>
      </c>
      <c r="AX32" s="1878"/>
      <c r="AY32" s="332"/>
      <c r="AZ32" s="1126"/>
      <c r="BA32" s="993"/>
      <c r="BB32" s="561"/>
      <c r="BC32" s="566">
        <f t="shared" si="23"/>
        <v>0</v>
      </c>
      <c r="BD32" s="1126"/>
      <c r="BE32" s="825">
        <f t="shared" si="24"/>
        <v>0</v>
      </c>
      <c r="BF32" s="1150"/>
      <c r="BG32" s="224"/>
      <c r="BH32" s="566" t="str">
        <f t="shared" si="25"/>
        <v/>
      </c>
      <c r="BI32" s="1150"/>
      <c r="BJ32" s="129" t="str">
        <f t="shared" si="26"/>
        <v>Fiche infoA3</v>
      </c>
      <c r="BK32" s="129">
        <f t="shared" si="49"/>
        <v>33</v>
      </c>
      <c r="BL32" s="129" t="str">
        <f t="shared" si="4"/>
        <v>A</v>
      </c>
      <c r="BM32" s="129">
        <f t="shared" si="50"/>
        <v>3</v>
      </c>
      <c r="BN32" s="225" t="str">
        <f t="shared" si="60"/>
        <v>Fiche info</v>
      </c>
      <c r="BO32" s="332" t="str">
        <f t="shared" si="51"/>
        <v/>
      </c>
      <c r="BP32" s="198" t="str">
        <f t="shared" si="52"/>
        <v/>
      </c>
      <c r="BQ32" s="198"/>
      <c r="BS32" s="2012" t="str">
        <f t="shared" si="64"/>
        <v>Semaine numéro : 35</v>
      </c>
      <c r="BT32" s="2013"/>
      <c r="BU32" s="2013"/>
      <c r="BV32" s="2013"/>
      <c r="BW32" s="2013"/>
      <c r="BX32" s="2014"/>
      <c r="BY32" s="1137"/>
      <c r="BZ32" s="674">
        <f t="shared" si="65"/>
        <v>0</v>
      </c>
      <c r="CA32" s="673">
        <f t="shared" si="62"/>
        <v>0</v>
      </c>
      <c r="CB32" s="198">
        <f t="shared" si="63"/>
        <v>0</v>
      </c>
      <c r="CC32" s="198">
        <f>+SUMIF(Juillet!$BK$20:$BK$50,AT8,Juillet!$AM$20:$AO$50)</f>
        <v>0</v>
      </c>
      <c r="CD32" s="198">
        <f>+SUMIF(Septembre!$BK$20:$BK$50,AT8,Septembre!$AM$20:$AO$50)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45882</v>
      </c>
      <c r="ER32" s="767">
        <f t="shared" si="10"/>
        <v>0</v>
      </c>
      <c r="ES32" s="768">
        <f t="shared" si="11"/>
        <v>0</v>
      </c>
      <c r="ET32" s="767">
        <f t="shared" si="12"/>
        <v>0</v>
      </c>
      <c r="EU32" s="768">
        <f t="shared" si="13"/>
        <v>0</v>
      </c>
      <c r="EV32" s="767" t="str">
        <f t="shared" si="14"/>
        <v/>
      </c>
      <c r="EW32" s="769">
        <f t="shared" si="29"/>
        <v>45882</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33</v>
      </c>
      <c r="GA32" s="129">
        <f t="shared" si="39"/>
        <v>2025</v>
      </c>
      <c r="GB32" s="129" t="str">
        <f t="shared" si="40"/>
        <v>332025</v>
      </c>
      <c r="GC32" s="225">
        <f>IF(AND($GD$53=S.CAL!$P$3,$GD$52=FZ32),GE32,IF(BH32="",0,BH32))</f>
        <v>0</v>
      </c>
      <c r="GD32" s="129" t="str">
        <f>IFERROR(+Septembre!$BY$2&amp;BL32&amp;BM32,0)</f>
        <v>Fiche infoA3</v>
      </c>
      <c r="GE32" s="129" t="str">
        <f t="shared" si="19"/>
        <v/>
      </c>
      <c r="GF32" s="225" t="str">
        <f t="shared" si="41"/>
        <v/>
      </c>
      <c r="GG32" s="1469" t="str">
        <f>+'Retenue Aout'!D30</f>
        <v/>
      </c>
      <c r="GH32" s="1469">
        <f>+'Retenue Aout'!BF30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45883</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45883</v>
      </c>
      <c r="AX33" s="1878"/>
      <c r="AY33" s="332"/>
      <c r="AZ33" s="1126"/>
      <c r="BA33" s="993"/>
      <c r="BB33" s="561"/>
      <c r="BC33" s="566">
        <f t="shared" si="23"/>
        <v>0</v>
      </c>
      <c r="BD33" s="1126"/>
      <c r="BE33" s="825">
        <f t="shared" si="24"/>
        <v>0</v>
      </c>
      <c r="BF33" s="1150"/>
      <c r="BG33" s="224"/>
      <c r="BH33" s="566" t="str">
        <f t="shared" si="25"/>
        <v/>
      </c>
      <c r="BI33" s="1150"/>
      <c r="BJ33" s="129" t="str">
        <f t="shared" si="26"/>
        <v>Fiche infoA4</v>
      </c>
      <c r="BK33" s="129">
        <f t="shared" si="49"/>
        <v>33</v>
      </c>
      <c r="BL33" s="129" t="str">
        <f t="shared" si="4"/>
        <v>A</v>
      </c>
      <c r="BM33" s="129">
        <f t="shared" si="50"/>
        <v>4</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+SUMIF(Juillet!$BK$20:$BK$50,AT9,Juillet!$AM$20:$AO$50)</f>
        <v>0</v>
      </c>
      <c r="CD33" s="198">
        <f>+SUMIF(Septembre!$BK$20:$BK$50,AT9,Septembre!$AM$20:$AO$50)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45883</v>
      </c>
      <c r="ER33" s="767">
        <f t="shared" si="10"/>
        <v>0</v>
      </c>
      <c r="ES33" s="768">
        <f t="shared" si="11"/>
        <v>0</v>
      </c>
      <c r="ET33" s="767">
        <f t="shared" si="12"/>
        <v>0</v>
      </c>
      <c r="EU33" s="768">
        <f t="shared" si="13"/>
        <v>0</v>
      </c>
      <c r="EV33" s="767" t="str">
        <f t="shared" si="14"/>
        <v/>
      </c>
      <c r="EW33" s="769">
        <f t="shared" si="29"/>
        <v>45883</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33</v>
      </c>
      <c r="GA33" s="129">
        <f t="shared" si="39"/>
        <v>2025</v>
      </c>
      <c r="GB33" s="129" t="str">
        <f t="shared" si="40"/>
        <v>332025</v>
      </c>
      <c r="GC33" s="225">
        <f>IF(AND($GD$53=S.CAL!$P$3,$GD$52=FZ33),GE33,IF(BH33="",0,BH33))</f>
        <v>0</v>
      </c>
      <c r="GD33" s="129" t="str">
        <f>IFERROR(+Septembre!$BY$2&amp;BL33&amp;BM33,0)</f>
        <v>Fiche infoA4</v>
      </c>
      <c r="GE33" s="129" t="str">
        <f t="shared" si="19"/>
        <v/>
      </c>
      <c r="GF33" s="225" t="str">
        <f t="shared" si="41"/>
        <v/>
      </c>
      <c r="GG33" s="1469" t="str">
        <f>+'Retenue Aout'!D31</f>
        <v/>
      </c>
      <c r="GH33" s="1469">
        <f>+'Retenue Aout'!BF31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45884</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45884</v>
      </c>
      <c r="AX34" s="1878"/>
      <c r="AY34" s="332"/>
      <c r="AZ34" s="1126"/>
      <c r="BA34" s="993"/>
      <c r="BB34" s="561"/>
      <c r="BC34" s="566">
        <f t="shared" si="23"/>
        <v>0</v>
      </c>
      <c r="BD34" s="1126"/>
      <c r="BE34" s="825">
        <f t="shared" si="24"/>
        <v>0</v>
      </c>
      <c r="BF34" s="1150"/>
      <c r="BG34" s="224"/>
      <c r="BH34" s="566" t="str">
        <f t="shared" si="25"/>
        <v/>
      </c>
      <c r="BI34" s="1150"/>
      <c r="BJ34" s="129" t="str">
        <f t="shared" si="26"/>
        <v>Fiche infoA5</v>
      </c>
      <c r="BK34" s="129">
        <f t="shared" si="49"/>
        <v>33</v>
      </c>
      <c r="BL34" s="129" t="str">
        <f t="shared" si="4"/>
        <v>A</v>
      </c>
      <c r="BM34" s="129">
        <f t="shared" si="50"/>
        <v>5</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45884</v>
      </c>
      <c r="ER34" s="767">
        <f t="shared" si="10"/>
        <v>0</v>
      </c>
      <c r="ES34" s="768">
        <f t="shared" si="11"/>
        <v>0</v>
      </c>
      <c r="ET34" s="767">
        <f t="shared" si="12"/>
        <v>0</v>
      </c>
      <c r="EU34" s="768">
        <f t="shared" si="13"/>
        <v>0</v>
      </c>
      <c r="EV34" s="767" t="str">
        <f t="shared" si="14"/>
        <v/>
      </c>
      <c r="EW34" s="769">
        <f t="shared" si="29"/>
        <v>45884</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33</v>
      </c>
      <c r="GA34" s="129">
        <f t="shared" si="39"/>
        <v>2025</v>
      </c>
      <c r="GB34" s="129" t="str">
        <f t="shared" si="40"/>
        <v>332025</v>
      </c>
      <c r="GC34" s="225">
        <f>IF(AND($GD$53=S.CAL!$P$3,$GD$52=FZ34),GE34,IF(BH34="",0,BH34))</f>
        <v>0</v>
      </c>
      <c r="GD34" s="129" t="str">
        <f>IFERROR(+Septembre!$BY$2&amp;BL34&amp;BM34,0)</f>
        <v>Fiche infoA5</v>
      </c>
      <c r="GE34" s="129" t="str">
        <f t="shared" si="19"/>
        <v/>
      </c>
      <c r="GF34" s="225" t="str">
        <f t="shared" si="41"/>
        <v/>
      </c>
      <c r="GG34" s="1469" t="str">
        <f>+'Retenue Aout'!D32</f>
        <v/>
      </c>
      <c r="GH34" s="1469">
        <f>+'Retenue Aout'!BF32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45885</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45885</v>
      </c>
      <c r="AX35" s="1878"/>
      <c r="AY35" s="332"/>
      <c r="AZ35" s="1126"/>
      <c r="BA35" s="993"/>
      <c r="BB35" s="561"/>
      <c r="BC35" s="566">
        <f t="shared" si="23"/>
        <v>0</v>
      </c>
      <c r="BD35" s="1126"/>
      <c r="BE35" s="825">
        <f t="shared" si="24"/>
        <v>0</v>
      </c>
      <c r="BF35" s="1150"/>
      <c r="BG35" s="224"/>
      <c r="BH35" s="566" t="str">
        <f t="shared" si="25"/>
        <v/>
      </c>
      <c r="BI35" s="1150"/>
      <c r="BJ35" s="129" t="str">
        <f t="shared" si="26"/>
        <v>Fiche infoA6</v>
      </c>
      <c r="BK35" s="129">
        <f t="shared" si="49"/>
        <v>33</v>
      </c>
      <c r="BL35" s="129" t="str">
        <f t="shared" si="4"/>
        <v>A</v>
      </c>
      <c r="BM35" s="129">
        <f t="shared" si="50"/>
        <v>6</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45885</v>
      </c>
      <c r="ER35" s="767">
        <f t="shared" si="10"/>
        <v>0</v>
      </c>
      <c r="ES35" s="768">
        <f t="shared" si="11"/>
        <v>0</v>
      </c>
      <c r="ET35" s="767">
        <f t="shared" si="12"/>
        <v>0</v>
      </c>
      <c r="EU35" s="768">
        <f t="shared" si="13"/>
        <v>0</v>
      </c>
      <c r="EV35" s="767" t="str">
        <f t="shared" si="14"/>
        <v/>
      </c>
      <c r="EW35" s="769">
        <f t="shared" si="29"/>
        <v>45885</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33</v>
      </c>
      <c r="GA35" s="129">
        <f t="shared" si="39"/>
        <v>2025</v>
      </c>
      <c r="GB35" s="129" t="str">
        <f t="shared" si="40"/>
        <v>332025</v>
      </c>
      <c r="GC35" s="225">
        <f>IF(AND($GD$53=S.CAL!$P$3,$GD$52=FZ35),GE35,IF(BH35="",0,BH35))</f>
        <v>0</v>
      </c>
      <c r="GD35" s="129" t="str">
        <f>IFERROR(+Septembre!$BY$2&amp;BL35&amp;BM35,0)</f>
        <v>Fiche infoA6</v>
      </c>
      <c r="GE35" s="129" t="str">
        <f t="shared" si="19"/>
        <v/>
      </c>
      <c r="GF35" s="225" t="str">
        <f t="shared" si="41"/>
        <v/>
      </c>
      <c r="GG35" s="1469" t="str">
        <f>+'Retenue Aout'!D33</f>
        <v/>
      </c>
      <c r="GH35" s="1469">
        <f>+'Retenue Aout'!BF33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45886</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45886</v>
      </c>
      <c r="AX36" s="1878"/>
      <c r="AY36" s="332"/>
      <c r="AZ36" s="1126"/>
      <c r="BA36" s="993"/>
      <c r="BB36" s="561"/>
      <c r="BC36" s="566">
        <f t="shared" si="23"/>
        <v>0</v>
      </c>
      <c r="BD36" s="1126"/>
      <c r="BE36" s="825">
        <f t="shared" si="24"/>
        <v>0</v>
      </c>
      <c r="BF36" s="1150"/>
      <c r="BG36" s="224"/>
      <c r="BH36" s="566" t="str">
        <f t="shared" si="25"/>
        <v/>
      </c>
      <c r="BI36" s="1150"/>
      <c r="BJ36" s="129" t="str">
        <f t="shared" si="26"/>
        <v>Fiche infoA7</v>
      </c>
      <c r="BK36" s="129">
        <f t="shared" si="49"/>
        <v>33</v>
      </c>
      <c r="BL36" s="129" t="str">
        <f t="shared" si="4"/>
        <v>A</v>
      </c>
      <c r="BM36" s="129">
        <f t="shared" si="50"/>
        <v>7</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45886</v>
      </c>
      <c r="ER36" s="767">
        <f t="shared" si="10"/>
        <v>0</v>
      </c>
      <c r="ES36" s="768">
        <f t="shared" si="11"/>
        <v>0</v>
      </c>
      <c r="ET36" s="767">
        <f t="shared" si="12"/>
        <v>0</v>
      </c>
      <c r="EU36" s="768">
        <f t="shared" si="13"/>
        <v>0</v>
      </c>
      <c r="EV36" s="767" t="str">
        <f t="shared" si="14"/>
        <v/>
      </c>
      <c r="EW36" s="769">
        <f t="shared" si="29"/>
        <v>45886</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33</v>
      </c>
      <c r="GA36" s="129">
        <f t="shared" si="39"/>
        <v>2025</v>
      </c>
      <c r="GB36" s="129" t="str">
        <f t="shared" si="40"/>
        <v>332025</v>
      </c>
      <c r="GC36" s="225">
        <f>IF(AND($GD$53=S.CAL!$P$3,$GD$52=FZ36),GE36,IF(BH36="",0,BH36))</f>
        <v>0</v>
      </c>
      <c r="GD36" s="129" t="str">
        <f>IFERROR(+Septembre!$BY$2&amp;BL36&amp;BM36,0)</f>
        <v>Fiche infoA7</v>
      </c>
      <c r="GE36" s="129" t="str">
        <f t="shared" si="19"/>
        <v/>
      </c>
      <c r="GF36" s="225" t="str">
        <f t="shared" si="41"/>
        <v/>
      </c>
      <c r="GG36" s="1469" t="str">
        <f>+'Retenue Aout'!D34</f>
        <v/>
      </c>
      <c r="GH36" s="1469">
        <f>+'Retenue Aout'!BF34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45887</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f t="shared" si="48"/>
        <v>34</v>
      </c>
      <c r="AQ37" s="340"/>
      <c r="AR37" s="1126"/>
      <c r="AS37" s="332">
        <f t="shared" si="3"/>
        <v>0</v>
      </c>
      <c r="AT37" s="1147"/>
      <c r="AU37" s="1147"/>
      <c r="AV37" s="332"/>
      <c r="AW37" s="2017">
        <f t="shared" si="22"/>
        <v>45887</v>
      </c>
      <c r="AX37" s="1878"/>
      <c r="AY37" s="332"/>
      <c r="AZ37" s="1126"/>
      <c r="BA37" s="993"/>
      <c r="BB37" s="561"/>
      <c r="BC37" s="566">
        <f t="shared" si="23"/>
        <v>0</v>
      </c>
      <c r="BD37" s="1126"/>
      <c r="BE37" s="825">
        <f t="shared" si="24"/>
        <v>0</v>
      </c>
      <c r="BF37" s="1150"/>
      <c r="BG37" s="224"/>
      <c r="BH37" s="566" t="str">
        <f t="shared" si="25"/>
        <v/>
      </c>
      <c r="BI37" s="1150"/>
      <c r="BJ37" s="129" t="str">
        <f t="shared" si="26"/>
        <v>Fiche infoA1</v>
      </c>
      <c r="BK37" s="129">
        <f t="shared" si="49"/>
        <v>34</v>
      </c>
      <c r="BL37" s="129" t="str">
        <f t="shared" si="4"/>
        <v>A</v>
      </c>
      <c r="BM37" s="129">
        <f t="shared" si="50"/>
        <v>1</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45887</v>
      </c>
      <c r="ER37" s="767">
        <f t="shared" si="10"/>
        <v>0</v>
      </c>
      <c r="ES37" s="768">
        <f t="shared" si="11"/>
        <v>0</v>
      </c>
      <c r="ET37" s="767">
        <f t="shared" si="12"/>
        <v>0</v>
      </c>
      <c r="EU37" s="768">
        <f t="shared" si="13"/>
        <v>0</v>
      </c>
      <c r="EV37" s="767" t="str">
        <f t="shared" si="14"/>
        <v/>
      </c>
      <c r="EW37" s="769">
        <f t="shared" si="29"/>
        <v>45887</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34</v>
      </c>
      <c r="GA37" s="129">
        <f t="shared" si="39"/>
        <v>2025</v>
      </c>
      <c r="GB37" s="129" t="str">
        <f t="shared" si="40"/>
        <v>342025</v>
      </c>
      <c r="GC37" s="225">
        <f>IF(AND($GD$53=S.CAL!$P$3,$GD$52=FZ37),GE37,IF(BH37="",0,BH37))</f>
        <v>0</v>
      </c>
      <c r="GD37" s="129" t="str">
        <f>IFERROR(+Septembre!$BY$2&amp;BL37&amp;BM37,0)</f>
        <v>Fiche infoA1</v>
      </c>
      <c r="GE37" s="129" t="str">
        <f t="shared" si="19"/>
        <v/>
      </c>
      <c r="GF37" s="225" t="str">
        <f t="shared" si="41"/>
        <v/>
      </c>
      <c r="GG37" s="1469" t="str">
        <f>+'Retenue Aout'!D35</f>
        <v/>
      </c>
      <c r="GH37" s="1469">
        <f>+'Retenue Aout'!BF35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45888</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45888</v>
      </c>
      <c r="AX38" s="1878"/>
      <c r="AY38" s="332"/>
      <c r="AZ38" s="1126"/>
      <c r="BA38" s="993"/>
      <c r="BB38" s="561"/>
      <c r="BC38" s="566">
        <f t="shared" si="23"/>
        <v>0</v>
      </c>
      <c r="BD38" s="1126"/>
      <c r="BE38" s="825">
        <f t="shared" si="24"/>
        <v>0</v>
      </c>
      <c r="BF38" s="1150"/>
      <c r="BG38" s="224"/>
      <c r="BH38" s="566" t="str">
        <f t="shared" si="25"/>
        <v/>
      </c>
      <c r="BI38" s="1150"/>
      <c r="BJ38" s="129" t="str">
        <f t="shared" si="26"/>
        <v>Fiche infoA2</v>
      </c>
      <c r="BK38" s="129">
        <f t="shared" si="49"/>
        <v>34</v>
      </c>
      <c r="BL38" s="129" t="str">
        <f t="shared" si="4"/>
        <v>A</v>
      </c>
      <c r="BM38" s="129">
        <f t="shared" si="50"/>
        <v>2</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45888</v>
      </c>
      <c r="ER38" s="767">
        <f t="shared" si="10"/>
        <v>0</v>
      </c>
      <c r="ES38" s="768">
        <f t="shared" si="11"/>
        <v>0</v>
      </c>
      <c r="ET38" s="767">
        <f t="shared" si="12"/>
        <v>0</v>
      </c>
      <c r="EU38" s="768">
        <f t="shared" si="13"/>
        <v>0</v>
      </c>
      <c r="EV38" s="767" t="str">
        <f t="shared" si="14"/>
        <v/>
      </c>
      <c r="EW38" s="769">
        <f t="shared" si="29"/>
        <v>45888</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34</v>
      </c>
      <c r="GA38" s="129">
        <f t="shared" si="39"/>
        <v>2025</v>
      </c>
      <c r="GB38" s="129" t="str">
        <f t="shared" si="40"/>
        <v>342025</v>
      </c>
      <c r="GC38" s="225">
        <f>IF(AND($GD$53=S.CAL!$P$3,$GD$52=FZ38),GE38,IF(BH38="",0,BH38))</f>
        <v>0</v>
      </c>
      <c r="GD38" s="129" t="str">
        <f>IFERROR(+Septembre!$BY$2&amp;BL38&amp;BM38,0)</f>
        <v>Fiche infoA2</v>
      </c>
      <c r="GE38" s="129" t="str">
        <f t="shared" si="19"/>
        <v/>
      </c>
      <c r="GF38" s="225" t="str">
        <f t="shared" si="41"/>
        <v/>
      </c>
      <c r="GG38" s="1469" t="str">
        <f>+'Retenue Aout'!D36</f>
        <v/>
      </c>
      <c r="GH38" s="1469">
        <f>+'Retenue Aout'!BF36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45889</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45889</v>
      </c>
      <c r="AX39" s="1878"/>
      <c r="AY39" s="332"/>
      <c r="AZ39" s="1126"/>
      <c r="BA39" s="993"/>
      <c r="BB39" s="561"/>
      <c r="BC39" s="566">
        <f t="shared" si="23"/>
        <v>0</v>
      </c>
      <c r="BD39" s="1126"/>
      <c r="BE39" s="825">
        <f t="shared" si="24"/>
        <v>0</v>
      </c>
      <c r="BF39" s="1150"/>
      <c r="BG39" s="224"/>
      <c r="BH39" s="566" t="str">
        <f t="shared" si="25"/>
        <v/>
      </c>
      <c r="BI39" s="1150"/>
      <c r="BJ39" s="129" t="str">
        <f t="shared" si="26"/>
        <v>Fiche infoA3</v>
      </c>
      <c r="BK39" s="129">
        <f t="shared" si="49"/>
        <v>34</v>
      </c>
      <c r="BL39" s="129" t="str">
        <f t="shared" si="4"/>
        <v>A</v>
      </c>
      <c r="BM39" s="129">
        <f t="shared" si="50"/>
        <v>3</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45889</v>
      </c>
      <c r="ER39" s="767">
        <f t="shared" si="10"/>
        <v>0</v>
      </c>
      <c r="ES39" s="768">
        <f t="shared" si="11"/>
        <v>0</v>
      </c>
      <c r="ET39" s="767">
        <f t="shared" si="12"/>
        <v>0</v>
      </c>
      <c r="EU39" s="768">
        <f t="shared" si="13"/>
        <v>0</v>
      </c>
      <c r="EV39" s="767" t="str">
        <f t="shared" si="14"/>
        <v/>
      </c>
      <c r="EW39" s="769">
        <f t="shared" si="29"/>
        <v>45889</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34</v>
      </c>
      <c r="GA39" s="129">
        <f t="shared" si="39"/>
        <v>2025</v>
      </c>
      <c r="GB39" s="129" t="str">
        <f t="shared" si="40"/>
        <v>342025</v>
      </c>
      <c r="GC39" s="225">
        <f>IF(AND($GD$53=S.CAL!$P$3,$GD$52=FZ39),GE39,IF(BH39="",0,BH39))</f>
        <v>0</v>
      </c>
      <c r="GD39" s="129" t="str">
        <f>IFERROR(+Septembre!$BY$2&amp;BL39&amp;BM39,0)</f>
        <v>Fiche infoA3</v>
      </c>
      <c r="GE39" s="129" t="str">
        <f t="shared" si="19"/>
        <v/>
      </c>
      <c r="GF39" s="225" t="str">
        <f t="shared" si="41"/>
        <v/>
      </c>
      <c r="GG39" s="1469" t="str">
        <f>+'Retenue Aout'!D37</f>
        <v/>
      </c>
      <c r="GH39" s="1469">
        <f>+'Retenue Aout'!BF37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45890</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45890</v>
      </c>
      <c r="AX40" s="1878"/>
      <c r="AY40" s="332"/>
      <c r="AZ40" s="1126"/>
      <c r="BA40" s="993"/>
      <c r="BB40" s="561"/>
      <c r="BC40" s="566">
        <f t="shared" si="23"/>
        <v>0</v>
      </c>
      <c r="BD40" s="1126"/>
      <c r="BE40" s="825">
        <f t="shared" si="24"/>
        <v>0</v>
      </c>
      <c r="BF40" s="1150"/>
      <c r="BG40" s="224"/>
      <c r="BH40" s="566" t="str">
        <f t="shared" si="25"/>
        <v/>
      </c>
      <c r="BI40" s="1150"/>
      <c r="BJ40" s="129" t="str">
        <f t="shared" si="26"/>
        <v>Fiche infoA4</v>
      </c>
      <c r="BK40" s="129">
        <f t="shared" si="49"/>
        <v>34</v>
      </c>
      <c r="BL40" s="129" t="str">
        <f t="shared" si="4"/>
        <v>A</v>
      </c>
      <c r="BM40" s="129">
        <f t="shared" si="50"/>
        <v>4</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Aout'!P27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45890</v>
      </c>
      <c r="ER40" s="767">
        <f t="shared" si="10"/>
        <v>0</v>
      </c>
      <c r="ES40" s="768">
        <f t="shared" si="11"/>
        <v>0</v>
      </c>
      <c r="ET40" s="767">
        <f t="shared" si="12"/>
        <v>0</v>
      </c>
      <c r="EU40" s="768">
        <f t="shared" si="13"/>
        <v>0</v>
      </c>
      <c r="EV40" s="767" t="str">
        <f t="shared" si="14"/>
        <v/>
      </c>
      <c r="EW40" s="769">
        <f t="shared" si="29"/>
        <v>45890</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34</v>
      </c>
      <c r="GA40" s="129">
        <f t="shared" si="39"/>
        <v>2025</v>
      </c>
      <c r="GB40" s="129" t="str">
        <f t="shared" si="40"/>
        <v>342025</v>
      </c>
      <c r="GC40" s="225">
        <f>IF(AND($GD$53=S.CAL!$P$3,$GD$52=FZ40),GE40,IF(BH40="",0,BH40))</f>
        <v>0</v>
      </c>
      <c r="GD40" s="129" t="str">
        <f>IFERROR(+Septembre!$BY$2&amp;BL40&amp;BM40,0)</f>
        <v>Fiche infoA4</v>
      </c>
      <c r="GE40" s="129" t="str">
        <f t="shared" si="19"/>
        <v/>
      </c>
      <c r="GF40" s="225" t="str">
        <f t="shared" si="41"/>
        <v/>
      </c>
      <c r="GG40" s="1469" t="str">
        <f>+'Retenue Aout'!D38</f>
        <v/>
      </c>
      <c r="GH40" s="1469">
        <f>+'Retenue Aout'!BF38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45891</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45891</v>
      </c>
      <c r="AX41" s="1878"/>
      <c r="AY41" s="332"/>
      <c r="AZ41" s="1126"/>
      <c r="BA41" s="993"/>
      <c r="BB41" s="561"/>
      <c r="BC41" s="566">
        <f t="shared" si="23"/>
        <v>0</v>
      </c>
      <c r="BD41" s="1126"/>
      <c r="BE41" s="825">
        <f t="shared" si="24"/>
        <v>0</v>
      </c>
      <c r="BF41" s="1150"/>
      <c r="BG41" s="224"/>
      <c r="BH41" s="566" t="str">
        <f t="shared" si="25"/>
        <v/>
      </c>
      <c r="BI41" s="1150"/>
      <c r="BJ41" s="129" t="str">
        <f t="shared" si="26"/>
        <v>Fiche infoA5</v>
      </c>
      <c r="BK41" s="129">
        <f t="shared" si="49"/>
        <v>34</v>
      </c>
      <c r="BL41" s="129" t="str">
        <f t="shared" si="4"/>
        <v>A</v>
      </c>
      <c r="BM41" s="129">
        <f t="shared" si="50"/>
        <v>5</v>
      </c>
      <c r="BN41" s="225" t="str">
        <f t="shared" si="60"/>
        <v>Fiche info</v>
      </c>
      <c r="BO41" s="332" t="str">
        <f t="shared" si="51"/>
        <v/>
      </c>
      <c r="BP41" s="198" t="str">
        <f t="shared" si="52"/>
        <v/>
      </c>
      <c r="BQ41" s="2142" t="s">
        <v>1063</v>
      </c>
      <c r="BR41" s="2142"/>
      <c r="BS41" s="2142"/>
      <c r="BT41" s="2142"/>
      <c r="BU41" s="2142"/>
      <c r="BV41" s="2142"/>
      <c r="BW41" s="601" t="str">
        <f>+IF(BX41="",Juillet!BW41,BX41)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45891</v>
      </c>
      <c r="ER41" s="767">
        <f t="shared" si="10"/>
        <v>0</v>
      </c>
      <c r="ES41" s="768">
        <f t="shared" si="11"/>
        <v>0</v>
      </c>
      <c r="ET41" s="767">
        <f t="shared" si="12"/>
        <v>0</v>
      </c>
      <c r="EU41" s="768">
        <f t="shared" si="13"/>
        <v>0</v>
      </c>
      <c r="EV41" s="767" t="str">
        <f t="shared" si="14"/>
        <v/>
      </c>
      <c r="EW41" s="769">
        <f t="shared" si="29"/>
        <v>45891</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34</v>
      </c>
      <c r="GA41" s="129">
        <f t="shared" si="39"/>
        <v>2025</v>
      </c>
      <c r="GB41" s="129" t="str">
        <f t="shared" si="40"/>
        <v>342025</v>
      </c>
      <c r="GC41" s="225">
        <f>IF(AND($GD$53=S.CAL!$P$3,$GD$52=FZ41),GE41,IF(BH41="",0,BH41))</f>
        <v>0</v>
      </c>
      <c r="GD41" s="129" t="str">
        <f>IFERROR(+Septembre!$BY$2&amp;BL41&amp;BM41,0)</f>
        <v>Fiche infoA5</v>
      </c>
      <c r="GE41" s="129" t="str">
        <f t="shared" si="19"/>
        <v/>
      </c>
      <c r="GF41" s="225" t="str">
        <f t="shared" si="41"/>
        <v/>
      </c>
      <c r="GG41" s="1469" t="str">
        <f>+'Retenue Aout'!D39</f>
        <v/>
      </c>
      <c r="GH41" s="1469">
        <f>+'Retenue Aout'!BF39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45892</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45892</v>
      </c>
      <c r="AX42" s="1878"/>
      <c r="AY42" s="332"/>
      <c r="AZ42" s="1126"/>
      <c r="BA42" s="993"/>
      <c r="BB42" s="561"/>
      <c r="BC42" s="566">
        <f t="shared" si="23"/>
        <v>0</v>
      </c>
      <c r="BD42" s="1126"/>
      <c r="BE42" s="825">
        <f t="shared" si="24"/>
        <v>0</v>
      </c>
      <c r="BF42" s="1150"/>
      <c r="BG42" s="224"/>
      <c r="BH42" s="566" t="str">
        <f t="shared" si="25"/>
        <v/>
      </c>
      <c r="BI42" s="1150"/>
      <c r="BJ42" s="129" t="str">
        <f t="shared" si="26"/>
        <v>Fiche infoA6</v>
      </c>
      <c r="BK42" s="129">
        <f t="shared" si="49"/>
        <v>34</v>
      </c>
      <c r="BL42" s="129" t="str">
        <f t="shared" si="4"/>
        <v>A</v>
      </c>
      <c r="BM42" s="129">
        <f t="shared" si="50"/>
        <v>6</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45892</v>
      </c>
      <c r="ER42" s="767">
        <f t="shared" si="10"/>
        <v>0</v>
      </c>
      <c r="ES42" s="768">
        <f t="shared" si="11"/>
        <v>0</v>
      </c>
      <c r="ET42" s="767">
        <f t="shared" si="12"/>
        <v>0</v>
      </c>
      <c r="EU42" s="768">
        <f t="shared" si="13"/>
        <v>0</v>
      </c>
      <c r="EV42" s="767" t="str">
        <f t="shared" si="14"/>
        <v/>
      </c>
      <c r="EW42" s="769">
        <f t="shared" si="29"/>
        <v>45892</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34</v>
      </c>
      <c r="GA42" s="129">
        <f t="shared" si="39"/>
        <v>2025</v>
      </c>
      <c r="GB42" s="129" t="str">
        <f t="shared" si="40"/>
        <v>342025</v>
      </c>
      <c r="GC42" s="225">
        <f>IF(AND($GD$53=S.CAL!$P$3,$GD$52=FZ42),GE42,IF(BH42="",0,BH42))</f>
        <v>0</v>
      </c>
      <c r="GD42" s="129" t="str">
        <f>IFERROR(+Septembre!$BY$2&amp;BL42&amp;BM42,0)</f>
        <v>Fiche infoA6</v>
      </c>
      <c r="GE42" s="129" t="str">
        <f t="shared" si="19"/>
        <v/>
      </c>
      <c r="GF42" s="225" t="str">
        <f t="shared" si="41"/>
        <v/>
      </c>
      <c r="GG42" s="1469" t="str">
        <f>+'Retenue Aout'!D40</f>
        <v/>
      </c>
      <c r="GH42" s="1469">
        <f>+'Retenue Aout'!BF40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45893</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45893</v>
      </c>
      <c r="AX43" s="1878"/>
      <c r="AY43" s="332"/>
      <c r="AZ43" s="1126"/>
      <c r="BA43" s="993"/>
      <c r="BB43" s="561"/>
      <c r="BC43" s="566">
        <f t="shared" si="23"/>
        <v>0</v>
      </c>
      <c r="BD43" s="1126"/>
      <c r="BE43" s="825">
        <f t="shared" si="24"/>
        <v>0</v>
      </c>
      <c r="BF43" s="1150"/>
      <c r="BG43" s="224"/>
      <c r="BH43" s="566" t="str">
        <f t="shared" si="25"/>
        <v/>
      </c>
      <c r="BI43" s="1150"/>
      <c r="BJ43" s="129" t="str">
        <f t="shared" si="26"/>
        <v>Fiche infoA7</v>
      </c>
      <c r="BK43" s="129">
        <f t="shared" si="49"/>
        <v>34</v>
      </c>
      <c r="BL43" s="129" t="str">
        <f t="shared" si="4"/>
        <v>A</v>
      </c>
      <c r="BM43" s="129">
        <f t="shared" si="50"/>
        <v>7</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45893</v>
      </c>
      <c r="ER43" s="767">
        <f t="shared" si="10"/>
        <v>0</v>
      </c>
      <c r="ES43" s="768">
        <f t="shared" si="11"/>
        <v>0</v>
      </c>
      <c r="ET43" s="767">
        <f t="shared" si="12"/>
        <v>0</v>
      </c>
      <c r="EU43" s="768">
        <f t="shared" si="13"/>
        <v>0</v>
      </c>
      <c r="EV43" s="767" t="str">
        <f t="shared" si="14"/>
        <v/>
      </c>
      <c r="EW43" s="769">
        <f t="shared" si="29"/>
        <v>45893</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34</v>
      </c>
      <c r="GA43" s="129">
        <f t="shared" si="39"/>
        <v>2025</v>
      </c>
      <c r="GB43" s="129" t="str">
        <f t="shared" si="40"/>
        <v>342025</v>
      </c>
      <c r="GC43" s="225">
        <f>IF(AND($GD$53=S.CAL!$P$3,$GD$52=FZ43),GE43,IF(BH43="",0,BH43))</f>
        <v>0</v>
      </c>
      <c r="GD43" s="129" t="str">
        <f>IFERROR(+Septembre!$BY$2&amp;BL43&amp;BM43,0)</f>
        <v>Fiche infoA7</v>
      </c>
      <c r="GE43" s="129" t="str">
        <f t="shared" si="19"/>
        <v/>
      </c>
      <c r="GF43" s="225" t="str">
        <f t="shared" si="41"/>
        <v/>
      </c>
      <c r="GG43" s="1469" t="str">
        <f>+'Retenue Aout'!D41</f>
        <v/>
      </c>
      <c r="GH43" s="1469">
        <f>+'Retenue Aout'!BF41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45894</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f t="shared" si="48"/>
        <v>35</v>
      </c>
      <c r="AQ44" s="340"/>
      <c r="AR44" s="1126"/>
      <c r="AS44" s="332">
        <f t="shared" si="3"/>
        <v>0</v>
      </c>
      <c r="AT44" s="1147"/>
      <c r="AU44" s="1147"/>
      <c r="AV44" s="332"/>
      <c r="AW44" s="2017">
        <f t="shared" si="22"/>
        <v>45894</v>
      </c>
      <c r="AX44" s="1878"/>
      <c r="AY44" s="332"/>
      <c r="AZ44" s="1126"/>
      <c r="BA44" s="993"/>
      <c r="BB44" s="561"/>
      <c r="BC44" s="566">
        <f t="shared" si="23"/>
        <v>0</v>
      </c>
      <c r="BD44" s="1126"/>
      <c r="BE44" s="825">
        <f t="shared" si="24"/>
        <v>0</v>
      </c>
      <c r="BF44" s="1150"/>
      <c r="BG44" s="224"/>
      <c r="BH44" s="566" t="str">
        <f t="shared" si="25"/>
        <v/>
      </c>
      <c r="BI44" s="1150"/>
      <c r="BJ44" s="129" t="str">
        <f t="shared" si="26"/>
        <v>Fiche infoA1</v>
      </c>
      <c r="BK44" s="129">
        <f t="shared" si="49"/>
        <v>35</v>
      </c>
      <c r="BL44" s="129" t="str">
        <f t="shared" si="4"/>
        <v>A</v>
      </c>
      <c r="BM44" s="129">
        <f t="shared" si="50"/>
        <v>1</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+IF(CC45="",Juillet!CC44,CC45)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45894</v>
      </c>
      <c r="ER44" s="767">
        <f t="shared" si="10"/>
        <v>0</v>
      </c>
      <c r="ES44" s="768">
        <f t="shared" si="11"/>
        <v>0</v>
      </c>
      <c r="ET44" s="767">
        <f t="shared" si="12"/>
        <v>0</v>
      </c>
      <c r="EU44" s="768">
        <f t="shared" si="13"/>
        <v>0</v>
      </c>
      <c r="EV44" s="767" t="str">
        <f t="shared" si="14"/>
        <v/>
      </c>
      <c r="EW44" s="769">
        <f t="shared" si="29"/>
        <v>45894</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35</v>
      </c>
      <c r="GA44" s="129">
        <f t="shared" si="39"/>
        <v>2025</v>
      </c>
      <c r="GB44" s="129" t="str">
        <f t="shared" si="40"/>
        <v>352025</v>
      </c>
      <c r="GC44" s="225">
        <f>IF(AND($GD$53=S.CAL!$P$3,$GD$52=FZ44),GE44,IF(BH44="",0,BH44))</f>
        <v>0</v>
      </c>
      <c r="GD44" s="129" t="str">
        <f>IFERROR(+Septembre!$BY$2&amp;BL44&amp;BM44,0)</f>
        <v>Fiche infoA1</v>
      </c>
      <c r="GE44" s="129" t="str">
        <f t="shared" si="19"/>
        <v/>
      </c>
      <c r="GF44" s="225" t="str">
        <f t="shared" si="41"/>
        <v/>
      </c>
      <c r="GG44" s="1469" t="str">
        <f>+'Retenue Aout'!D42</f>
        <v/>
      </c>
      <c r="GH44" s="1469">
        <f>+'Retenue Aout'!BF42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45895</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45895</v>
      </c>
      <c r="AX45" s="1878"/>
      <c r="AY45" s="332"/>
      <c r="AZ45" s="1126"/>
      <c r="BA45" s="993"/>
      <c r="BB45" s="561"/>
      <c r="BC45" s="566">
        <f t="shared" si="23"/>
        <v>0</v>
      </c>
      <c r="BD45" s="1126"/>
      <c r="BE45" s="825">
        <f t="shared" si="24"/>
        <v>0</v>
      </c>
      <c r="BF45" s="1150"/>
      <c r="BG45" s="224"/>
      <c r="BH45" s="566" t="str">
        <f t="shared" si="25"/>
        <v/>
      </c>
      <c r="BI45" s="1150"/>
      <c r="BJ45" s="129" t="str">
        <f t="shared" si="26"/>
        <v>Fiche infoA2</v>
      </c>
      <c r="BK45" s="129">
        <f t="shared" si="49"/>
        <v>35</v>
      </c>
      <c r="BL45" s="129" t="str">
        <f t="shared" si="4"/>
        <v>A</v>
      </c>
      <c r="BM45" s="129">
        <f t="shared" si="50"/>
        <v>2</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45895</v>
      </c>
      <c r="ER45" s="767">
        <f t="shared" si="10"/>
        <v>0</v>
      </c>
      <c r="ES45" s="768">
        <f t="shared" si="11"/>
        <v>0</v>
      </c>
      <c r="ET45" s="767">
        <f t="shared" si="12"/>
        <v>0</v>
      </c>
      <c r="EU45" s="768">
        <f t="shared" si="13"/>
        <v>0</v>
      </c>
      <c r="EV45" s="767" t="str">
        <f t="shared" si="14"/>
        <v/>
      </c>
      <c r="EW45" s="769">
        <f t="shared" si="29"/>
        <v>45895</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35</v>
      </c>
      <c r="GA45" s="129">
        <f t="shared" si="39"/>
        <v>2025</v>
      </c>
      <c r="GB45" s="129" t="str">
        <f t="shared" si="40"/>
        <v>352025</v>
      </c>
      <c r="GC45" s="225">
        <f>IF(AND($GD$53=S.CAL!$P$3,$GD$52=FZ45),GE45,IF(BH45="",0,BH45))</f>
        <v>0</v>
      </c>
      <c r="GD45" s="129" t="str">
        <f>IFERROR(+Septembre!$BY$2&amp;BL45&amp;BM45,0)</f>
        <v>Fiche infoA2</v>
      </c>
      <c r="GE45" s="129" t="str">
        <f t="shared" si="19"/>
        <v/>
      </c>
      <c r="GF45" s="225" t="str">
        <f t="shared" si="41"/>
        <v/>
      </c>
      <c r="GG45" s="1469" t="str">
        <f>+'Retenue Aout'!D43</f>
        <v/>
      </c>
      <c r="GH45" s="1469">
        <f>+'Retenue Aout'!BF43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45896</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45896</v>
      </c>
      <c r="AX46" s="1878"/>
      <c r="AY46" s="332"/>
      <c r="AZ46" s="1126"/>
      <c r="BA46" s="993"/>
      <c r="BB46" s="561"/>
      <c r="BC46" s="566">
        <f t="shared" si="23"/>
        <v>0</v>
      </c>
      <c r="BD46" s="1126"/>
      <c r="BE46" s="825">
        <f t="shared" si="24"/>
        <v>0</v>
      </c>
      <c r="BF46" s="1150"/>
      <c r="BG46" s="224"/>
      <c r="BH46" s="566" t="str">
        <f t="shared" si="25"/>
        <v/>
      </c>
      <c r="BI46" s="1150"/>
      <c r="BJ46" s="129" t="str">
        <f t="shared" si="26"/>
        <v>Fiche infoA3</v>
      </c>
      <c r="BK46" s="129">
        <f t="shared" si="49"/>
        <v>35</v>
      </c>
      <c r="BL46" s="129" t="str">
        <f t="shared" si="4"/>
        <v>A</v>
      </c>
      <c r="BM46" s="129">
        <f t="shared" si="50"/>
        <v>3</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45896</v>
      </c>
      <c r="ER46" s="767">
        <f t="shared" si="10"/>
        <v>0</v>
      </c>
      <c r="ES46" s="768">
        <f t="shared" si="11"/>
        <v>0</v>
      </c>
      <c r="ET46" s="767">
        <f t="shared" si="12"/>
        <v>0</v>
      </c>
      <c r="EU46" s="768">
        <f t="shared" si="13"/>
        <v>0</v>
      </c>
      <c r="EV46" s="767" t="str">
        <f t="shared" si="14"/>
        <v/>
      </c>
      <c r="EW46" s="769">
        <f t="shared" si="29"/>
        <v>45896</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35</v>
      </c>
      <c r="GA46" s="129">
        <f t="shared" si="39"/>
        <v>2025</v>
      </c>
      <c r="GB46" s="129" t="str">
        <f t="shared" si="40"/>
        <v>352025</v>
      </c>
      <c r="GC46" s="225">
        <f>IF(AND($GD$53=S.CAL!$P$3,$GD$52=FZ46),GE46,IF(BH46="",0,BH46))</f>
        <v>0</v>
      </c>
      <c r="GD46" s="129" t="str">
        <f>IFERROR(+Septembre!$BY$2&amp;BL46&amp;BM46,0)</f>
        <v>Fiche infoA3</v>
      </c>
      <c r="GE46" s="129" t="str">
        <f t="shared" si="19"/>
        <v/>
      </c>
      <c r="GF46" s="225" t="str">
        <f t="shared" si="41"/>
        <v/>
      </c>
      <c r="GG46" s="1469" t="str">
        <f>+'Retenue Aout'!D44</f>
        <v/>
      </c>
      <c r="GH46" s="1469">
        <f>+'Retenue Aout'!BF44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45897</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45897</v>
      </c>
      <c r="AX47" s="1878"/>
      <c r="AY47" s="332"/>
      <c r="AZ47" s="1126"/>
      <c r="BA47" s="993"/>
      <c r="BB47" s="561"/>
      <c r="BC47" s="566">
        <f t="shared" si="23"/>
        <v>0</v>
      </c>
      <c r="BD47" s="1126"/>
      <c r="BE47" s="825">
        <f t="shared" si="24"/>
        <v>0</v>
      </c>
      <c r="BF47" s="1150"/>
      <c r="BG47" s="224"/>
      <c r="BH47" s="566" t="str">
        <f t="shared" si="25"/>
        <v/>
      </c>
      <c r="BI47" s="1150"/>
      <c r="BJ47" s="129" t="str">
        <f t="shared" si="26"/>
        <v>Fiche infoA4</v>
      </c>
      <c r="BK47" s="129">
        <f t="shared" si="49"/>
        <v>35</v>
      </c>
      <c r="BL47" s="129" t="str">
        <f t="shared" si="4"/>
        <v>A</v>
      </c>
      <c r="BM47" s="129">
        <f t="shared" si="50"/>
        <v>4</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IF(CF47="",Juillet!CE47,CF47)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45897</v>
      </c>
      <c r="ER47" s="767">
        <f t="shared" si="10"/>
        <v>0</v>
      </c>
      <c r="ES47" s="768">
        <f t="shared" si="11"/>
        <v>0</v>
      </c>
      <c r="ET47" s="767">
        <f t="shared" si="12"/>
        <v>0</v>
      </c>
      <c r="EU47" s="768">
        <f t="shared" si="13"/>
        <v>0</v>
      </c>
      <c r="EV47" s="767" t="str">
        <f t="shared" si="14"/>
        <v/>
      </c>
      <c r="EW47" s="769">
        <f t="shared" si="29"/>
        <v>45897</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35</v>
      </c>
      <c r="GA47" s="129">
        <f t="shared" si="39"/>
        <v>2025</v>
      </c>
      <c r="GB47" s="129" t="str">
        <f t="shared" si="40"/>
        <v>352025</v>
      </c>
      <c r="GC47" s="225">
        <f>IF(AND($GD$53=S.CAL!$P$3,$GD$52=FZ47),GE47,IF(BH47="",0,BH47))</f>
        <v>0</v>
      </c>
      <c r="GD47" s="129" t="str">
        <f>IFERROR(+Septembre!$BY$2&amp;BL47&amp;BM47,0)</f>
        <v>Fiche infoA4</v>
      </c>
      <c r="GE47" s="129" t="str">
        <f t="shared" si="19"/>
        <v/>
      </c>
      <c r="GF47" s="225" t="str">
        <f t="shared" si="41"/>
        <v/>
      </c>
      <c r="GG47" s="1469" t="str">
        <f>+'Retenue Aout'!D45</f>
        <v/>
      </c>
      <c r="GH47" s="1469">
        <f>+'Retenue Aout'!BF45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45898</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45898</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infoA5</v>
      </c>
      <c r="BK48" s="129">
        <f t="shared" si="49"/>
        <v>35</v>
      </c>
      <c r="BL48" s="129" t="str">
        <f t="shared" si="4"/>
        <v>A</v>
      </c>
      <c r="BM48" s="129">
        <f>IFERROR(WEEKDAY(AB48,2),0)</f>
        <v>5</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45898</v>
      </c>
      <c r="ER48" s="767">
        <f t="shared" si="10"/>
        <v>0</v>
      </c>
      <c r="ES48" s="768">
        <f t="shared" si="11"/>
        <v>0</v>
      </c>
      <c r="ET48" s="767">
        <f t="shared" si="12"/>
        <v>0</v>
      </c>
      <c r="EU48" s="768">
        <f t="shared" si="13"/>
        <v>0</v>
      </c>
      <c r="EV48" s="767" t="str">
        <f t="shared" si="14"/>
        <v/>
      </c>
      <c r="EW48" s="769">
        <f t="shared" si="29"/>
        <v>45898</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35</v>
      </c>
      <c r="GA48" s="129">
        <f t="shared" si="39"/>
        <v>2025</v>
      </c>
      <c r="GB48" s="129" t="str">
        <f t="shared" si="40"/>
        <v>352025</v>
      </c>
      <c r="GC48" s="225">
        <f>IF(AND($GD$53=S.CAL!$P$3,$GD$52=FZ48),GE48,IF(BH48="",0,BH48))</f>
        <v>0</v>
      </c>
      <c r="GD48" s="129" t="str">
        <f>IFERROR(+Septembre!$BY$2&amp;BL48&amp;BM48,0)</f>
        <v>Fiche infoA5</v>
      </c>
      <c r="GE48" s="129" t="str">
        <f t="shared" si="19"/>
        <v/>
      </c>
      <c r="GF48" s="225" t="str">
        <f t="shared" si="41"/>
        <v/>
      </c>
      <c r="GG48" s="1469" t="str">
        <f>+'Retenue Aout'!D46</f>
        <v/>
      </c>
      <c r="GH48" s="1469">
        <f>+'Retenue Aout'!BF46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45899</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45899</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infoA6</v>
      </c>
      <c r="BK49" s="129">
        <f t="shared" si="49"/>
        <v>35</v>
      </c>
      <c r="BL49" s="129" t="str">
        <f t="shared" si="4"/>
        <v>A</v>
      </c>
      <c r="BM49" s="129">
        <f>IFERROR(WEEKDAY(AB49,2),0)</f>
        <v>6</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IF(CF49="",Juillet!CE49,CF49)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45899</v>
      </c>
      <c r="ER49" s="767">
        <f t="shared" si="10"/>
        <v>0</v>
      </c>
      <c r="ES49" s="768">
        <f t="shared" si="11"/>
        <v>0</v>
      </c>
      <c r="ET49" s="767">
        <f t="shared" si="12"/>
        <v>0</v>
      </c>
      <c r="EU49" s="768">
        <f t="shared" si="13"/>
        <v>0</v>
      </c>
      <c r="EV49" s="767" t="str">
        <f t="shared" si="14"/>
        <v/>
      </c>
      <c r="EW49" s="769">
        <f t="shared" si="29"/>
        <v>45899</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35</v>
      </c>
      <c r="GA49" s="129">
        <f t="shared" si="39"/>
        <v>2025</v>
      </c>
      <c r="GB49" s="129" t="str">
        <f t="shared" ref="GB49:GB50" si="69">+FZ49&amp;GA49</f>
        <v>352025</v>
      </c>
      <c r="GC49" s="225">
        <f>IF(AND($GD$53=S.CAL!$P$3,$GD$52=FZ49),GE49,IF(BH49="",0,BH49))</f>
        <v>0</v>
      </c>
      <c r="GD49" s="129" t="str">
        <f>IFERROR(+Septembre!$BY$2&amp;BL49&amp;BM49,0)</f>
        <v>Fiche infoA6</v>
      </c>
      <c r="GE49" s="129" t="str">
        <f t="shared" si="19"/>
        <v/>
      </c>
      <c r="GF49" s="225" t="str">
        <f t="shared" ref="GF49:GF50" si="70">IF(FP49=1,GG49,AM49)</f>
        <v/>
      </c>
      <c r="GG49" s="1469" t="str">
        <f>+'Retenue Aout'!D47</f>
        <v/>
      </c>
      <c r="GH49" s="1469">
        <f>+'Retenue Aout'!BF47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45900</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f t="shared" si="22"/>
        <v>45900</v>
      </c>
      <c r="AX50" s="2097"/>
      <c r="AY50" s="332"/>
      <c r="AZ50" s="1127"/>
      <c r="BA50" s="994"/>
      <c r="BB50" s="561"/>
      <c r="BC50" s="564">
        <f t="shared" si="23"/>
        <v>0</v>
      </c>
      <c r="BD50" s="1127"/>
      <c r="BE50" s="826">
        <f t="shared" si="24"/>
        <v>0</v>
      </c>
      <c r="BF50" s="1151"/>
      <c r="BG50" s="224"/>
      <c r="BH50" s="564" t="str">
        <f t="shared" si="25"/>
        <v/>
      </c>
      <c r="BI50" s="1151"/>
      <c r="BJ50" s="129" t="str">
        <f t="shared" si="68"/>
        <v>Fiche infoA7</v>
      </c>
      <c r="BK50" s="129">
        <f t="shared" si="49"/>
        <v>35</v>
      </c>
      <c r="BL50" s="129" t="str">
        <f t="shared" si="4"/>
        <v>A</v>
      </c>
      <c r="BM50" s="129">
        <f>IFERROR(WEEKDAY(AB50,2),0)</f>
        <v>7</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45900</v>
      </c>
      <c r="ER50" s="787">
        <f t="shared" si="10"/>
        <v>0</v>
      </c>
      <c r="ES50" s="788">
        <f t="shared" si="11"/>
        <v>0</v>
      </c>
      <c r="ET50" s="787">
        <f t="shared" si="12"/>
        <v>0</v>
      </c>
      <c r="EU50" s="788">
        <f t="shared" si="13"/>
        <v>0</v>
      </c>
      <c r="EV50" s="787" t="str">
        <f t="shared" si="14"/>
        <v/>
      </c>
      <c r="EW50" s="789">
        <f t="shared" si="29"/>
        <v>45900</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35</v>
      </c>
      <c r="GA50" s="129">
        <f t="shared" si="39"/>
        <v>2025</v>
      </c>
      <c r="GB50" s="129" t="str">
        <f t="shared" si="69"/>
        <v>352025</v>
      </c>
      <c r="GC50" s="225">
        <f>IF(AND($GD$53=S.CAL!$P$3,$GD$52=FZ50),GE50,IF(BH50="",0,BH50))</f>
        <v>0</v>
      </c>
      <c r="GD50" s="129" t="str">
        <f>IFERROR(+Septembre!$BY$2&amp;BL50&amp;BM50,0)</f>
        <v>Fiche infoA7</v>
      </c>
      <c r="GE50" s="129" t="str">
        <f t="shared" si="19"/>
        <v/>
      </c>
      <c r="GF50" s="225" t="str">
        <f t="shared" si="70"/>
        <v/>
      </c>
      <c r="GG50" s="1469" t="str">
        <f>+'Retenue Aout'!D48</f>
        <v/>
      </c>
      <c r="GH50" s="1469">
        <f>+'Retenue Aout'!BF48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35</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IF(CF53="",+Juillet!CE53,CF53)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IF(CF54="",Juillet!CE54,CF54)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IF(CF55&gt;0,CF55,IF(AND(CE53=Juillet!CE53,CE54=Juillet!CE54),Juillet!CE55,IF(OR(CE53&lt;&gt;Juillet!CE53,CE54&lt;&gt;Juillet!CE54),CE53/CE54)))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Aout'!E52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+IF(BY57="",Juillet!BY56,BY57)</f>
        <v>24</v>
      </c>
      <c r="BZ56" s="629" t="s">
        <v>1065</v>
      </c>
      <c r="CA56" s="632">
        <f>+IF(CA57="",Juillet!CA56,CA57)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IF(CF57="",+Juillet!CE57,CF57)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IF(CF58="",Juillet!CE58,CF58)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+IF(CA61="",Juillet!CA60,CA61)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+IF(BA65="",Juillet!K67,BA65)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+IF(BA68="",Juillet!K68,BA68)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E74+Juillet!H74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E75+Juillet!H75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Aout'!EH51=0,"",'Retenue Aout'!EH51),AX76)</f>
        <v/>
      </c>
      <c r="AZ75" s="2043"/>
      <c r="BA75" s="936" t="str">
        <f>+IF(BA76="",IF('Retenue Aout'!EF51=0,"",'Retenue Aout'!EF51),BA76)</f>
        <v/>
      </c>
      <c r="BB75" s="937"/>
      <c r="BC75" s="938" t="str">
        <f>IF(BC76="",IF(+'Retenue Aout'!EG51=0,"",'Retenue Aout'!EG51),BC76)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E76+Juillet!H76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+E77+Juillet!H77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IF(AR78="",+Juillet!AL78,AR78)</f>
        <v>0</v>
      </c>
      <c r="AM78" s="2179"/>
      <c r="AN78" s="2179"/>
      <c r="AO78" s="2179"/>
      <c r="AQ78" s="438" t="s">
        <v>762</v>
      </c>
      <c r="AR78" s="2304"/>
      <c r="AS78" s="2304"/>
      <c r="AT78" s="2041" t="str">
        <f>IFERROR(VLOOKUP(AY78,'Liste des Libellés'!$A$4:$F$32,6,FALSE),"")</f>
        <v/>
      </c>
      <c r="AU78" s="2041"/>
      <c r="AV78" s="2041"/>
      <c r="AW78" s="2041"/>
      <c r="AX78" s="935"/>
      <c r="AY78" s="2043" t="str">
        <f>+IF(AX79="",IF('Retenue Aout'!EH53=0,"",'Retenue Aout'!EH53),AX79)</f>
        <v/>
      </c>
      <c r="AZ78" s="2043"/>
      <c r="BA78" s="936" t="str">
        <f>+IF(BA79="",IF('Retenue Aout'!EF53=0,"",'Retenue Aout'!EF53),BA79)</f>
        <v/>
      </c>
      <c r="BB78" s="937"/>
      <c r="BC78" s="938" t="str">
        <f>IF(BC79="",IF(+'Retenue Aout'!EG53=0,"",'Retenue Aout'!EG53),BC79)</f>
        <v/>
      </c>
      <c r="BD78" s="972"/>
      <c r="BE78" s="129"/>
      <c r="BF78" s="129"/>
      <c r="BG78" s="129"/>
      <c r="BH78" s="129"/>
      <c r="BI78" s="129"/>
      <c r="CA78" s="667"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+Juillet!F80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Aout'!EH55=0,"",'Retenue Aout'!EH55),AX82)</f>
        <v/>
      </c>
      <c r="AZ81" s="2043"/>
      <c r="BA81" s="936" t="str">
        <f>+IF(BA82="",IF('Retenue Aout'!EF55=0,"",'Retenue Aout'!EF55),BA82)</f>
        <v/>
      </c>
      <c r="BB81" s="937"/>
      <c r="BC81" s="938" t="str">
        <f>IF(BC82="",IF(+'Retenue Aout'!EG55=0,"",'Retenue Aout'!EG55),BC82)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Aout'!EH57=0,"",'Retenue Aout'!EH57),AX85)</f>
        <v/>
      </c>
      <c r="AZ84" s="2043"/>
      <c r="BA84" s="936" t="str">
        <f>+IF(BA85="",IF('Retenue Aout'!EF57=0,"",'Retenue Aout'!EF57),BA85)</f>
        <v/>
      </c>
      <c r="BB84" s="937"/>
      <c r="BC84" s="938" t="str">
        <f>IF(BC85="",IF(+'Retenue Aout'!EG57=0,"",'Retenue Aout'!EG57),BC85)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Juillet!F86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IF(AR86="",+Juillet!AH86,AR86)</f>
        <v>0</v>
      </c>
      <c r="AI86" s="1732"/>
      <c r="AJ86" s="1732"/>
      <c r="AK86" s="1733"/>
      <c r="AL86" s="1731">
        <f>IF(AS86="",IF(DP8=52,+EI29+Juillet!AL86,+EI25+Juillet!AL86),IF(DP8=52,+EI29+Juillet!AL86+AS86,+EI25+Juillet!AL86+AS86))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45900</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+Juillet!AH87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+Juillet!AH89+Juillet!AH90</f>
        <v>0</v>
      </c>
      <c r="AI89" s="1732"/>
      <c r="AJ89" s="1732"/>
      <c r="AK89" s="1733"/>
      <c r="AL89" s="1731">
        <f>+Juillet!AL89+Juillet!AL90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+Juillet!G99</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+Juillet!G100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312025</v>
      </c>
      <c r="BA107" s="1473">
        <f>+$AT$4</f>
        <v>31</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322025</v>
      </c>
      <c r="BA108" s="1478">
        <f>+$AT$5</f>
        <v>32</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332025</v>
      </c>
      <c r="BA109" s="1478">
        <f>+$AT$6</f>
        <v>33</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342025</v>
      </c>
      <c r="BA110" s="1478">
        <f>+$AT$7</f>
        <v>34</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352025</v>
      </c>
      <c r="BA111" s="1478">
        <f>+$AT$8</f>
        <v>35</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312025</v>
      </c>
      <c r="BA142" s="1473">
        <f>+$AT$4</f>
        <v>31</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322025</v>
      </c>
      <c r="BA143" s="1478">
        <f>+$AT$5</f>
        <v>32</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332025</v>
      </c>
      <c r="BA144" s="1478">
        <f>+$AT$6</f>
        <v>33</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342025</v>
      </c>
      <c r="BA145" s="1478">
        <f>+$AT$7</f>
        <v>34</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352025</v>
      </c>
      <c r="BA146" s="1478">
        <f>+$AT$8</f>
        <v>35</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2n6f0lLRG+8jXp2SsdXdV3mQEO3ijD9RuyZrfptW0+XbUyQQAMzchNngkdKQ+ulSclORvmFX4D/SgZw5pEwwZw==" saltValue="AgnVLOMfMsMUX3XKR+F5OA=="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2989" priority="16">
      <formula>$U$14=0</formula>
    </cfRule>
  </conditionalFormatting>
  <conditionalFormatting sqref="B26:K26">
    <cfRule type="expression" dxfId="2988" priority="26">
      <formula>$U$14=0</formula>
    </cfRule>
  </conditionalFormatting>
  <conditionalFormatting sqref="B29:K29">
    <cfRule type="cellIs" dxfId="2987" priority="13" operator="greaterThan">
      <formula>0</formula>
    </cfRule>
  </conditionalFormatting>
  <conditionalFormatting sqref="C70:G70">
    <cfRule type="cellIs" dxfId="2986" priority="7" operator="greaterThan">
      <formula>0</formula>
    </cfRule>
  </conditionalFormatting>
  <conditionalFormatting sqref="F87:I87">
    <cfRule type="cellIs" dxfId="2985" priority="2" operator="greaterThan">
      <formula>0</formula>
    </cfRule>
  </conditionalFormatting>
  <conditionalFormatting sqref="F86:L86">
    <cfRule type="cellIs" dxfId="2984" priority="3" operator="greaterThan">
      <formula>0</formula>
    </cfRule>
  </conditionalFormatting>
  <conditionalFormatting sqref="H65:J65">
    <cfRule type="expression" dxfId="2983" priority="40">
      <formula>AND($AX$60="Oui",$AZ$62="hrs")</formula>
    </cfRule>
    <cfRule type="expression" dxfId="2982" priority="38">
      <formula>AND($AX$60="Oui",$AZ$62="")</formula>
    </cfRule>
  </conditionalFormatting>
  <conditionalFormatting sqref="H66:J66">
    <cfRule type="expression" dxfId="2981" priority="36">
      <formula>AND($BW$41="Non",$AX$61="Non")</formula>
    </cfRule>
    <cfRule type="expression" dxfId="2980" priority="35">
      <formula>AND($AX$61="Oui",$AZ$63="jrs")</formula>
    </cfRule>
    <cfRule type="expression" dxfId="2979" priority="34">
      <formula>AND($AX$61="Oui",$AZ$63="")</formula>
    </cfRule>
    <cfRule type="expression" dxfId="2978" priority="37">
      <formula>AND($BW$41="Oui",$AX$61="Non")</formula>
    </cfRule>
  </conditionalFormatting>
  <conditionalFormatting sqref="H70:J71">
    <cfRule type="cellIs" dxfId="2977" priority="6" operator="greaterThan">
      <formula>0</formula>
    </cfRule>
  </conditionalFormatting>
  <conditionalFormatting sqref="H65:K66">
    <cfRule type="cellIs" dxfId="2976" priority="33" operator="equal">
      <formula>0</formula>
    </cfRule>
  </conditionalFormatting>
  <conditionalFormatting sqref="H67:M68">
    <cfRule type="cellIs" dxfId="2975" priority="54" operator="equal">
      <formula>0</formula>
    </cfRule>
  </conditionalFormatting>
  <conditionalFormatting sqref="H69:M69">
    <cfRule type="cellIs" dxfId="2974" priority="8" operator="greaterThan">
      <formula>0</formula>
    </cfRule>
  </conditionalFormatting>
  <conditionalFormatting sqref="H40:Z60">
    <cfRule type="cellIs" dxfId="2973" priority="32" operator="equal">
      <formula>0</formula>
    </cfRule>
  </conditionalFormatting>
  <conditionalFormatting sqref="K81:K82 L82:T83 K88:T88 K89:Q90">
    <cfRule type="expression" dxfId="2972" priority="514">
      <formula>$EO$6="OUI"</formula>
    </cfRule>
  </conditionalFormatting>
  <conditionalFormatting sqref="K87">
    <cfRule type="expression" dxfId="2971" priority="4">
      <formula>$EO$6="OUI"</formula>
    </cfRule>
  </conditionalFormatting>
  <conditionalFormatting sqref="L18:O19">
    <cfRule type="cellIs" dxfId="2970" priority="20" operator="equal">
      <formula>0</formula>
    </cfRule>
  </conditionalFormatting>
  <conditionalFormatting sqref="L21:O22">
    <cfRule type="cellIs" dxfId="2969" priority="31" operator="equal">
      <formula>0</formula>
    </cfRule>
  </conditionalFormatting>
  <conditionalFormatting sqref="L27:O28">
    <cfRule type="cellIs" dxfId="2968" priority="14" operator="greaterThan">
      <formula>0</formula>
    </cfRule>
  </conditionalFormatting>
  <conditionalFormatting sqref="L30:O32">
    <cfRule type="cellIs" dxfId="2967" priority="12" operator="greaterThan">
      <formula>0</formula>
    </cfRule>
  </conditionalFormatting>
  <conditionalFormatting sqref="L34:O34">
    <cfRule type="cellIs" dxfId="2966" priority="10" operator="greaterThan">
      <formula>0</formula>
    </cfRule>
  </conditionalFormatting>
  <conditionalFormatting sqref="L23:S24">
    <cfRule type="cellIs" dxfId="2965" priority="15" operator="greaterThan">
      <formula>0</formula>
    </cfRule>
  </conditionalFormatting>
  <conditionalFormatting sqref="L25:S26">
    <cfRule type="containsErrors" dxfId="2964" priority="24">
      <formula>ISERROR(L25)</formula>
    </cfRule>
    <cfRule type="cellIs" dxfId="2963" priority="25" operator="equal">
      <formula>0</formula>
    </cfRule>
  </conditionalFormatting>
  <conditionalFormatting sqref="M87:T87">
    <cfRule type="expression" dxfId="2962" priority="511">
      <formula>$EO$6="OUI"</formula>
    </cfRule>
  </conditionalFormatting>
  <conditionalFormatting sqref="N65:P71">
    <cfRule type="cellIs" dxfId="2961" priority="60" operator="equal">
      <formula>0</formula>
    </cfRule>
  </conditionalFormatting>
  <conditionalFormatting sqref="O86">
    <cfRule type="expression" dxfId="2960" priority="515">
      <formula>EO6="OUI"</formula>
    </cfRule>
  </conditionalFormatting>
  <conditionalFormatting sqref="O14:T14">
    <cfRule type="expression" dxfId="2959" priority="209">
      <formula>$U$14=0</formula>
    </cfRule>
  </conditionalFormatting>
  <conditionalFormatting sqref="P20">
    <cfRule type="expression" dxfId="2958" priority="17">
      <formula>$DP$14=1</formula>
    </cfRule>
  </conditionalFormatting>
  <conditionalFormatting sqref="P18:S18">
    <cfRule type="expression" dxfId="2957" priority="21">
      <formula>$L$18=0</formula>
    </cfRule>
  </conditionalFormatting>
  <conditionalFormatting sqref="P19:S19">
    <cfRule type="expression" dxfId="2956" priority="19">
      <formula>$L$19=0</formula>
    </cfRule>
  </conditionalFormatting>
  <conditionalFormatting sqref="P21:S21">
    <cfRule type="expression" dxfId="2955" priority="30">
      <formula>$L$21=0</formula>
    </cfRule>
  </conditionalFormatting>
  <conditionalFormatting sqref="P22:S22">
    <cfRule type="expression" dxfId="2954" priority="29">
      <formula>$L$22=0</formula>
    </cfRule>
  </conditionalFormatting>
  <conditionalFormatting sqref="R87:T87">
    <cfRule type="expression" dxfId="2953" priority="510">
      <formula>$EO$7="OUI"</formula>
    </cfRule>
  </conditionalFormatting>
  <conditionalFormatting sqref="R89:T89">
    <cfRule type="expression" dxfId="2952" priority="506">
      <formula>$EO$6="OUI"</formula>
    </cfRule>
    <cfRule type="expression" dxfId="2951" priority="505">
      <formula>$EO$8="OUI"</formula>
    </cfRule>
  </conditionalFormatting>
  <conditionalFormatting sqref="R90:T90">
    <cfRule type="expression" dxfId="2950" priority="512">
      <formula>$EO$7="OUI"</formula>
    </cfRule>
    <cfRule type="expression" dxfId="2949" priority="513">
      <formula>$EO$6="OUI"</formula>
    </cfRule>
  </conditionalFormatting>
  <conditionalFormatting sqref="T20">
    <cfRule type="expression" dxfId="2948" priority="18">
      <formula>$DP$14=1</formula>
    </cfRule>
  </conditionalFormatting>
  <conditionalFormatting sqref="T30:T32">
    <cfRule type="cellIs" dxfId="2947" priority="28" operator="equal">
      <formula>0</formula>
    </cfRule>
  </conditionalFormatting>
  <conditionalFormatting sqref="T18:W19">
    <cfRule type="cellIs" dxfId="2946" priority="22" operator="equal">
      <formula>0</formula>
    </cfRule>
  </conditionalFormatting>
  <conditionalFormatting sqref="T21:W28">
    <cfRule type="cellIs" dxfId="2945" priority="27" operator="equal">
      <formula>0</formula>
    </cfRule>
  </conditionalFormatting>
  <conditionalFormatting sqref="T29:W29">
    <cfRule type="cellIs" dxfId="2944" priority="11" operator="greaterThan">
      <formula>0</formula>
    </cfRule>
  </conditionalFormatting>
  <conditionalFormatting sqref="T33:W33">
    <cfRule type="cellIs" dxfId="2943" priority="9" operator="greaterThan">
      <formula>0</formula>
    </cfRule>
  </conditionalFormatting>
  <conditionalFormatting sqref="T34:W34">
    <cfRule type="cellIs" dxfId="2942" priority="23" operator="equal">
      <formula>0</formula>
    </cfRule>
  </conditionalFormatting>
  <conditionalFormatting sqref="U14:X14">
    <cfRule type="cellIs" dxfId="2941" priority="207" operator="equal">
      <formula>0</formula>
    </cfRule>
  </conditionalFormatting>
  <conditionalFormatting sqref="V80:AF81">
    <cfRule type="cellIs" dxfId="2940" priority="1" operator="notEqual">
      <formula>"Commentaires :"</formula>
    </cfRule>
  </conditionalFormatting>
  <conditionalFormatting sqref="Y73:AO75">
    <cfRule type="expression" dxfId="2939" priority="64">
      <formula>$DP$8=52</formula>
    </cfRule>
  </conditionalFormatting>
  <conditionalFormatting sqref="AB20:AC50">
    <cfRule type="expression" dxfId="2938" priority="430">
      <formula>VLOOKUP(AB20,base_feries,1,FALSE)</formula>
    </cfRule>
    <cfRule type="expression" dxfId="2937" priority="429">
      <formula>OR(WEEKDAY(AB20,2)=6,WEEKDAY(AB20,2)=7)</formula>
    </cfRule>
    <cfRule type="expression" dxfId="2936" priority="428">
      <formula>WEEKDAY(AB20,2)=7</formula>
    </cfRule>
  </conditionalFormatting>
  <conditionalFormatting sqref="AD20:AF50">
    <cfRule type="cellIs" dxfId="2935" priority="300" operator="equal">
      <formula>0</formula>
    </cfRule>
    <cfRule type="expression" dxfId="2934" priority="299">
      <formula>FC20="oui"</formula>
    </cfRule>
  </conditionalFormatting>
  <conditionalFormatting sqref="AG20:AI50">
    <cfRule type="expression" dxfId="2933" priority="301">
      <formula>FC20="oui"</formula>
    </cfRule>
  </conditionalFormatting>
  <conditionalFormatting sqref="AH83:AH84">
    <cfRule type="cellIs" dxfId="2932" priority="524" stopIfTrue="1" operator="equal">
      <formula>0</formula>
    </cfRule>
  </conditionalFormatting>
  <conditionalFormatting sqref="AH89:AH91">
    <cfRule type="cellIs" dxfId="2931" priority="69" stopIfTrue="1" operator="equal">
      <formula>0</formula>
    </cfRule>
  </conditionalFormatting>
  <conditionalFormatting sqref="AH93:AK93">
    <cfRule type="cellIs" dxfId="2930" priority="516" operator="equal">
      <formula>0</formula>
    </cfRule>
  </conditionalFormatting>
  <conditionalFormatting sqref="AH86:AL87">
    <cfRule type="cellIs" dxfId="2929" priority="65" stopIfTrue="1" operator="equal">
      <formula>0</formula>
    </cfRule>
  </conditionalFormatting>
  <conditionalFormatting sqref="AH92:AO92">
    <cfRule type="cellIs" dxfId="2928" priority="239" operator="lessThan">
      <formula>-0.001</formula>
    </cfRule>
  </conditionalFormatting>
  <conditionalFormatting sqref="AJ20:AL50">
    <cfRule type="expression" dxfId="2927" priority="302">
      <formula>FC20="oui"</formula>
    </cfRule>
  </conditionalFormatting>
  <conditionalFormatting sqref="AL83">
    <cfRule type="cellIs" dxfId="2926" priority="523" stopIfTrue="1" operator="equal">
      <formula>0</formula>
    </cfRule>
  </conditionalFormatting>
  <conditionalFormatting sqref="AL89:AL91">
    <cfRule type="cellIs" dxfId="2925" priority="68" stopIfTrue="1" operator="equal">
      <formula>0</formula>
    </cfRule>
  </conditionalFormatting>
  <conditionalFormatting sqref="AL93">
    <cfRule type="cellIs" dxfId="2924" priority="522" stopIfTrue="1" operator="equal">
      <formula>0</formula>
    </cfRule>
  </conditionalFormatting>
  <conditionalFormatting sqref="AM20:AO50">
    <cfRule type="expression" dxfId="2923" priority="303">
      <formula>FC20="oui"</formula>
    </cfRule>
  </conditionalFormatting>
  <conditionalFormatting sqref="AP20:AP50">
    <cfRule type="expression" dxfId="2922" priority="147">
      <formula>BL20="E"</formula>
    </cfRule>
    <cfRule type="expression" dxfId="2921" priority="150">
      <formula>BL20="B"</formula>
    </cfRule>
    <cfRule type="expression" dxfId="2920" priority="149">
      <formula>BL20="C"</formula>
    </cfRule>
    <cfRule type="expression" dxfId="2919" priority="148">
      <formula>BL20="D"</formula>
    </cfRule>
    <cfRule type="expression" dxfId="2918" priority="144">
      <formula>BL20="H"</formula>
    </cfRule>
    <cfRule type="expression" dxfId="2917" priority="145">
      <formula>BL20="G"</formula>
    </cfRule>
    <cfRule type="expression" dxfId="2916" priority="146">
      <formula>BL20="F"</formula>
    </cfRule>
  </conditionalFormatting>
  <conditionalFormatting sqref="AQ62:AU62">
    <cfRule type="expression" dxfId="2915" priority="46">
      <formula>$AT$60="Non"</formula>
    </cfRule>
  </conditionalFormatting>
  <conditionalFormatting sqref="AQ63:AU63">
    <cfRule type="expression" dxfId="2914" priority="43">
      <formula>$AT$61="Non"</formula>
    </cfRule>
  </conditionalFormatting>
  <conditionalFormatting sqref="AR20:AR50">
    <cfRule type="expression" dxfId="2913" priority="189">
      <formula>AND(AR20&lt;&gt;"",AZ20&lt;&gt;"")</formula>
    </cfRule>
    <cfRule type="expression" dxfId="2912" priority="185">
      <formula>FN20=10</formula>
    </cfRule>
    <cfRule type="expression" dxfId="2911" priority="181">
      <formula>FC20="oui"</formula>
    </cfRule>
    <cfRule type="expression" dxfId="2910" priority="173">
      <formula>AB20=""</formula>
    </cfRule>
  </conditionalFormatting>
  <conditionalFormatting sqref="AR17:BJ50">
    <cfRule type="expression" dxfId="2909" priority="49">
      <formula>$EX$13="oui"</formula>
    </cfRule>
  </conditionalFormatting>
  <conditionalFormatting sqref="AS51:BJ51 DK51">
    <cfRule type="expression" dxfId="2908" priority="134">
      <formula>$EX$13="oui"</formula>
    </cfRule>
  </conditionalFormatting>
  <conditionalFormatting sqref="AT4:AT10">
    <cfRule type="expression" dxfId="2907" priority="445">
      <formula>AU4="H"</formula>
    </cfRule>
    <cfRule type="expression" dxfId="2906" priority="447">
      <formula>AU4="F"</formula>
    </cfRule>
    <cfRule type="expression" dxfId="2905" priority="448">
      <formula>AU4="E"</formula>
    </cfRule>
    <cfRule type="expression" dxfId="2904" priority="449">
      <formula>AU4="D"</formula>
    </cfRule>
    <cfRule type="expression" dxfId="2903" priority="451">
      <formula>AU4="B"</formula>
    </cfRule>
    <cfRule type="expression" dxfId="2902" priority="446">
      <formula>AU4="G"</formula>
    </cfRule>
    <cfRule type="expression" dxfId="2901" priority="450">
      <formula>AU4="C"</formula>
    </cfRule>
  </conditionalFormatting>
  <conditionalFormatting sqref="AT20:AT50">
    <cfRule type="expression" dxfId="2900" priority="184">
      <formula>FC20="oui"</formula>
    </cfRule>
    <cfRule type="expression" dxfId="2899" priority="180">
      <formula>AB20=""</formula>
    </cfRule>
  </conditionalFormatting>
  <conditionalFormatting sqref="AU4:AU10">
    <cfRule type="expression" dxfId="2898" priority="381">
      <formula>FG4="rouge"</formula>
    </cfRule>
    <cfRule type="expression" dxfId="2897" priority="380">
      <formula>AT4=""</formula>
    </cfRule>
  </conditionalFormatting>
  <conditionalFormatting sqref="AU20:AU50">
    <cfRule type="expression" dxfId="2896" priority="179">
      <formula>AB20=""</formula>
    </cfRule>
    <cfRule type="expression" dxfId="2895" priority="188">
      <formula>FC20="oui"</formula>
    </cfRule>
  </conditionalFormatting>
  <conditionalFormatting sqref="AW20:AX50">
    <cfRule type="expression" dxfId="2894" priority="191">
      <formula>WEEKDAY(AW20,2)=7</formula>
    </cfRule>
    <cfRule type="expression" dxfId="2893" priority="192">
      <formula>OR(WEEKDAY(AW20,2)=6,WEEKDAY(AW20,2)=7)</formula>
    </cfRule>
    <cfRule type="expression" dxfId="2892" priority="193">
      <formula>VLOOKUP(AW20,base_feries,1,FALSE)</formula>
    </cfRule>
  </conditionalFormatting>
  <conditionalFormatting sqref="AX62:AZ62">
    <cfRule type="expression" dxfId="2891" priority="45">
      <formula>$AX$60="Non"</formula>
    </cfRule>
  </conditionalFormatting>
  <conditionalFormatting sqref="AX63:AZ63">
    <cfRule type="expression" dxfId="2890" priority="42">
      <formula>$AX$61="Non"</formula>
    </cfRule>
  </conditionalFormatting>
  <conditionalFormatting sqref="AZ20:AZ50">
    <cfRule type="expression" dxfId="2889" priority="50">
      <formula>AB20=""</formula>
    </cfRule>
    <cfRule type="expression" dxfId="2888" priority="53">
      <formula>AND(AR20&lt;&gt;"",AZ20&lt;&gt;"")</formula>
    </cfRule>
    <cfRule type="expression" dxfId="2887" priority="52">
      <formula>FL20=10</formula>
    </cfRule>
    <cfRule type="expression" dxfId="2886" priority="51">
      <formula>FC20="oui"</formula>
    </cfRule>
  </conditionalFormatting>
  <conditionalFormatting sqref="BA20:BA50">
    <cfRule type="expression" dxfId="2885" priority="178">
      <formula>AB20=""</formula>
    </cfRule>
    <cfRule type="expression" dxfId="2884" priority="182">
      <formula>FC20="oui"</formula>
    </cfRule>
  </conditionalFormatting>
  <conditionalFormatting sqref="BA62">
    <cfRule type="expression" dxfId="2883" priority="44">
      <formula>$BA$60="Non"</formula>
    </cfRule>
  </conditionalFormatting>
  <conditionalFormatting sqref="BA63">
    <cfRule type="expression" dxfId="2882" priority="41">
      <formula>$BA$61="Non"</formula>
    </cfRule>
  </conditionalFormatting>
  <conditionalFormatting sqref="BA102 BA103:BH115">
    <cfRule type="expression" dxfId="2881" priority="95">
      <formula>$DP$8=52</formula>
    </cfRule>
  </conditionalFormatting>
  <conditionalFormatting sqref="BA137 BA138:BH149">
    <cfRule type="expression" dxfId="2880" priority="67">
      <formula>$DP$8=52</formula>
    </cfRule>
  </conditionalFormatting>
  <conditionalFormatting sqref="BC20:BC55">
    <cfRule type="cellIs" dxfId="2879" priority="187" operator="equal">
      <formula>0</formula>
    </cfRule>
    <cfRule type="expression" dxfId="2878" priority="175">
      <formula>AJ20=""</formula>
    </cfRule>
  </conditionalFormatting>
  <conditionalFormatting sqref="BC112:BH112">
    <cfRule type="expression" dxfId="2877" priority="94">
      <formula>$BA$112=""</formula>
    </cfRule>
  </conditionalFormatting>
  <conditionalFormatting sqref="BC147:BH147">
    <cfRule type="expression" dxfId="2876" priority="66">
      <formula>$BA$112=""</formula>
    </cfRule>
  </conditionalFormatting>
  <conditionalFormatting sqref="BD20:BD50">
    <cfRule type="expression" dxfId="2875" priority="176">
      <formula>FL20="oui"</formula>
    </cfRule>
  </conditionalFormatting>
  <conditionalFormatting sqref="BE20:BE50">
    <cfRule type="expression" dxfId="2874" priority="186">
      <formula>OR(BE20=0,BE20="")</formula>
    </cfRule>
  </conditionalFormatting>
  <conditionalFormatting sqref="BH20:BH50">
    <cfRule type="expression" dxfId="2873" priority="135">
      <formula>AO20=""</formula>
    </cfRule>
    <cfRule type="cellIs" dxfId="2872" priority="172" operator="equal">
      <formula>0</formula>
    </cfRule>
  </conditionalFormatting>
  <conditionalFormatting sqref="BI9:BI14">
    <cfRule type="cellIs" dxfId="2871" priority="101" operator="equal">
      <formula>0</formula>
    </cfRule>
  </conditionalFormatting>
  <conditionalFormatting sqref="BQ54">
    <cfRule type="expression" dxfId="2870" priority="425">
      <formula>$BW$41="Non"</formula>
    </cfRule>
  </conditionalFormatting>
  <conditionalFormatting sqref="BQ36:CA36">
    <cfRule type="expression" dxfId="2869" priority="426">
      <formula>$BW$41="Oui"</formula>
    </cfRule>
  </conditionalFormatting>
  <conditionalFormatting sqref="BS21:CA34">
    <cfRule type="expression" dxfId="2868" priority="81">
      <formula>$EO$12="NON"</formula>
    </cfRule>
  </conditionalFormatting>
  <conditionalFormatting sqref="BY28:BY33">
    <cfRule type="notContainsBlanks" dxfId="2867" priority="82">
      <formula>LEN(TRIM(BY28))&gt;0</formula>
    </cfRule>
  </conditionalFormatting>
  <conditionalFormatting sqref="BY56">
    <cfRule type="duplicateValues" dxfId="2866" priority="473"/>
    <cfRule type="expression" dxfId="2865" priority="472">
      <formula>$BW$41="Oui"</formula>
    </cfRule>
  </conditionalFormatting>
  <conditionalFormatting sqref="BY60">
    <cfRule type="expression" dxfId="2864" priority="466">
      <formula>$BW$41="Oui"</formula>
    </cfRule>
    <cfRule type="cellIs" dxfId="2863" priority="467" operator="lessThan">
      <formula>$BY$59</formula>
    </cfRule>
    <cfRule type="duplicateValues" dxfId="2862" priority="468"/>
  </conditionalFormatting>
  <conditionalFormatting sqref="CA56">
    <cfRule type="expression" dxfId="2861" priority="276">
      <formula>AND($CA$56&lt;$CE$47,$BW$41="Non")</formula>
    </cfRule>
  </conditionalFormatting>
  <conditionalFormatting sqref="CB78">
    <cfRule type="cellIs" dxfId="2860" priority="564" stopIfTrue="1" operator="equal">
      <formula>"NON"</formula>
    </cfRule>
    <cfRule type="cellIs" dxfId="2859" priority="565" stopIfTrue="1" operator="equal">
      <formula>"OUI"</formula>
    </cfRule>
  </conditionalFormatting>
  <conditionalFormatting sqref="CE53:CE54">
    <cfRule type="expression" dxfId="2858" priority="153">
      <formula>$BW$41="Non"</formula>
    </cfRule>
  </conditionalFormatting>
  <conditionalFormatting sqref="CE57:CE58">
    <cfRule type="expression" dxfId="2857" priority="152">
      <formula>$BW$41="Non"</formula>
    </cfRule>
  </conditionalFormatting>
  <conditionalFormatting sqref="CE3:CF3">
    <cfRule type="expression" dxfId="2856" priority="114">
      <formula>$CD$3=""</formula>
    </cfRule>
    <cfRule type="expression" dxfId="2855" priority="113">
      <formula>AND($CE$3="",$CE$5&lt;&gt;"")</formula>
    </cfRule>
    <cfRule type="expression" dxfId="2854" priority="112">
      <formula>$FX$3="vrai"</formula>
    </cfRule>
  </conditionalFormatting>
  <conditionalFormatting sqref="CE5:CF5">
    <cfRule type="expression" dxfId="2853" priority="121">
      <formula>OR(AND(CE5&lt;&gt;0,CE5&lt;AJ4),AND(CE5&lt;&gt;0,CE5&gt;EG5),AND(CE5&lt;&gt;0,CE5&lt;AB20))</formula>
    </cfRule>
    <cfRule type="expression" dxfId="2852" priority="120">
      <formula>CD5=""</formula>
    </cfRule>
    <cfRule type="expression" dxfId="2851" priority="119">
      <formula>$FX$5="vrai"</formula>
    </cfRule>
  </conditionalFormatting>
  <conditionalFormatting sqref="CE8:CF8">
    <cfRule type="cellIs" dxfId="2850" priority="118" operator="greaterThan">
      <formula>$CE$5</formula>
    </cfRule>
    <cfRule type="expression" dxfId="2849" priority="117">
      <formula>AND(CE8&lt;&gt;0,CE8&lt;AJ4)</formula>
    </cfRule>
    <cfRule type="expression" dxfId="2848" priority="116">
      <formula>CD8=""</formula>
    </cfRule>
    <cfRule type="expression" dxfId="2847" priority="115">
      <formula>$FX$8="vrai"</formula>
    </cfRule>
  </conditionalFormatting>
  <conditionalFormatting sqref="CF47">
    <cfRule type="notContainsBlanks" dxfId="2846" priority="412">
      <formula>LEN(TRIM(CF47))&gt;0</formula>
    </cfRule>
  </conditionalFormatting>
  <conditionalFormatting sqref="CF49">
    <cfRule type="notContainsBlanks" dxfId="2845" priority="411">
      <formula>LEN(TRIM(CF49))&gt;0</formula>
    </cfRule>
  </conditionalFormatting>
  <conditionalFormatting sqref="CF53:CF54">
    <cfRule type="expression" dxfId="2844" priority="156">
      <formula>$BW$41="Non"</formula>
    </cfRule>
  </conditionalFormatting>
  <conditionalFormatting sqref="CF57:CF58">
    <cfRule type="expression" dxfId="2843" priority="154">
      <formula>$BW$41="Non"</formula>
    </cfRule>
  </conditionalFormatting>
  <conditionalFormatting sqref="CG8:CI8">
    <cfRule type="expression" dxfId="2842" priority="248">
      <formula>CD8=""</formula>
    </cfRule>
  </conditionalFormatting>
  <conditionalFormatting sqref="GW16:HR16">
    <cfRule type="expression" dxfId="2841" priority="402">
      <formula>$AE$123="NON"</formula>
    </cfRule>
  </conditionalFormatting>
  <conditionalFormatting sqref="HG16:HJ16">
    <cfRule type="expression" dxfId="2840" priority="4920">
      <formula>AR123&gt;0</formula>
    </cfRule>
  </conditionalFormatting>
  <conditionalFormatting sqref="HK16:HN16">
    <cfRule type="expression" dxfId="2839" priority="492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7"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1"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DATE(YEAR(Janvier!X3),MONTH(Janvier!X3)+8,DAY(Janvier!X3))</f>
        <v>45901</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36</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IF(Aout!BY8="OUI","Contrat fini",BY2)</f>
        <v>Fiche info</v>
      </c>
      <c r="EF4" s="333" t="s">
        <v>1044</v>
      </c>
      <c r="EG4" s="755">
        <f>+Identification!B95</f>
        <v>0</v>
      </c>
      <c r="FG4" s="333">
        <f>IFERROR(IF(VLOOKUP(AT4,Aout!$AT$4:$AU$10,2,FALSE)&lt;&gt;Septembre!AU4,"rouge","ok"),0)</f>
        <v>0</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45901</v>
      </c>
      <c r="Y5" s="1948"/>
      <c r="Z5" s="1953" t="s">
        <v>460</v>
      </c>
      <c r="AA5" s="1953"/>
      <c r="AB5" s="1948">
        <f>+IF(AND(DATE(YEAR(EG4),MONTH(EG4),DAY(EG4))&gt;=DATE(YEAR(X3),MONTH(X3),DAY(X3)),DATE(YEAR(EG4),MONTH(EG4),DAY(EG4))&lt;=DATE(YEAR(X3),MONTH(X3),DAY(EOMONTH(X3,0)))),EG4,EOMONTH(X3,0))</f>
        <v>45930</v>
      </c>
      <c r="AC5" s="1952"/>
      <c r="AP5" s="211"/>
      <c r="AQ5" s="336"/>
      <c r="AR5" s="211"/>
      <c r="AS5" s="212"/>
      <c r="AT5" s="319">
        <f t="array" ref="AT5">IFERROR(INDEX($BK$20:$BK$50,MATCH(0,INDEX(COUNTIF($AT$3:AT4,$BK$20:$BK$50),0,0),0)),"")</f>
        <v>37</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45930</v>
      </c>
      <c r="FG5" s="333">
        <f>IFERROR(IF(VLOOKUP(AT5,Aout!$AT$4:$AU$10,2,FALSE)&lt;&gt;Septembre!AU5,"rouge","ok"),0)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38</v>
      </c>
      <c r="AU6" s="1144" t="s">
        <v>235</v>
      </c>
      <c r="BQ6" s="596"/>
      <c r="BR6" s="596"/>
      <c r="BS6" s="596"/>
      <c r="BT6" s="596"/>
      <c r="BU6" s="596"/>
      <c r="BV6" s="596"/>
      <c r="BW6" s="596"/>
      <c r="BX6" s="597" t="s">
        <v>520</v>
      </c>
      <c r="BY6" s="598" t="str">
        <f>+IF(BZ6="",Aout!BY6,BZ6)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IFERROR(IF(VLOOKUP(AT6,Aout!$AT$4:$AU$10,2,FALSE)&lt;&gt;Septembre!AU6,"rouge","ok"),0)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39</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IFERROR(IF(VLOOKUP(AT7,Aout!$AT$4:$AU$10,2,FALSE)&lt;&gt;Septembre!AU7,"rouge","ok"),0)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40</v>
      </c>
      <c r="AU8" s="1144" t="s">
        <v>235</v>
      </c>
      <c r="BG8" s="252"/>
      <c r="BH8" s="1462" t="str">
        <f>+AT3</f>
        <v>N° Sem.</v>
      </c>
      <c r="BI8" s="1463" t="s">
        <v>1580</v>
      </c>
      <c r="BQ8" s="2132" t="s">
        <v>219</v>
      </c>
      <c r="BR8" s="2133"/>
      <c r="BS8" s="2133"/>
      <c r="BT8" s="2133"/>
      <c r="BU8" s="2133"/>
      <c r="BV8" s="2133"/>
      <c r="BW8" s="2133"/>
      <c r="BX8" s="2133"/>
      <c r="BY8" s="985" t="str">
        <f>IF(BZ8="",Aout!BY8,BZ8)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IFERROR(IF(VLOOKUP(AT8,Aout!$AT$4:$AU$10,2,FALSE)&lt;&gt;Septembre!AU8,"rouge","ok"),0)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362025</v>
      </c>
      <c r="BH9" s="1464">
        <f t="shared" ref="BH9:BH14" si="0">+AT4</f>
        <v>36</v>
      </c>
      <c r="BI9" s="1465">
        <f>IF($AR$13=S.CAL!$CU$2,+SUMIF(S.CAL!$FW$3:$FW$374,BG9,S.CAL!$FX$3:$FX$374),IF($AR$13=S.CAL!$CU$3,SUMIF(Feuilles_de_présence_planning!$EG$12:$EG$537,BG9,Feuilles_de_présence_planning!$EE$12:$EE$537),"err"))</f>
        <v>0</v>
      </c>
      <c r="BY9" s="198" t="str">
        <f>+IF(Aout!BY8="OUI","FIN","O")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IFERROR(IF(VLOOKUP(AT9,Aout!$AT$4:$AU$10,2,FALSE)&lt;&gt;Septembre!AU9,"rouge","ok"),0)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372025</v>
      </c>
      <c r="BH10" s="1464">
        <f t="shared" si="0"/>
        <v>37</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IFERROR(IF(VLOOKUP(AT10,Aout!$AT$4:$AU$10,2,FALSE)&lt;&gt;Septembre!AU10,"rouge","ok"),0)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382025</v>
      </c>
      <c r="BH11" s="1464">
        <f t="shared" si="0"/>
        <v>38</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392025</v>
      </c>
      <c r="BH12" s="1464">
        <f t="shared" si="0"/>
        <v>39</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4</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IF(AR14="",Aout!AR13,AR14)</f>
        <v>à partir du tableau ci-dessous</v>
      </c>
      <c r="AS13" s="2296"/>
      <c r="AT13" s="2296"/>
      <c r="AU13" s="2296"/>
      <c r="AV13" s="2296"/>
      <c r="AW13" s="2296"/>
      <c r="AX13" s="2296"/>
      <c r="AY13" s="2296"/>
      <c r="AZ13" s="2296"/>
      <c r="BA13" s="2308" t="s">
        <v>1102</v>
      </c>
      <c r="BB13" s="2308"/>
      <c r="BC13" s="2308"/>
      <c r="BD13" s="971"/>
      <c r="BG13" s="1453" t="str">
        <f t="shared" si="1"/>
        <v>402025</v>
      </c>
      <c r="BH13" s="1464">
        <f t="shared" si="0"/>
        <v>40</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Aout!EO13+Aout!R89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+Aout!EF16</f>
        <v>0</v>
      </c>
      <c r="EG16" s="759">
        <f>+Aout!EG16</f>
        <v>0</v>
      </c>
      <c r="EH16" s="759">
        <f>+Aout!EH16+Aout!EH17</f>
        <v>0</v>
      </c>
      <c r="EI16" s="759">
        <f>+Aout!EI16+Aout!EI17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Sept'!D18:D48,"&gt;0")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45901</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36</v>
      </c>
      <c r="AQ20" s="340"/>
      <c r="AR20" s="1145"/>
      <c r="AS20" s="332">
        <f t="shared" ref="AS20:AS50" si="3">SUM(AD20:AL20)</f>
        <v>0</v>
      </c>
      <c r="AT20" s="1146"/>
      <c r="AU20" s="1146"/>
      <c r="AV20" s="332"/>
      <c r="AW20" s="1989">
        <f>AB20</f>
        <v>45901</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infoA1</v>
      </c>
      <c r="BK20" s="129">
        <f>IFERROR(WEEKNUM(AB20,21),"")</f>
        <v>36</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26</v>
      </c>
      <c r="EQ20" s="766">
        <f>+AB20</f>
        <v>45901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45901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36</v>
      </c>
      <c r="GA20" s="129">
        <f>+$X$4</f>
        <v>2025</v>
      </c>
      <c r="GB20" s="129" t="str">
        <f>+FZ20&amp;GA20</f>
        <v>362025</v>
      </c>
      <c r="GC20" s="225">
        <f>IF(AND($GD$53=S.CAL!$P$3,$GD$52=FZ20),GE20,IF(BH20="",0,BH20))</f>
        <v>0</v>
      </c>
      <c r="GD20" s="129" t="str">
        <f>IFERROR(+Octobre!$BY$2&amp;BL20&amp;BM20,0)</f>
        <v>Fiche infoA1</v>
      </c>
      <c r="GE20" s="129" t="str">
        <f t="shared" ref="GE20:GE50" si="19">+IFERROR(VLOOKUP(GD20,Base_heures,6,FALSE),"")</f>
        <v/>
      </c>
      <c r="GF20" s="225" t="str">
        <f>IF(FP20=1,GG20,AM20)</f>
        <v/>
      </c>
      <c r="GG20" s="1469" t="str">
        <f>+'Retenue Sept'!D18</f>
        <v/>
      </c>
      <c r="GH20" s="1469">
        <f>+'Retenue Sept'!BF18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45902</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45902</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infoA2</v>
      </c>
      <c r="BK21" s="129">
        <f t="shared" ref="BK21" si="27">IFERROR(WEEKNUM(AB21,21),"")</f>
        <v>36</v>
      </c>
      <c r="BL21" s="129" t="str">
        <f t="shared" si="4"/>
        <v>A</v>
      </c>
      <c r="BM21" s="129">
        <f t="shared" si="5"/>
        <v>2</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45901</v>
      </c>
      <c r="EJ21" s="755"/>
      <c r="EK21" s="755"/>
      <c r="EQ21" s="766">
        <f t="shared" ref="EQ21" si="28">+AB21</f>
        <v>45902</v>
      </c>
      <c r="ER21" s="767">
        <f t="shared" si="10"/>
        <v>0</v>
      </c>
      <c r="ES21" s="768">
        <f t="shared" si="11"/>
        <v>0</v>
      </c>
      <c r="ET21" s="767">
        <f t="shared" si="12"/>
        <v>0</v>
      </c>
      <c r="EU21" s="768">
        <f t="shared" si="13"/>
        <v>0</v>
      </c>
      <c r="EV21" s="767" t="str">
        <f t="shared" si="14"/>
        <v/>
      </c>
      <c r="EW21" s="769">
        <f t="shared" ref="EW21:EW50" si="29">+EQ21</f>
        <v>45902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36</v>
      </c>
      <c r="GA21" s="129">
        <f t="shared" ref="GA21:GA50" si="39">+$X$4</f>
        <v>2025</v>
      </c>
      <c r="GB21" s="129" t="str">
        <f t="shared" ref="GB21:GB48" si="40">+FZ21&amp;GA21</f>
        <v>362025</v>
      </c>
      <c r="GC21" s="225">
        <f>IF(AND($GD$53=S.CAL!$P$3,$GD$52=FZ21),GE21,IF(BH21="",0,BH21))</f>
        <v>0</v>
      </c>
      <c r="GD21" s="129" t="str">
        <f>IFERROR(+Octobre!$BY$2&amp;BL21&amp;BM21,0)</f>
        <v>Fiche infoA2</v>
      </c>
      <c r="GE21" s="129" t="str">
        <f t="shared" si="19"/>
        <v/>
      </c>
      <c r="GF21" s="225" t="str">
        <f t="shared" ref="GF21:GF48" si="41">IF(FP21=1,GG21,AM21)</f>
        <v/>
      </c>
      <c r="GG21" s="1469" t="str">
        <f>+'Retenue Sept'!D19</f>
        <v/>
      </c>
      <c r="GH21" s="1469">
        <f>+'Retenue Sept'!BF19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45903</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45903</v>
      </c>
      <c r="AX22" s="1878"/>
      <c r="AY22" s="332"/>
      <c r="AZ22" s="1126"/>
      <c r="BA22" s="993"/>
      <c r="BB22" s="561"/>
      <c r="BC22" s="566">
        <f t="shared" si="23"/>
        <v>0</v>
      </c>
      <c r="BD22" s="1126"/>
      <c r="BE22" s="825">
        <f t="shared" si="24"/>
        <v>0</v>
      </c>
      <c r="BF22" s="1150"/>
      <c r="BG22" s="224"/>
      <c r="BH22" s="566" t="str">
        <f t="shared" si="25"/>
        <v/>
      </c>
      <c r="BI22" s="1150"/>
      <c r="BJ22" s="129" t="str">
        <f t="shared" si="26"/>
        <v>Fiche infoA3</v>
      </c>
      <c r="BK22" s="129">
        <f t="shared" ref="BK22:BK50" si="49">IFERROR(WEEKNUM(AB22,21),"")</f>
        <v>36</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45930</v>
      </c>
      <c r="EJ22" s="755"/>
      <c r="EK22" s="755"/>
      <c r="EQ22" s="766">
        <f t="shared" ref="EQ22:EQ50" si="53">+AB22</f>
        <v>45903</v>
      </c>
      <c r="ER22" s="767">
        <f t="shared" si="10"/>
        <v>0</v>
      </c>
      <c r="ES22" s="768">
        <f t="shared" si="11"/>
        <v>0</v>
      </c>
      <c r="ET22" s="767">
        <f t="shared" si="12"/>
        <v>0</v>
      </c>
      <c r="EU22" s="768">
        <f t="shared" si="13"/>
        <v>0</v>
      </c>
      <c r="EV22" s="767" t="str">
        <f t="shared" si="14"/>
        <v/>
      </c>
      <c r="EW22" s="769">
        <f t="shared" si="29"/>
        <v>45903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36</v>
      </c>
      <c r="GA22" s="129">
        <f t="shared" si="39"/>
        <v>2025</v>
      </c>
      <c r="GB22" s="129" t="str">
        <f t="shared" si="40"/>
        <v>362025</v>
      </c>
      <c r="GC22" s="225">
        <f>IF(AND($GD$53=S.CAL!$P$3,$GD$52=FZ22),GE22,IF(BH22="",0,BH22))</f>
        <v>0</v>
      </c>
      <c r="GD22" s="129" t="str">
        <f>IFERROR(+Octobre!$BY$2&amp;BL22&amp;BM22,0)</f>
        <v>Fiche infoA3</v>
      </c>
      <c r="GE22" s="129" t="str">
        <f t="shared" si="19"/>
        <v/>
      </c>
      <c r="GF22" s="225" t="str">
        <f t="shared" si="41"/>
        <v/>
      </c>
      <c r="GG22" s="1469" t="str">
        <f>+'Retenue Sept'!D20</f>
        <v/>
      </c>
      <c r="GH22" s="1469">
        <f>+'Retenue Sept'!BF20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45904</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45904</v>
      </c>
      <c r="AX23" s="1878"/>
      <c r="AY23" s="332"/>
      <c r="AZ23" s="1126"/>
      <c r="BA23" s="993"/>
      <c r="BB23" s="561"/>
      <c r="BC23" s="566">
        <f t="shared" si="23"/>
        <v>0</v>
      </c>
      <c r="BD23" s="1126"/>
      <c r="BE23" s="825">
        <f t="shared" si="24"/>
        <v>0</v>
      </c>
      <c r="BF23" s="1150"/>
      <c r="BG23" s="224"/>
      <c r="BH23" s="566" t="str">
        <f t="shared" si="25"/>
        <v/>
      </c>
      <c r="BI23" s="1150"/>
      <c r="BJ23" s="129" t="str">
        <f t="shared" si="26"/>
        <v>Fiche infoA4</v>
      </c>
      <c r="BK23" s="129">
        <f t="shared" si="49"/>
        <v>36</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45904</v>
      </c>
      <c r="ER23" s="767">
        <f t="shared" si="10"/>
        <v>0</v>
      </c>
      <c r="ES23" s="768">
        <f t="shared" si="11"/>
        <v>0</v>
      </c>
      <c r="ET23" s="767">
        <f t="shared" si="12"/>
        <v>0</v>
      </c>
      <c r="EU23" s="768">
        <f t="shared" si="13"/>
        <v>0</v>
      </c>
      <c r="EV23" s="767" t="str">
        <f t="shared" si="14"/>
        <v/>
      </c>
      <c r="EW23" s="769">
        <f t="shared" si="29"/>
        <v>45904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36</v>
      </c>
      <c r="GA23" s="129">
        <f t="shared" si="39"/>
        <v>2025</v>
      </c>
      <c r="GB23" s="129" t="str">
        <f t="shared" si="40"/>
        <v>362025</v>
      </c>
      <c r="GC23" s="225">
        <f>IF(AND($GD$53=S.CAL!$P$3,$GD$52=FZ23),GE23,IF(BH23="",0,BH23))</f>
        <v>0</v>
      </c>
      <c r="GD23" s="129" t="str">
        <f>IFERROR(+Octobre!$BY$2&amp;BL23&amp;BM23,0)</f>
        <v>Fiche infoA4</v>
      </c>
      <c r="GE23" s="129" t="str">
        <f t="shared" si="19"/>
        <v/>
      </c>
      <c r="GF23" s="225" t="str">
        <f t="shared" si="41"/>
        <v/>
      </c>
      <c r="GG23" s="1469" t="str">
        <f>+'Retenue Sept'!D21</f>
        <v/>
      </c>
      <c r="GH23" s="1469">
        <f>+'Retenue Sept'!BF21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45905</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45905</v>
      </c>
      <c r="AX24" s="1878"/>
      <c r="AY24" s="332"/>
      <c r="AZ24" s="1126"/>
      <c r="BA24" s="993"/>
      <c r="BB24" s="561"/>
      <c r="BC24" s="566">
        <f t="shared" si="23"/>
        <v>0</v>
      </c>
      <c r="BD24" s="1126"/>
      <c r="BE24" s="825">
        <f t="shared" si="24"/>
        <v>0</v>
      </c>
      <c r="BF24" s="1150"/>
      <c r="BG24" s="224"/>
      <c r="BH24" s="566" t="str">
        <f t="shared" si="25"/>
        <v/>
      </c>
      <c r="BI24" s="1150"/>
      <c r="BJ24" s="129" t="str">
        <f t="shared" si="26"/>
        <v>Fiche infoA5</v>
      </c>
      <c r="BK24" s="129">
        <f t="shared" si="49"/>
        <v>36</v>
      </c>
      <c r="BL24" s="129" t="str">
        <f t="shared" si="4"/>
        <v>A</v>
      </c>
      <c r="BM24" s="129">
        <f t="shared" si="50"/>
        <v>5</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45905</v>
      </c>
      <c r="ER24" s="767">
        <f t="shared" si="10"/>
        <v>0</v>
      </c>
      <c r="ES24" s="768">
        <f t="shared" si="11"/>
        <v>0</v>
      </c>
      <c r="ET24" s="767">
        <f t="shared" si="12"/>
        <v>0</v>
      </c>
      <c r="EU24" s="768">
        <f t="shared" si="13"/>
        <v>0</v>
      </c>
      <c r="EV24" s="767" t="str">
        <f t="shared" si="14"/>
        <v/>
      </c>
      <c r="EW24" s="769">
        <f t="shared" si="29"/>
        <v>45905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36</v>
      </c>
      <c r="GA24" s="129">
        <f t="shared" si="39"/>
        <v>2025</v>
      </c>
      <c r="GB24" s="129" t="str">
        <f t="shared" si="40"/>
        <v>362025</v>
      </c>
      <c r="GC24" s="225">
        <f>IF(AND($GD$53=S.CAL!$P$3,$GD$52=FZ24),GE24,IF(BH24="",0,BH24))</f>
        <v>0</v>
      </c>
      <c r="GD24" s="129" t="str">
        <f>IFERROR(+Octobre!$BY$2&amp;BL24&amp;BM24,0)</f>
        <v>Fiche infoA5</v>
      </c>
      <c r="GE24" s="129" t="str">
        <f t="shared" si="19"/>
        <v/>
      </c>
      <c r="GF24" s="225" t="str">
        <f t="shared" si="41"/>
        <v/>
      </c>
      <c r="GG24" s="1469" t="str">
        <f>+'Retenue Sept'!D22</f>
        <v/>
      </c>
      <c r="GH24" s="1469">
        <f>+'Retenue Sept'!BF22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Sept'!R48*-1)</f>
        <v>#DIV/0!</v>
      </c>
      <c r="M25" s="1811"/>
      <c r="N25" s="1811"/>
      <c r="O25" s="1812"/>
      <c r="P25" s="1816" t="e">
        <f>+IF(L25,T25/L25,0)</f>
        <v>#DIV/0!</v>
      </c>
      <c r="Q25" s="1817"/>
      <c r="R25" s="1817"/>
      <c r="S25" s="1818"/>
      <c r="T25" s="1913">
        <f>IF(A18="Salaire heures normales réelles",0,'Retenue Sept'!R52*-1)</f>
        <v>0</v>
      </c>
      <c r="U25" s="1914"/>
      <c r="V25" s="1914"/>
      <c r="W25" s="1915"/>
      <c r="X25" s="226"/>
      <c r="Y25" s="226"/>
      <c r="Z25" s="226"/>
      <c r="AA25" s="903" t="str">
        <f>IF(AND(BE25="OUI",$AR$13=S.CAL!$CU$2),"►",IF(AND(EV25="OUI",$AR$13=S.CAL!$CU$3),"►",""))</f>
        <v/>
      </c>
      <c r="AB25" s="1877">
        <f>+$X$3+5</f>
        <v>45906</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45906</v>
      </c>
      <c r="AX25" s="1878"/>
      <c r="AY25" s="332"/>
      <c r="AZ25" s="1126"/>
      <c r="BA25" s="993"/>
      <c r="BB25" s="561"/>
      <c r="BC25" s="566">
        <f t="shared" si="23"/>
        <v>0</v>
      </c>
      <c r="BD25" s="1126"/>
      <c r="BE25" s="825">
        <f t="shared" si="24"/>
        <v>0</v>
      </c>
      <c r="BF25" s="1150"/>
      <c r="BG25" s="224"/>
      <c r="BH25" s="566" t="str">
        <f t="shared" si="25"/>
        <v/>
      </c>
      <c r="BI25" s="1150"/>
      <c r="BJ25" s="129" t="str">
        <f t="shared" si="26"/>
        <v>Fiche infoA6</v>
      </c>
      <c r="BK25" s="129">
        <f t="shared" si="49"/>
        <v>36</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45906</v>
      </c>
      <c r="ER25" s="767">
        <f t="shared" si="10"/>
        <v>0</v>
      </c>
      <c r="ES25" s="768">
        <f t="shared" si="11"/>
        <v>0</v>
      </c>
      <c r="ET25" s="767">
        <f t="shared" si="12"/>
        <v>0</v>
      </c>
      <c r="EU25" s="768">
        <f t="shared" si="13"/>
        <v>0</v>
      </c>
      <c r="EV25" s="767" t="str">
        <f t="shared" si="14"/>
        <v/>
      </c>
      <c r="EW25" s="769">
        <f t="shared" si="29"/>
        <v>45906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36</v>
      </c>
      <c r="GA25" s="129">
        <f t="shared" si="39"/>
        <v>2025</v>
      </c>
      <c r="GB25" s="129" t="str">
        <f t="shared" si="40"/>
        <v>362025</v>
      </c>
      <c r="GC25" s="225">
        <f>IF(AND($GD$53=S.CAL!$P$3,$GD$52=FZ25),GE25,IF(BH25="",0,BH25))</f>
        <v>0</v>
      </c>
      <c r="GD25" s="129" t="str">
        <f>IFERROR(+Octobre!$BY$2&amp;BL25&amp;BM25,0)</f>
        <v>Fiche infoA6</v>
      </c>
      <c r="GE25" s="129" t="str">
        <f t="shared" si="19"/>
        <v/>
      </c>
      <c r="GF25" s="225" t="str">
        <f t="shared" si="41"/>
        <v/>
      </c>
      <c r="GG25" s="1469" t="str">
        <f>+'Retenue Sept'!D23</f>
        <v/>
      </c>
      <c r="GH25" s="1469">
        <f>+'Retenue Sept'!BF23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Sept'!R50*-1)</f>
        <v>#DIV/0!</v>
      </c>
      <c r="M26" s="1811"/>
      <c r="N26" s="1811"/>
      <c r="O26" s="1812"/>
      <c r="P26" s="1816" t="e">
        <f>+IF(L26,T26/L26,0)</f>
        <v>#DIV/0!</v>
      </c>
      <c r="Q26" s="1817"/>
      <c r="R26" s="1817"/>
      <c r="S26" s="1818"/>
      <c r="T26" s="1913">
        <f>IF(A18="Salaire heures normales réelles",0,'Retenue Sept'!R54*-1)</f>
        <v>0</v>
      </c>
      <c r="U26" s="1914"/>
      <c r="V26" s="1914"/>
      <c r="W26" s="1915"/>
      <c r="X26" s="223"/>
      <c r="Y26" s="223"/>
      <c r="Z26" s="223"/>
      <c r="AA26" s="903" t="str">
        <f>IF(AND(BE26="OUI",$AR$13=S.CAL!$CU$2),"►",IF(AND(EV26="OUI",$AR$13=S.CAL!$CU$3),"►",""))</f>
        <v/>
      </c>
      <c r="AB26" s="1877">
        <f>+$X$3+6</f>
        <v>45907</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45907</v>
      </c>
      <c r="AX26" s="1878"/>
      <c r="AY26" s="332"/>
      <c r="AZ26" s="1126"/>
      <c r="BA26" s="993"/>
      <c r="BB26" s="561"/>
      <c r="BC26" s="566">
        <f t="shared" si="23"/>
        <v>0</v>
      </c>
      <c r="BD26" s="1126"/>
      <c r="BE26" s="825">
        <f t="shared" si="24"/>
        <v>0</v>
      </c>
      <c r="BF26" s="1150"/>
      <c r="BG26" s="224"/>
      <c r="BH26" s="566" t="str">
        <f t="shared" si="25"/>
        <v/>
      </c>
      <c r="BI26" s="1150"/>
      <c r="BJ26" s="129" t="str">
        <f t="shared" si="26"/>
        <v>Fiche infoA7</v>
      </c>
      <c r="BK26" s="129">
        <f t="shared" si="49"/>
        <v>36</v>
      </c>
      <c r="BL26" s="129" t="str">
        <f t="shared" si="4"/>
        <v>A</v>
      </c>
      <c r="BM26" s="129">
        <f t="shared" si="50"/>
        <v>7</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45907</v>
      </c>
      <c r="ER26" s="767">
        <f t="shared" si="10"/>
        <v>0</v>
      </c>
      <c r="ES26" s="768">
        <f t="shared" si="11"/>
        <v>0</v>
      </c>
      <c r="ET26" s="767">
        <f t="shared" si="12"/>
        <v>0</v>
      </c>
      <c r="EU26" s="768">
        <f t="shared" si="13"/>
        <v>0</v>
      </c>
      <c r="EV26" s="767" t="str">
        <f t="shared" si="14"/>
        <v/>
      </c>
      <c r="EW26" s="769">
        <f t="shared" si="29"/>
        <v>45907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36</v>
      </c>
      <c r="GA26" s="129">
        <f t="shared" si="39"/>
        <v>2025</v>
      </c>
      <c r="GB26" s="129" t="str">
        <f t="shared" si="40"/>
        <v>362025</v>
      </c>
      <c r="GC26" s="225">
        <f>IF(AND($GD$53=S.CAL!$P$3,$GD$52=FZ26),GE26,IF(BH26="",0,BH26))</f>
        <v>0</v>
      </c>
      <c r="GD26" s="129" t="str">
        <f>IFERROR(+Octobre!$BY$2&amp;BL26&amp;BM26,0)</f>
        <v>Fiche infoA7</v>
      </c>
      <c r="GE26" s="129" t="str">
        <f t="shared" si="19"/>
        <v/>
      </c>
      <c r="GF26" s="225" t="str">
        <f t="shared" si="41"/>
        <v/>
      </c>
      <c r="GG26" s="1469" t="str">
        <f>+'Retenue Sept'!D24</f>
        <v/>
      </c>
      <c r="GH26" s="1469">
        <f>+'Retenue Sept'!BF24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45908</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f t="shared" si="48"/>
        <v>37</v>
      </c>
      <c r="AQ27" s="340"/>
      <c r="AR27" s="1126"/>
      <c r="AS27" s="332">
        <f t="shared" si="3"/>
        <v>0</v>
      </c>
      <c r="AT27" s="1147"/>
      <c r="AU27" s="1147"/>
      <c r="AV27" s="332"/>
      <c r="AW27" s="2017">
        <f t="shared" si="22"/>
        <v>45908</v>
      </c>
      <c r="AX27" s="1878"/>
      <c r="AY27" s="332"/>
      <c r="AZ27" s="1126"/>
      <c r="BA27" s="993"/>
      <c r="BB27" s="561"/>
      <c r="BC27" s="566">
        <f t="shared" si="23"/>
        <v>0</v>
      </c>
      <c r="BD27" s="1126"/>
      <c r="BE27" s="825">
        <f t="shared" si="24"/>
        <v>0</v>
      </c>
      <c r="BF27" s="1150"/>
      <c r="BG27" s="224"/>
      <c r="BH27" s="566" t="str">
        <f t="shared" si="25"/>
        <v/>
      </c>
      <c r="BI27" s="1150"/>
      <c r="BJ27" s="129" t="str">
        <f t="shared" si="26"/>
        <v>Fiche infoA1</v>
      </c>
      <c r="BK27" s="129">
        <f t="shared" si="49"/>
        <v>37</v>
      </c>
      <c r="BL27" s="129" t="str">
        <f t="shared" si="4"/>
        <v>A</v>
      </c>
      <c r="BM27" s="129">
        <f t="shared" si="50"/>
        <v>1</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45908</v>
      </c>
      <c r="ER27" s="767">
        <f t="shared" si="10"/>
        <v>0</v>
      </c>
      <c r="ES27" s="768">
        <f t="shared" si="11"/>
        <v>0</v>
      </c>
      <c r="ET27" s="767">
        <f t="shared" si="12"/>
        <v>0</v>
      </c>
      <c r="EU27" s="768">
        <f t="shared" si="13"/>
        <v>0</v>
      </c>
      <c r="EV27" s="767" t="str">
        <f t="shared" si="14"/>
        <v/>
      </c>
      <c r="EW27" s="769">
        <f t="shared" si="29"/>
        <v>45908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37</v>
      </c>
      <c r="GA27" s="129">
        <f t="shared" si="39"/>
        <v>2025</v>
      </c>
      <c r="GB27" s="129" t="str">
        <f t="shared" si="40"/>
        <v>372025</v>
      </c>
      <c r="GC27" s="225">
        <f>IF(AND($GD$53=S.CAL!$P$3,$GD$52=FZ27),GE27,IF(BH27="",0,BH27))</f>
        <v>0</v>
      </c>
      <c r="GD27" s="129" t="str">
        <f>IFERROR(+Octobre!$BY$2&amp;BL27&amp;BM27,0)</f>
        <v>Fiche infoA1</v>
      </c>
      <c r="GE27" s="129" t="str">
        <f t="shared" si="19"/>
        <v/>
      </c>
      <c r="GF27" s="225" t="str">
        <f t="shared" si="41"/>
        <v/>
      </c>
      <c r="GG27" s="1469" t="str">
        <f>+'Retenue Sept'!D25</f>
        <v/>
      </c>
      <c r="GH27" s="1469">
        <f>+'Retenue Sept'!BF25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45909</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45909</v>
      </c>
      <c r="AX28" s="1878"/>
      <c r="AY28" s="332"/>
      <c r="AZ28" s="1126"/>
      <c r="BA28" s="993"/>
      <c r="BB28" s="561"/>
      <c r="BC28" s="566">
        <f t="shared" si="23"/>
        <v>0</v>
      </c>
      <c r="BD28" s="1126"/>
      <c r="BE28" s="825">
        <f t="shared" si="24"/>
        <v>0</v>
      </c>
      <c r="BF28" s="1150"/>
      <c r="BG28" s="224"/>
      <c r="BH28" s="566" t="str">
        <f t="shared" si="25"/>
        <v/>
      </c>
      <c r="BI28" s="1150"/>
      <c r="BJ28" s="129" t="str">
        <f t="shared" si="26"/>
        <v>Fiche infoA2</v>
      </c>
      <c r="BK28" s="129">
        <f t="shared" si="49"/>
        <v>37</v>
      </c>
      <c r="BL28" s="129" t="str">
        <f t="shared" si="4"/>
        <v>A</v>
      </c>
      <c r="BM28" s="129">
        <f t="shared" si="50"/>
        <v>2</v>
      </c>
      <c r="BN28" s="225" t="str">
        <f t="shared" si="60"/>
        <v>Fiche info</v>
      </c>
      <c r="BO28" s="332" t="str">
        <f t="shared" si="51"/>
        <v/>
      </c>
      <c r="BP28" s="198" t="str">
        <f t="shared" si="52"/>
        <v/>
      </c>
      <c r="BQ28" s="198"/>
      <c r="BS28" s="2012" t="str">
        <f>+"Semaine numéro : "&amp;AT4</f>
        <v>Semaine numéro : 36</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+SUMIF(Aout!$BK$20:$BK$50,AT4,Aout!$AM$20:$AO$50)</f>
        <v>0</v>
      </c>
      <c r="CD28" s="198">
        <f>+SUMIF(Octobre!$BK$20:$BK$50,AT4,Octobre!$AM$20:$AO$50)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45909</v>
      </c>
      <c r="ER28" s="767">
        <f t="shared" si="10"/>
        <v>0</v>
      </c>
      <c r="ES28" s="768">
        <f t="shared" si="11"/>
        <v>0</v>
      </c>
      <c r="ET28" s="767">
        <f t="shared" si="12"/>
        <v>0</v>
      </c>
      <c r="EU28" s="768">
        <f t="shared" si="13"/>
        <v>0</v>
      </c>
      <c r="EV28" s="767" t="str">
        <f t="shared" si="14"/>
        <v/>
      </c>
      <c r="EW28" s="769">
        <f t="shared" si="29"/>
        <v>45909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37</v>
      </c>
      <c r="GA28" s="129">
        <f t="shared" si="39"/>
        <v>2025</v>
      </c>
      <c r="GB28" s="129" t="str">
        <f t="shared" si="40"/>
        <v>372025</v>
      </c>
      <c r="GC28" s="225">
        <f>IF(AND($GD$53=S.CAL!$P$3,$GD$52=FZ28),GE28,IF(BH28="",0,BH28))</f>
        <v>0</v>
      </c>
      <c r="GD28" s="129" t="str">
        <f>IFERROR(+Octobre!$BY$2&amp;BL28&amp;BM28,0)</f>
        <v>Fiche infoA2</v>
      </c>
      <c r="GE28" s="129" t="str">
        <f t="shared" si="19"/>
        <v/>
      </c>
      <c r="GF28" s="225" t="str">
        <f t="shared" si="41"/>
        <v/>
      </c>
      <c r="GG28" s="1469" t="str">
        <f>+'Retenue Sept'!D26</f>
        <v/>
      </c>
      <c r="GH28" s="1469">
        <f>+'Retenue Sept'!BF26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45910</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45910</v>
      </c>
      <c r="AX29" s="1878"/>
      <c r="AY29" s="332"/>
      <c r="AZ29" s="1126"/>
      <c r="BA29" s="993"/>
      <c r="BB29" s="561"/>
      <c r="BC29" s="566">
        <f t="shared" si="23"/>
        <v>0</v>
      </c>
      <c r="BD29" s="1126"/>
      <c r="BE29" s="825">
        <f t="shared" si="24"/>
        <v>0</v>
      </c>
      <c r="BF29" s="1150"/>
      <c r="BG29" s="224"/>
      <c r="BH29" s="566" t="str">
        <f t="shared" si="25"/>
        <v/>
      </c>
      <c r="BI29" s="1150"/>
      <c r="BJ29" s="129" t="str">
        <f t="shared" si="26"/>
        <v>Fiche infoA3</v>
      </c>
      <c r="BK29" s="129">
        <f t="shared" si="49"/>
        <v>37</v>
      </c>
      <c r="BL29" s="129" t="str">
        <f t="shared" si="4"/>
        <v>A</v>
      </c>
      <c r="BM29" s="129">
        <f t="shared" si="50"/>
        <v>3</v>
      </c>
      <c r="BN29" s="225" t="str">
        <f t="shared" si="60"/>
        <v>Fiche info</v>
      </c>
      <c r="BO29" s="332" t="str">
        <f t="shared" si="51"/>
        <v/>
      </c>
      <c r="BP29" s="198" t="str">
        <f t="shared" si="52"/>
        <v/>
      </c>
      <c r="BQ29" s="198"/>
      <c r="BS29" s="2012" t="str">
        <f t="shared" ref="BS29:BS33" si="64">+"Semaine numéro : "&amp;AT5</f>
        <v>Semaine numéro : 37</v>
      </c>
      <c r="BT29" s="2013"/>
      <c r="BU29" s="2013"/>
      <c r="BV29" s="2013"/>
      <c r="BW29" s="2013"/>
      <c r="BX29" s="2014"/>
      <c r="BY29" s="1137"/>
      <c r="BZ29" s="674">
        <f t="shared" ref="BZ29:BZ33" si="65">+IF(BY29="",IF(AND(CC29&gt;0,CB29&gt;0),CC29+CB29,IF(CD29&gt;0,0,CB29)),BY29)</f>
        <v>0</v>
      </c>
      <c r="CA29" s="673">
        <f t="shared" si="62"/>
        <v>0</v>
      </c>
      <c r="CB29" s="198">
        <f t="shared" si="63"/>
        <v>0</v>
      </c>
      <c r="CC29" s="198">
        <f>+SUMIF(Aout!$BK$20:$BK$50,AT5,Aout!$AM$20:$AO$50)</f>
        <v>0</v>
      </c>
      <c r="CD29" s="198">
        <f>+SUMIF(Octobre!$BK$20:$BK$50,AT5,Octobre!$AM$20:$AO$50)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45910</v>
      </c>
      <c r="ER29" s="767">
        <f t="shared" si="10"/>
        <v>0</v>
      </c>
      <c r="ES29" s="768">
        <f t="shared" si="11"/>
        <v>0</v>
      </c>
      <c r="ET29" s="767">
        <f t="shared" si="12"/>
        <v>0</v>
      </c>
      <c r="EU29" s="768">
        <f t="shared" si="13"/>
        <v>0</v>
      </c>
      <c r="EV29" s="767" t="str">
        <f t="shared" si="14"/>
        <v/>
      </c>
      <c r="EW29" s="769">
        <f t="shared" si="29"/>
        <v>45910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37</v>
      </c>
      <c r="GA29" s="129">
        <f t="shared" si="39"/>
        <v>2025</v>
      </c>
      <c r="GB29" s="129" t="str">
        <f t="shared" si="40"/>
        <v>372025</v>
      </c>
      <c r="GC29" s="225">
        <f>IF(AND($GD$53=S.CAL!$P$3,$GD$52=FZ29),GE29,IF(BH29="",0,BH29))</f>
        <v>0</v>
      </c>
      <c r="GD29" s="129" t="str">
        <f>IFERROR(+Octobre!$BY$2&amp;BL29&amp;BM29,0)</f>
        <v>Fiche infoA3</v>
      </c>
      <c r="GE29" s="129" t="str">
        <f t="shared" si="19"/>
        <v/>
      </c>
      <c r="GF29" s="225" t="str">
        <f t="shared" si="41"/>
        <v/>
      </c>
      <c r="GG29" s="1469" t="str">
        <f>+'Retenue Sept'!D27</f>
        <v/>
      </c>
      <c r="GH29" s="1469">
        <f>+'Retenue Sept'!BF27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45911</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45911</v>
      </c>
      <c r="AX30" s="1878"/>
      <c r="AY30" s="332"/>
      <c r="AZ30" s="1126"/>
      <c r="BA30" s="993"/>
      <c r="BB30" s="561"/>
      <c r="BC30" s="566">
        <f t="shared" si="23"/>
        <v>0</v>
      </c>
      <c r="BD30" s="1126"/>
      <c r="BE30" s="825">
        <f t="shared" si="24"/>
        <v>0</v>
      </c>
      <c r="BF30" s="1150"/>
      <c r="BG30" s="224"/>
      <c r="BH30" s="566" t="str">
        <f t="shared" si="25"/>
        <v/>
      </c>
      <c r="BI30" s="1150"/>
      <c r="BJ30" s="129" t="str">
        <f t="shared" si="26"/>
        <v>Fiche infoA4</v>
      </c>
      <c r="BK30" s="129">
        <f t="shared" si="49"/>
        <v>37</v>
      </c>
      <c r="BL30" s="129" t="str">
        <f t="shared" si="4"/>
        <v>A</v>
      </c>
      <c r="BM30" s="129">
        <f t="shared" si="50"/>
        <v>4</v>
      </c>
      <c r="BN30" s="225" t="str">
        <f t="shared" si="60"/>
        <v>Fiche info</v>
      </c>
      <c r="BO30" s="332" t="str">
        <f t="shared" si="51"/>
        <v/>
      </c>
      <c r="BP30" s="198" t="str">
        <f t="shared" si="52"/>
        <v/>
      </c>
      <c r="BQ30" s="198"/>
      <c r="BS30" s="2012" t="str">
        <f t="shared" si="64"/>
        <v>Semaine numéro : 38</v>
      </c>
      <c r="BT30" s="2013"/>
      <c r="BU30" s="2013"/>
      <c r="BV30" s="2013"/>
      <c r="BW30" s="2013"/>
      <c r="BX30" s="2014"/>
      <c r="BY30" s="1137"/>
      <c r="BZ30" s="674">
        <f t="shared" si="65"/>
        <v>0</v>
      </c>
      <c r="CA30" s="673">
        <f t="shared" si="62"/>
        <v>0</v>
      </c>
      <c r="CB30" s="198">
        <f t="shared" si="63"/>
        <v>0</v>
      </c>
      <c r="CC30" s="198">
        <f>+SUMIF(Aout!$BK$20:$BK$50,AT6,Aout!$AM$20:$AO$50)</f>
        <v>0</v>
      </c>
      <c r="CD30" s="198">
        <f>+SUMIF(Octobre!$BK$20:$BK$50,AT6,Octobre!$AM$20:$AO$50)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45911</v>
      </c>
      <c r="ER30" s="767">
        <f t="shared" si="10"/>
        <v>0</v>
      </c>
      <c r="ES30" s="768">
        <f t="shared" si="11"/>
        <v>0</v>
      </c>
      <c r="ET30" s="767">
        <f t="shared" si="12"/>
        <v>0</v>
      </c>
      <c r="EU30" s="768">
        <f t="shared" si="13"/>
        <v>0</v>
      </c>
      <c r="EV30" s="767" t="str">
        <f t="shared" si="14"/>
        <v/>
      </c>
      <c r="EW30" s="769">
        <f t="shared" si="29"/>
        <v>45911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37</v>
      </c>
      <c r="GA30" s="129">
        <f t="shared" si="39"/>
        <v>2025</v>
      </c>
      <c r="GB30" s="129" t="str">
        <f t="shared" si="40"/>
        <v>372025</v>
      </c>
      <c r="GC30" s="225">
        <f>IF(AND($GD$53=S.CAL!$P$3,$GD$52=FZ30),GE30,IF(BH30="",0,BH30))</f>
        <v>0</v>
      </c>
      <c r="GD30" s="129" t="str">
        <f>IFERROR(+Octobre!$BY$2&amp;BL30&amp;BM30,0)</f>
        <v>Fiche infoA4</v>
      </c>
      <c r="GE30" s="129" t="str">
        <f t="shared" si="19"/>
        <v/>
      </c>
      <c r="GF30" s="225" t="str">
        <f t="shared" si="41"/>
        <v/>
      </c>
      <c r="GG30" s="1469" t="str">
        <f>+'Retenue Sept'!D28</f>
        <v/>
      </c>
      <c r="GH30" s="1469">
        <f>+'Retenue Sept'!BF28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45912</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45912</v>
      </c>
      <c r="AX31" s="1878"/>
      <c r="AY31" s="332"/>
      <c r="AZ31" s="1126"/>
      <c r="BA31" s="993"/>
      <c r="BB31" s="561"/>
      <c r="BC31" s="566">
        <f t="shared" si="23"/>
        <v>0</v>
      </c>
      <c r="BD31" s="1126"/>
      <c r="BE31" s="825">
        <f t="shared" si="24"/>
        <v>0</v>
      </c>
      <c r="BF31" s="1150"/>
      <c r="BG31" s="224"/>
      <c r="BH31" s="566" t="str">
        <f t="shared" si="25"/>
        <v/>
      </c>
      <c r="BI31" s="1150"/>
      <c r="BJ31" s="129" t="str">
        <f t="shared" si="26"/>
        <v>Fiche infoA5</v>
      </c>
      <c r="BK31" s="129">
        <f t="shared" si="49"/>
        <v>37</v>
      </c>
      <c r="BL31" s="129" t="str">
        <f t="shared" si="4"/>
        <v>A</v>
      </c>
      <c r="BM31" s="129">
        <f t="shared" si="50"/>
        <v>5</v>
      </c>
      <c r="BN31" s="225" t="str">
        <f t="shared" si="60"/>
        <v>Fiche info</v>
      </c>
      <c r="BO31" s="332" t="str">
        <f t="shared" si="51"/>
        <v/>
      </c>
      <c r="BP31" s="198" t="str">
        <f t="shared" si="52"/>
        <v/>
      </c>
      <c r="BQ31" s="198"/>
      <c r="BS31" s="2012" t="str">
        <f t="shared" si="64"/>
        <v>Semaine numéro : 39</v>
      </c>
      <c r="BT31" s="2013"/>
      <c r="BU31" s="2013"/>
      <c r="BV31" s="2013"/>
      <c r="BW31" s="2013"/>
      <c r="BX31" s="2014"/>
      <c r="BY31" s="1137"/>
      <c r="BZ31" s="674">
        <f t="shared" si="65"/>
        <v>0</v>
      </c>
      <c r="CA31" s="673">
        <f t="shared" si="62"/>
        <v>0</v>
      </c>
      <c r="CB31" s="198">
        <f t="shared" si="63"/>
        <v>0</v>
      </c>
      <c r="CC31" s="198">
        <f>+SUMIF(Aout!$BK$20:$BK$50,AT7,Aout!$AM$20:$AO$50)</f>
        <v>0</v>
      </c>
      <c r="CD31" s="198">
        <f>+SUMIF(Octobre!$BK$20:$BK$50,AT7,Octobre!$AM$20:$AO$50)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45912</v>
      </c>
      <c r="ER31" s="767">
        <f t="shared" si="10"/>
        <v>0</v>
      </c>
      <c r="ES31" s="768">
        <f t="shared" si="11"/>
        <v>0</v>
      </c>
      <c r="ET31" s="767">
        <f t="shared" si="12"/>
        <v>0</v>
      </c>
      <c r="EU31" s="768">
        <f t="shared" si="13"/>
        <v>0</v>
      </c>
      <c r="EV31" s="767" t="str">
        <f t="shared" si="14"/>
        <v/>
      </c>
      <c r="EW31" s="769">
        <f t="shared" si="29"/>
        <v>45912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37</v>
      </c>
      <c r="GA31" s="129">
        <f t="shared" si="39"/>
        <v>2025</v>
      </c>
      <c r="GB31" s="129" t="str">
        <f t="shared" si="40"/>
        <v>372025</v>
      </c>
      <c r="GC31" s="225">
        <f>IF(AND($GD$53=S.CAL!$P$3,$GD$52=FZ31),GE31,IF(BH31="",0,BH31))</f>
        <v>0</v>
      </c>
      <c r="GD31" s="129" t="str">
        <f>IFERROR(+Octobre!$BY$2&amp;BL31&amp;BM31,0)</f>
        <v>Fiche infoA5</v>
      </c>
      <c r="GE31" s="129" t="str">
        <f t="shared" si="19"/>
        <v/>
      </c>
      <c r="GF31" s="225" t="str">
        <f t="shared" si="41"/>
        <v/>
      </c>
      <c r="GG31" s="1469" t="str">
        <f>+'Retenue Sept'!D29</f>
        <v/>
      </c>
      <c r="GH31" s="1469">
        <f>+'Retenue Sept'!BF29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45913</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45913</v>
      </c>
      <c r="AX32" s="1878"/>
      <c r="AY32" s="332"/>
      <c r="AZ32" s="1126"/>
      <c r="BA32" s="993"/>
      <c r="BB32" s="561"/>
      <c r="BC32" s="566">
        <f t="shared" si="23"/>
        <v>0</v>
      </c>
      <c r="BD32" s="1126"/>
      <c r="BE32" s="825">
        <f t="shared" si="24"/>
        <v>0</v>
      </c>
      <c r="BF32" s="1150"/>
      <c r="BG32" s="224"/>
      <c r="BH32" s="566" t="str">
        <f t="shared" si="25"/>
        <v/>
      </c>
      <c r="BI32" s="1150"/>
      <c r="BJ32" s="129" t="str">
        <f t="shared" si="26"/>
        <v>Fiche infoA6</v>
      </c>
      <c r="BK32" s="129">
        <f t="shared" si="49"/>
        <v>37</v>
      </c>
      <c r="BL32" s="129" t="str">
        <f t="shared" si="4"/>
        <v>A</v>
      </c>
      <c r="BM32" s="129">
        <f t="shared" si="50"/>
        <v>6</v>
      </c>
      <c r="BN32" s="225" t="str">
        <f t="shared" si="60"/>
        <v>Fiche info</v>
      </c>
      <c r="BO32" s="332" t="str">
        <f t="shared" si="51"/>
        <v/>
      </c>
      <c r="BP32" s="198" t="str">
        <f t="shared" si="52"/>
        <v/>
      </c>
      <c r="BQ32" s="198"/>
      <c r="BS32" s="2012" t="str">
        <f t="shared" si="64"/>
        <v>Semaine numéro : 40</v>
      </c>
      <c r="BT32" s="2013"/>
      <c r="BU32" s="2013"/>
      <c r="BV32" s="2013"/>
      <c r="BW32" s="2013"/>
      <c r="BX32" s="2014"/>
      <c r="BY32" s="1137"/>
      <c r="BZ32" s="674">
        <f t="shared" si="65"/>
        <v>0</v>
      </c>
      <c r="CA32" s="673">
        <f t="shared" si="62"/>
        <v>0</v>
      </c>
      <c r="CB32" s="198">
        <f t="shared" si="63"/>
        <v>0</v>
      </c>
      <c r="CC32" s="198">
        <f>+SUMIF(Aout!$BK$20:$BK$50,AT8,Aout!$AM$20:$AO$50)</f>
        <v>0</v>
      </c>
      <c r="CD32" s="198">
        <f>+SUMIF(Octobre!$BK$20:$BK$50,AT8,Octobre!$AM$20:$AO$50)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45913</v>
      </c>
      <c r="ER32" s="767">
        <f t="shared" si="10"/>
        <v>0</v>
      </c>
      <c r="ES32" s="768">
        <f t="shared" si="11"/>
        <v>0</v>
      </c>
      <c r="ET32" s="767">
        <f t="shared" si="12"/>
        <v>0</v>
      </c>
      <c r="EU32" s="768">
        <f t="shared" si="13"/>
        <v>0</v>
      </c>
      <c r="EV32" s="767" t="str">
        <f t="shared" si="14"/>
        <v/>
      </c>
      <c r="EW32" s="769">
        <f t="shared" si="29"/>
        <v>45913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37</v>
      </c>
      <c r="GA32" s="129">
        <f t="shared" si="39"/>
        <v>2025</v>
      </c>
      <c r="GB32" s="129" t="str">
        <f t="shared" si="40"/>
        <v>372025</v>
      </c>
      <c r="GC32" s="225">
        <f>IF(AND($GD$53=S.CAL!$P$3,$GD$52=FZ32),GE32,IF(BH32="",0,BH32))</f>
        <v>0</v>
      </c>
      <c r="GD32" s="129" t="str">
        <f>IFERROR(+Octobre!$BY$2&amp;BL32&amp;BM32,0)</f>
        <v>Fiche infoA6</v>
      </c>
      <c r="GE32" s="129" t="str">
        <f t="shared" si="19"/>
        <v/>
      </c>
      <c r="GF32" s="225" t="str">
        <f t="shared" si="41"/>
        <v/>
      </c>
      <c r="GG32" s="1469" t="str">
        <f>+'Retenue Sept'!D30</f>
        <v/>
      </c>
      <c r="GH32" s="1469">
        <f>+'Retenue Sept'!BF30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45914</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45914</v>
      </c>
      <c r="AX33" s="1878"/>
      <c r="AY33" s="332"/>
      <c r="AZ33" s="1126"/>
      <c r="BA33" s="993"/>
      <c r="BB33" s="561"/>
      <c r="BC33" s="566">
        <f t="shared" si="23"/>
        <v>0</v>
      </c>
      <c r="BD33" s="1126"/>
      <c r="BE33" s="825">
        <f t="shared" si="24"/>
        <v>0</v>
      </c>
      <c r="BF33" s="1150"/>
      <c r="BG33" s="224"/>
      <c r="BH33" s="566" t="str">
        <f t="shared" si="25"/>
        <v/>
      </c>
      <c r="BI33" s="1150"/>
      <c r="BJ33" s="129" t="str">
        <f t="shared" si="26"/>
        <v>Fiche infoA7</v>
      </c>
      <c r="BK33" s="129">
        <f t="shared" si="49"/>
        <v>37</v>
      </c>
      <c r="BL33" s="129" t="str">
        <f t="shared" si="4"/>
        <v>A</v>
      </c>
      <c r="BM33" s="129">
        <f t="shared" si="50"/>
        <v>7</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+SUMIF(Aout!$BK$20:$BK$50,AT9,Aout!$AM$20:$AO$50)</f>
        <v>0</v>
      </c>
      <c r="CD33" s="198">
        <f>+SUMIF(Octobre!$BK$20:$BK$50,AT9,Octobre!$AM$20:$AO$50)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45914</v>
      </c>
      <c r="ER33" s="767">
        <f t="shared" si="10"/>
        <v>0</v>
      </c>
      <c r="ES33" s="768">
        <f t="shared" si="11"/>
        <v>0</v>
      </c>
      <c r="ET33" s="767">
        <f t="shared" si="12"/>
        <v>0</v>
      </c>
      <c r="EU33" s="768">
        <f t="shared" si="13"/>
        <v>0</v>
      </c>
      <c r="EV33" s="767" t="str">
        <f t="shared" si="14"/>
        <v/>
      </c>
      <c r="EW33" s="769">
        <f t="shared" si="29"/>
        <v>45914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37</v>
      </c>
      <c r="GA33" s="129">
        <f t="shared" si="39"/>
        <v>2025</v>
      </c>
      <c r="GB33" s="129" t="str">
        <f t="shared" si="40"/>
        <v>372025</v>
      </c>
      <c r="GC33" s="225">
        <f>IF(AND($GD$53=S.CAL!$P$3,$GD$52=FZ33),GE33,IF(BH33="",0,BH33))</f>
        <v>0</v>
      </c>
      <c r="GD33" s="129" t="str">
        <f>IFERROR(+Octobre!$BY$2&amp;BL33&amp;BM33,0)</f>
        <v>Fiche infoA7</v>
      </c>
      <c r="GE33" s="129" t="str">
        <f t="shared" si="19"/>
        <v/>
      </c>
      <c r="GF33" s="225" t="str">
        <f t="shared" si="41"/>
        <v/>
      </c>
      <c r="GG33" s="1469" t="str">
        <f>+'Retenue Sept'!D31</f>
        <v/>
      </c>
      <c r="GH33" s="1469">
        <f>+'Retenue Sept'!BF31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45915</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f t="shared" si="48"/>
        <v>38</v>
      </c>
      <c r="AQ34" s="340"/>
      <c r="AR34" s="1126"/>
      <c r="AS34" s="332">
        <f t="shared" si="3"/>
        <v>0</v>
      </c>
      <c r="AT34" s="1147"/>
      <c r="AU34" s="1147"/>
      <c r="AV34" s="332"/>
      <c r="AW34" s="2017">
        <f t="shared" si="22"/>
        <v>45915</v>
      </c>
      <c r="AX34" s="1878"/>
      <c r="AY34" s="332"/>
      <c r="AZ34" s="1126"/>
      <c r="BA34" s="993"/>
      <c r="BB34" s="561"/>
      <c r="BC34" s="566">
        <f t="shared" si="23"/>
        <v>0</v>
      </c>
      <c r="BD34" s="1126"/>
      <c r="BE34" s="825">
        <f t="shared" si="24"/>
        <v>0</v>
      </c>
      <c r="BF34" s="1150"/>
      <c r="BG34" s="224"/>
      <c r="BH34" s="566" t="str">
        <f t="shared" si="25"/>
        <v/>
      </c>
      <c r="BI34" s="1150"/>
      <c r="BJ34" s="129" t="str">
        <f t="shared" si="26"/>
        <v>Fiche infoA1</v>
      </c>
      <c r="BK34" s="129">
        <f t="shared" si="49"/>
        <v>38</v>
      </c>
      <c r="BL34" s="129" t="str">
        <f t="shared" si="4"/>
        <v>A</v>
      </c>
      <c r="BM34" s="129">
        <f t="shared" si="50"/>
        <v>1</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45915</v>
      </c>
      <c r="ER34" s="767">
        <f t="shared" si="10"/>
        <v>0</v>
      </c>
      <c r="ES34" s="768">
        <f t="shared" si="11"/>
        <v>0</v>
      </c>
      <c r="ET34" s="767">
        <f t="shared" si="12"/>
        <v>0</v>
      </c>
      <c r="EU34" s="768">
        <f t="shared" si="13"/>
        <v>0</v>
      </c>
      <c r="EV34" s="767" t="str">
        <f t="shared" si="14"/>
        <v/>
      </c>
      <c r="EW34" s="769">
        <f t="shared" si="29"/>
        <v>45915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38</v>
      </c>
      <c r="GA34" s="129">
        <f t="shared" si="39"/>
        <v>2025</v>
      </c>
      <c r="GB34" s="129" t="str">
        <f t="shared" si="40"/>
        <v>382025</v>
      </c>
      <c r="GC34" s="225">
        <f>IF(AND($GD$53=S.CAL!$P$3,$GD$52=FZ34),GE34,IF(BH34="",0,BH34))</f>
        <v>0</v>
      </c>
      <c r="GD34" s="129" t="str">
        <f>IFERROR(+Octobre!$BY$2&amp;BL34&amp;BM34,0)</f>
        <v>Fiche infoA1</v>
      </c>
      <c r="GE34" s="129" t="str">
        <f t="shared" si="19"/>
        <v/>
      </c>
      <c r="GF34" s="225" t="str">
        <f t="shared" si="41"/>
        <v/>
      </c>
      <c r="GG34" s="1469" t="str">
        <f>+'Retenue Sept'!D32</f>
        <v/>
      </c>
      <c r="GH34" s="1469">
        <f>+'Retenue Sept'!BF32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45916</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45916</v>
      </c>
      <c r="AX35" s="1878"/>
      <c r="AY35" s="332"/>
      <c r="AZ35" s="1126"/>
      <c r="BA35" s="993"/>
      <c r="BB35" s="561"/>
      <c r="BC35" s="566">
        <f t="shared" si="23"/>
        <v>0</v>
      </c>
      <c r="BD35" s="1126"/>
      <c r="BE35" s="825">
        <f t="shared" si="24"/>
        <v>0</v>
      </c>
      <c r="BF35" s="1150"/>
      <c r="BG35" s="224"/>
      <c r="BH35" s="566" t="str">
        <f t="shared" si="25"/>
        <v/>
      </c>
      <c r="BI35" s="1150"/>
      <c r="BJ35" s="129" t="str">
        <f t="shared" si="26"/>
        <v>Fiche infoA2</v>
      </c>
      <c r="BK35" s="129">
        <f t="shared" si="49"/>
        <v>38</v>
      </c>
      <c r="BL35" s="129" t="str">
        <f t="shared" si="4"/>
        <v>A</v>
      </c>
      <c r="BM35" s="129">
        <f t="shared" si="50"/>
        <v>2</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45916</v>
      </c>
      <c r="ER35" s="767">
        <f t="shared" si="10"/>
        <v>0</v>
      </c>
      <c r="ES35" s="768">
        <f t="shared" si="11"/>
        <v>0</v>
      </c>
      <c r="ET35" s="767">
        <f t="shared" si="12"/>
        <v>0</v>
      </c>
      <c r="EU35" s="768">
        <f t="shared" si="13"/>
        <v>0</v>
      </c>
      <c r="EV35" s="767" t="str">
        <f t="shared" si="14"/>
        <v/>
      </c>
      <c r="EW35" s="769">
        <f t="shared" si="29"/>
        <v>45916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38</v>
      </c>
      <c r="GA35" s="129">
        <f t="shared" si="39"/>
        <v>2025</v>
      </c>
      <c r="GB35" s="129" t="str">
        <f t="shared" si="40"/>
        <v>382025</v>
      </c>
      <c r="GC35" s="225">
        <f>IF(AND($GD$53=S.CAL!$P$3,$GD$52=FZ35),GE35,IF(BH35="",0,BH35))</f>
        <v>0</v>
      </c>
      <c r="GD35" s="129" t="str">
        <f>IFERROR(+Octobre!$BY$2&amp;BL35&amp;BM35,0)</f>
        <v>Fiche infoA2</v>
      </c>
      <c r="GE35" s="129" t="str">
        <f t="shared" si="19"/>
        <v/>
      </c>
      <c r="GF35" s="225" t="str">
        <f t="shared" si="41"/>
        <v/>
      </c>
      <c r="GG35" s="1469" t="str">
        <f>+'Retenue Sept'!D33</f>
        <v/>
      </c>
      <c r="GH35" s="1469">
        <f>+'Retenue Sept'!BF33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45917</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45917</v>
      </c>
      <c r="AX36" s="1878"/>
      <c r="AY36" s="332"/>
      <c r="AZ36" s="1126"/>
      <c r="BA36" s="993"/>
      <c r="BB36" s="561"/>
      <c r="BC36" s="566">
        <f t="shared" si="23"/>
        <v>0</v>
      </c>
      <c r="BD36" s="1126"/>
      <c r="BE36" s="825">
        <f t="shared" si="24"/>
        <v>0</v>
      </c>
      <c r="BF36" s="1150"/>
      <c r="BG36" s="224"/>
      <c r="BH36" s="566" t="str">
        <f t="shared" si="25"/>
        <v/>
      </c>
      <c r="BI36" s="1150"/>
      <c r="BJ36" s="129" t="str">
        <f t="shared" si="26"/>
        <v>Fiche infoA3</v>
      </c>
      <c r="BK36" s="129">
        <f t="shared" si="49"/>
        <v>38</v>
      </c>
      <c r="BL36" s="129" t="str">
        <f t="shared" si="4"/>
        <v>A</v>
      </c>
      <c r="BM36" s="129">
        <f t="shared" si="50"/>
        <v>3</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45917</v>
      </c>
      <c r="ER36" s="767">
        <f t="shared" si="10"/>
        <v>0</v>
      </c>
      <c r="ES36" s="768">
        <f t="shared" si="11"/>
        <v>0</v>
      </c>
      <c r="ET36" s="767">
        <f t="shared" si="12"/>
        <v>0</v>
      </c>
      <c r="EU36" s="768">
        <f t="shared" si="13"/>
        <v>0</v>
      </c>
      <c r="EV36" s="767" t="str">
        <f t="shared" si="14"/>
        <v/>
      </c>
      <c r="EW36" s="769">
        <f t="shared" si="29"/>
        <v>45917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38</v>
      </c>
      <c r="GA36" s="129">
        <f t="shared" si="39"/>
        <v>2025</v>
      </c>
      <c r="GB36" s="129" t="str">
        <f t="shared" si="40"/>
        <v>382025</v>
      </c>
      <c r="GC36" s="225">
        <f>IF(AND($GD$53=S.CAL!$P$3,$GD$52=FZ36),GE36,IF(BH36="",0,BH36))</f>
        <v>0</v>
      </c>
      <c r="GD36" s="129" t="str">
        <f>IFERROR(+Octobre!$BY$2&amp;BL36&amp;BM36,0)</f>
        <v>Fiche infoA3</v>
      </c>
      <c r="GE36" s="129" t="str">
        <f t="shared" si="19"/>
        <v/>
      </c>
      <c r="GF36" s="225" t="str">
        <f t="shared" si="41"/>
        <v/>
      </c>
      <c r="GG36" s="1469" t="str">
        <f>+'Retenue Sept'!D34</f>
        <v/>
      </c>
      <c r="GH36" s="1469">
        <f>+'Retenue Sept'!BF34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45918</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45918</v>
      </c>
      <c r="AX37" s="1878"/>
      <c r="AY37" s="332"/>
      <c r="AZ37" s="1126"/>
      <c r="BA37" s="993"/>
      <c r="BB37" s="561"/>
      <c r="BC37" s="566">
        <f t="shared" si="23"/>
        <v>0</v>
      </c>
      <c r="BD37" s="1126"/>
      <c r="BE37" s="825">
        <f t="shared" si="24"/>
        <v>0</v>
      </c>
      <c r="BF37" s="1150"/>
      <c r="BG37" s="224"/>
      <c r="BH37" s="566" t="str">
        <f t="shared" si="25"/>
        <v/>
      </c>
      <c r="BI37" s="1150"/>
      <c r="BJ37" s="129" t="str">
        <f t="shared" si="26"/>
        <v>Fiche infoA4</v>
      </c>
      <c r="BK37" s="129">
        <f t="shared" si="49"/>
        <v>38</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45918</v>
      </c>
      <c r="ER37" s="767">
        <f t="shared" si="10"/>
        <v>0</v>
      </c>
      <c r="ES37" s="768">
        <f t="shared" si="11"/>
        <v>0</v>
      </c>
      <c r="ET37" s="767">
        <f t="shared" si="12"/>
        <v>0</v>
      </c>
      <c r="EU37" s="768">
        <f t="shared" si="13"/>
        <v>0</v>
      </c>
      <c r="EV37" s="767" t="str">
        <f t="shared" si="14"/>
        <v/>
      </c>
      <c r="EW37" s="769">
        <f t="shared" si="29"/>
        <v>45918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38</v>
      </c>
      <c r="GA37" s="129">
        <f t="shared" si="39"/>
        <v>2025</v>
      </c>
      <c r="GB37" s="129" t="str">
        <f t="shared" si="40"/>
        <v>382025</v>
      </c>
      <c r="GC37" s="225">
        <f>IF(AND($GD$53=S.CAL!$P$3,$GD$52=FZ37),GE37,IF(BH37="",0,BH37))</f>
        <v>0</v>
      </c>
      <c r="GD37" s="129" t="str">
        <f>IFERROR(+Octobre!$BY$2&amp;BL37&amp;BM37,0)</f>
        <v>Fiche infoA4</v>
      </c>
      <c r="GE37" s="129" t="str">
        <f t="shared" si="19"/>
        <v/>
      </c>
      <c r="GF37" s="225" t="str">
        <f t="shared" si="41"/>
        <v/>
      </c>
      <c r="GG37" s="1469" t="str">
        <f>+'Retenue Sept'!D35</f>
        <v/>
      </c>
      <c r="GH37" s="1469">
        <f>+'Retenue Sept'!BF35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45919</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45919</v>
      </c>
      <c r="AX38" s="1878"/>
      <c r="AY38" s="332"/>
      <c r="AZ38" s="1126"/>
      <c r="BA38" s="993"/>
      <c r="BB38" s="561"/>
      <c r="BC38" s="566">
        <f t="shared" si="23"/>
        <v>0</v>
      </c>
      <c r="BD38" s="1126"/>
      <c r="BE38" s="825">
        <f t="shared" si="24"/>
        <v>0</v>
      </c>
      <c r="BF38" s="1150"/>
      <c r="BG38" s="224"/>
      <c r="BH38" s="566" t="str">
        <f t="shared" si="25"/>
        <v/>
      </c>
      <c r="BI38" s="1150"/>
      <c r="BJ38" s="129" t="str">
        <f t="shared" si="26"/>
        <v>Fiche infoA5</v>
      </c>
      <c r="BK38" s="129">
        <f t="shared" si="49"/>
        <v>38</v>
      </c>
      <c r="BL38" s="129" t="str">
        <f t="shared" si="4"/>
        <v>A</v>
      </c>
      <c r="BM38" s="129">
        <f t="shared" si="50"/>
        <v>5</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45919</v>
      </c>
      <c r="ER38" s="767">
        <f t="shared" si="10"/>
        <v>0</v>
      </c>
      <c r="ES38" s="768">
        <f t="shared" si="11"/>
        <v>0</v>
      </c>
      <c r="ET38" s="767">
        <f t="shared" si="12"/>
        <v>0</v>
      </c>
      <c r="EU38" s="768">
        <f t="shared" si="13"/>
        <v>0</v>
      </c>
      <c r="EV38" s="767" t="str">
        <f t="shared" si="14"/>
        <v/>
      </c>
      <c r="EW38" s="769">
        <f t="shared" si="29"/>
        <v>45919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38</v>
      </c>
      <c r="GA38" s="129">
        <f t="shared" si="39"/>
        <v>2025</v>
      </c>
      <c r="GB38" s="129" t="str">
        <f t="shared" si="40"/>
        <v>382025</v>
      </c>
      <c r="GC38" s="225">
        <f>IF(AND($GD$53=S.CAL!$P$3,$GD$52=FZ38),GE38,IF(BH38="",0,BH38))</f>
        <v>0</v>
      </c>
      <c r="GD38" s="129" t="str">
        <f>IFERROR(+Octobre!$BY$2&amp;BL38&amp;BM38,0)</f>
        <v>Fiche infoA5</v>
      </c>
      <c r="GE38" s="129" t="str">
        <f t="shared" si="19"/>
        <v/>
      </c>
      <c r="GF38" s="225" t="str">
        <f t="shared" si="41"/>
        <v/>
      </c>
      <c r="GG38" s="1469" t="str">
        <f>+'Retenue Sept'!D36</f>
        <v/>
      </c>
      <c r="GH38" s="1469">
        <f>+'Retenue Sept'!BF36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45920</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45920</v>
      </c>
      <c r="AX39" s="1878"/>
      <c r="AY39" s="332"/>
      <c r="AZ39" s="1126"/>
      <c r="BA39" s="993"/>
      <c r="BB39" s="561"/>
      <c r="BC39" s="566">
        <f t="shared" si="23"/>
        <v>0</v>
      </c>
      <c r="BD39" s="1126"/>
      <c r="BE39" s="825">
        <f t="shared" si="24"/>
        <v>0</v>
      </c>
      <c r="BF39" s="1150"/>
      <c r="BG39" s="224"/>
      <c r="BH39" s="566" t="str">
        <f t="shared" si="25"/>
        <v/>
      </c>
      <c r="BI39" s="1150"/>
      <c r="BJ39" s="129" t="str">
        <f t="shared" si="26"/>
        <v>Fiche infoA6</v>
      </c>
      <c r="BK39" s="129">
        <f t="shared" si="49"/>
        <v>38</v>
      </c>
      <c r="BL39" s="129" t="str">
        <f t="shared" si="4"/>
        <v>A</v>
      </c>
      <c r="BM39" s="129">
        <f t="shared" si="50"/>
        <v>6</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45920</v>
      </c>
      <c r="ER39" s="767">
        <f t="shared" si="10"/>
        <v>0</v>
      </c>
      <c r="ES39" s="768">
        <f t="shared" si="11"/>
        <v>0</v>
      </c>
      <c r="ET39" s="767">
        <f t="shared" si="12"/>
        <v>0</v>
      </c>
      <c r="EU39" s="768">
        <f t="shared" si="13"/>
        <v>0</v>
      </c>
      <c r="EV39" s="767" t="str">
        <f t="shared" si="14"/>
        <v/>
      </c>
      <c r="EW39" s="769">
        <f t="shared" si="29"/>
        <v>45920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38</v>
      </c>
      <c r="GA39" s="129">
        <f t="shared" si="39"/>
        <v>2025</v>
      </c>
      <c r="GB39" s="129" t="str">
        <f t="shared" si="40"/>
        <v>382025</v>
      </c>
      <c r="GC39" s="225">
        <f>IF(AND($GD$53=S.CAL!$P$3,$GD$52=FZ39),GE39,IF(BH39="",0,BH39))</f>
        <v>0</v>
      </c>
      <c r="GD39" s="129" t="str">
        <f>IFERROR(+Octobre!$BY$2&amp;BL39&amp;BM39,0)</f>
        <v>Fiche infoA6</v>
      </c>
      <c r="GE39" s="129" t="str">
        <f t="shared" si="19"/>
        <v/>
      </c>
      <c r="GF39" s="225" t="str">
        <f t="shared" si="41"/>
        <v/>
      </c>
      <c r="GG39" s="1469" t="str">
        <f>+'Retenue Sept'!D37</f>
        <v/>
      </c>
      <c r="GH39" s="1469">
        <f>+'Retenue Sept'!BF37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45921</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45921</v>
      </c>
      <c r="AX40" s="1878"/>
      <c r="AY40" s="332"/>
      <c r="AZ40" s="1126"/>
      <c r="BA40" s="993"/>
      <c r="BB40" s="561"/>
      <c r="BC40" s="566">
        <f t="shared" si="23"/>
        <v>0</v>
      </c>
      <c r="BD40" s="1126"/>
      <c r="BE40" s="825">
        <f t="shared" si="24"/>
        <v>0</v>
      </c>
      <c r="BF40" s="1150"/>
      <c r="BG40" s="224"/>
      <c r="BH40" s="566" t="str">
        <f t="shared" si="25"/>
        <v/>
      </c>
      <c r="BI40" s="1150"/>
      <c r="BJ40" s="129" t="str">
        <f t="shared" si="26"/>
        <v>Fiche infoA7</v>
      </c>
      <c r="BK40" s="129">
        <f t="shared" si="49"/>
        <v>38</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Sept'!P27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45921</v>
      </c>
      <c r="ER40" s="767">
        <f t="shared" si="10"/>
        <v>0</v>
      </c>
      <c r="ES40" s="768">
        <f t="shared" si="11"/>
        <v>0</v>
      </c>
      <c r="ET40" s="767">
        <f t="shared" si="12"/>
        <v>0</v>
      </c>
      <c r="EU40" s="768">
        <f t="shared" si="13"/>
        <v>0</v>
      </c>
      <c r="EV40" s="767" t="str">
        <f t="shared" si="14"/>
        <v/>
      </c>
      <c r="EW40" s="769">
        <f t="shared" si="29"/>
        <v>45921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38</v>
      </c>
      <c r="GA40" s="129">
        <f t="shared" si="39"/>
        <v>2025</v>
      </c>
      <c r="GB40" s="129" t="str">
        <f t="shared" si="40"/>
        <v>382025</v>
      </c>
      <c r="GC40" s="225">
        <f>IF(AND($GD$53=S.CAL!$P$3,$GD$52=FZ40),GE40,IF(BH40="",0,BH40))</f>
        <v>0</v>
      </c>
      <c r="GD40" s="129" t="str">
        <f>IFERROR(+Octobre!$BY$2&amp;BL40&amp;BM40,0)</f>
        <v>Fiche infoA7</v>
      </c>
      <c r="GE40" s="129" t="str">
        <f t="shared" si="19"/>
        <v/>
      </c>
      <c r="GF40" s="225" t="str">
        <f t="shared" si="41"/>
        <v/>
      </c>
      <c r="GG40" s="1469" t="str">
        <f>+'Retenue Sept'!D38</f>
        <v/>
      </c>
      <c r="GH40" s="1469">
        <f>+'Retenue Sept'!BF38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45922</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f t="shared" si="48"/>
        <v>39</v>
      </c>
      <c r="AQ41" s="340"/>
      <c r="AR41" s="1126"/>
      <c r="AS41" s="332">
        <f t="shared" si="3"/>
        <v>0</v>
      </c>
      <c r="AT41" s="1147"/>
      <c r="AU41" s="1147"/>
      <c r="AV41" s="332"/>
      <c r="AW41" s="2017">
        <f t="shared" si="22"/>
        <v>45922</v>
      </c>
      <c r="AX41" s="1878"/>
      <c r="AY41" s="332"/>
      <c r="AZ41" s="1126"/>
      <c r="BA41" s="993"/>
      <c r="BB41" s="561"/>
      <c r="BC41" s="566">
        <f t="shared" si="23"/>
        <v>0</v>
      </c>
      <c r="BD41" s="1126"/>
      <c r="BE41" s="825">
        <f t="shared" si="24"/>
        <v>0</v>
      </c>
      <c r="BF41" s="1150"/>
      <c r="BG41" s="224"/>
      <c r="BH41" s="566" t="str">
        <f t="shared" si="25"/>
        <v/>
      </c>
      <c r="BI41" s="1150"/>
      <c r="BJ41" s="129" t="str">
        <f t="shared" si="26"/>
        <v>Fiche infoA1</v>
      </c>
      <c r="BK41" s="129">
        <f t="shared" si="49"/>
        <v>39</v>
      </c>
      <c r="BL41" s="129" t="str">
        <f t="shared" si="4"/>
        <v>A</v>
      </c>
      <c r="BM41" s="129">
        <f t="shared" si="50"/>
        <v>1</v>
      </c>
      <c r="BN41" s="225" t="str">
        <f t="shared" si="60"/>
        <v>Fiche info</v>
      </c>
      <c r="BO41" s="332" t="str">
        <f t="shared" si="51"/>
        <v/>
      </c>
      <c r="BP41" s="198" t="str">
        <f t="shared" si="52"/>
        <v/>
      </c>
      <c r="BQ41" s="2142" t="s">
        <v>1063</v>
      </c>
      <c r="BR41" s="2142"/>
      <c r="BS41" s="2142"/>
      <c r="BT41" s="2142"/>
      <c r="BU41" s="2142"/>
      <c r="BV41" s="2142"/>
      <c r="BW41" s="601" t="str">
        <f>+IF(BX41="",Aout!BW41,BX41)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45922</v>
      </c>
      <c r="ER41" s="767">
        <f t="shared" si="10"/>
        <v>0</v>
      </c>
      <c r="ES41" s="768">
        <f t="shared" si="11"/>
        <v>0</v>
      </c>
      <c r="ET41" s="767">
        <f t="shared" si="12"/>
        <v>0</v>
      </c>
      <c r="EU41" s="768">
        <f t="shared" si="13"/>
        <v>0</v>
      </c>
      <c r="EV41" s="767" t="str">
        <f t="shared" si="14"/>
        <v/>
      </c>
      <c r="EW41" s="769">
        <f t="shared" si="29"/>
        <v>45922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39</v>
      </c>
      <c r="GA41" s="129">
        <f t="shared" si="39"/>
        <v>2025</v>
      </c>
      <c r="GB41" s="129" t="str">
        <f t="shared" si="40"/>
        <v>392025</v>
      </c>
      <c r="GC41" s="225">
        <f>IF(AND($GD$53=S.CAL!$P$3,$GD$52=FZ41),GE41,IF(BH41="",0,BH41))</f>
        <v>0</v>
      </c>
      <c r="GD41" s="129" t="str">
        <f>IFERROR(+Octobre!$BY$2&amp;BL41&amp;BM41,0)</f>
        <v>Fiche infoA1</v>
      </c>
      <c r="GE41" s="129" t="str">
        <f t="shared" si="19"/>
        <v/>
      </c>
      <c r="GF41" s="225" t="str">
        <f t="shared" si="41"/>
        <v/>
      </c>
      <c r="GG41" s="1469" t="str">
        <f>+'Retenue Sept'!D39</f>
        <v/>
      </c>
      <c r="GH41" s="1469">
        <f>+'Retenue Sept'!BF39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45923</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45923</v>
      </c>
      <c r="AX42" s="1878"/>
      <c r="AY42" s="332"/>
      <c r="AZ42" s="1126"/>
      <c r="BA42" s="993"/>
      <c r="BB42" s="561"/>
      <c r="BC42" s="566">
        <f t="shared" si="23"/>
        <v>0</v>
      </c>
      <c r="BD42" s="1126"/>
      <c r="BE42" s="825">
        <f t="shared" si="24"/>
        <v>0</v>
      </c>
      <c r="BF42" s="1150"/>
      <c r="BG42" s="224"/>
      <c r="BH42" s="566" t="str">
        <f t="shared" si="25"/>
        <v/>
      </c>
      <c r="BI42" s="1150"/>
      <c r="BJ42" s="129" t="str">
        <f t="shared" si="26"/>
        <v>Fiche infoA2</v>
      </c>
      <c r="BK42" s="129">
        <f t="shared" si="49"/>
        <v>39</v>
      </c>
      <c r="BL42" s="129" t="str">
        <f t="shared" si="4"/>
        <v>A</v>
      </c>
      <c r="BM42" s="129">
        <f t="shared" si="50"/>
        <v>2</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45923</v>
      </c>
      <c r="ER42" s="767">
        <f t="shared" si="10"/>
        <v>0</v>
      </c>
      <c r="ES42" s="768">
        <f t="shared" si="11"/>
        <v>0</v>
      </c>
      <c r="ET42" s="767">
        <f t="shared" si="12"/>
        <v>0</v>
      </c>
      <c r="EU42" s="768">
        <f t="shared" si="13"/>
        <v>0</v>
      </c>
      <c r="EV42" s="767" t="str">
        <f t="shared" si="14"/>
        <v/>
      </c>
      <c r="EW42" s="769">
        <f t="shared" si="29"/>
        <v>45923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39</v>
      </c>
      <c r="GA42" s="129">
        <f t="shared" si="39"/>
        <v>2025</v>
      </c>
      <c r="GB42" s="129" t="str">
        <f t="shared" si="40"/>
        <v>392025</v>
      </c>
      <c r="GC42" s="225">
        <f>IF(AND($GD$53=S.CAL!$P$3,$GD$52=FZ42),GE42,IF(BH42="",0,BH42))</f>
        <v>0</v>
      </c>
      <c r="GD42" s="129" t="str">
        <f>IFERROR(+Octobre!$BY$2&amp;BL42&amp;BM42,0)</f>
        <v>Fiche infoA2</v>
      </c>
      <c r="GE42" s="129" t="str">
        <f t="shared" si="19"/>
        <v/>
      </c>
      <c r="GF42" s="225" t="str">
        <f t="shared" si="41"/>
        <v/>
      </c>
      <c r="GG42" s="1469" t="str">
        <f>+'Retenue Sept'!D40</f>
        <v/>
      </c>
      <c r="GH42" s="1469">
        <f>+'Retenue Sept'!BF40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45924</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45924</v>
      </c>
      <c r="AX43" s="1878"/>
      <c r="AY43" s="332"/>
      <c r="AZ43" s="1126"/>
      <c r="BA43" s="993"/>
      <c r="BB43" s="561"/>
      <c r="BC43" s="566">
        <f t="shared" si="23"/>
        <v>0</v>
      </c>
      <c r="BD43" s="1126"/>
      <c r="BE43" s="825">
        <f t="shared" si="24"/>
        <v>0</v>
      </c>
      <c r="BF43" s="1150"/>
      <c r="BG43" s="224"/>
      <c r="BH43" s="566" t="str">
        <f t="shared" si="25"/>
        <v/>
      </c>
      <c r="BI43" s="1150"/>
      <c r="BJ43" s="129" t="str">
        <f t="shared" si="26"/>
        <v>Fiche infoA3</v>
      </c>
      <c r="BK43" s="129">
        <f t="shared" si="49"/>
        <v>39</v>
      </c>
      <c r="BL43" s="129" t="str">
        <f t="shared" si="4"/>
        <v>A</v>
      </c>
      <c r="BM43" s="129">
        <f t="shared" si="50"/>
        <v>3</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45924</v>
      </c>
      <c r="ER43" s="767">
        <f t="shared" si="10"/>
        <v>0</v>
      </c>
      <c r="ES43" s="768">
        <f t="shared" si="11"/>
        <v>0</v>
      </c>
      <c r="ET43" s="767">
        <f t="shared" si="12"/>
        <v>0</v>
      </c>
      <c r="EU43" s="768">
        <f t="shared" si="13"/>
        <v>0</v>
      </c>
      <c r="EV43" s="767" t="str">
        <f t="shared" si="14"/>
        <v/>
      </c>
      <c r="EW43" s="769">
        <f t="shared" si="29"/>
        <v>45924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39</v>
      </c>
      <c r="GA43" s="129">
        <f t="shared" si="39"/>
        <v>2025</v>
      </c>
      <c r="GB43" s="129" t="str">
        <f t="shared" si="40"/>
        <v>392025</v>
      </c>
      <c r="GC43" s="225">
        <f>IF(AND($GD$53=S.CAL!$P$3,$GD$52=FZ43),GE43,IF(BH43="",0,BH43))</f>
        <v>0</v>
      </c>
      <c r="GD43" s="129" t="str">
        <f>IFERROR(+Octobre!$BY$2&amp;BL43&amp;BM43,0)</f>
        <v>Fiche infoA3</v>
      </c>
      <c r="GE43" s="129" t="str">
        <f t="shared" si="19"/>
        <v/>
      </c>
      <c r="GF43" s="225" t="str">
        <f t="shared" si="41"/>
        <v/>
      </c>
      <c r="GG43" s="1469" t="str">
        <f>+'Retenue Sept'!D41</f>
        <v/>
      </c>
      <c r="GH43" s="1469">
        <f>+'Retenue Sept'!BF41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45925</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45925</v>
      </c>
      <c r="AX44" s="1878"/>
      <c r="AY44" s="332"/>
      <c r="AZ44" s="1126"/>
      <c r="BA44" s="993"/>
      <c r="BB44" s="561"/>
      <c r="BC44" s="566">
        <f t="shared" si="23"/>
        <v>0</v>
      </c>
      <c r="BD44" s="1126"/>
      <c r="BE44" s="825">
        <f t="shared" si="24"/>
        <v>0</v>
      </c>
      <c r="BF44" s="1150"/>
      <c r="BG44" s="224"/>
      <c r="BH44" s="566" t="str">
        <f t="shared" si="25"/>
        <v/>
      </c>
      <c r="BI44" s="1150"/>
      <c r="BJ44" s="129" t="str">
        <f t="shared" si="26"/>
        <v>Fiche infoA4</v>
      </c>
      <c r="BK44" s="129">
        <f t="shared" si="49"/>
        <v>39</v>
      </c>
      <c r="BL44" s="129" t="str">
        <f t="shared" si="4"/>
        <v>A</v>
      </c>
      <c r="BM44" s="129">
        <f t="shared" si="50"/>
        <v>4</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+IF(CC45="",Aout!CC44,CC45)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45925</v>
      </c>
      <c r="ER44" s="767">
        <f t="shared" si="10"/>
        <v>0</v>
      </c>
      <c r="ES44" s="768">
        <f t="shared" si="11"/>
        <v>0</v>
      </c>
      <c r="ET44" s="767">
        <f t="shared" si="12"/>
        <v>0</v>
      </c>
      <c r="EU44" s="768">
        <f t="shared" si="13"/>
        <v>0</v>
      </c>
      <c r="EV44" s="767" t="str">
        <f t="shared" si="14"/>
        <v/>
      </c>
      <c r="EW44" s="769">
        <f t="shared" si="29"/>
        <v>45925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39</v>
      </c>
      <c r="GA44" s="129">
        <f t="shared" si="39"/>
        <v>2025</v>
      </c>
      <c r="GB44" s="129" t="str">
        <f t="shared" si="40"/>
        <v>392025</v>
      </c>
      <c r="GC44" s="225">
        <f>IF(AND($GD$53=S.CAL!$P$3,$GD$52=FZ44),GE44,IF(BH44="",0,BH44))</f>
        <v>0</v>
      </c>
      <c r="GD44" s="129" t="str">
        <f>IFERROR(+Octobre!$BY$2&amp;BL44&amp;BM44,0)</f>
        <v>Fiche infoA4</v>
      </c>
      <c r="GE44" s="129" t="str">
        <f t="shared" si="19"/>
        <v/>
      </c>
      <c r="GF44" s="225" t="str">
        <f t="shared" si="41"/>
        <v/>
      </c>
      <c r="GG44" s="1469" t="str">
        <f>+'Retenue Sept'!D42</f>
        <v/>
      </c>
      <c r="GH44" s="1469">
        <f>+'Retenue Sept'!BF42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45926</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45926</v>
      </c>
      <c r="AX45" s="1878"/>
      <c r="AY45" s="332"/>
      <c r="AZ45" s="1126"/>
      <c r="BA45" s="993"/>
      <c r="BB45" s="561"/>
      <c r="BC45" s="566">
        <f t="shared" si="23"/>
        <v>0</v>
      </c>
      <c r="BD45" s="1126"/>
      <c r="BE45" s="825">
        <f t="shared" si="24"/>
        <v>0</v>
      </c>
      <c r="BF45" s="1150"/>
      <c r="BG45" s="224"/>
      <c r="BH45" s="566" t="str">
        <f t="shared" si="25"/>
        <v/>
      </c>
      <c r="BI45" s="1150"/>
      <c r="BJ45" s="129" t="str">
        <f t="shared" si="26"/>
        <v>Fiche infoA5</v>
      </c>
      <c r="BK45" s="129">
        <f t="shared" si="49"/>
        <v>39</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45926</v>
      </c>
      <c r="ER45" s="767">
        <f t="shared" si="10"/>
        <v>0</v>
      </c>
      <c r="ES45" s="768">
        <f t="shared" si="11"/>
        <v>0</v>
      </c>
      <c r="ET45" s="767">
        <f t="shared" si="12"/>
        <v>0</v>
      </c>
      <c r="EU45" s="768">
        <f t="shared" si="13"/>
        <v>0</v>
      </c>
      <c r="EV45" s="767" t="str">
        <f t="shared" si="14"/>
        <v/>
      </c>
      <c r="EW45" s="769">
        <f t="shared" si="29"/>
        <v>45926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39</v>
      </c>
      <c r="GA45" s="129">
        <f t="shared" si="39"/>
        <v>2025</v>
      </c>
      <c r="GB45" s="129" t="str">
        <f t="shared" si="40"/>
        <v>392025</v>
      </c>
      <c r="GC45" s="225">
        <f>IF(AND($GD$53=S.CAL!$P$3,$GD$52=FZ45),GE45,IF(BH45="",0,BH45))</f>
        <v>0</v>
      </c>
      <c r="GD45" s="129" t="str">
        <f>IFERROR(+Octobre!$BY$2&amp;BL45&amp;BM45,0)</f>
        <v>Fiche infoA5</v>
      </c>
      <c r="GE45" s="129" t="str">
        <f t="shared" si="19"/>
        <v/>
      </c>
      <c r="GF45" s="225" t="str">
        <f t="shared" si="41"/>
        <v/>
      </c>
      <c r="GG45" s="1469" t="str">
        <f>+'Retenue Sept'!D43</f>
        <v/>
      </c>
      <c r="GH45" s="1469">
        <f>+'Retenue Sept'!BF43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45927</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45927</v>
      </c>
      <c r="AX46" s="1878"/>
      <c r="AY46" s="332"/>
      <c r="AZ46" s="1126"/>
      <c r="BA46" s="993"/>
      <c r="BB46" s="561"/>
      <c r="BC46" s="566">
        <f t="shared" si="23"/>
        <v>0</v>
      </c>
      <c r="BD46" s="1126"/>
      <c r="BE46" s="825">
        <f t="shared" si="24"/>
        <v>0</v>
      </c>
      <c r="BF46" s="1150"/>
      <c r="BG46" s="224"/>
      <c r="BH46" s="566" t="str">
        <f t="shared" si="25"/>
        <v/>
      </c>
      <c r="BI46" s="1150"/>
      <c r="BJ46" s="129" t="str">
        <f t="shared" si="26"/>
        <v>Fiche infoA6</v>
      </c>
      <c r="BK46" s="129">
        <f t="shared" si="49"/>
        <v>39</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45927</v>
      </c>
      <c r="ER46" s="767">
        <f t="shared" si="10"/>
        <v>0</v>
      </c>
      <c r="ES46" s="768">
        <f t="shared" si="11"/>
        <v>0</v>
      </c>
      <c r="ET46" s="767">
        <f t="shared" si="12"/>
        <v>0</v>
      </c>
      <c r="EU46" s="768">
        <f t="shared" si="13"/>
        <v>0</v>
      </c>
      <c r="EV46" s="767" t="str">
        <f t="shared" si="14"/>
        <v/>
      </c>
      <c r="EW46" s="769">
        <f t="shared" si="29"/>
        <v>45927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39</v>
      </c>
      <c r="GA46" s="129">
        <f t="shared" si="39"/>
        <v>2025</v>
      </c>
      <c r="GB46" s="129" t="str">
        <f t="shared" si="40"/>
        <v>392025</v>
      </c>
      <c r="GC46" s="225">
        <f>IF(AND($GD$53=S.CAL!$P$3,$GD$52=FZ46),GE46,IF(BH46="",0,BH46))</f>
        <v>0</v>
      </c>
      <c r="GD46" s="129" t="str">
        <f>IFERROR(+Octobre!$BY$2&amp;BL46&amp;BM46,0)</f>
        <v>Fiche infoA6</v>
      </c>
      <c r="GE46" s="129" t="str">
        <f t="shared" si="19"/>
        <v/>
      </c>
      <c r="GF46" s="225" t="str">
        <f t="shared" si="41"/>
        <v/>
      </c>
      <c r="GG46" s="1469" t="str">
        <f>+'Retenue Sept'!D44</f>
        <v/>
      </c>
      <c r="GH46" s="1469">
        <f>+'Retenue Sept'!BF44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45928</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45928</v>
      </c>
      <c r="AX47" s="1878"/>
      <c r="AY47" s="332"/>
      <c r="AZ47" s="1126"/>
      <c r="BA47" s="993"/>
      <c r="BB47" s="561"/>
      <c r="BC47" s="566">
        <f t="shared" si="23"/>
        <v>0</v>
      </c>
      <c r="BD47" s="1126"/>
      <c r="BE47" s="825">
        <f t="shared" si="24"/>
        <v>0</v>
      </c>
      <c r="BF47" s="1150"/>
      <c r="BG47" s="224"/>
      <c r="BH47" s="566" t="str">
        <f t="shared" si="25"/>
        <v/>
      </c>
      <c r="BI47" s="1150"/>
      <c r="BJ47" s="129" t="str">
        <f t="shared" si="26"/>
        <v>Fiche infoA7</v>
      </c>
      <c r="BK47" s="129">
        <f t="shared" si="49"/>
        <v>39</v>
      </c>
      <c r="BL47" s="129" t="str">
        <f t="shared" si="4"/>
        <v>A</v>
      </c>
      <c r="BM47" s="129">
        <f t="shared" si="50"/>
        <v>7</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IF(CF47="",Aout!CE47,CF47)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45928</v>
      </c>
      <c r="ER47" s="767">
        <f t="shared" si="10"/>
        <v>0</v>
      </c>
      <c r="ES47" s="768">
        <f t="shared" si="11"/>
        <v>0</v>
      </c>
      <c r="ET47" s="767">
        <f t="shared" si="12"/>
        <v>0</v>
      </c>
      <c r="EU47" s="768">
        <f t="shared" si="13"/>
        <v>0</v>
      </c>
      <c r="EV47" s="767" t="str">
        <f t="shared" si="14"/>
        <v/>
      </c>
      <c r="EW47" s="769">
        <f t="shared" si="29"/>
        <v>45928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39</v>
      </c>
      <c r="GA47" s="129">
        <f t="shared" si="39"/>
        <v>2025</v>
      </c>
      <c r="GB47" s="129" t="str">
        <f t="shared" si="40"/>
        <v>392025</v>
      </c>
      <c r="GC47" s="225">
        <f>IF(AND($GD$53=S.CAL!$P$3,$GD$52=FZ47),GE47,IF(BH47="",0,BH47))</f>
        <v>0</v>
      </c>
      <c r="GD47" s="129" t="str">
        <f>IFERROR(+Octobre!$BY$2&amp;BL47&amp;BM47,0)</f>
        <v>Fiche infoA7</v>
      </c>
      <c r="GE47" s="129" t="str">
        <f t="shared" si="19"/>
        <v/>
      </c>
      <c r="GF47" s="225" t="str">
        <f t="shared" si="41"/>
        <v/>
      </c>
      <c r="GG47" s="1469" t="str">
        <f>+'Retenue Sept'!D45</f>
        <v/>
      </c>
      <c r="GH47" s="1469">
        <f>+'Retenue Sept'!BF45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45929</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f t="shared" si="48"/>
        <v>40</v>
      </c>
      <c r="AQ48" s="340"/>
      <c r="AR48" s="1126"/>
      <c r="AS48" s="332">
        <f t="shared" si="3"/>
        <v>0</v>
      </c>
      <c r="AT48" s="1147"/>
      <c r="AU48" s="1147"/>
      <c r="AV48" s="332"/>
      <c r="AW48" s="2017">
        <f t="shared" si="22"/>
        <v>45929</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infoA1</v>
      </c>
      <c r="BK48" s="129">
        <f t="shared" si="49"/>
        <v>40</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45929</v>
      </c>
      <c r="ER48" s="767">
        <f t="shared" si="10"/>
        <v>0</v>
      </c>
      <c r="ES48" s="768">
        <f t="shared" si="11"/>
        <v>0</v>
      </c>
      <c r="ET48" s="767">
        <f t="shared" si="12"/>
        <v>0</v>
      </c>
      <c r="EU48" s="768">
        <f t="shared" si="13"/>
        <v>0</v>
      </c>
      <c r="EV48" s="767" t="str">
        <f t="shared" si="14"/>
        <v/>
      </c>
      <c r="EW48" s="769">
        <f t="shared" si="29"/>
        <v>45929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40</v>
      </c>
      <c r="GA48" s="129">
        <f t="shared" si="39"/>
        <v>2025</v>
      </c>
      <c r="GB48" s="129" t="str">
        <f t="shared" si="40"/>
        <v>402025</v>
      </c>
      <c r="GC48" s="225">
        <f>IF(AND($GD$53=S.CAL!$P$3,$GD$52=FZ48),GE48,IF(BH48="",0,BH48))</f>
        <v>0</v>
      </c>
      <c r="GD48" s="129" t="str">
        <f>IFERROR(+Octobre!$BY$2&amp;BL48&amp;BM48,0)</f>
        <v>Fiche infoA1</v>
      </c>
      <c r="GE48" s="129" t="str">
        <f t="shared" si="19"/>
        <v/>
      </c>
      <c r="GF48" s="225" t="str">
        <f t="shared" si="41"/>
        <v/>
      </c>
      <c r="GG48" s="1469" t="str">
        <f>+'Retenue Sept'!D46</f>
        <v/>
      </c>
      <c r="GH48" s="1469">
        <f>+'Retenue Sept'!BF46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45930</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45930</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infoA2</v>
      </c>
      <c r="BK49" s="129">
        <f t="shared" si="49"/>
        <v>40</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IF(CF49="",Aout!CE49,CF49)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45930</v>
      </c>
      <c r="ER49" s="767">
        <f t="shared" si="10"/>
        <v>0</v>
      </c>
      <c r="ES49" s="768">
        <f t="shared" si="11"/>
        <v>0</v>
      </c>
      <c r="ET49" s="767">
        <f t="shared" si="12"/>
        <v>0</v>
      </c>
      <c r="EU49" s="768">
        <f t="shared" si="13"/>
        <v>0</v>
      </c>
      <c r="EV49" s="767" t="str">
        <f t="shared" si="14"/>
        <v/>
      </c>
      <c r="EW49" s="769">
        <f t="shared" si="29"/>
        <v>45930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40</v>
      </c>
      <c r="GA49" s="129">
        <f t="shared" si="39"/>
        <v>2025</v>
      </c>
      <c r="GB49" s="129" t="str">
        <f t="shared" ref="GB49:GB50" si="69">+FZ49&amp;GA49</f>
        <v>402025</v>
      </c>
      <c r="GC49" s="225">
        <f>IF(AND($GD$53=S.CAL!$P$3,$GD$52=FZ49),GE49,IF(BH49="",0,BH49))</f>
        <v>0</v>
      </c>
      <c r="GD49" s="129" t="str">
        <f>IFERROR(+Octobre!$BY$2&amp;BL49&amp;BM49,0)</f>
        <v>Fiche infoA2</v>
      </c>
      <c r="GE49" s="129" t="str">
        <f t="shared" si="19"/>
        <v/>
      </c>
      <c r="GF49" s="225" t="str">
        <f t="shared" ref="GF49:GF50" si="70">IF(FP49=1,GG49,AM49)</f>
        <v/>
      </c>
      <c r="GG49" s="1469" t="str">
        <f>+'Retenue Sept'!D47</f>
        <v/>
      </c>
      <c r="GH49" s="1469">
        <f>+'Retenue Sept'!BF47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t="str">
        <f>IF(AB20+30&lt;DATE(YEAR(AB20),MONTH(AB20)+1,DAY(AB20)),AB20+30,"")</f>
        <v/>
      </c>
      <c r="AC50" s="1878"/>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t="str">
        <f t="shared" si="22"/>
        <v/>
      </c>
      <c r="AX50" s="2097"/>
      <c r="AY50" s="332"/>
      <c r="AZ50" s="1127"/>
      <c r="BA50" s="994"/>
      <c r="BB50" s="561"/>
      <c r="BC50" s="564">
        <f t="shared" si="23"/>
        <v>0</v>
      </c>
      <c r="BD50" s="1127"/>
      <c r="BE50" s="826">
        <f t="shared" si="24"/>
        <v>0</v>
      </c>
      <c r="BF50" s="1151"/>
      <c r="BG50" s="224"/>
      <c r="BH50" s="564" t="str">
        <f t="shared" si="25"/>
        <v/>
      </c>
      <c r="BI50" s="1151"/>
      <c r="BJ50" s="129" t="str">
        <f t="shared" si="68"/>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9"/>
        <v>2025</v>
      </c>
      <c r="GC50" s="225">
        <f>IF(AND($GD$53=S.CAL!$P$3,$GD$52=FZ50),GE50,IF(BH50="",0,BH50))</f>
        <v>0</v>
      </c>
      <c r="GD50" s="129" t="str">
        <f>IFERROR(+Octobre!$BY$2&amp;BL50&amp;BM50,0)</f>
        <v>Fiche infoA0</v>
      </c>
      <c r="GE50" s="129" t="str">
        <f t="shared" si="19"/>
        <v/>
      </c>
      <c r="GF50" s="225" t="str">
        <f t="shared" si="70"/>
        <v/>
      </c>
      <c r="GG50" s="1469" t="str">
        <f>+'Retenue Sept'!D48</f>
        <v/>
      </c>
      <c r="GH50" s="1469">
        <f>+'Retenue Sept'!BF48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40</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IF(CF53="",+Aout!CE53,CF53)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IF(CF54="",Aout!CE54,CF54)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IF(CF55&gt;0,CF55,IF(AND(CE53=Aout!CE53,CE54=Aout!CE54),Aout!CE55,IF(OR(CE53&lt;&gt;Aout!CE53,CE54&lt;&gt;Aout!CE54),CE53/CE54)))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Sept'!E52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+IF(BY57="",Aout!BY56,BY57)</f>
        <v>24</v>
      </c>
      <c r="BZ56" s="629" t="s">
        <v>1065</v>
      </c>
      <c r="CA56" s="632">
        <f>+IF(CA57="",Aout!CA56,CA57)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IF(CF57="",+Aout!CE57,CF57)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IF(CF58="",Aout!CE58,CF58)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+IF(CA61="",Aout!CA60,CA61)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+IF(BA65="",Aout!K67,BA65)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+IF(BA68="",Aout!K68,BA68)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E74+Aout!H74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E75+Aout!H75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Sept'!EH51=0,"",'Retenue Sept'!EH51),AX76)</f>
        <v/>
      </c>
      <c r="AZ75" s="2043"/>
      <c r="BA75" s="936" t="str">
        <f>+IF(BA76="",IF('Retenue Sept'!EF51=0,"",'Retenue Sept'!EF51),BA76)</f>
        <v/>
      </c>
      <c r="BB75" s="937"/>
      <c r="BC75" s="938" t="str">
        <f>IF(BC76="",IF(+'Retenue Sept'!EG51=0,"",'Retenue Sept'!EG51),BC76)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E76+Aout!H76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+E77+Aout!H77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IF(AR78="",+Aout!AL78,AR78)</f>
        <v>0</v>
      </c>
      <c r="AM78" s="2179"/>
      <c r="AN78" s="2179"/>
      <c r="AO78" s="2179"/>
      <c r="AQ78" s="438" t="s">
        <v>762</v>
      </c>
      <c r="AR78" s="2304"/>
      <c r="AS78" s="2304"/>
      <c r="AT78" s="2041" t="str">
        <f>IFERROR(VLOOKUP(AY78,'Liste des Libellés'!$A$4:$F$32,6,FALSE),"")</f>
        <v/>
      </c>
      <c r="AU78" s="2041"/>
      <c r="AV78" s="2041"/>
      <c r="AW78" s="2041"/>
      <c r="AX78" s="935"/>
      <c r="AY78" s="2043" t="str">
        <f>+IF(AX79="",IF('Retenue Sept'!EH53=0,"",'Retenue Sept'!EH53),AX79)</f>
        <v/>
      </c>
      <c r="AZ78" s="2043"/>
      <c r="BA78" s="936" t="str">
        <f>+IF(BA79="",IF('Retenue Sept'!EF53=0,"",'Retenue Sept'!EF53),BA79)</f>
        <v/>
      </c>
      <c r="BB78" s="937"/>
      <c r="BC78" s="938" t="str">
        <f>IF(BC79="",IF(+'Retenue Sept'!EG53=0,"",'Retenue Sept'!EG53),BC79)</f>
        <v/>
      </c>
      <c r="BD78" s="972"/>
      <c r="BE78" s="129"/>
      <c r="BF78" s="129"/>
      <c r="BG78" s="129"/>
      <c r="BH78" s="129"/>
      <c r="BI78" s="129"/>
      <c r="CA78" s="667"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+Aout!F80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Sept'!EH55=0,"",'Retenue Sept'!EH55),AX82)</f>
        <v/>
      </c>
      <c r="AZ81" s="2043"/>
      <c r="BA81" s="936" t="str">
        <f>+IF(BA82="",IF('Retenue Sept'!EF55=0,"",'Retenue Sept'!EF55),BA82)</f>
        <v/>
      </c>
      <c r="BB81" s="937"/>
      <c r="BC81" s="938" t="str">
        <f>IF(BC82="",IF(+'Retenue Sept'!EG55=0,"",'Retenue Sept'!EG55),BC82)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Sept'!EH57=0,"",'Retenue Sept'!EH57),AX85)</f>
        <v/>
      </c>
      <c r="AZ84" s="2043"/>
      <c r="BA84" s="936" t="str">
        <f>+IF(BA85="",IF('Retenue Sept'!EF57=0,"",'Retenue Sept'!EF57),BA85)</f>
        <v/>
      </c>
      <c r="BB84" s="937"/>
      <c r="BC84" s="938" t="str">
        <f>IF(BC85="",IF(+'Retenue Sept'!EG57=0,"",'Retenue Sept'!EG57),BC85)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Aout!F86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IF(AR86="",+Aout!AH86,AR86)</f>
        <v>0</v>
      </c>
      <c r="AI86" s="1732"/>
      <c r="AJ86" s="1732"/>
      <c r="AK86" s="1733"/>
      <c r="AL86" s="1731">
        <f>IF(AS86="",+IF(DP8=52,+EI29+Aout!AL86,+EI25+Aout!AL86),+IF(DP8=52,+EI29+Aout!AL86+AS86,+EI25+Aout!AL86+AS86))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45930</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+Aout!AH87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+Aout!AH89+Aout!AH90</f>
        <v>0</v>
      </c>
      <c r="AI89" s="1732"/>
      <c r="AJ89" s="1732"/>
      <c r="AK89" s="1733"/>
      <c r="AL89" s="1731">
        <f>+Aout!AL89+Aout!AL90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+Aout!G99</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+Aout!G100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362025</v>
      </c>
      <c r="BA107" s="1473">
        <f>+$AT$4</f>
        <v>36</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372025</v>
      </c>
      <c r="BA108" s="1478">
        <f>+$AT$5</f>
        <v>37</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382025</v>
      </c>
      <c r="BA109" s="1478">
        <f>+$AT$6</f>
        <v>38</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392025</v>
      </c>
      <c r="BA110" s="1478">
        <f>+$AT$7</f>
        <v>39</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402025</v>
      </c>
      <c r="BA111" s="1478">
        <f>+$AT$8</f>
        <v>40</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362025</v>
      </c>
      <c r="BA142" s="1473">
        <f>+$AT$4</f>
        <v>36</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372025</v>
      </c>
      <c r="BA143" s="1478">
        <f>+$AT$5</f>
        <v>37</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382025</v>
      </c>
      <c r="BA144" s="1478">
        <f>+$AT$6</f>
        <v>38</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392025</v>
      </c>
      <c r="BA145" s="1478">
        <f>+$AT$7</f>
        <v>39</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402025</v>
      </c>
      <c r="BA146" s="1478">
        <f>+$AT$8</f>
        <v>40</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zRScC5YlYUWuyUOaL852f0u2uUXbgYkcz9Q1B6QW2QbmIi87G5nrQwNVlLkNcHScilwwFnjTzis0G3PmrIHXGQ==" saltValue="KROaj3EmKxNEtkJQFoTsQQ=="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2834" priority="16">
      <formula>$U$14=0</formula>
    </cfRule>
  </conditionalFormatting>
  <conditionalFormatting sqref="B26:K26">
    <cfRule type="expression" dxfId="2833" priority="26">
      <formula>$U$14=0</formula>
    </cfRule>
  </conditionalFormatting>
  <conditionalFormatting sqref="B29:K29">
    <cfRule type="cellIs" dxfId="2832" priority="13" operator="greaterThan">
      <formula>0</formula>
    </cfRule>
  </conditionalFormatting>
  <conditionalFormatting sqref="C70:G70">
    <cfRule type="cellIs" dxfId="2831" priority="7" operator="greaterThan">
      <formula>0</formula>
    </cfRule>
  </conditionalFormatting>
  <conditionalFormatting sqref="F87:I87">
    <cfRule type="cellIs" dxfId="2830" priority="2" operator="greaterThan">
      <formula>0</formula>
    </cfRule>
  </conditionalFormatting>
  <conditionalFormatting sqref="F86:L86">
    <cfRule type="cellIs" dxfId="2829" priority="3" operator="greaterThan">
      <formula>0</formula>
    </cfRule>
  </conditionalFormatting>
  <conditionalFormatting sqref="H65:J65">
    <cfRule type="expression" dxfId="2828" priority="40">
      <formula>AND($AX$60="Oui",$AZ$62="hrs")</formula>
    </cfRule>
    <cfRule type="expression" dxfId="2827" priority="38">
      <formula>AND($AX$60="Oui",$AZ$62="")</formula>
    </cfRule>
  </conditionalFormatting>
  <conditionalFormatting sqref="H66:J66">
    <cfRule type="expression" dxfId="2826" priority="36">
      <formula>AND($BW$41="Non",$AX$61="Non")</formula>
    </cfRule>
    <cfRule type="expression" dxfId="2825" priority="35">
      <formula>AND($AX$61="Oui",$AZ$63="jrs")</formula>
    </cfRule>
    <cfRule type="expression" dxfId="2824" priority="34">
      <formula>AND($AX$61="Oui",$AZ$63="")</formula>
    </cfRule>
    <cfRule type="expression" dxfId="2823" priority="37">
      <formula>AND($BW$41="Oui",$AX$61="Non")</formula>
    </cfRule>
  </conditionalFormatting>
  <conditionalFormatting sqref="H70:J71">
    <cfRule type="cellIs" dxfId="2822" priority="6" operator="greaterThan">
      <formula>0</formula>
    </cfRule>
  </conditionalFormatting>
  <conditionalFormatting sqref="H65:K66">
    <cfRule type="cellIs" dxfId="2821" priority="33" operator="equal">
      <formula>0</formula>
    </cfRule>
  </conditionalFormatting>
  <conditionalFormatting sqref="H67:M68">
    <cfRule type="cellIs" dxfId="2820" priority="54" operator="equal">
      <formula>0</formula>
    </cfRule>
  </conditionalFormatting>
  <conditionalFormatting sqref="H69:M69">
    <cfRule type="cellIs" dxfId="2819" priority="8" operator="greaterThan">
      <formula>0</formula>
    </cfRule>
  </conditionalFormatting>
  <conditionalFormatting sqref="H40:Z60">
    <cfRule type="cellIs" dxfId="2818" priority="32" operator="equal">
      <formula>0</formula>
    </cfRule>
  </conditionalFormatting>
  <conditionalFormatting sqref="K81:K82 L82:T83 K88:T88 K89:Q90">
    <cfRule type="expression" dxfId="2817" priority="515">
      <formula>$EO$6="OUI"</formula>
    </cfRule>
  </conditionalFormatting>
  <conditionalFormatting sqref="K87">
    <cfRule type="expression" dxfId="2816" priority="4">
      <formula>$EO$6="OUI"</formula>
    </cfRule>
  </conditionalFormatting>
  <conditionalFormatting sqref="L18:O19">
    <cfRule type="cellIs" dxfId="2815" priority="20" operator="equal">
      <formula>0</formula>
    </cfRule>
  </conditionalFormatting>
  <conditionalFormatting sqref="L21:O22">
    <cfRule type="cellIs" dxfId="2814" priority="31" operator="equal">
      <formula>0</formula>
    </cfRule>
  </conditionalFormatting>
  <conditionalFormatting sqref="L27:O28">
    <cfRule type="cellIs" dxfId="2813" priority="14" operator="greaterThan">
      <formula>0</formula>
    </cfRule>
  </conditionalFormatting>
  <conditionalFormatting sqref="L30:O32">
    <cfRule type="cellIs" dxfId="2812" priority="12" operator="greaterThan">
      <formula>0</formula>
    </cfRule>
  </conditionalFormatting>
  <conditionalFormatting sqref="L34:O34">
    <cfRule type="cellIs" dxfId="2811" priority="10" operator="greaterThan">
      <formula>0</formula>
    </cfRule>
  </conditionalFormatting>
  <conditionalFormatting sqref="L23:S24">
    <cfRule type="cellIs" dxfId="2810" priority="15" operator="greaterThan">
      <formula>0</formula>
    </cfRule>
  </conditionalFormatting>
  <conditionalFormatting sqref="L25:S26">
    <cfRule type="containsErrors" dxfId="2809" priority="24">
      <formula>ISERROR(L25)</formula>
    </cfRule>
    <cfRule type="cellIs" dxfId="2808" priority="25" operator="equal">
      <formula>0</formula>
    </cfRule>
  </conditionalFormatting>
  <conditionalFormatting sqref="M87:T87">
    <cfRule type="expression" dxfId="2807" priority="512">
      <formula>$EO$6="OUI"</formula>
    </cfRule>
  </conditionalFormatting>
  <conditionalFormatting sqref="N65:P71">
    <cfRule type="cellIs" dxfId="2806" priority="60" operator="equal">
      <formula>0</formula>
    </cfRule>
  </conditionalFormatting>
  <conditionalFormatting sqref="O86">
    <cfRule type="expression" dxfId="2805" priority="516">
      <formula>EO6="OUI"</formula>
    </cfRule>
  </conditionalFormatting>
  <conditionalFormatting sqref="O14:T14">
    <cfRule type="expression" dxfId="2804" priority="209">
      <formula>$U$14=0</formula>
    </cfRule>
  </conditionalFormatting>
  <conditionalFormatting sqref="P20">
    <cfRule type="expression" dxfId="2803" priority="17">
      <formula>$DP$14=1</formula>
    </cfRule>
  </conditionalFormatting>
  <conditionalFormatting sqref="P18:S18">
    <cfRule type="expression" dxfId="2802" priority="21">
      <formula>$L$18=0</formula>
    </cfRule>
  </conditionalFormatting>
  <conditionalFormatting sqref="P19:S19">
    <cfRule type="expression" dxfId="2801" priority="19">
      <formula>$L$19=0</formula>
    </cfRule>
  </conditionalFormatting>
  <conditionalFormatting sqref="P21:S21">
    <cfRule type="expression" dxfId="2800" priority="30">
      <formula>$L$21=0</formula>
    </cfRule>
  </conditionalFormatting>
  <conditionalFormatting sqref="P22:S22">
    <cfRule type="expression" dxfId="2799" priority="29">
      <formula>$L$22=0</formula>
    </cfRule>
  </conditionalFormatting>
  <conditionalFormatting sqref="R87:T87">
    <cfRule type="expression" dxfId="2798" priority="511">
      <formula>$EO$7="OUI"</formula>
    </cfRule>
  </conditionalFormatting>
  <conditionalFormatting sqref="R89:T89">
    <cfRule type="expression" dxfId="2797" priority="507">
      <formula>$EO$6="OUI"</formula>
    </cfRule>
    <cfRule type="expression" dxfId="2796" priority="506">
      <formula>$EO$8="OUI"</formula>
    </cfRule>
  </conditionalFormatting>
  <conditionalFormatting sqref="R90:T90">
    <cfRule type="expression" dxfId="2795" priority="513">
      <formula>$EO$7="OUI"</formula>
    </cfRule>
    <cfRule type="expression" dxfId="2794" priority="514">
      <formula>$EO$6="OUI"</formula>
    </cfRule>
  </conditionalFormatting>
  <conditionalFormatting sqref="T20">
    <cfRule type="expression" dxfId="2793" priority="18">
      <formula>$DP$14=1</formula>
    </cfRule>
  </conditionalFormatting>
  <conditionalFormatting sqref="T30:T32">
    <cfRule type="cellIs" dxfId="2792" priority="28" operator="equal">
      <formula>0</formula>
    </cfRule>
  </conditionalFormatting>
  <conditionalFormatting sqref="T18:W19">
    <cfRule type="cellIs" dxfId="2791" priority="22" operator="equal">
      <formula>0</formula>
    </cfRule>
  </conditionalFormatting>
  <conditionalFormatting sqref="T21:W28">
    <cfRule type="cellIs" dxfId="2790" priority="27" operator="equal">
      <formula>0</formula>
    </cfRule>
  </conditionalFormatting>
  <conditionalFormatting sqref="T29:W29">
    <cfRule type="cellIs" dxfId="2789" priority="11" operator="greaterThan">
      <formula>0</formula>
    </cfRule>
  </conditionalFormatting>
  <conditionalFormatting sqref="T33:W33">
    <cfRule type="cellIs" dxfId="2788" priority="9" operator="greaterThan">
      <formula>0</formula>
    </cfRule>
  </conditionalFormatting>
  <conditionalFormatting sqref="T34:W34">
    <cfRule type="cellIs" dxfId="2787" priority="23" operator="equal">
      <formula>0</formula>
    </cfRule>
  </conditionalFormatting>
  <conditionalFormatting sqref="U14:X14">
    <cfRule type="cellIs" dxfId="2786" priority="207" operator="equal">
      <formula>0</formula>
    </cfRule>
  </conditionalFormatting>
  <conditionalFormatting sqref="V80:AF81">
    <cfRule type="cellIs" dxfId="2785" priority="1" operator="notEqual">
      <formula>"Commentaires :"</formula>
    </cfRule>
  </conditionalFormatting>
  <conditionalFormatting sqref="Y73:AO75">
    <cfRule type="expression" dxfId="2784" priority="64">
      <formula>$DP$8=52</formula>
    </cfRule>
  </conditionalFormatting>
  <conditionalFormatting sqref="AB20:AC50">
    <cfRule type="expression" dxfId="2783" priority="430">
      <formula>VLOOKUP(AB20,base_feries,1,FALSE)</formula>
    </cfRule>
    <cfRule type="expression" dxfId="2782" priority="429">
      <formula>OR(WEEKDAY(AB20,2)=6,WEEKDAY(AB20,2)=7)</formula>
    </cfRule>
    <cfRule type="expression" dxfId="2781" priority="428">
      <formula>WEEKDAY(AB20,2)=7</formula>
    </cfRule>
  </conditionalFormatting>
  <conditionalFormatting sqref="AD20:AF50">
    <cfRule type="cellIs" dxfId="2780" priority="300" operator="equal">
      <formula>0</formula>
    </cfRule>
    <cfRule type="expression" dxfId="2779" priority="299">
      <formula>FC20="oui"</formula>
    </cfRule>
  </conditionalFormatting>
  <conditionalFormatting sqref="AG20:AI50">
    <cfRule type="expression" dxfId="2778" priority="301">
      <formula>FC20="oui"</formula>
    </cfRule>
  </conditionalFormatting>
  <conditionalFormatting sqref="AH83:AH84">
    <cfRule type="cellIs" dxfId="2777" priority="525" stopIfTrue="1" operator="equal">
      <formula>0</formula>
    </cfRule>
  </conditionalFormatting>
  <conditionalFormatting sqref="AH89:AH91">
    <cfRule type="cellIs" dxfId="2776" priority="69" stopIfTrue="1" operator="equal">
      <formula>0</formula>
    </cfRule>
  </conditionalFormatting>
  <conditionalFormatting sqref="AH93:AK93">
    <cfRule type="cellIs" dxfId="2775" priority="517" operator="equal">
      <formula>0</formula>
    </cfRule>
  </conditionalFormatting>
  <conditionalFormatting sqref="AH86:AL87">
    <cfRule type="cellIs" dxfId="2774" priority="65" stopIfTrue="1" operator="equal">
      <formula>0</formula>
    </cfRule>
  </conditionalFormatting>
  <conditionalFormatting sqref="AH92:AO92">
    <cfRule type="cellIs" dxfId="2773" priority="239" operator="lessThan">
      <formula>-0.001</formula>
    </cfRule>
  </conditionalFormatting>
  <conditionalFormatting sqref="AJ20:AL50">
    <cfRule type="expression" dxfId="2772" priority="302">
      <formula>FC20="oui"</formula>
    </cfRule>
  </conditionalFormatting>
  <conditionalFormatting sqref="AL83">
    <cfRule type="cellIs" dxfId="2771" priority="524" stopIfTrue="1" operator="equal">
      <formula>0</formula>
    </cfRule>
  </conditionalFormatting>
  <conditionalFormatting sqref="AL89:AL91">
    <cfRule type="cellIs" dxfId="2770" priority="68" stopIfTrue="1" operator="equal">
      <formula>0</formula>
    </cfRule>
  </conditionalFormatting>
  <conditionalFormatting sqref="AL93">
    <cfRule type="cellIs" dxfId="2769" priority="523" stopIfTrue="1" operator="equal">
      <formula>0</formula>
    </cfRule>
  </conditionalFormatting>
  <conditionalFormatting sqref="AM20:AO50">
    <cfRule type="expression" dxfId="2768" priority="303">
      <formula>FC20="oui"</formula>
    </cfRule>
  </conditionalFormatting>
  <conditionalFormatting sqref="AP20:AP50">
    <cfRule type="expression" dxfId="2767" priority="147">
      <formula>BL20="E"</formula>
    </cfRule>
    <cfRule type="expression" dxfId="2766" priority="150">
      <formula>BL20="B"</formula>
    </cfRule>
    <cfRule type="expression" dxfId="2765" priority="149">
      <formula>BL20="C"</formula>
    </cfRule>
    <cfRule type="expression" dxfId="2764" priority="148">
      <formula>BL20="D"</formula>
    </cfRule>
    <cfRule type="expression" dxfId="2763" priority="144">
      <formula>BL20="H"</formula>
    </cfRule>
    <cfRule type="expression" dxfId="2762" priority="145">
      <formula>BL20="G"</formula>
    </cfRule>
    <cfRule type="expression" dxfId="2761" priority="146">
      <formula>BL20="F"</formula>
    </cfRule>
  </conditionalFormatting>
  <conditionalFormatting sqref="AQ62:AU62">
    <cfRule type="expression" dxfId="2760" priority="46">
      <formula>$AT$60="Non"</formula>
    </cfRule>
  </conditionalFormatting>
  <conditionalFormatting sqref="AQ63:AU63">
    <cfRule type="expression" dxfId="2759" priority="43">
      <formula>$AT$61="Non"</formula>
    </cfRule>
  </conditionalFormatting>
  <conditionalFormatting sqref="AR20:AR50">
    <cfRule type="expression" dxfId="2758" priority="189">
      <formula>AND(AR20&lt;&gt;"",AZ20&lt;&gt;"")</formula>
    </cfRule>
    <cfRule type="expression" dxfId="2757" priority="185">
      <formula>FN20=10</formula>
    </cfRule>
    <cfRule type="expression" dxfId="2756" priority="181">
      <formula>FC20="oui"</formula>
    </cfRule>
    <cfRule type="expression" dxfId="2755" priority="173">
      <formula>AB20=""</formula>
    </cfRule>
  </conditionalFormatting>
  <conditionalFormatting sqref="AR17:BJ50">
    <cfRule type="expression" dxfId="2754" priority="49">
      <formula>$EX$13="oui"</formula>
    </cfRule>
  </conditionalFormatting>
  <conditionalFormatting sqref="AS51:BJ51 DK51">
    <cfRule type="expression" dxfId="2753" priority="134">
      <formula>$EX$13="oui"</formula>
    </cfRule>
  </conditionalFormatting>
  <conditionalFormatting sqref="AT4:AT10">
    <cfRule type="expression" dxfId="2752" priority="445">
      <formula>AU4="H"</formula>
    </cfRule>
    <cfRule type="expression" dxfId="2751" priority="447">
      <formula>AU4="F"</formula>
    </cfRule>
    <cfRule type="expression" dxfId="2750" priority="448">
      <formula>AU4="E"</formula>
    </cfRule>
    <cfRule type="expression" dxfId="2749" priority="449">
      <formula>AU4="D"</formula>
    </cfRule>
    <cfRule type="expression" dxfId="2748" priority="451">
      <formula>AU4="B"</formula>
    </cfRule>
    <cfRule type="expression" dxfId="2747" priority="446">
      <formula>AU4="G"</formula>
    </cfRule>
    <cfRule type="expression" dxfId="2746" priority="450">
      <formula>AU4="C"</formula>
    </cfRule>
  </conditionalFormatting>
  <conditionalFormatting sqref="AT20:AT50">
    <cfRule type="expression" dxfId="2745" priority="184">
      <formula>FC20="oui"</formula>
    </cfRule>
    <cfRule type="expression" dxfId="2744" priority="180">
      <formula>AB20=""</formula>
    </cfRule>
  </conditionalFormatting>
  <conditionalFormatting sqref="AU4:AU10">
    <cfRule type="expression" dxfId="2743" priority="381">
      <formula>FG4="rouge"</formula>
    </cfRule>
    <cfRule type="expression" dxfId="2742" priority="380">
      <formula>AT4=""</formula>
    </cfRule>
  </conditionalFormatting>
  <conditionalFormatting sqref="AU20:AU50">
    <cfRule type="expression" dxfId="2741" priority="179">
      <formula>AB20=""</formula>
    </cfRule>
    <cfRule type="expression" dxfId="2740" priority="188">
      <formula>FC20="oui"</formula>
    </cfRule>
  </conditionalFormatting>
  <conditionalFormatting sqref="AW20:AX50">
    <cfRule type="expression" dxfId="2739" priority="191">
      <formula>WEEKDAY(AW20,2)=7</formula>
    </cfRule>
    <cfRule type="expression" dxfId="2738" priority="192">
      <formula>OR(WEEKDAY(AW20,2)=6,WEEKDAY(AW20,2)=7)</formula>
    </cfRule>
    <cfRule type="expression" dxfId="2737" priority="193">
      <formula>VLOOKUP(AW20,base_feries,1,FALSE)</formula>
    </cfRule>
  </conditionalFormatting>
  <conditionalFormatting sqref="AX62:AZ62">
    <cfRule type="expression" dxfId="2736" priority="45">
      <formula>$AX$60="Non"</formula>
    </cfRule>
  </conditionalFormatting>
  <conditionalFormatting sqref="AX63:AZ63">
    <cfRule type="expression" dxfId="2735" priority="42">
      <formula>$AX$61="Non"</formula>
    </cfRule>
  </conditionalFormatting>
  <conditionalFormatting sqref="AZ20:AZ50">
    <cfRule type="expression" dxfId="2734" priority="50">
      <formula>AB20=""</formula>
    </cfRule>
    <cfRule type="expression" dxfId="2733" priority="53">
      <formula>AND(AR20&lt;&gt;"",AZ20&lt;&gt;"")</formula>
    </cfRule>
    <cfRule type="expression" dxfId="2732" priority="52">
      <formula>FL20=10</formula>
    </cfRule>
    <cfRule type="expression" dxfId="2731" priority="51">
      <formula>FC20="oui"</formula>
    </cfRule>
  </conditionalFormatting>
  <conditionalFormatting sqref="BA20:BA50">
    <cfRule type="expression" dxfId="2730" priority="178">
      <formula>AB20=""</formula>
    </cfRule>
    <cfRule type="expression" dxfId="2729" priority="182">
      <formula>FC20="oui"</formula>
    </cfRule>
  </conditionalFormatting>
  <conditionalFormatting sqref="BA62">
    <cfRule type="expression" dxfId="2728" priority="44">
      <formula>$BA$60="Non"</formula>
    </cfRule>
  </conditionalFormatting>
  <conditionalFormatting sqref="BA63">
    <cfRule type="expression" dxfId="2727" priority="41">
      <formula>$BA$61="Non"</formula>
    </cfRule>
  </conditionalFormatting>
  <conditionalFormatting sqref="BA102 BA103:BH115">
    <cfRule type="expression" dxfId="2726" priority="95">
      <formula>$DP$8=52</formula>
    </cfRule>
  </conditionalFormatting>
  <conditionalFormatting sqref="BA137 BA138:BH149">
    <cfRule type="expression" dxfId="2725" priority="67">
      <formula>$DP$8=52</formula>
    </cfRule>
  </conditionalFormatting>
  <conditionalFormatting sqref="BC20:BC55">
    <cfRule type="cellIs" dxfId="2724" priority="187" operator="equal">
      <formula>0</formula>
    </cfRule>
    <cfRule type="expression" dxfId="2723" priority="175">
      <formula>AJ20=""</formula>
    </cfRule>
  </conditionalFormatting>
  <conditionalFormatting sqref="BC112:BH112">
    <cfRule type="expression" dxfId="2722" priority="94">
      <formula>$BA$112=""</formula>
    </cfRule>
  </conditionalFormatting>
  <conditionalFormatting sqref="BC147:BH147">
    <cfRule type="expression" dxfId="2721" priority="66">
      <formula>$BA$112=""</formula>
    </cfRule>
  </conditionalFormatting>
  <conditionalFormatting sqref="BD20:BD50">
    <cfRule type="expression" dxfId="2720" priority="176">
      <formula>FL20="oui"</formula>
    </cfRule>
  </conditionalFormatting>
  <conditionalFormatting sqref="BE20:BE50">
    <cfRule type="expression" dxfId="2719" priority="186">
      <formula>OR(BE20=0,BE20="")</formula>
    </cfRule>
  </conditionalFormatting>
  <conditionalFormatting sqref="BH20:BH50">
    <cfRule type="expression" dxfId="2718" priority="135">
      <formula>AO20=""</formula>
    </cfRule>
    <cfRule type="cellIs" dxfId="2717" priority="172" operator="equal">
      <formula>0</formula>
    </cfRule>
  </conditionalFormatting>
  <conditionalFormatting sqref="BI9:BI14">
    <cfRule type="cellIs" dxfId="2716" priority="101" operator="equal">
      <formula>0</formula>
    </cfRule>
  </conditionalFormatting>
  <conditionalFormatting sqref="BQ54">
    <cfRule type="expression" dxfId="2715" priority="425">
      <formula>$BW$41="Non"</formula>
    </cfRule>
  </conditionalFormatting>
  <conditionalFormatting sqref="BQ36:CA36">
    <cfRule type="expression" dxfId="2714" priority="426">
      <formula>$BW$41="Oui"</formula>
    </cfRule>
  </conditionalFormatting>
  <conditionalFormatting sqref="BS21:CA34">
    <cfRule type="expression" dxfId="2713" priority="81">
      <formula>$EO$12="NON"</formula>
    </cfRule>
  </conditionalFormatting>
  <conditionalFormatting sqref="BY28:BY33">
    <cfRule type="notContainsBlanks" dxfId="2712" priority="82">
      <formula>LEN(TRIM(BY28))&gt;0</formula>
    </cfRule>
  </conditionalFormatting>
  <conditionalFormatting sqref="BY56">
    <cfRule type="duplicateValues" dxfId="2711" priority="473"/>
    <cfRule type="expression" dxfId="2710" priority="472">
      <formula>$BW$41="Oui"</formula>
    </cfRule>
  </conditionalFormatting>
  <conditionalFormatting sqref="BY60">
    <cfRule type="expression" dxfId="2709" priority="466">
      <formula>$BW$41="Oui"</formula>
    </cfRule>
    <cfRule type="cellIs" dxfId="2708" priority="467" operator="lessThan">
      <formula>$BY$59</formula>
    </cfRule>
    <cfRule type="duplicateValues" dxfId="2707" priority="468"/>
  </conditionalFormatting>
  <conditionalFormatting sqref="CA56">
    <cfRule type="expression" dxfId="2706" priority="276">
      <formula>AND($CA$56&lt;$CE$47,$BW$41="Non")</formula>
    </cfRule>
  </conditionalFormatting>
  <conditionalFormatting sqref="CB78">
    <cfRule type="cellIs" dxfId="2705" priority="565" stopIfTrue="1" operator="equal">
      <formula>"NON"</formula>
    </cfRule>
    <cfRule type="cellIs" dxfId="2704" priority="566" stopIfTrue="1" operator="equal">
      <formula>"OUI"</formula>
    </cfRule>
  </conditionalFormatting>
  <conditionalFormatting sqref="CE53:CE54">
    <cfRule type="expression" dxfId="2703" priority="153">
      <formula>$BW$41="Non"</formula>
    </cfRule>
  </conditionalFormatting>
  <conditionalFormatting sqref="CE57:CE58">
    <cfRule type="expression" dxfId="2702" priority="152">
      <formula>$BW$41="Non"</formula>
    </cfRule>
  </conditionalFormatting>
  <conditionalFormatting sqref="CE3:CF3">
    <cfRule type="expression" dxfId="2701" priority="114">
      <formula>$CD$3=""</formula>
    </cfRule>
    <cfRule type="expression" dxfId="2700" priority="113">
      <formula>AND($CE$3="",$CE$5&lt;&gt;"")</formula>
    </cfRule>
    <cfRule type="expression" dxfId="2699" priority="112">
      <formula>$FX$3="vrai"</formula>
    </cfRule>
  </conditionalFormatting>
  <conditionalFormatting sqref="CE5:CF5">
    <cfRule type="expression" dxfId="2698" priority="121">
      <formula>OR(AND(CE5&lt;&gt;0,CE5&lt;AJ4),AND(CE5&lt;&gt;0,CE5&gt;EG5),AND(CE5&lt;&gt;0,CE5&lt;AB20))</formula>
    </cfRule>
    <cfRule type="expression" dxfId="2697" priority="120">
      <formula>CD5=""</formula>
    </cfRule>
    <cfRule type="expression" dxfId="2696" priority="119">
      <formula>$FX$5="vrai"</formula>
    </cfRule>
  </conditionalFormatting>
  <conditionalFormatting sqref="CE8:CF8">
    <cfRule type="cellIs" dxfId="2695" priority="118" operator="greaterThan">
      <formula>$CE$5</formula>
    </cfRule>
    <cfRule type="expression" dxfId="2694" priority="117">
      <formula>AND(CE8&lt;&gt;0,CE8&lt;AJ4)</formula>
    </cfRule>
    <cfRule type="expression" dxfId="2693" priority="116">
      <formula>CD8=""</formula>
    </cfRule>
    <cfRule type="expression" dxfId="2692" priority="115">
      <formula>$FX$8="vrai"</formula>
    </cfRule>
  </conditionalFormatting>
  <conditionalFormatting sqref="CF47">
    <cfRule type="notContainsBlanks" dxfId="2691" priority="412">
      <formula>LEN(TRIM(CF47))&gt;0</formula>
    </cfRule>
  </conditionalFormatting>
  <conditionalFormatting sqref="CF49">
    <cfRule type="notContainsBlanks" dxfId="2690" priority="411">
      <formula>LEN(TRIM(CF49))&gt;0</formula>
    </cfRule>
  </conditionalFormatting>
  <conditionalFormatting sqref="CF53:CF54">
    <cfRule type="expression" dxfId="2689" priority="156">
      <formula>$BW$41="Non"</formula>
    </cfRule>
  </conditionalFormatting>
  <conditionalFormatting sqref="CF57:CF58">
    <cfRule type="expression" dxfId="2688" priority="154">
      <formula>$BW$41="Non"</formula>
    </cfRule>
  </conditionalFormatting>
  <conditionalFormatting sqref="CG8:CI8">
    <cfRule type="expression" dxfId="2687" priority="248">
      <formula>CD8=""</formula>
    </cfRule>
  </conditionalFormatting>
  <conditionalFormatting sqref="GW16:HR16">
    <cfRule type="expression" dxfId="2686" priority="402">
      <formula>$AE$123="NON"</formula>
    </cfRule>
  </conditionalFormatting>
  <conditionalFormatting sqref="HG16:HJ16">
    <cfRule type="expression" dxfId="2685" priority="4914">
      <formula>AR123&gt;0</formula>
    </cfRule>
  </conditionalFormatting>
  <conditionalFormatting sqref="HK16:HN16">
    <cfRule type="expression" dxfId="2684" priority="491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7"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1"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DATE(YEAR(Janvier!X3),MONTH(Janvier!X3)+9,DAY(Janvier!X3))</f>
        <v>45931</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40</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IF(Septembre!BY8="OUI","Contrat fini",BY2)</f>
        <v>Fiche info</v>
      </c>
      <c r="EF4" s="333" t="s">
        <v>1044</v>
      </c>
      <c r="EG4" s="755">
        <f>+Identification!B95</f>
        <v>0</v>
      </c>
      <c r="FG4" s="333" t="str">
        <f>IFERROR(IF(VLOOKUP(AT4,Septembre!$AT$4:$AU$10,2,FALSE)&lt;&gt;Octobre!AU4,"rouge","ok"),0)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45931</v>
      </c>
      <c r="Y5" s="1948"/>
      <c r="Z5" s="1953" t="s">
        <v>460</v>
      </c>
      <c r="AA5" s="1953"/>
      <c r="AB5" s="1948">
        <f>+IF(AND(DATE(YEAR(EG4),MONTH(EG4),DAY(EG4))&gt;=DATE(YEAR(X3),MONTH(X3),DAY(X3)),DATE(YEAR(EG4),MONTH(EG4),DAY(EG4))&lt;=DATE(YEAR(X3),MONTH(X3),DAY(EOMONTH(X3,0)))),EG4,EOMONTH(X3,0))</f>
        <v>45961</v>
      </c>
      <c r="AC5" s="1952"/>
      <c r="AP5" s="211"/>
      <c r="AQ5" s="336"/>
      <c r="AR5" s="211"/>
      <c r="AS5" s="212"/>
      <c r="AT5" s="319">
        <f t="array" ref="AT5">IFERROR(INDEX($BK$20:$BK$50,MATCH(0,INDEX(COUNTIF($AT$3:AT4,$BK$20:$BK$50),0,0),0)),"")</f>
        <v>41</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45961</v>
      </c>
      <c r="FG5" s="333">
        <f>IFERROR(IF(VLOOKUP(AT5,Septembre!$AT$4:$AU$10,2,FALSE)&lt;&gt;Octobre!AU5,"rouge","ok"),0)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42</v>
      </c>
      <c r="AU6" s="1144" t="s">
        <v>235</v>
      </c>
      <c r="BQ6" s="596"/>
      <c r="BR6" s="596"/>
      <c r="BS6" s="596"/>
      <c r="BT6" s="596"/>
      <c r="BU6" s="596"/>
      <c r="BV6" s="596"/>
      <c r="BW6" s="596"/>
      <c r="BX6" s="597" t="s">
        <v>520</v>
      </c>
      <c r="BY6" s="598" t="str">
        <f>+IF(BZ6="",Septembre!BY6,BZ6)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IFERROR(IF(VLOOKUP(AT6,Septembre!$AT$4:$AU$10,2,FALSE)&lt;&gt;Octobre!AU6,"rouge","ok"),0)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43</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IFERROR(IF(VLOOKUP(AT7,Septembre!$AT$4:$AU$10,2,FALSE)&lt;&gt;Octobre!AU7,"rouge","ok"),0)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44</v>
      </c>
      <c r="AU8" s="1144" t="s">
        <v>235</v>
      </c>
      <c r="BG8" s="252"/>
      <c r="BH8" s="1462" t="str">
        <f>+AT3</f>
        <v>N° Sem.</v>
      </c>
      <c r="BI8" s="1463" t="s">
        <v>1580</v>
      </c>
      <c r="BQ8" s="2132" t="s">
        <v>219</v>
      </c>
      <c r="BR8" s="2133"/>
      <c r="BS8" s="2133"/>
      <c r="BT8" s="2133"/>
      <c r="BU8" s="2133"/>
      <c r="BV8" s="2133"/>
      <c r="BW8" s="2133"/>
      <c r="BX8" s="2133"/>
      <c r="BY8" s="985" t="str">
        <f>IF(BZ8="",Septembre!BY8,BZ8)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IFERROR(IF(VLOOKUP(AT8,Septembre!$AT$4:$AU$10,2,FALSE)&lt;&gt;Octobre!AU8,"rouge","ok"),0)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402025</v>
      </c>
      <c r="BH9" s="1464">
        <f t="shared" ref="BH9:BH14" si="0">+AT4</f>
        <v>40</v>
      </c>
      <c r="BI9" s="1465">
        <f>IF($AR$13=S.CAL!$CU$2,+SUMIF(S.CAL!$FW$3:$FW$374,BG9,S.CAL!$FX$3:$FX$374),IF($AR$13=S.CAL!$CU$3,SUMIF(Feuilles_de_présence_planning!$EG$12:$EG$537,BG9,Feuilles_de_présence_planning!$EE$12:$EE$537),"err"))</f>
        <v>0</v>
      </c>
      <c r="BY9" s="198" t="str">
        <f>+IF(Septembre!BY8="OUI","FIN","O")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IFERROR(IF(VLOOKUP(AT9,Septembre!$AT$4:$AU$10,2,FALSE)&lt;&gt;Octobre!AU9,"rouge","ok"),0)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412025</v>
      </c>
      <c r="BH10" s="1464">
        <f t="shared" si="0"/>
        <v>41</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IFERROR(IF(VLOOKUP(AT10,Septembre!$AT$4:$AU$10,2,FALSE)&lt;&gt;Octobre!AU10,"rouge","ok"),0)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422025</v>
      </c>
      <c r="BH11" s="1464">
        <f t="shared" si="0"/>
        <v>42</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432025</v>
      </c>
      <c r="BH12" s="1464">
        <f t="shared" si="0"/>
        <v>43</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5</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IF(AR14="",Septembre!AR13,AR14)</f>
        <v>à partir du tableau ci-dessous</v>
      </c>
      <c r="AS13" s="2296"/>
      <c r="AT13" s="2296"/>
      <c r="AU13" s="2296"/>
      <c r="AV13" s="2296"/>
      <c r="AW13" s="2296"/>
      <c r="AX13" s="2296"/>
      <c r="AY13" s="2296"/>
      <c r="AZ13" s="2296"/>
      <c r="BA13" s="2308" t="s">
        <v>1102</v>
      </c>
      <c r="BB13" s="2308"/>
      <c r="BC13" s="2308"/>
      <c r="BD13" s="971"/>
      <c r="BG13" s="1453" t="str">
        <f t="shared" si="1"/>
        <v>442025</v>
      </c>
      <c r="BH13" s="1464">
        <f t="shared" si="0"/>
        <v>44</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Septembre!EO13+Septembre!R89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+Septembre!EF16</f>
        <v>0</v>
      </c>
      <c r="EG16" s="759">
        <f>+Septembre!EG16</f>
        <v>0</v>
      </c>
      <c r="EH16" s="759">
        <f>+Septembre!EH16+Septembre!EH17</f>
        <v>0</v>
      </c>
      <c r="EI16" s="759">
        <f>+Septembre!EI16+Septembre!EI17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1985" t="s">
        <v>975</v>
      </c>
      <c r="ER17" s="1985"/>
      <c r="ES17" s="1985"/>
      <c r="ET17" s="1985"/>
      <c r="EU17" s="1985"/>
      <c r="EV17" s="1410"/>
      <c r="EW17" s="760" t="s">
        <v>976</v>
      </c>
      <c r="EX17" s="760"/>
      <c r="EY17" s="760"/>
      <c r="EZ17" s="760"/>
      <c r="FA17" s="760"/>
      <c r="FB17" s="760"/>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Oct'!D18:D48,"&gt;0")</f>
        <v>0</v>
      </c>
      <c r="EQ19" s="761" t="s">
        <v>16</v>
      </c>
      <c r="ER19" s="762" t="s">
        <v>971</v>
      </c>
      <c r="ES19" s="763" t="s">
        <v>972</v>
      </c>
      <c r="ET19" s="762" t="s">
        <v>973</v>
      </c>
      <c r="EU19" s="763" t="s">
        <v>50</v>
      </c>
      <c r="EV19" s="1412" t="s">
        <v>1558</v>
      </c>
      <c r="EW19" s="762" t="s">
        <v>16</v>
      </c>
      <c r="EX19" s="763" t="s">
        <v>971</v>
      </c>
      <c r="EY19" s="762" t="s">
        <v>972</v>
      </c>
      <c r="EZ19" s="763" t="s">
        <v>973</v>
      </c>
      <c r="FA19" s="764" t="s">
        <v>50</v>
      </c>
      <c r="FB19" s="762"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45931</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40</v>
      </c>
      <c r="AQ20" s="340"/>
      <c r="AR20" s="1145"/>
      <c r="AS20" s="332">
        <f t="shared" ref="AS20:AS50" si="3">SUM(AD20:AL20)</f>
        <v>0</v>
      </c>
      <c r="AT20" s="1146"/>
      <c r="AU20" s="1146"/>
      <c r="AV20" s="332"/>
      <c r="AW20" s="1989">
        <f>AB20</f>
        <v>45931</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infoA3</v>
      </c>
      <c r="BK20" s="129">
        <f>IFERROR(WEEKNUM(AB20,21),"")</f>
        <v>40</v>
      </c>
      <c r="BL20" s="129" t="str">
        <f t="shared" ref="BL20:BL50" si="4">+VLOOKUP(BK20,$AT$4:$AU$10,2,)</f>
        <v>A</v>
      </c>
      <c r="BM20" s="129">
        <f t="shared" ref="BM20:BM21" si="5">WEEKDAY(AB20,2)</f>
        <v>3</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27</v>
      </c>
      <c r="EQ20" s="766">
        <f>+AB20</f>
        <v>45931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45931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40</v>
      </c>
      <c r="GA20" s="129">
        <f>+$X$4</f>
        <v>2025</v>
      </c>
      <c r="GB20" s="129" t="str">
        <f>+FZ20&amp;GA20</f>
        <v>402025</v>
      </c>
      <c r="GC20" s="225">
        <f>IF(AND($GD$53=S.CAL!$P$3,$GD$52=FZ20),GE20,IF(BH20="",0,BH20))</f>
        <v>0</v>
      </c>
      <c r="GD20" s="129" t="str">
        <f>IFERROR(+Novembre!$BY$2&amp;BL20&amp;BM20,0)</f>
        <v>Fiche infoA3</v>
      </c>
      <c r="GE20" s="129" t="str">
        <f t="shared" ref="GE20:GE50" si="19">+IFERROR(VLOOKUP(GD20,Base_heures,6,FALSE),"")</f>
        <v/>
      </c>
      <c r="GF20" s="225" t="str">
        <f>IF(FP20=1,GG20,AM20)</f>
        <v/>
      </c>
      <c r="GG20" s="1469" t="str">
        <f>+'Retenue Oct'!D18</f>
        <v/>
      </c>
      <c r="GH20" s="1469">
        <f>+'Retenue Oct'!BF18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45932</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45932</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infoA4</v>
      </c>
      <c r="BK21" s="129">
        <f t="shared" ref="BK21" si="27">IFERROR(WEEKNUM(AB21,21),"")</f>
        <v>40</v>
      </c>
      <c r="BL21" s="129" t="str">
        <f t="shared" si="4"/>
        <v>A</v>
      </c>
      <c r="BM21" s="129">
        <f t="shared" si="5"/>
        <v>4</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45931</v>
      </c>
      <c r="EJ21" s="755"/>
      <c r="EK21" s="755"/>
      <c r="EQ21" s="766">
        <f t="shared" ref="EQ21" si="28">+AB21</f>
        <v>45932</v>
      </c>
      <c r="ER21" s="767">
        <f t="shared" si="10"/>
        <v>0</v>
      </c>
      <c r="ES21" s="768">
        <f t="shared" si="11"/>
        <v>0</v>
      </c>
      <c r="ET21" s="767">
        <f t="shared" si="12"/>
        <v>0</v>
      </c>
      <c r="EU21" s="768">
        <f t="shared" si="13"/>
        <v>0</v>
      </c>
      <c r="EV21" s="767" t="str">
        <f t="shared" si="14"/>
        <v/>
      </c>
      <c r="EW21" s="769">
        <f t="shared" ref="EW21:EW50" si="29">+EQ21</f>
        <v>45932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40</v>
      </c>
      <c r="GA21" s="129">
        <f t="shared" ref="GA21:GA50" si="39">+$X$4</f>
        <v>2025</v>
      </c>
      <c r="GB21" s="129" t="str">
        <f t="shared" ref="GB21:GB48" si="40">+FZ21&amp;GA21</f>
        <v>402025</v>
      </c>
      <c r="GC21" s="225">
        <f>IF(AND($GD$53=S.CAL!$P$3,$GD$52=FZ21),GE21,IF(BH21="",0,BH21))</f>
        <v>0</v>
      </c>
      <c r="GD21" s="129" t="str">
        <f>IFERROR(+Novembre!$BY$2&amp;BL21&amp;BM21,0)</f>
        <v>Fiche infoA4</v>
      </c>
      <c r="GE21" s="129" t="str">
        <f t="shared" si="19"/>
        <v/>
      </c>
      <c r="GF21" s="225" t="str">
        <f t="shared" ref="GF21:GF48" si="41">IF(FP21=1,GG21,AM21)</f>
        <v/>
      </c>
      <c r="GG21" s="1469" t="str">
        <f>+'Retenue Oct'!D19</f>
        <v/>
      </c>
      <c r="GH21" s="1469">
        <f>+'Retenue Oct'!BF19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45933</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2"/>
        <v>45933</v>
      </c>
      <c r="AX22" s="1878"/>
      <c r="AY22" s="332"/>
      <c r="AZ22" s="1126"/>
      <c r="BA22" s="993"/>
      <c r="BB22" s="561"/>
      <c r="BC22" s="566">
        <f t="shared" si="23"/>
        <v>0</v>
      </c>
      <c r="BD22" s="1126"/>
      <c r="BE22" s="825">
        <f t="shared" si="24"/>
        <v>0</v>
      </c>
      <c r="BF22" s="1150"/>
      <c r="BG22" s="224"/>
      <c r="BH22" s="566" t="str">
        <f t="shared" si="25"/>
        <v/>
      </c>
      <c r="BI22" s="1150"/>
      <c r="BJ22" s="129" t="str">
        <f t="shared" si="26"/>
        <v>Fiche infoA5</v>
      </c>
      <c r="BK22" s="129">
        <f t="shared" ref="BK22:BK50" si="49">IFERROR(WEEKNUM(AB22,21),"")</f>
        <v>40</v>
      </c>
      <c r="BL22" s="129" t="str">
        <f t="shared" si="4"/>
        <v>A</v>
      </c>
      <c r="BM22" s="129">
        <f t="shared" ref="BM22:BM47" si="50">WEEKDAY(AB22,2)</f>
        <v>5</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45961</v>
      </c>
      <c r="EJ22" s="755"/>
      <c r="EK22" s="755"/>
      <c r="EQ22" s="766">
        <f t="shared" ref="EQ22:EQ50" si="53">+AB22</f>
        <v>45933</v>
      </c>
      <c r="ER22" s="767">
        <f t="shared" si="10"/>
        <v>0</v>
      </c>
      <c r="ES22" s="768">
        <f t="shared" si="11"/>
        <v>0</v>
      </c>
      <c r="ET22" s="767">
        <f t="shared" si="12"/>
        <v>0</v>
      </c>
      <c r="EU22" s="768">
        <f t="shared" si="13"/>
        <v>0</v>
      </c>
      <c r="EV22" s="767" t="str">
        <f t="shared" si="14"/>
        <v/>
      </c>
      <c r="EW22" s="769">
        <f t="shared" si="29"/>
        <v>45933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40</v>
      </c>
      <c r="GA22" s="129">
        <f t="shared" si="39"/>
        <v>2025</v>
      </c>
      <c r="GB22" s="129" t="str">
        <f t="shared" si="40"/>
        <v>402025</v>
      </c>
      <c r="GC22" s="225">
        <f>IF(AND($GD$53=S.CAL!$P$3,$GD$52=FZ22),GE22,IF(BH22="",0,BH22))</f>
        <v>0</v>
      </c>
      <c r="GD22" s="129" t="str">
        <f>IFERROR(+Novembre!$BY$2&amp;BL22&amp;BM22,0)</f>
        <v>Fiche infoA5</v>
      </c>
      <c r="GE22" s="129" t="str">
        <f t="shared" si="19"/>
        <v/>
      </c>
      <c r="GF22" s="225" t="str">
        <f t="shared" si="41"/>
        <v/>
      </c>
      <c r="GG22" s="1469" t="str">
        <f>+'Retenue Oct'!D20</f>
        <v/>
      </c>
      <c r="GH22" s="1469">
        <f>+'Retenue Oct'!BF20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45934</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45934</v>
      </c>
      <c r="AX23" s="1878"/>
      <c r="AY23" s="332"/>
      <c r="AZ23" s="1126"/>
      <c r="BA23" s="993"/>
      <c r="BB23" s="561"/>
      <c r="BC23" s="566">
        <f t="shared" si="23"/>
        <v>0</v>
      </c>
      <c r="BD23" s="1126"/>
      <c r="BE23" s="825">
        <f t="shared" si="24"/>
        <v>0</v>
      </c>
      <c r="BF23" s="1150"/>
      <c r="BG23" s="224"/>
      <c r="BH23" s="566" t="str">
        <f t="shared" si="25"/>
        <v/>
      </c>
      <c r="BI23" s="1150"/>
      <c r="BJ23" s="129" t="str">
        <f t="shared" si="26"/>
        <v>Fiche infoA6</v>
      </c>
      <c r="BK23" s="129">
        <f t="shared" si="49"/>
        <v>40</v>
      </c>
      <c r="BL23" s="129" t="str">
        <f t="shared" si="4"/>
        <v>A</v>
      </c>
      <c r="BM23" s="129">
        <f t="shared" si="50"/>
        <v>6</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45934</v>
      </c>
      <c r="ER23" s="767">
        <f t="shared" si="10"/>
        <v>0</v>
      </c>
      <c r="ES23" s="768">
        <f t="shared" si="11"/>
        <v>0</v>
      </c>
      <c r="ET23" s="767">
        <f t="shared" si="12"/>
        <v>0</v>
      </c>
      <c r="EU23" s="768">
        <f t="shared" si="13"/>
        <v>0</v>
      </c>
      <c r="EV23" s="767" t="str">
        <f t="shared" si="14"/>
        <v/>
      </c>
      <c r="EW23" s="769">
        <f t="shared" si="29"/>
        <v>45934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40</v>
      </c>
      <c r="GA23" s="129">
        <f t="shared" si="39"/>
        <v>2025</v>
      </c>
      <c r="GB23" s="129" t="str">
        <f t="shared" si="40"/>
        <v>402025</v>
      </c>
      <c r="GC23" s="225">
        <f>IF(AND($GD$53=S.CAL!$P$3,$GD$52=FZ23),GE23,IF(BH23="",0,BH23))</f>
        <v>0</v>
      </c>
      <c r="GD23" s="129" t="str">
        <f>IFERROR(+Novembre!$BY$2&amp;BL23&amp;BM23,0)</f>
        <v>Fiche infoA6</v>
      </c>
      <c r="GE23" s="129" t="str">
        <f t="shared" si="19"/>
        <v/>
      </c>
      <c r="GF23" s="225" t="str">
        <f t="shared" si="41"/>
        <v/>
      </c>
      <c r="GG23" s="1469" t="str">
        <f>+'Retenue Oct'!D21</f>
        <v/>
      </c>
      <c r="GH23" s="1469">
        <f>+'Retenue Oct'!BF21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45935</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45935</v>
      </c>
      <c r="AX24" s="1878"/>
      <c r="AY24" s="332"/>
      <c r="AZ24" s="1126"/>
      <c r="BA24" s="993"/>
      <c r="BB24" s="561"/>
      <c r="BC24" s="566">
        <f t="shared" si="23"/>
        <v>0</v>
      </c>
      <c r="BD24" s="1126"/>
      <c r="BE24" s="825">
        <f t="shared" si="24"/>
        <v>0</v>
      </c>
      <c r="BF24" s="1150"/>
      <c r="BG24" s="224"/>
      <c r="BH24" s="566" t="str">
        <f t="shared" si="25"/>
        <v/>
      </c>
      <c r="BI24" s="1150"/>
      <c r="BJ24" s="129" t="str">
        <f t="shared" si="26"/>
        <v>Fiche infoA7</v>
      </c>
      <c r="BK24" s="129">
        <f t="shared" si="49"/>
        <v>40</v>
      </c>
      <c r="BL24" s="129" t="str">
        <f t="shared" si="4"/>
        <v>A</v>
      </c>
      <c r="BM24" s="129">
        <f t="shared" si="50"/>
        <v>7</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45935</v>
      </c>
      <c r="ER24" s="767">
        <f t="shared" si="10"/>
        <v>0</v>
      </c>
      <c r="ES24" s="768">
        <f t="shared" si="11"/>
        <v>0</v>
      </c>
      <c r="ET24" s="767">
        <f t="shared" si="12"/>
        <v>0</v>
      </c>
      <c r="EU24" s="768">
        <f t="shared" si="13"/>
        <v>0</v>
      </c>
      <c r="EV24" s="767" t="str">
        <f t="shared" si="14"/>
        <v/>
      </c>
      <c r="EW24" s="769">
        <f t="shared" si="29"/>
        <v>45935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40</v>
      </c>
      <c r="GA24" s="129">
        <f t="shared" si="39"/>
        <v>2025</v>
      </c>
      <c r="GB24" s="129" t="str">
        <f t="shared" si="40"/>
        <v>402025</v>
      </c>
      <c r="GC24" s="225">
        <f>IF(AND($GD$53=S.CAL!$P$3,$GD$52=FZ24),GE24,IF(BH24="",0,BH24))</f>
        <v>0</v>
      </c>
      <c r="GD24" s="129" t="str">
        <f>IFERROR(+Novembre!$BY$2&amp;BL24&amp;BM24,0)</f>
        <v>Fiche infoA7</v>
      </c>
      <c r="GE24" s="129" t="str">
        <f t="shared" si="19"/>
        <v/>
      </c>
      <c r="GF24" s="225" t="str">
        <f t="shared" si="41"/>
        <v/>
      </c>
      <c r="GG24" s="1469" t="str">
        <f>+'Retenue Oct'!D22</f>
        <v/>
      </c>
      <c r="GH24" s="1469">
        <f>+'Retenue Oct'!BF22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Oct'!R48*-1)</f>
        <v>#DIV/0!</v>
      </c>
      <c r="M25" s="1811"/>
      <c r="N25" s="1811"/>
      <c r="O25" s="1812"/>
      <c r="P25" s="1816" t="e">
        <f>+IF(L25,T25/L25,0)</f>
        <v>#DIV/0!</v>
      </c>
      <c r="Q25" s="1817"/>
      <c r="R25" s="1817"/>
      <c r="S25" s="1818"/>
      <c r="T25" s="1913">
        <f>IF(A18="Salaire heures normales réelles",0,'Retenue Oct'!R52*-1)</f>
        <v>0</v>
      </c>
      <c r="U25" s="1914"/>
      <c r="V25" s="1914"/>
      <c r="W25" s="1915"/>
      <c r="X25" s="226"/>
      <c r="Y25" s="226"/>
      <c r="Z25" s="226"/>
      <c r="AA25" s="903" t="str">
        <f>IF(AND(BE25="OUI",$AR$13=S.CAL!$CU$2),"►",IF(AND(EV25="OUI",$AR$13=S.CAL!$CU$3),"►",""))</f>
        <v/>
      </c>
      <c r="AB25" s="1877">
        <f>+$X$3+5</f>
        <v>45936</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f t="shared" si="48"/>
        <v>41</v>
      </c>
      <c r="AQ25" s="340"/>
      <c r="AR25" s="1126"/>
      <c r="AS25" s="332">
        <f t="shared" si="3"/>
        <v>0</v>
      </c>
      <c r="AT25" s="1147"/>
      <c r="AU25" s="1147"/>
      <c r="AV25" s="332"/>
      <c r="AW25" s="2017">
        <f t="shared" si="22"/>
        <v>45936</v>
      </c>
      <c r="AX25" s="1878"/>
      <c r="AY25" s="332"/>
      <c r="AZ25" s="1126"/>
      <c r="BA25" s="993"/>
      <c r="BB25" s="561"/>
      <c r="BC25" s="566">
        <f t="shared" si="23"/>
        <v>0</v>
      </c>
      <c r="BD25" s="1126"/>
      <c r="BE25" s="825">
        <f t="shared" si="24"/>
        <v>0</v>
      </c>
      <c r="BF25" s="1150"/>
      <c r="BG25" s="224"/>
      <c r="BH25" s="566" t="str">
        <f t="shared" si="25"/>
        <v/>
      </c>
      <c r="BI25" s="1150"/>
      <c r="BJ25" s="129" t="str">
        <f t="shared" si="26"/>
        <v>Fiche infoA1</v>
      </c>
      <c r="BK25" s="129">
        <f t="shared" si="49"/>
        <v>41</v>
      </c>
      <c r="BL25" s="129" t="str">
        <f t="shared" si="4"/>
        <v>A</v>
      </c>
      <c r="BM25" s="129">
        <f t="shared" si="50"/>
        <v>1</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45936</v>
      </c>
      <c r="ER25" s="767">
        <f t="shared" si="10"/>
        <v>0</v>
      </c>
      <c r="ES25" s="768">
        <f t="shared" si="11"/>
        <v>0</v>
      </c>
      <c r="ET25" s="767">
        <f t="shared" si="12"/>
        <v>0</v>
      </c>
      <c r="EU25" s="768">
        <f t="shared" si="13"/>
        <v>0</v>
      </c>
      <c r="EV25" s="767" t="str">
        <f t="shared" si="14"/>
        <v/>
      </c>
      <c r="EW25" s="769">
        <f t="shared" si="29"/>
        <v>45936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41</v>
      </c>
      <c r="GA25" s="129">
        <f t="shared" si="39"/>
        <v>2025</v>
      </c>
      <c r="GB25" s="129" t="str">
        <f t="shared" si="40"/>
        <v>412025</v>
      </c>
      <c r="GC25" s="225">
        <f>IF(AND($GD$53=S.CAL!$P$3,$GD$52=FZ25),GE25,IF(BH25="",0,BH25))</f>
        <v>0</v>
      </c>
      <c r="GD25" s="129" t="str">
        <f>IFERROR(+Novembre!$BY$2&amp;BL25&amp;BM25,0)</f>
        <v>Fiche infoA1</v>
      </c>
      <c r="GE25" s="129" t="str">
        <f t="shared" si="19"/>
        <v/>
      </c>
      <c r="GF25" s="225" t="str">
        <f t="shared" si="41"/>
        <v/>
      </c>
      <c r="GG25" s="1469" t="str">
        <f>+'Retenue Oct'!D23</f>
        <v/>
      </c>
      <c r="GH25" s="1469">
        <f>+'Retenue Oct'!BF23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Oct'!R50*-1)</f>
        <v>#DIV/0!</v>
      </c>
      <c r="M26" s="1811"/>
      <c r="N26" s="1811"/>
      <c r="O26" s="1812"/>
      <c r="P26" s="1816" t="e">
        <f>+IF(L26,T26/L26,0)</f>
        <v>#DIV/0!</v>
      </c>
      <c r="Q26" s="1817"/>
      <c r="R26" s="1817"/>
      <c r="S26" s="1818"/>
      <c r="T26" s="1913">
        <f>IF(A18="Salaire heures normales réelles",0,'Retenue Oct'!R54*-1)</f>
        <v>0</v>
      </c>
      <c r="U26" s="1914"/>
      <c r="V26" s="1914"/>
      <c r="W26" s="1915"/>
      <c r="X26" s="223"/>
      <c r="Y26" s="223"/>
      <c r="Z26" s="223"/>
      <c r="AA26" s="903" t="str">
        <f>IF(AND(BE26="OUI",$AR$13=S.CAL!$CU$2),"►",IF(AND(EV26="OUI",$AR$13=S.CAL!$CU$3),"►",""))</f>
        <v/>
      </c>
      <c r="AB26" s="1877">
        <f>+$X$3+6</f>
        <v>45937</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45937</v>
      </c>
      <c r="AX26" s="1878"/>
      <c r="AY26" s="332"/>
      <c r="AZ26" s="1126"/>
      <c r="BA26" s="993"/>
      <c r="BB26" s="561"/>
      <c r="BC26" s="566">
        <f t="shared" si="23"/>
        <v>0</v>
      </c>
      <c r="BD26" s="1126"/>
      <c r="BE26" s="825">
        <f t="shared" si="24"/>
        <v>0</v>
      </c>
      <c r="BF26" s="1150"/>
      <c r="BG26" s="224"/>
      <c r="BH26" s="566" t="str">
        <f t="shared" si="25"/>
        <v/>
      </c>
      <c r="BI26" s="1150"/>
      <c r="BJ26" s="129" t="str">
        <f t="shared" si="26"/>
        <v>Fiche infoA2</v>
      </c>
      <c r="BK26" s="129">
        <f t="shared" si="49"/>
        <v>41</v>
      </c>
      <c r="BL26" s="129" t="str">
        <f t="shared" si="4"/>
        <v>A</v>
      </c>
      <c r="BM26" s="129">
        <f t="shared" si="50"/>
        <v>2</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45937</v>
      </c>
      <c r="ER26" s="767">
        <f t="shared" si="10"/>
        <v>0</v>
      </c>
      <c r="ES26" s="768">
        <f t="shared" si="11"/>
        <v>0</v>
      </c>
      <c r="ET26" s="767">
        <f t="shared" si="12"/>
        <v>0</v>
      </c>
      <c r="EU26" s="768">
        <f t="shared" si="13"/>
        <v>0</v>
      </c>
      <c r="EV26" s="767" t="str">
        <f t="shared" si="14"/>
        <v/>
      </c>
      <c r="EW26" s="769">
        <f t="shared" si="29"/>
        <v>45937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41</v>
      </c>
      <c r="GA26" s="129">
        <f t="shared" si="39"/>
        <v>2025</v>
      </c>
      <c r="GB26" s="129" t="str">
        <f t="shared" si="40"/>
        <v>412025</v>
      </c>
      <c r="GC26" s="225">
        <f>IF(AND($GD$53=S.CAL!$P$3,$GD$52=FZ26),GE26,IF(BH26="",0,BH26))</f>
        <v>0</v>
      </c>
      <c r="GD26" s="129" t="str">
        <f>IFERROR(+Novembre!$BY$2&amp;BL26&amp;BM26,0)</f>
        <v>Fiche infoA2</v>
      </c>
      <c r="GE26" s="129" t="str">
        <f t="shared" si="19"/>
        <v/>
      </c>
      <c r="GF26" s="225" t="str">
        <f t="shared" si="41"/>
        <v/>
      </c>
      <c r="GG26" s="1469" t="str">
        <f>+'Retenue Oct'!D24</f>
        <v/>
      </c>
      <c r="GH26" s="1469">
        <f>+'Retenue Oct'!BF24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45938</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45938</v>
      </c>
      <c r="AX27" s="1878"/>
      <c r="AY27" s="332"/>
      <c r="AZ27" s="1126"/>
      <c r="BA27" s="993"/>
      <c r="BB27" s="561"/>
      <c r="BC27" s="566">
        <f t="shared" si="23"/>
        <v>0</v>
      </c>
      <c r="BD27" s="1126"/>
      <c r="BE27" s="825">
        <f t="shared" si="24"/>
        <v>0</v>
      </c>
      <c r="BF27" s="1150"/>
      <c r="BG27" s="224"/>
      <c r="BH27" s="566" t="str">
        <f t="shared" si="25"/>
        <v/>
      </c>
      <c r="BI27" s="1150"/>
      <c r="BJ27" s="129" t="str">
        <f t="shared" si="26"/>
        <v>Fiche infoA3</v>
      </c>
      <c r="BK27" s="129">
        <f t="shared" si="49"/>
        <v>41</v>
      </c>
      <c r="BL27" s="129" t="str">
        <f t="shared" si="4"/>
        <v>A</v>
      </c>
      <c r="BM27" s="129">
        <f t="shared" si="50"/>
        <v>3</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45938</v>
      </c>
      <c r="ER27" s="767">
        <f t="shared" si="10"/>
        <v>0</v>
      </c>
      <c r="ES27" s="768">
        <f t="shared" si="11"/>
        <v>0</v>
      </c>
      <c r="ET27" s="767">
        <f t="shared" si="12"/>
        <v>0</v>
      </c>
      <c r="EU27" s="768">
        <f t="shared" si="13"/>
        <v>0</v>
      </c>
      <c r="EV27" s="767" t="str">
        <f t="shared" si="14"/>
        <v/>
      </c>
      <c r="EW27" s="769">
        <f t="shared" si="29"/>
        <v>45938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41</v>
      </c>
      <c r="GA27" s="129">
        <f t="shared" si="39"/>
        <v>2025</v>
      </c>
      <c r="GB27" s="129" t="str">
        <f t="shared" si="40"/>
        <v>412025</v>
      </c>
      <c r="GC27" s="225">
        <f>IF(AND($GD$53=S.CAL!$P$3,$GD$52=FZ27),GE27,IF(BH27="",0,BH27))</f>
        <v>0</v>
      </c>
      <c r="GD27" s="129" t="str">
        <f>IFERROR(+Novembre!$BY$2&amp;BL27&amp;BM27,0)</f>
        <v>Fiche infoA3</v>
      </c>
      <c r="GE27" s="129" t="str">
        <f t="shared" si="19"/>
        <v/>
      </c>
      <c r="GF27" s="225" t="str">
        <f t="shared" si="41"/>
        <v/>
      </c>
      <c r="GG27" s="1469" t="str">
        <f>+'Retenue Oct'!D25</f>
        <v/>
      </c>
      <c r="GH27" s="1469">
        <f>+'Retenue Oct'!BF25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45939</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45939</v>
      </c>
      <c r="AX28" s="1878"/>
      <c r="AY28" s="332"/>
      <c r="AZ28" s="1126"/>
      <c r="BA28" s="993"/>
      <c r="BB28" s="561"/>
      <c r="BC28" s="566">
        <f t="shared" si="23"/>
        <v>0</v>
      </c>
      <c r="BD28" s="1126"/>
      <c r="BE28" s="825">
        <f t="shared" si="24"/>
        <v>0</v>
      </c>
      <c r="BF28" s="1150"/>
      <c r="BG28" s="224"/>
      <c r="BH28" s="566" t="str">
        <f t="shared" si="25"/>
        <v/>
      </c>
      <c r="BI28" s="1150"/>
      <c r="BJ28" s="129" t="str">
        <f t="shared" si="26"/>
        <v>Fiche infoA4</v>
      </c>
      <c r="BK28" s="129">
        <f t="shared" si="49"/>
        <v>41</v>
      </c>
      <c r="BL28" s="129" t="str">
        <f t="shared" si="4"/>
        <v>A</v>
      </c>
      <c r="BM28" s="129">
        <f t="shared" si="50"/>
        <v>4</v>
      </c>
      <c r="BN28" s="225" t="str">
        <f t="shared" si="60"/>
        <v>Fiche info</v>
      </c>
      <c r="BO28" s="332" t="str">
        <f t="shared" si="51"/>
        <v/>
      </c>
      <c r="BP28" s="198" t="str">
        <f t="shared" si="52"/>
        <v/>
      </c>
      <c r="BQ28" s="198"/>
      <c r="BS28" s="2012" t="str">
        <f>+"Semaine numéro : "&amp;AT4</f>
        <v>Semaine numéro : 40</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+SUMIF(Septembre!$BK$20:$BK$50,AT4,Septembre!$AM$20:$AO$50)</f>
        <v>0</v>
      </c>
      <c r="CD28" s="198">
        <f>+SUMIF(Novembre!$BK$20:$BK$50,AT4,Novembre!$AM$20:$AO$50)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45939</v>
      </c>
      <c r="ER28" s="767">
        <f t="shared" si="10"/>
        <v>0</v>
      </c>
      <c r="ES28" s="768">
        <f t="shared" si="11"/>
        <v>0</v>
      </c>
      <c r="ET28" s="767">
        <f t="shared" si="12"/>
        <v>0</v>
      </c>
      <c r="EU28" s="768">
        <f t="shared" si="13"/>
        <v>0</v>
      </c>
      <c r="EV28" s="767" t="str">
        <f t="shared" si="14"/>
        <v/>
      </c>
      <c r="EW28" s="769">
        <f t="shared" si="29"/>
        <v>45939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41</v>
      </c>
      <c r="GA28" s="129">
        <f t="shared" si="39"/>
        <v>2025</v>
      </c>
      <c r="GB28" s="129" t="str">
        <f t="shared" si="40"/>
        <v>412025</v>
      </c>
      <c r="GC28" s="225">
        <f>IF(AND($GD$53=S.CAL!$P$3,$GD$52=FZ28),GE28,IF(BH28="",0,BH28))</f>
        <v>0</v>
      </c>
      <c r="GD28" s="129" t="str">
        <f>IFERROR(+Novembre!$BY$2&amp;BL28&amp;BM28,0)</f>
        <v>Fiche infoA4</v>
      </c>
      <c r="GE28" s="129" t="str">
        <f t="shared" si="19"/>
        <v/>
      </c>
      <c r="GF28" s="225" t="str">
        <f t="shared" si="41"/>
        <v/>
      </c>
      <c r="GG28" s="1469" t="str">
        <f>+'Retenue Oct'!D26</f>
        <v/>
      </c>
      <c r="GH28" s="1469">
        <f>+'Retenue Oct'!BF26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45940</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2"/>
        <v>45940</v>
      </c>
      <c r="AX29" s="1878"/>
      <c r="AY29" s="332"/>
      <c r="AZ29" s="1126"/>
      <c r="BA29" s="993"/>
      <c r="BB29" s="561"/>
      <c r="BC29" s="566">
        <f t="shared" si="23"/>
        <v>0</v>
      </c>
      <c r="BD29" s="1126"/>
      <c r="BE29" s="825">
        <f t="shared" si="24"/>
        <v>0</v>
      </c>
      <c r="BF29" s="1150"/>
      <c r="BG29" s="224"/>
      <c r="BH29" s="566" t="str">
        <f t="shared" si="25"/>
        <v/>
      </c>
      <c r="BI29" s="1150"/>
      <c r="BJ29" s="129" t="str">
        <f t="shared" si="26"/>
        <v>Fiche infoA5</v>
      </c>
      <c r="BK29" s="129">
        <f t="shared" si="49"/>
        <v>41</v>
      </c>
      <c r="BL29" s="129" t="str">
        <f t="shared" si="4"/>
        <v>A</v>
      </c>
      <c r="BM29" s="129">
        <f t="shared" si="50"/>
        <v>5</v>
      </c>
      <c r="BN29" s="225" t="str">
        <f t="shared" si="60"/>
        <v>Fiche info</v>
      </c>
      <c r="BO29" s="332" t="str">
        <f t="shared" si="51"/>
        <v/>
      </c>
      <c r="BP29" s="198" t="str">
        <f t="shared" si="52"/>
        <v/>
      </c>
      <c r="BQ29" s="198"/>
      <c r="BS29" s="2012" t="str">
        <f t="shared" ref="BS29:BS33" si="64">+"Semaine numéro : "&amp;AT5</f>
        <v>Semaine numéro : 41</v>
      </c>
      <c r="BT29" s="2013"/>
      <c r="BU29" s="2013"/>
      <c r="BV29" s="2013"/>
      <c r="BW29" s="2013"/>
      <c r="BX29" s="2014"/>
      <c r="BY29" s="1137"/>
      <c r="BZ29" s="674">
        <f t="shared" ref="BZ29:BZ33" si="65">+IF(BY29="",IF(AND(CC29&gt;0,CB29&gt;0),CC29+CB29,IF(CD29&gt;0,0,CB29)),BY29)</f>
        <v>0</v>
      </c>
      <c r="CA29" s="673">
        <f t="shared" si="62"/>
        <v>0</v>
      </c>
      <c r="CB29" s="198">
        <f t="shared" si="63"/>
        <v>0</v>
      </c>
      <c r="CC29" s="198">
        <f>+SUMIF(Septembre!$BK$20:$BK$50,AT5,Septembre!$AM$20:$AO$50)</f>
        <v>0</v>
      </c>
      <c r="CD29" s="198">
        <f>+SUMIF(Novembre!$BK$20:$BK$50,AT5,Novembre!$AM$20:$AO$50)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45940</v>
      </c>
      <c r="ER29" s="767">
        <f t="shared" si="10"/>
        <v>0</v>
      </c>
      <c r="ES29" s="768">
        <f t="shared" si="11"/>
        <v>0</v>
      </c>
      <c r="ET29" s="767">
        <f t="shared" si="12"/>
        <v>0</v>
      </c>
      <c r="EU29" s="768">
        <f t="shared" si="13"/>
        <v>0</v>
      </c>
      <c r="EV29" s="767" t="str">
        <f t="shared" si="14"/>
        <v/>
      </c>
      <c r="EW29" s="769">
        <f t="shared" si="29"/>
        <v>45940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41</v>
      </c>
      <c r="GA29" s="129">
        <f t="shared" si="39"/>
        <v>2025</v>
      </c>
      <c r="GB29" s="129" t="str">
        <f t="shared" si="40"/>
        <v>412025</v>
      </c>
      <c r="GC29" s="225">
        <f>IF(AND($GD$53=S.CAL!$P$3,$GD$52=FZ29),GE29,IF(BH29="",0,BH29))</f>
        <v>0</v>
      </c>
      <c r="GD29" s="129" t="str">
        <f>IFERROR(+Novembre!$BY$2&amp;BL29&amp;BM29,0)</f>
        <v>Fiche infoA5</v>
      </c>
      <c r="GE29" s="129" t="str">
        <f t="shared" si="19"/>
        <v/>
      </c>
      <c r="GF29" s="225" t="str">
        <f t="shared" si="41"/>
        <v/>
      </c>
      <c r="GG29" s="1469" t="str">
        <f>+'Retenue Oct'!D27</f>
        <v/>
      </c>
      <c r="GH29" s="1469">
        <f>+'Retenue Oct'!BF27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45941</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45941</v>
      </c>
      <c r="AX30" s="1878"/>
      <c r="AY30" s="332"/>
      <c r="AZ30" s="1126"/>
      <c r="BA30" s="993"/>
      <c r="BB30" s="561"/>
      <c r="BC30" s="566">
        <f t="shared" si="23"/>
        <v>0</v>
      </c>
      <c r="BD30" s="1126"/>
      <c r="BE30" s="825">
        <f t="shared" si="24"/>
        <v>0</v>
      </c>
      <c r="BF30" s="1150"/>
      <c r="BG30" s="224"/>
      <c r="BH30" s="566" t="str">
        <f t="shared" si="25"/>
        <v/>
      </c>
      <c r="BI30" s="1150"/>
      <c r="BJ30" s="129" t="str">
        <f t="shared" si="26"/>
        <v>Fiche infoA6</v>
      </c>
      <c r="BK30" s="129">
        <f t="shared" si="49"/>
        <v>41</v>
      </c>
      <c r="BL30" s="129" t="str">
        <f t="shared" si="4"/>
        <v>A</v>
      </c>
      <c r="BM30" s="129">
        <f t="shared" si="50"/>
        <v>6</v>
      </c>
      <c r="BN30" s="225" t="str">
        <f t="shared" si="60"/>
        <v>Fiche info</v>
      </c>
      <c r="BO30" s="332" t="str">
        <f t="shared" si="51"/>
        <v/>
      </c>
      <c r="BP30" s="198" t="str">
        <f t="shared" si="52"/>
        <v/>
      </c>
      <c r="BQ30" s="198"/>
      <c r="BS30" s="2012" t="str">
        <f t="shared" si="64"/>
        <v>Semaine numéro : 42</v>
      </c>
      <c r="BT30" s="2013"/>
      <c r="BU30" s="2013"/>
      <c r="BV30" s="2013"/>
      <c r="BW30" s="2013"/>
      <c r="BX30" s="2014"/>
      <c r="BY30" s="1137"/>
      <c r="BZ30" s="674">
        <f t="shared" si="65"/>
        <v>0</v>
      </c>
      <c r="CA30" s="673">
        <f t="shared" si="62"/>
        <v>0</v>
      </c>
      <c r="CB30" s="198">
        <f t="shared" si="63"/>
        <v>0</v>
      </c>
      <c r="CC30" s="198">
        <f>+SUMIF(Septembre!$BK$20:$BK$50,AT6,Septembre!$AM$20:$AO$50)</f>
        <v>0</v>
      </c>
      <c r="CD30" s="198">
        <f>+SUMIF(Novembre!$BK$20:$BK$50,AT6,Novembre!$AM$20:$AO$50)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45941</v>
      </c>
      <c r="ER30" s="767">
        <f t="shared" si="10"/>
        <v>0</v>
      </c>
      <c r="ES30" s="768">
        <f t="shared" si="11"/>
        <v>0</v>
      </c>
      <c r="ET30" s="767">
        <f t="shared" si="12"/>
        <v>0</v>
      </c>
      <c r="EU30" s="768">
        <f t="shared" si="13"/>
        <v>0</v>
      </c>
      <c r="EV30" s="767" t="str">
        <f t="shared" si="14"/>
        <v/>
      </c>
      <c r="EW30" s="769">
        <f t="shared" si="29"/>
        <v>45941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41</v>
      </c>
      <c r="GA30" s="129">
        <f t="shared" si="39"/>
        <v>2025</v>
      </c>
      <c r="GB30" s="129" t="str">
        <f t="shared" si="40"/>
        <v>412025</v>
      </c>
      <c r="GC30" s="225">
        <f>IF(AND($GD$53=S.CAL!$P$3,$GD$52=FZ30),GE30,IF(BH30="",0,BH30))</f>
        <v>0</v>
      </c>
      <c r="GD30" s="129" t="str">
        <f>IFERROR(+Novembre!$BY$2&amp;BL30&amp;BM30,0)</f>
        <v>Fiche infoA6</v>
      </c>
      <c r="GE30" s="129" t="str">
        <f t="shared" si="19"/>
        <v/>
      </c>
      <c r="GF30" s="225" t="str">
        <f t="shared" si="41"/>
        <v/>
      </c>
      <c r="GG30" s="1469" t="str">
        <f>+'Retenue Oct'!D28</f>
        <v/>
      </c>
      <c r="GH30" s="1469">
        <f>+'Retenue Oct'!BF28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45942</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45942</v>
      </c>
      <c r="AX31" s="1878"/>
      <c r="AY31" s="332"/>
      <c r="AZ31" s="1126"/>
      <c r="BA31" s="993"/>
      <c r="BB31" s="561"/>
      <c r="BC31" s="566">
        <f t="shared" si="23"/>
        <v>0</v>
      </c>
      <c r="BD31" s="1126"/>
      <c r="BE31" s="825">
        <f t="shared" si="24"/>
        <v>0</v>
      </c>
      <c r="BF31" s="1150"/>
      <c r="BG31" s="224"/>
      <c r="BH31" s="566" t="str">
        <f t="shared" si="25"/>
        <v/>
      </c>
      <c r="BI31" s="1150"/>
      <c r="BJ31" s="129" t="str">
        <f t="shared" si="26"/>
        <v>Fiche infoA7</v>
      </c>
      <c r="BK31" s="129">
        <f t="shared" si="49"/>
        <v>41</v>
      </c>
      <c r="BL31" s="129" t="str">
        <f t="shared" si="4"/>
        <v>A</v>
      </c>
      <c r="BM31" s="129">
        <f t="shared" si="50"/>
        <v>7</v>
      </c>
      <c r="BN31" s="225" t="str">
        <f t="shared" si="60"/>
        <v>Fiche info</v>
      </c>
      <c r="BO31" s="332" t="str">
        <f t="shared" si="51"/>
        <v/>
      </c>
      <c r="BP31" s="198" t="str">
        <f t="shared" si="52"/>
        <v/>
      </c>
      <c r="BQ31" s="198"/>
      <c r="BS31" s="2012" t="str">
        <f t="shared" si="64"/>
        <v>Semaine numéro : 43</v>
      </c>
      <c r="BT31" s="2013"/>
      <c r="BU31" s="2013"/>
      <c r="BV31" s="2013"/>
      <c r="BW31" s="2013"/>
      <c r="BX31" s="2014"/>
      <c r="BY31" s="1137"/>
      <c r="BZ31" s="674">
        <f t="shared" si="65"/>
        <v>0</v>
      </c>
      <c r="CA31" s="673">
        <f t="shared" si="62"/>
        <v>0</v>
      </c>
      <c r="CB31" s="198">
        <f t="shared" si="63"/>
        <v>0</v>
      </c>
      <c r="CC31" s="198">
        <f>+SUMIF(Septembre!$BK$20:$BK$50,AT7,Septembre!$AM$20:$AO$50)</f>
        <v>0</v>
      </c>
      <c r="CD31" s="198">
        <f>+SUMIF(Novembre!$BK$20:$BK$50,AT7,Novembre!$AM$20:$AO$50)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45942</v>
      </c>
      <c r="ER31" s="767">
        <f t="shared" si="10"/>
        <v>0</v>
      </c>
      <c r="ES31" s="768">
        <f t="shared" si="11"/>
        <v>0</v>
      </c>
      <c r="ET31" s="767">
        <f t="shared" si="12"/>
        <v>0</v>
      </c>
      <c r="EU31" s="768">
        <f t="shared" si="13"/>
        <v>0</v>
      </c>
      <c r="EV31" s="767" t="str">
        <f t="shared" si="14"/>
        <v/>
      </c>
      <c r="EW31" s="769">
        <f t="shared" si="29"/>
        <v>45942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41</v>
      </c>
      <c r="GA31" s="129">
        <f t="shared" si="39"/>
        <v>2025</v>
      </c>
      <c r="GB31" s="129" t="str">
        <f t="shared" si="40"/>
        <v>412025</v>
      </c>
      <c r="GC31" s="225">
        <f>IF(AND($GD$53=S.CAL!$P$3,$GD$52=FZ31),GE31,IF(BH31="",0,BH31))</f>
        <v>0</v>
      </c>
      <c r="GD31" s="129" t="str">
        <f>IFERROR(+Novembre!$BY$2&amp;BL31&amp;BM31,0)</f>
        <v>Fiche infoA7</v>
      </c>
      <c r="GE31" s="129" t="str">
        <f t="shared" si="19"/>
        <v/>
      </c>
      <c r="GF31" s="225" t="str">
        <f t="shared" si="41"/>
        <v/>
      </c>
      <c r="GG31" s="1469" t="str">
        <f>+'Retenue Oct'!D29</f>
        <v/>
      </c>
      <c r="GH31" s="1469">
        <f>+'Retenue Oct'!BF29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45943</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f t="shared" si="48"/>
        <v>42</v>
      </c>
      <c r="AQ32" s="340"/>
      <c r="AR32" s="1126"/>
      <c r="AS32" s="332">
        <f t="shared" si="3"/>
        <v>0</v>
      </c>
      <c r="AT32" s="1147"/>
      <c r="AU32" s="1147"/>
      <c r="AV32" s="332"/>
      <c r="AW32" s="2017">
        <f t="shared" si="22"/>
        <v>45943</v>
      </c>
      <c r="AX32" s="1878"/>
      <c r="AY32" s="332"/>
      <c r="AZ32" s="1126"/>
      <c r="BA32" s="993"/>
      <c r="BB32" s="561"/>
      <c r="BC32" s="566">
        <f t="shared" si="23"/>
        <v>0</v>
      </c>
      <c r="BD32" s="1126"/>
      <c r="BE32" s="825">
        <f t="shared" si="24"/>
        <v>0</v>
      </c>
      <c r="BF32" s="1150"/>
      <c r="BG32" s="224"/>
      <c r="BH32" s="566" t="str">
        <f t="shared" si="25"/>
        <v/>
      </c>
      <c r="BI32" s="1150"/>
      <c r="BJ32" s="129" t="str">
        <f t="shared" si="26"/>
        <v>Fiche infoA1</v>
      </c>
      <c r="BK32" s="129">
        <f t="shared" si="49"/>
        <v>42</v>
      </c>
      <c r="BL32" s="129" t="str">
        <f t="shared" si="4"/>
        <v>A</v>
      </c>
      <c r="BM32" s="129">
        <f t="shared" si="50"/>
        <v>1</v>
      </c>
      <c r="BN32" s="225" t="str">
        <f t="shared" si="60"/>
        <v>Fiche info</v>
      </c>
      <c r="BO32" s="332" t="str">
        <f t="shared" si="51"/>
        <v/>
      </c>
      <c r="BP32" s="198" t="str">
        <f t="shared" si="52"/>
        <v/>
      </c>
      <c r="BQ32" s="198"/>
      <c r="BS32" s="2012" t="str">
        <f t="shared" si="64"/>
        <v>Semaine numéro : 44</v>
      </c>
      <c r="BT32" s="2013"/>
      <c r="BU32" s="2013"/>
      <c r="BV32" s="2013"/>
      <c r="BW32" s="2013"/>
      <c r="BX32" s="2014"/>
      <c r="BY32" s="1137"/>
      <c r="BZ32" s="674">
        <f t="shared" si="65"/>
        <v>0</v>
      </c>
      <c r="CA32" s="673">
        <f t="shared" si="62"/>
        <v>0</v>
      </c>
      <c r="CB32" s="198">
        <f t="shared" si="63"/>
        <v>0</v>
      </c>
      <c r="CC32" s="198">
        <f>+SUMIF(Septembre!$BK$20:$BK$50,AT8,Septembre!$AM$20:$AO$50)</f>
        <v>0</v>
      </c>
      <c r="CD32" s="198">
        <f>+SUMIF(Novembre!$BK$20:$BK$50,AT8,Novembre!$AM$20:$AO$50)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45943</v>
      </c>
      <c r="ER32" s="767">
        <f t="shared" si="10"/>
        <v>0</v>
      </c>
      <c r="ES32" s="768">
        <f t="shared" si="11"/>
        <v>0</v>
      </c>
      <c r="ET32" s="767">
        <f t="shared" si="12"/>
        <v>0</v>
      </c>
      <c r="EU32" s="768">
        <f t="shared" si="13"/>
        <v>0</v>
      </c>
      <c r="EV32" s="767" t="str">
        <f t="shared" si="14"/>
        <v/>
      </c>
      <c r="EW32" s="769">
        <f t="shared" si="29"/>
        <v>45943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42</v>
      </c>
      <c r="GA32" s="129">
        <f t="shared" si="39"/>
        <v>2025</v>
      </c>
      <c r="GB32" s="129" t="str">
        <f t="shared" si="40"/>
        <v>422025</v>
      </c>
      <c r="GC32" s="225">
        <f>IF(AND($GD$53=S.CAL!$P$3,$GD$52=FZ32),GE32,IF(BH32="",0,BH32))</f>
        <v>0</v>
      </c>
      <c r="GD32" s="129" t="str">
        <f>IFERROR(+Novembre!$BY$2&amp;BL32&amp;BM32,0)</f>
        <v>Fiche infoA1</v>
      </c>
      <c r="GE32" s="129" t="str">
        <f t="shared" si="19"/>
        <v/>
      </c>
      <c r="GF32" s="225" t="str">
        <f t="shared" si="41"/>
        <v/>
      </c>
      <c r="GG32" s="1469" t="str">
        <f>+'Retenue Oct'!D30</f>
        <v/>
      </c>
      <c r="GH32" s="1469">
        <f>+'Retenue Oct'!BF30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45944</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45944</v>
      </c>
      <c r="AX33" s="1878"/>
      <c r="AY33" s="332"/>
      <c r="AZ33" s="1126"/>
      <c r="BA33" s="993"/>
      <c r="BB33" s="561"/>
      <c r="BC33" s="566">
        <f t="shared" si="23"/>
        <v>0</v>
      </c>
      <c r="BD33" s="1126"/>
      <c r="BE33" s="825">
        <f t="shared" si="24"/>
        <v>0</v>
      </c>
      <c r="BF33" s="1150"/>
      <c r="BG33" s="224"/>
      <c r="BH33" s="566" t="str">
        <f t="shared" si="25"/>
        <v/>
      </c>
      <c r="BI33" s="1150"/>
      <c r="BJ33" s="129" t="str">
        <f t="shared" si="26"/>
        <v>Fiche infoA2</v>
      </c>
      <c r="BK33" s="129">
        <f t="shared" si="49"/>
        <v>42</v>
      </c>
      <c r="BL33" s="129" t="str">
        <f t="shared" si="4"/>
        <v>A</v>
      </c>
      <c r="BM33" s="129">
        <f t="shared" si="50"/>
        <v>2</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+SUMIF(Septembre!$BK$20:$BK$50,AT9,Septembre!$AM$20:$AO$50)</f>
        <v>0</v>
      </c>
      <c r="CD33" s="198">
        <f>+SUMIF(Novembre!$BK$20:$BK$50,AT9,Novembre!$AM$20:$AO$50)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45944</v>
      </c>
      <c r="ER33" s="767">
        <f t="shared" si="10"/>
        <v>0</v>
      </c>
      <c r="ES33" s="768">
        <f t="shared" si="11"/>
        <v>0</v>
      </c>
      <c r="ET33" s="767">
        <f t="shared" si="12"/>
        <v>0</v>
      </c>
      <c r="EU33" s="768">
        <f t="shared" si="13"/>
        <v>0</v>
      </c>
      <c r="EV33" s="767" t="str">
        <f t="shared" si="14"/>
        <v/>
      </c>
      <c r="EW33" s="769">
        <f t="shared" si="29"/>
        <v>45944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42</v>
      </c>
      <c r="GA33" s="129">
        <f t="shared" si="39"/>
        <v>2025</v>
      </c>
      <c r="GB33" s="129" t="str">
        <f t="shared" si="40"/>
        <v>422025</v>
      </c>
      <c r="GC33" s="225">
        <f>IF(AND($GD$53=S.CAL!$P$3,$GD$52=FZ33),GE33,IF(BH33="",0,BH33))</f>
        <v>0</v>
      </c>
      <c r="GD33" s="129" t="str">
        <f>IFERROR(+Novembre!$BY$2&amp;BL33&amp;BM33,0)</f>
        <v>Fiche infoA2</v>
      </c>
      <c r="GE33" s="129" t="str">
        <f t="shared" si="19"/>
        <v/>
      </c>
      <c r="GF33" s="225" t="str">
        <f t="shared" si="41"/>
        <v/>
      </c>
      <c r="GG33" s="1469" t="str">
        <f>+'Retenue Oct'!D31</f>
        <v/>
      </c>
      <c r="GH33" s="1469">
        <f>+'Retenue Oct'!BF31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45945</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45945</v>
      </c>
      <c r="AX34" s="1878"/>
      <c r="AY34" s="332"/>
      <c r="AZ34" s="1126"/>
      <c r="BA34" s="993"/>
      <c r="BB34" s="561"/>
      <c r="BC34" s="566">
        <f t="shared" si="23"/>
        <v>0</v>
      </c>
      <c r="BD34" s="1126"/>
      <c r="BE34" s="825">
        <f t="shared" si="24"/>
        <v>0</v>
      </c>
      <c r="BF34" s="1150"/>
      <c r="BG34" s="224"/>
      <c r="BH34" s="566" t="str">
        <f t="shared" si="25"/>
        <v/>
      </c>
      <c r="BI34" s="1150"/>
      <c r="BJ34" s="129" t="str">
        <f t="shared" si="26"/>
        <v>Fiche infoA3</v>
      </c>
      <c r="BK34" s="129">
        <f t="shared" si="49"/>
        <v>42</v>
      </c>
      <c r="BL34" s="129" t="str">
        <f t="shared" si="4"/>
        <v>A</v>
      </c>
      <c r="BM34" s="129">
        <f t="shared" si="50"/>
        <v>3</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45945</v>
      </c>
      <c r="ER34" s="767">
        <f t="shared" si="10"/>
        <v>0</v>
      </c>
      <c r="ES34" s="768">
        <f t="shared" si="11"/>
        <v>0</v>
      </c>
      <c r="ET34" s="767">
        <f t="shared" si="12"/>
        <v>0</v>
      </c>
      <c r="EU34" s="768">
        <f t="shared" si="13"/>
        <v>0</v>
      </c>
      <c r="EV34" s="767" t="str">
        <f t="shared" si="14"/>
        <v/>
      </c>
      <c r="EW34" s="769">
        <f t="shared" si="29"/>
        <v>45945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42</v>
      </c>
      <c r="GA34" s="129">
        <f t="shared" si="39"/>
        <v>2025</v>
      </c>
      <c r="GB34" s="129" t="str">
        <f t="shared" si="40"/>
        <v>422025</v>
      </c>
      <c r="GC34" s="225">
        <f>IF(AND($GD$53=S.CAL!$P$3,$GD$52=FZ34),GE34,IF(BH34="",0,BH34))</f>
        <v>0</v>
      </c>
      <c r="GD34" s="129" t="str">
        <f>IFERROR(+Novembre!$BY$2&amp;BL34&amp;BM34,0)</f>
        <v>Fiche infoA3</v>
      </c>
      <c r="GE34" s="129" t="str">
        <f t="shared" si="19"/>
        <v/>
      </c>
      <c r="GF34" s="225" t="str">
        <f t="shared" si="41"/>
        <v/>
      </c>
      <c r="GG34" s="1469" t="str">
        <f>+'Retenue Oct'!D32</f>
        <v/>
      </c>
      <c r="GH34" s="1469">
        <f>+'Retenue Oct'!BF32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45946</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45946</v>
      </c>
      <c r="AX35" s="1878"/>
      <c r="AY35" s="332"/>
      <c r="AZ35" s="1126"/>
      <c r="BA35" s="993"/>
      <c r="BB35" s="561"/>
      <c r="BC35" s="566">
        <f t="shared" si="23"/>
        <v>0</v>
      </c>
      <c r="BD35" s="1126"/>
      <c r="BE35" s="825">
        <f t="shared" si="24"/>
        <v>0</v>
      </c>
      <c r="BF35" s="1150"/>
      <c r="BG35" s="224"/>
      <c r="BH35" s="566" t="str">
        <f t="shared" si="25"/>
        <v/>
      </c>
      <c r="BI35" s="1150"/>
      <c r="BJ35" s="129" t="str">
        <f t="shared" si="26"/>
        <v>Fiche infoA4</v>
      </c>
      <c r="BK35" s="129">
        <f t="shared" si="49"/>
        <v>42</v>
      </c>
      <c r="BL35" s="129" t="str">
        <f t="shared" si="4"/>
        <v>A</v>
      </c>
      <c r="BM35" s="129">
        <f t="shared" si="50"/>
        <v>4</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45946</v>
      </c>
      <c r="ER35" s="767">
        <f t="shared" si="10"/>
        <v>0</v>
      </c>
      <c r="ES35" s="768">
        <f t="shared" si="11"/>
        <v>0</v>
      </c>
      <c r="ET35" s="767">
        <f t="shared" si="12"/>
        <v>0</v>
      </c>
      <c r="EU35" s="768">
        <f t="shared" si="13"/>
        <v>0</v>
      </c>
      <c r="EV35" s="767" t="str">
        <f t="shared" si="14"/>
        <v/>
      </c>
      <c r="EW35" s="769">
        <f t="shared" si="29"/>
        <v>45946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42</v>
      </c>
      <c r="GA35" s="129">
        <f t="shared" si="39"/>
        <v>2025</v>
      </c>
      <c r="GB35" s="129" t="str">
        <f t="shared" si="40"/>
        <v>422025</v>
      </c>
      <c r="GC35" s="225">
        <f>IF(AND($GD$53=S.CAL!$P$3,$GD$52=FZ35),GE35,IF(BH35="",0,BH35))</f>
        <v>0</v>
      </c>
      <c r="GD35" s="129" t="str">
        <f>IFERROR(+Novembre!$BY$2&amp;BL35&amp;BM35,0)</f>
        <v>Fiche infoA4</v>
      </c>
      <c r="GE35" s="129" t="str">
        <f t="shared" si="19"/>
        <v/>
      </c>
      <c r="GF35" s="225" t="str">
        <f t="shared" si="41"/>
        <v/>
      </c>
      <c r="GG35" s="1469" t="str">
        <f>+'Retenue Oct'!D33</f>
        <v/>
      </c>
      <c r="GH35" s="1469">
        <f>+'Retenue Oct'!BF33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45947</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2"/>
        <v>45947</v>
      </c>
      <c r="AX36" s="1878"/>
      <c r="AY36" s="332"/>
      <c r="AZ36" s="1126"/>
      <c r="BA36" s="993"/>
      <c r="BB36" s="561"/>
      <c r="BC36" s="566">
        <f t="shared" si="23"/>
        <v>0</v>
      </c>
      <c r="BD36" s="1126"/>
      <c r="BE36" s="825">
        <f t="shared" si="24"/>
        <v>0</v>
      </c>
      <c r="BF36" s="1150"/>
      <c r="BG36" s="224"/>
      <c r="BH36" s="566" t="str">
        <f t="shared" si="25"/>
        <v/>
      </c>
      <c r="BI36" s="1150"/>
      <c r="BJ36" s="129" t="str">
        <f t="shared" si="26"/>
        <v>Fiche infoA5</v>
      </c>
      <c r="BK36" s="129">
        <f t="shared" si="49"/>
        <v>42</v>
      </c>
      <c r="BL36" s="129" t="str">
        <f t="shared" si="4"/>
        <v>A</v>
      </c>
      <c r="BM36" s="129">
        <f t="shared" si="50"/>
        <v>5</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45947</v>
      </c>
      <c r="ER36" s="767">
        <f t="shared" si="10"/>
        <v>0</v>
      </c>
      <c r="ES36" s="768">
        <f t="shared" si="11"/>
        <v>0</v>
      </c>
      <c r="ET36" s="767">
        <f t="shared" si="12"/>
        <v>0</v>
      </c>
      <c r="EU36" s="768">
        <f t="shared" si="13"/>
        <v>0</v>
      </c>
      <c r="EV36" s="767" t="str">
        <f t="shared" si="14"/>
        <v/>
      </c>
      <c r="EW36" s="769">
        <f t="shared" si="29"/>
        <v>45947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42</v>
      </c>
      <c r="GA36" s="129">
        <f t="shared" si="39"/>
        <v>2025</v>
      </c>
      <c r="GB36" s="129" t="str">
        <f t="shared" si="40"/>
        <v>422025</v>
      </c>
      <c r="GC36" s="225">
        <f>IF(AND($GD$53=S.CAL!$P$3,$GD$52=FZ36),GE36,IF(BH36="",0,BH36))</f>
        <v>0</v>
      </c>
      <c r="GD36" s="129" t="str">
        <f>IFERROR(+Novembre!$BY$2&amp;BL36&amp;BM36,0)</f>
        <v>Fiche infoA5</v>
      </c>
      <c r="GE36" s="129" t="str">
        <f t="shared" si="19"/>
        <v/>
      </c>
      <c r="GF36" s="225" t="str">
        <f t="shared" si="41"/>
        <v/>
      </c>
      <c r="GG36" s="1469" t="str">
        <f>+'Retenue Oct'!D34</f>
        <v/>
      </c>
      <c r="GH36" s="1469">
        <f>+'Retenue Oct'!BF34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45948</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45948</v>
      </c>
      <c r="AX37" s="1878"/>
      <c r="AY37" s="332"/>
      <c r="AZ37" s="1126"/>
      <c r="BA37" s="993"/>
      <c r="BB37" s="561"/>
      <c r="BC37" s="566">
        <f t="shared" si="23"/>
        <v>0</v>
      </c>
      <c r="BD37" s="1126"/>
      <c r="BE37" s="825">
        <f t="shared" si="24"/>
        <v>0</v>
      </c>
      <c r="BF37" s="1150"/>
      <c r="BG37" s="224"/>
      <c r="BH37" s="566" t="str">
        <f t="shared" si="25"/>
        <v/>
      </c>
      <c r="BI37" s="1150"/>
      <c r="BJ37" s="129" t="str">
        <f t="shared" si="26"/>
        <v>Fiche infoA6</v>
      </c>
      <c r="BK37" s="129">
        <f t="shared" si="49"/>
        <v>42</v>
      </c>
      <c r="BL37" s="129" t="str">
        <f t="shared" si="4"/>
        <v>A</v>
      </c>
      <c r="BM37" s="129">
        <f t="shared" si="50"/>
        <v>6</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45948</v>
      </c>
      <c r="ER37" s="767">
        <f t="shared" si="10"/>
        <v>0</v>
      </c>
      <c r="ES37" s="768">
        <f t="shared" si="11"/>
        <v>0</v>
      </c>
      <c r="ET37" s="767">
        <f t="shared" si="12"/>
        <v>0</v>
      </c>
      <c r="EU37" s="768">
        <f t="shared" si="13"/>
        <v>0</v>
      </c>
      <c r="EV37" s="767" t="str">
        <f t="shared" si="14"/>
        <v/>
      </c>
      <c r="EW37" s="769">
        <f t="shared" si="29"/>
        <v>45948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42</v>
      </c>
      <c r="GA37" s="129">
        <f t="shared" si="39"/>
        <v>2025</v>
      </c>
      <c r="GB37" s="129" t="str">
        <f t="shared" si="40"/>
        <v>422025</v>
      </c>
      <c r="GC37" s="225">
        <f>IF(AND($GD$53=S.CAL!$P$3,$GD$52=FZ37),GE37,IF(BH37="",0,BH37))</f>
        <v>0</v>
      </c>
      <c r="GD37" s="129" t="str">
        <f>IFERROR(+Novembre!$BY$2&amp;BL37&amp;BM37,0)</f>
        <v>Fiche infoA6</v>
      </c>
      <c r="GE37" s="129" t="str">
        <f t="shared" si="19"/>
        <v/>
      </c>
      <c r="GF37" s="225" t="str">
        <f t="shared" si="41"/>
        <v/>
      </c>
      <c r="GG37" s="1469" t="str">
        <f>+'Retenue Oct'!D35</f>
        <v/>
      </c>
      <c r="GH37" s="1469">
        <f>+'Retenue Oct'!BF35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45949</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45949</v>
      </c>
      <c r="AX38" s="1878"/>
      <c r="AY38" s="332"/>
      <c r="AZ38" s="1126"/>
      <c r="BA38" s="993"/>
      <c r="BB38" s="561"/>
      <c r="BC38" s="566">
        <f t="shared" si="23"/>
        <v>0</v>
      </c>
      <c r="BD38" s="1126"/>
      <c r="BE38" s="825">
        <f t="shared" si="24"/>
        <v>0</v>
      </c>
      <c r="BF38" s="1150"/>
      <c r="BG38" s="224"/>
      <c r="BH38" s="566" t="str">
        <f t="shared" si="25"/>
        <v/>
      </c>
      <c r="BI38" s="1150"/>
      <c r="BJ38" s="129" t="str">
        <f t="shared" si="26"/>
        <v>Fiche infoA7</v>
      </c>
      <c r="BK38" s="129">
        <f t="shared" si="49"/>
        <v>42</v>
      </c>
      <c r="BL38" s="129" t="str">
        <f t="shared" si="4"/>
        <v>A</v>
      </c>
      <c r="BM38" s="129">
        <f t="shared" si="50"/>
        <v>7</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45949</v>
      </c>
      <c r="ER38" s="767">
        <f t="shared" si="10"/>
        <v>0</v>
      </c>
      <c r="ES38" s="768">
        <f t="shared" si="11"/>
        <v>0</v>
      </c>
      <c r="ET38" s="767">
        <f t="shared" si="12"/>
        <v>0</v>
      </c>
      <c r="EU38" s="768">
        <f t="shared" si="13"/>
        <v>0</v>
      </c>
      <c r="EV38" s="767" t="str">
        <f t="shared" si="14"/>
        <v/>
      </c>
      <c r="EW38" s="769">
        <f t="shared" si="29"/>
        <v>45949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42</v>
      </c>
      <c r="GA38" s="129">
        <f t="shared" si="39"/>
        <v>2025</v>
      </c>
      <c r="GB38" s="129" t="str">
        <f t="shared" si="40"/>
        <v>422025</v>
      </c>
      <c r="GC38" s="225">
        <f>IF(AND($GD$53=S.CAL!$P$3,$GD$52=FZ38),GE38,IF(BH38="",0,BH38))</f>
        <v>0</v>
      </c>
      <c r="GD38" s="129" t="str">
        <f>IFERROR(+Novembre!$BY$2&amp;BL38&amp;BM38,0)</f>
        <v>Fiche infoA7</v>
      </c>
      <c r="GE38" s="129" t="str">
        <f t="shared" si="19"/>
        <v/>
      </c>
      <c r="GF38" s="225" t="str">
        <f t="shared" si="41"/>
        <v/>
      </c>
      <c r="GG38" s="1469" t="str">
        <f>+'Retenue Oct'!D36</f>
        <v/>
      </c>
      <c r="GH38" s="1469">
        <f>+'Retenue Oct'!BF36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45950</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f t="shared" si="48"/>
        <v>43</v>
      </c>
      <c r="AQ39" s="340"/>
      <c r="AR39" s="1126"/>
      <c r="AS39" s="332">
        <f t="shared" si="3"/>
        <v>0</v>
      </c>
      <c r="AT39" s="1147"/>
      <c r="AU39" s="1147"/>
      <c r="AV39" s="332"/>
      <c r="AW39" s="2017">
        <f t="shared" si="22"/>
        <v>45950</v>
      </c>
      <c r="AX39" s="1878"/>
      <c r="AY39" s="332"/>
      <c r="AZ39" s="1126"/>
      <c r="BA39" s="993"/>
      <c r="BB39" s="561"/>
      <c r="BC39" s="566">
        <f t="shared" si="23"/>
        <v>0</v>
      </c>
      <c r="BD39" s="1126"/>
      <c r="BE39" s="825">
        <f t="shared" si="24"/>
        <v>0</v>
      </c>
      <c r="BF39" s="1150"/>
      <c r="BG39" s="224"/>
      <c r="BH39" s="566" t="str">
        <f t="shared" si="25"/>
        <v/>
      </c>
      <c r="BI39" s="1150"/>
      <c r="BJ39" s="129" t="str">
        <f t="shared" si="26"/>
        <v>Fiche infoA1</v>
      </c>
      <c r="BK39" s="129">
        <f t="shared" si="49"/>
        <v>43</v>
      </c>
      <c r="BL39" s="129" t="str">
        <f t="shared" si="4"/>
        <v>A</v>
      </c>
      <c r="BM39" s="129">
        <f t="shared" si="50"/>
        <v>1</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45950</v>
      </c>
      <c r="ER39" s="767">
        <f t="shared" si="10"/>
        <v>0</v>
      </c>
      <c r="ES39" s="768">
        <f t="shared" si="11"/>
        <v>0</v>
      </c>
      <c r="ET39" s="767">
        <f t="shared" si="12"/>
        <v>0</v>
      </c>
      <c r="EU39" s="768">
        <f t="shared" si="13"/>
        <v>0</v>
      </c>
      <c r="EV39" s="767" t="str">
        <f t="shared" si="14"/>
        <v/>
      </c>
      <c r="EW39" s="769">
        <f t="shared" si="29"/>
        <v>45950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43</v>
      </c>
      <c r="GA39" s="129">
        <f t="shared" si="39"/>
        <v>2025</v>
      </c>
      <c r="GB39" s="129" t="str">
        <f t="shared" si="40"/>
        <v>432025</v>
      </c>
      <c r="GC39" s="225">
        <f>IF(AND($GD$53=S.CAL!$P$3,$GD$52=FZ39),GE39,IF(BH39="",0,BH39))</f>
        <v>0</v>
      </c>
      <c r="GD39" s="129" t="str">
        <f>IFERROR(+Novembre!$BY$2&amp;BL39&amp;BM39,0)</f>
        <v>Fiche infoA1</v>
      </c>
      <c r="GE39" s="129" t="str">
        <f t="shared" si="19"/>
        <v/>
      </c>
      <c r="GF39" s="225" t="str">
        <f t="shared" si="41"/>
        <v/>
      </c>
      <c r="GG39" s="1469" t="str">
        <f>+'Retenue Oct'!D37</f>
        <v/>
      </c>
      <c r="GH39" s="1469">
        <f>+'Retenue Oct'!BF37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45951</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45951</v>
      </c>
      <c r="AX40" s="1878"/>
      <c r="AY40" s="332"/>
      <c r="AZ40" s="1126"/>
      <c r="BA40" s="993"/>
      <c r="BB40" s="561"/>
      <c r="BC40" s="566">
        <f t="shared" si="23"/>
        <v>0</v>
      </c>
      <c r="BD40" s="1126"/>
      <c r="BE40" s="825">
        <f t="shared" si="24"/>
        <v>0</v>
      </c>
      <c r="BF40" s="1150"/>
      <c r="BG40" s="224"/>
      <c r="BH40" s="566" t="str">
        <f t="shared" si="25"/>
        <v/>
      </c>
      <c r="BI40" s="1150"/>
      <c r="BJ40" s="129" t="str">
        <f t="shared" si="26"/>
        <v>Fiche infoA2</v>
      </c>
      <c r="BK40" s="129">
        <f t="shared" si="49"/>
        <v>43</v>
      </c>
      <c r="BL40" s="129" t="str">
        <f t="shared" si="4"/>
        <v>A</v>
      </c>
      <c r="BM40" s="129">
        <f t="shared" si="50"/>
        <v>2</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Oct'!P27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45951</v>
      </c>
      <c r="ER40" s="767">
        <f t="shared" si="10"/>
        <v>0</v>
      </c>
      <c r="ES40" s="768">
        <f t="shared" si="11"/>
        <v>0</v>
      </c>
      <c r="ET40" s="767">
        <f t="shared" si="12"/>
        <v>0</v>
      </c>
      <c r="EU40" s="768">
        <f t="shared" si="13"/>
        <v>0</v>
      </c>
      <c r="EV40" s="767" t="str">
        <f t="shared" si="14"/>
        <v/>
      </c>
      <c r="EW40" s="769">
        <f t="shared" si="29"/>
        <v>45951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43</v>
      </c>
      <c r="GA40" s="129">
        <f t="shared" si="39"/>
        <v>2025</v>
      </c>
      <c r="GB40" s="129" t="str">
        <f t="shared" si="40"/>
        <v>432025</v>
      </c>
      <c r="GC40" s="225">
        <f>IF(AND($GD$53=S.CAL!$P$3,$GD$52=FZ40),GE40,IF(BH40="",0,BH40))</f>
        <v>0</v>
      </c>
      <c r="GD40" s="129" t="str">
        <f>IFERROR(+Novembre!$BY$2&amp;BL40&amp;BM40,0)</f>
        <v>Fiche infoA2</v>
      </c>
      <c r="GE40" s="129" t="str">
        <f t="shared" si="19"/>
        <v/>
      </c>
      <c r="GF40" s="225" t="str">
        <f t="shared" si="41"/>
        <v/>
      </c>
      <c r="GG40" s="1469" t="str">
        <f>+'Retenue Oct'!D38</f>
        <v/>
      </c>
      <c r="GH40" s="1469">
        <f>+'Retenue Oct'!BF38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45952</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45952</v>
      </c>
      <c r="AX41" s="1878"/>
      <c r="AY41" s="332"/>
      <c r="AZ41" s="1126"/>
      <c r="BA41" s="993"/>
      <c r="BB41" s="561"/>
      <c r="BC41" s="566">
        <f t="shared" si="23"/>
        <v>0</v>
      </c>
      <c r="BD41" s="1126"/>
      <c r="BE41" s="825">
        <f t="shared" si="24"/>
        <v>0</v>
      </c>
      <c r="BF41" s="1150"/>
      <c r="BG41" s="224"/>
      <c r="BH41" s="566" t="str">
        <f t="shared" si="25"/>
        <v/>
      </c>
      <c r="BI41" s="1150"/>
      <c r="BJ41" s="129" t="str">
        <f t="shared" si="26"/>
        <v>Fiche infoA3</v>
      </c>
      <c r="BK41" s="129">
        <f t="shared" si="49"/>
        <v>43</v>
      </c>
      <c r="BL41" s="129" t="str">
        <f t="shared" si="4"/>
        <v>A</v>
      </c>
      <c r="BM41" s="129">
        <f t="shared" si="50"/>
        <v>3</v>
      </c>
      <c r="BN41" s="225" t="str">
        <f t="shared" si="60"/>
        <v>Fiche info</v>
      </c>
      <c r="BO41" s="332" t="str">
        <f t="shared" si="51"/>
        <v/>
      </c>
      <c r="BP41" s="198" t="str">
        <f t="shared" si="52"/>
        <v/>
      </c>
      <c r="BQ41" s="2142" t="s">
        <v>1063</v>
      </c>
      <c r="BR41" s="2142"/>
      <c r="BS41" s="2142"/>
      <c r="BT41" s="2142"/>
      <c r="BU41" s="2142"/>
      <c r="BV41" s="2142"/>
      <c r="BW41" s="601" t="str">
        <f>+IF(BX41="",Septembre!BW41,BX41)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45952</v>
      </c>
      <c r="ER41" s="767">
        <f t="shared" si="10"/>
        <v>0</v>
      </c>
      <c r="ES41" s="768">
        <f t="shared" si="11"/>
        <v>0</v>
      </c>
      <c r="ET41" s="767">
        <f t="shared" si="12"/>
        <v>0</v>
      </c>
      <c r="EU41" s="768">
        <f t="shared" si="13"/>
        <v>0</v>
      </c>
      <c r="EV41" s="767" t="str">
        <f t="shared" si="14"/>
        <v/>
      </c>
      <c r="EW41" s="769">
        <f t="shared" si="29"/>
        <v>45952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43</v>
      </c>
      <c r="GA41" s="129">
        <f t="shared" si="39"/>
        <v>2025</v>
      </c>
      <c r="GB41" s="129" t="str">
        <f t="shared" si="40"/>
        <v>432025</v>
      </c>
      <c r="GC41" s="225">
        <f>IF(AND($GD$53=S.CAL!$P$3,$GD$52=FZ41),GE41,IF(BH41="",0,BH41))</f>
        <v>0</v>
      </c>
      <c r="GD41" s="129" t="str">
        <f>IFERROR(+Novembre!$BY$2&amp;BL41&amp;BM41,0)</f>
        <v>Fiche infoA3</v>
      </c>
      <c r="GE41" s="129" t="str">
        <f t="shared" si="19"/>
        <v/>
      </c>
      <c r="GF41" s="225" t="str">
        <f t="shared" si="41"/>
        <v/>
      </c>
      <c r="GG41" s="1469" t="str">
        <f>+'Retenue Oct'!D39</f>
        <v/>
      </c>
      <c r="GH41" s="1469">
        <f>+'Retenue Oct'!BF39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45953</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45953</v>
      </c>
      <c r="AX42" s="1878"/>
      <c r="AY42" s="332"/>
      <c r="AZ42" s="1126"/>
      <c r="BA42" s="993"/>
      <c r="BB42" s="561"/>
      <c r="BC42" s="566">
        <f t="shared" si="23"/>
        <v>0</v>
      </c>
      <c r="BD42" s="1126"/>
      <c r="BE42" s="825">
        <f t="shared" si="24"/>
        <v>0</v>
      </c>
      <c r="BF42" s="1150"/>
      <c r="BG42" s="224"/>
      <c r="BH42" s="566" t="str">
        <f t="shared" si="25"/>
        <v/>
      </c>
      <c r="BI42" s="1150"/>
      <c r="BJ42" s="129" t="str">
        <f t="shared" si="26"/>
        <v>Fiche infoA4</v>
      </c>
      <c r="BK42" s="129">
        <f t="shared" si="49"/>
        <v>43</v>
      </c>
      <c r="BL42" s="129" t="str">
        <f t="shared" si="4"/>
        <v>A</v>
      </c>
      <c r="BM42" s="129">
        <f t="shared" si="50"/>
        <v>4</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45953</v>
      </c>
      <c r="ER42" s="767">
        <f t="shared" si="10"/>
        <v>0</v>
      </c>
      <c r="ES42" s="768">
        <f t="shared" si="11"/>
        <v>0</v>
      </c>
      <c r="ET42" s="767">
        <f t="shared" si="12"/>
        <v>0</v>
      </c>
      <c r="EU42" s="768">
        <f t="shared" si="13"/>
        <v>0</v>
      </c>
      <c r="EV42" s="767" t="str">
        <f t="shared" si="14"/>
        <v/>
      </c>
      <c r="EW42" s="769">
        <f t="shared" si="29"/>
        <v>45953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43</v>
      </c>
      <c r="GA42" s="129">
        <f t="shared" si="39"/>
        <v>2025</v>
      </c>
      <c r="GB42" s="129" t="str">
        <f t="shared" si="40"/>
        <v>432025</v>
      </c>
      <c r="GC42" s="225">
        <f>IF(AND($GD$53=S.CAL!$P$3,$GD$52=FZ42),GE42,IF(BH42="",0,BH42))</f>
        <v>0</v>
      </c>
      <c r="GD42" s="129" t="str">
        <f>IFERROR(+Novembre!$BY$2&amp;BL42&amp;BM42,0)</f>
        <v>Fiche infoA4</v>
      </c>
      <c r="GE42" s="129" t="str">
        <f t="shared" si="19"/>
        <v/>
      </c>
      <c r="GF42" s="225" t="str">
        <f t="shared" si="41"/>
        <v/>
      </c>
      <c r="GG42" s="1469" t="str">
        <f>+'Retenue Oct'!D40</f>
        <v/>
      </c>
      <c r="GH42" s="1469">
        <f>+'Retenue Oct'!BF40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45954</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2"/>
        <v>45954</v>
      </c>
      <c r="AX43" s="1878"/>
      <c r="AY43" s="332"/>
      <c r="AZ43" s="1126"/>
      <c r="BA43" s="993"/>
      <c r="BB43" s="561"/>
      <c r="BC43" s="566">
        <f t="shared" si="23"/>
        <v>0</v>
      </c>
      <c r="BD43" s="1126"/>
      <c r="BE43" s="825">
        <f t="shared" si="24"/>
        <v>0</v>
      </c>
      <c r="BF43" s="1150"/>
      <c r="BG43" s="224"/>
      <c r="BH43" s="566" t="str">
        <f t="shared" si="25"/>
        <v/>
      </c>
      <c r="BI43" s="1150"/>
      <c r="BJ43" s="129" t="str">
        <f t="shared" si="26"/>
        <v>Fiche infoA5</v>
      </c>
      <c r="BK43" s="129">
        <f t="shared" si="49"/>
        <v>43</v>
      </c>
      <c r="BL43" s="129" t="str">
        <f t="shared" si="4"/>
        <v>A</v>
      </c>
      <c r="BM43" s="129">
        <f t="shared" si="50"/>
        <v>5</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45954</v>
      </c>
      <c r="ER43" s="767">
        <f t="shared" si="10"/>
        <v>0</v>
      </c>
      <c r="ES43" s="768">
        <f t="shared" si="11"/>
        <v>0</v>
      </c>
      <c r="ET43" s="767">
        <f t="shared" si="12"/>
        <v>0</v>
      </c>
      <c r="EU43" s="768">
        <f t="shared" si="13"/>
        <v>0</v>
      </c>
      <c r="EV43" s="767" t="str">
        <f t="shared" si="14"/>
        <v/>
      </c>
      <c r="EW43" s="769">
        <f t="shared" si="29"/>
        <v>45954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43</v>
      </c>
      <c r="GA43" s="129">
        <f t="shared" si="39"/>
        <v>2025</v>
      </c>
      <c r="GB43" s="129" t="str">
        <f t="shared" si="40"/>
        <v>432025</v>
      </c>
      <c r="GC43" s="225">
        <f>IF(AND($GD$53=S.CAL!$P$3,$GD$52=FZ43),GE43,IF(BH43="",0,BH43))</f>
        <v>0</v>
      </c>
      <c r="GD43" s="129" t="str">
        <f>IFERROR(+Novembre!$BY$2&amp;BL43&amp;BM43,0)</f>
        <v>Fiche infoA5</v>
      </c>
      <c r="GE43" s="129" t="str">
        <f t="shared" si="19"/>
        <v/>
      </c>
      <c r="GF43" s="225" t="str">
        <f t="shared" si="41"/>
        <v/>
      </c>
      <c r="GG43" s="1469" t="str">
        <f>+'Retenue Oct'!D41</f>
        <v/>
      </c>
      <c r="GH43" s="1469">
        <f>+'Retenue Oct'!BF41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45955</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45955</v>
      </c>
      <c r="AX44" s="1878"/>
      <c r="AY44" s="332"/>
      <c r="AZ44" s="1126"/>
      <c r="BA44" s="993"/>
      <c r="BB44" s="561"/>
      <c r="BC44" s="566">
        <f t="shared" si="23"/>
        <v>0</v>
      </c>
      <c r="BD44" s="1126"/>
      <c r="BE44" s="825">
        <f t="shared" si="24"/>
        <v>0</v>
      </c>
      <c r="BF44" s="1150"/>
      <c r="BG44" s="224"/>
      <c r="BH44" s="566" t="str">
        <f t="shared" si="25"/>
        <v/>
      </c>
      <c r="BI44" s="1150"/>
      <c r="BJ44" s="129" t="str">
        <f t="shared" si="26"/>
        <v>Fiche infoA6</v>
      </c>
      <c r="BK44" s="129">
        <f t="shared" si="49"/>
        <v>43</v>
      </c>
      <c r="BL44" s="129" t="str">
        <f t="shared" si="4"/>
        <v>A</v>
      </c>
      <c r="BM44" s="129">
        <f t="shared" si="50"/>
        <v>6</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+IF(CC45="",Septembre!CC44,CC45)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45955</v>
      </c>
      <c r="ER44" s="767">
        <f t="shared" si="10"/>
        <v>0</v>
      </c>
      <c r="ES44" s="768">
        <f t="shared" si="11"/>
        <v>0</v>
      </c>
      <c r="ET44" s="767">
        <f t="shared" si="12"/>
        <v>0</v>
      </c>
      <c r="EU44" s="768">
        <f t="shared" si="13"/>
        <v>0</v>
      </c>
      <c r="EV44" s="767" t="str">
        <f t="shared" si="14"/>
        <v/>
      </c>
      <c r="EW44" s="769">
        <f t="shared" si="29"/>
        <v>45955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43</v>
      </c>
      <c r="GA44" s="129">
        <f t="shared" si="39"/>
        <v>2025</v>
      </c>
      <c r="GB44" s="129" t="str">
        <f t="shared" si="40"/>
        <v>432025</v>
      </c>
      <c r="GC44" s="225">
        <f>IF(AND($GD$53=S.CAL!$P$3,$GD$52=FZ44),GE44,IF(BH44="",0,BH44))</f>
        <v>0</v>
      </c>
      <c r="GD44" s="129" t="str">
        <f>IFERROR(+Novembre!$BY$2&amp;BL44&amp;BM44,0)</f>
        <v>Fiche infoA6</v>
      </c>
      <c r="GE44" s="129" t="str">
        <f t="shared" si="19"/>
        <v/>
      </c>
      <c r="GF44" s="225" t="str">
        <f t="shared" si="41"/>
        <v/>
      </c>
      <c r="GG44" s="1469" t="str">
        <f>+'Retenue Oct'!D42</f>
        <v/>
      </c>
      <c r="GH44" s="1469">
        <f>+'Retenue Oct'!BF42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45956</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45956</v>
      </c>
      <c r="AX45" s="1878"/>
      <c r="AY45" s="332"/>
      <c r="AZ45" s="1126"/>
      <c r="BA45" s="993"/>
      <c r="BB45" s="561"/>
      <c r="BC45" s="566">
        <f t="shared" si="23"/>
        <v>0</v>
      </c>
      <c r="BD45" s="1126"/>
      <c r="BE45" s="825">
        <f t="shared" si="24"/>
        <v>0</v>
      </c>
      <c r="BF45" s="1150"/>
      <c r="BG45" s="224"/>
      <c r="BH45" s="566" t="str">
        <f t="shared" si="25"/>
        <v/>
      </c>
      <c r="BI45" s="1150"/>
      <c r="BJ45" s="129" t="str">
        <f t="shared" si="26"/>
        <v>Fiche infoA7</v>
      </c>
      <c r="BK45" s="129">
        <f t="shared" si="49"/>
        <v>43</v>
      </c>
      <c r="BL45" s="129" t="str">
        <f t="shared" si="4"/>
        <v>A</v>
      </c>
      <c r="BM45" s="129">
        <f t="shared" si="50"/>
        <v>7</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45956</v>
      </c>
      <c r="ER45" s="767">
        <f t="shared" si="10"/>
        <v>0</v>
      </c>
      <c r="ES45" s="768">
        <f t="shared" si="11"/>
        <v>0</v>
      </c>
      <c r="ET45" s="767">
        <f t="shared" si="12"/>
        <v>0</v>
      </c>
      <c r="EU45" s="768">
        <f t="shared" si="13"/>
        <v>0</v>
      </c>
      <c r="EV45" s="767" t="str">
        <f t="shared" si="14"/>
        <v/>
      </c>
      <c r="EW45" s="769">
        <f t="shared" si="29"/>
        <v>45956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43</v>
      </c>
      <c r="GA45" s="129">
        <f t="shared" si="39"/>
        <v>2025</v>
      </c>
      <c r="GB45" s="129" t="str">
        <f t="shared" si="40"/>
        <v>432025</v>
      </c>
      <c r="GC45" s="225">
        <f>IF(AND($GD$53=S.CAL!$P$3,$GD$52=FZ45),GE45,IF(BH45="",0,BH45))</f>
        <v>0</v>
      </c>
      <c r="GD45" s="129" t="str">
        <f>IFERROR(+Novembre!$BY$2&amp;BL45&amp;BM45,0)</f>
        <v>Fiche infoA7</v>
      </c>
      <c r="GE45" s="129" t="str">
        <f t="shared" si="19"/>
        <v/>
      </c>
      <c r="GF45" s="225" t="str">
        <f t="shared" si="41"/>
        <v/>
      </c>
      <c r="GG45" s="1469" t="str">
        <f>+'Retenue Oct'!D43</f>
        <v/>
      </c>
      <c r="GH45" s="1469">
        <f>+'Retenue Oct'!BF43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45957</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f t="shared" si="48"/>
        <v>44</v>
      </c>
      <c r="AQ46" s="340"/>
      <c r="AR46" s="1126"/>
      <c r="AS46" s="332">
        <f t="shared" si="3"/>
        <v>0</v>
      </c>
      <c r="AT46" s="1147"/>
      <c r="AU46" s="1147"/>
      <c r="AV46" s="332"/>
      <c r="AW46" s="2017">
        <f t="shared" si="22"/>
        <v>45957</v>
      </c>
      <c r="AX46" s="1878"/>
      <c r="AY46" s="332"/>
      <c r="AZ46" s="1126"/>
      <c r="BA46" s="993"/>
      <c r="BB46" s="561"/>
      <c r="BC46" s="566">
        <f t="shared" si="23"/>
        <v>0</v>
      </c>
      <c r="BD46" s="1126"/>
      <c r="BE46" s="825">
        <f t="shared" si="24"/>
        <v>0</v>
      </c>
      <c r="BF46" s="1150"/>
      <c r="BG46" s="224"/>
      <c r="BH46" s="566" t="str">
        <f t="shared" si="25"/>
        <v/>
      </c>
      <c r="BI46" s="1150"/>
      <c r="BJ46" s="129" t="str">
        <f t="shared" si="26"/>
        <v>Fiche infoA1</v>
      </c>
      <c r="BK46" s="129">
        <f t="shared" si="49"/>
        <v>44</v>
      </c>
      <c r="BL46" s="129" t="str">
        <f t="shared" si="4"/>
        <v>A</v>
      </c>
      <c r="BM46" s="129">
        <f t="shared" si="50"/>
        <v>1</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45957</v>
      </c>
      <c r="ER46" s="767">
        <f t="shared" si="10"/>
        <v>0</v>
      </c>
      <c r="ES46" s="768">
        <f t="shared" si="11"/>
        <v>0</v>
      </c>
      <c r="ET46" s="767">
        <f t="shared" si="12"/>
        <v>0</v>
      </c>
      <c r="EU46" s="768">
        <f t="shared" si="13"/>
        <v>0</v>
      </c>
      <c r="EV46" s="767" t="str">
        <f t="shared" si="14"/>
        <v/>
      </c>
      <c r="EW46" s="769">
        <f t="shared" si="29"/>
        <v>45957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44</v>
      </c>
      <c r="GA46" s="129">
        <f t="shared" si="39"/>
        <v>2025</v>
      </c>
      <c r="GB46" s="129" t="str">
        <f t="shared" si="40"/>
        <v>442025</v>
      </c>
      <c r="GC46" s="225">
        <f>IF(AND($GD$53=S.CAL!$P$3,$GD$52=FZ46),GE46,IF(BH46="",0,BH46))</f>
        <v>0</v>
      </c>
      <c r="GD46" s="129" t="str">
        <f>IFERROR(+Novembre!$BY$2&amp;BL46&amp;BM46,0)</f>
        <v>Fiche infoA1</v>
      </c>
      <c r="GE46" s="129" t="str">
        <f t="shared" si="19"/>
        <v/>
      </c>
      <c r="GF46" s="225" t="str">
        <f t="shared" si="41"/>
        <v/>
      </c>
      <c r="GG46" s="1469" t="str">
        <f>+'Retenue Oct'!D44</f>
        <v/>
      </c>
      <c r="GH46" s="1469">
        <f>+'Retenue Oct'!BF44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45958</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45958</v>
      </c>
      <c r="AX47" s="1878"/>
      <c r="AY47" s="332"/>
      <c r="AZ47" s="1126"/>
      <c r="BA47" s="993"/>
      <c r="BB47" s="561"/>
      <c r="BC47" s="566">
        <f t="shared" si="23"/>
        <v>0</v>
      </c>
      <c r="BD47" s="1126"/>
      <c r="BE47" s="825">
        <f t="shared" si="24"/>
        <v>0</v>
      </c>
      <c r="BF47" s="1150"/>
      <c r="BG47" s="224"/>
      <c r="BH47" s="566" t="str">
        <f t="shared" si="25"/>
        <v/>
      </c>
      <c r="BI47" s="1150"/>
      <c r="BJ47" s="129" t="str">
        <f t="shared" si="26"/>
        <v>Fiche infoA2</v>
      </c>
      <c r="BK47" s="129">
        <f t="shared" si="49"/>
        <v>44</v>
      </c>
      <c r="BL47" s="129" t="str">
        <f t="shared" si="4"/>
        <v>A</v>
      </c>
      <c r="BM47" s="129">
        <f t="shared" si="50"/>
        <v>2</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IF(CF47="",Septembre!CE47,CF47)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45958</v>
      </c>
      <c r="ER47" s="767">
        <f t="shared" si="10"/>
        <v>0</v>
      </c>
      <c r="ES47" s="768">
        <f t="shared" si="11"/>
        <v>0</v>
      </c>
      <c r="ET47" s="767">
        <f t="shared" si="12"/>
        <v>0</v>
      </c>
      <c r="EU47" s="768">
        <f t="shared" si="13"/>
        <v>0</v>
      </c>
      <c r="EV47" s="767" t="str">
        <f t="shared" si="14"/>
        <v/>
      </c>
      <c r="EW47" s="769">
        <f t="shared" si="29"/>
        <v>45958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44</v>
      </c>
      <c r="GA47" s="129">
        <f t="shared" si="39"/>
        <v>2025</v>
      </c>
      <c r="GB47" s="129" t="str">
        <f t="shared" si="40"/>
        <v>442025</v>
      </c>
      <c r="GC47" s="225">
        <f>IF(AND($GD$53=S.CAL!$P$3,$GD$52=FZ47),GE47,IF(BH47="",0,BH47))</f>
        <v>0</v>
      </c>
      <c r="GD47" s="129" t="str">
        <f>IFERROR(+Novembre!$BY$2&amp;BL47&amp;BM47,0)</f>
        <v>Fiche infoA2</v>
      </c>
      <c r="GE47" s="129" t="str">
        <f t="shared" si="19"/>
        <v/>
      </c>
      <c r="GF47" s="225" t="str">
        <f t="shared" si="41"/>
        <v/>
      </c>
      <c r="GG47" s="1469" t="str">
        <f>+'Retenue Oct'!D45</f>
        <v/>
      </c>
      <c r="GH47" s="1469">
        <f>+'Retenue Oct'!BF45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45959</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45959</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infoA3</v>
      </c>
      <c r="BK48" s="129">
        <f t="shared" si="49"/>
        <v>44</v>
      </c>
      <c r="BL48" s="129" t="str">
        <f t="shared" si="4"/>
        <v>A</v>
      </c>
      <c r="BM48" s="129">
        <f>IFERROR(WEEKDAY(AB48,2),0)</f>
        <v>3</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45959</v>
      </c>
      <c r="ER48" s="767">
        <f t="shared" si="10"/>
        <v>0</v>
      </c>
      <c r="ES48" s="768">
        <f t="shared" si="11"/>
        <v>0</v>
      </c>
      <c r="ET48" s="767">
        <f t="shared" si="12"/>
        <v>0</v>
      </c>
      <c r="EU48" s="768">
        <f t="shared" si="13"/>
        <v>0</v>
      </c>
      <c r="EV48" s="767" t="str">
        <f t="shared" si="14"/>
        <v/>
      </c>
      <c r="EW48" s="769">
        <f t="shared" si="29"/>
        <v>45959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44</v>
      </c>
      <c r="GA48" s="129">
        <f t="shared" si="39"/>
        <v>2025</v>
      </c>
      <c r="GB48" s="129" t="str">
        <f t="shared" si="40"/>
        <v>442025</v>
      </c>
      <c r="GC48" s="225">
        <f>IF(AND($GD$53=S.CAL!$P$3,$GD$52=FZ48),GE48,IF(BH48="",0,BH48))</f>
        <v>0</v>
      </c>
      <c r="GD48" s="129" t="str">
        <f>IFERROR(+Novembre!$BY$2&amp;BL48&amp;BM48,0)</f>
        <v>Fiche infoA3</v>
      </c>
      <c r="GE48" s="129" t="str">
        <f t="shared" si="19"/>
        <v/>
      </c>
      <c r="GF48" s="225" t="str">
        <f t="shared" si="41"/>
        <v/>
      </c>
      <c r="GG48" s="1469" t="str">
        <f>+'Retenue Oct'!D46</f>
        <v/>
      </c>
      <c r="GH48" s="1469">
        <f>+'Retenue Oct'!BF46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45960</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45960</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infoA4</v>
      </c>
      <c r="BK49" s="129">
        <f t="shared" si="49"/>
        <v>44</v>
      </c>
      <c r="BL49" s="129" t="str">
        <f t="shared" si="4"/>
        <v>A</v>
      </c>
      <c r="BM49" s="129">
        <f>IFERROR(WEEKDAY(AB49,2),0)</f>
        <v>4</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IF(CF49="",Septembre!CE49,CF49)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45960</v>
      </c>
      <c r="ER49" s="767">
        <f t="shared" si="10"/>
        <v>0</v>
      </c>
      <c r="ES49" s="768">
        <f t="shared" si="11"/>
        <v>0</v>
      </c>
      <c r="ET49" s="767">
        <f t="shared" si="12"/>
        <v>0</v>
      </c>
      <c r="EU49" s="768">
        <f t="shared" si="13"/>
        <v>0</v>
      </c>
      <c r="EV49" s="767" t="str">
        <f t="shared" si="14"/>
        <v/>
      </c>
      <c r="EW49" s="769">
        <f t="shared" si="29"/>
        <v>45960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44</v>
      </c>
      <c r="GA49" s="129">
        <f t="shared" si="39"/>
        <v>2025</v>
      </c>
      <c r="GB49" s="129" t="str">
        <f t="shared" ref="GB49:GB50" si="69">+FZ49&amp;GA49</f>
        <v>442025</v>
      </c>
      <c r="GC49" s="225">
        <f>IF(AND($GD$53=S.CAL!$P$3,$GD$52=FZ49),GE49,IF(BH49="",0,BH49))</f>
        <v>0</v>
      </c>
      <c r="GD49" s="129" t="str">
        <f>IFERROR(+Novembre!$BY$2&amp;BL49&amp;BM49,0)</f>
        <v>Fiche infoA4</v>
      </c>
      <c r="GE49" s="129" t="str">
        <f t="shared" si="19"/>
        <v/>
      </c>
      <c r="GF49" s="225" t="str">
        <f t="shared" ref="GF49:GF50" si="70">IF(FP49=1,GG49,AM49)</f>
        <v/>
      </c>
      <c r="GG49" s="1469" t="str">
        <f>+'Retenue Oct'!D47</f>
        <v/>
      </c>
      <c r="GH49" s="1469">
        <f>+'Retenue Oct'!BF47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45961</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f t="shared" si="22"/>
        <v>45961</v>
      </c>
      <c r="AX50" s="2097"/>
      <c r="AY50" s="332"/>
      <c r="AZ50" s="1127"/>
      <c r="BA50" s="994"/>
      <c r="BB50" s="561"/>
      <c r="BC50" s="564">
        <f t="shared" si="23"/>
        <v>0</v>
      </c>
      <c r="BD50" s="1127"/>
      <c r="BE50" s="826">
        <f t="shared" si="24"/>
        <v>0</v>
      </c>
      <c r="BF50" s="1151"/>
      <c r="BG50" s="224"/>
      <c r="BH50" s="564" t="str">
        <f t="shared" si="25"/>
        <v/>
      </c>
      <c r="BI50" s="1151"/>
      <c r="BJ50" s="129" t="str">
        <f t="shared" si="68"/>
        <v>Fiche infoA5</v>
      </c>
      <c r="BK50" s="129">
        <f t="shared" si="49"/>
        <v>44</v>
      </c>
      <c r="BL50" s="129" t="str">
        <f t="shared" si="4"/>
        <v>A</v>
      </c>
      <c r="BM50" s="129">
        <f>IFERROR(WEEKDAY(AB50,2),0)</f>
        <v>5</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45961</v>
      </c>
      <c r="ER50" s="787">
        <f t="shared" si="10"/>
        <v>0</v>
      </c>
      <c r="ES50" s="788">
        <f t="shared" si="11"/>
        <v>0</v>
      </c>
      <c r="ET50" s="787">
        <f t="shared" si="12"/>
        <v>0</v>
      </c>
      <c r="EU50" s="788">
        <f t="shared" si="13"/>
        <v>0</v>
      </c>
      <c r="EV50" s="787" t="str">
        <f t="shared" si="14"/>
        <v/>
      </c>
      <c r="EW50" s="789">
        <f t="shared" si="29"/>
        <v>45961</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44</v>
      </c>
      <c r="GA50" s="129">
        <f t="shared" si="39"/>
        <v>2025</v>
      </c>
      <c r="GB50" s="129" t="str">
        <f t="shared" si="69"/>
        <v>442025</v>
      </c>
      <c r="GC50" s="225">
        <f>IF(AND($GD$53=S.CAL!$P$3,$GD$52=FZ50),GE50,IF(BH50="",0,BH50))</f>
        <v>0</v>
      </c>
      <c r="GD50" s="129" t="str">
        <f>IFERROR(+Novembre!$BY$2&amp;BL50&amp;BM50,0)</f>
        <v>Fiche infoA5</v>
      </c>
      <c r="GE50" s="129" t="str">
        <f t="shared" si="19"/>
        <v/>
      </c>
      <c r="GF50" s="225" t="str">
        <f t="shared" si="70"/>
        <v/>
      </c>
      <c r="GG50" s="1469" t="str">
        <f>+'Retenue Oct'!D48</f>
        <v/>
      </c>
      <c r="GH50" s="1469">
        <f>+'Retenue Oct'!BF48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44</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IF(CF53="",+Septembre!CE53,CF53)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IF(CF54="",Septembre!CE54,CF54)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IF(CF55&gt;0,CF55,IF(AND(CE53=Septembre!CE53,CE54=Septembre!CE54),Septembre!CE55,IF(OR(CE53&lt;&gt;Septembre!CE53,CE54&lt;&gt;Septembre!CE54),CE53/CE54)))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Oct'!E52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+IF(BY57="",Septembre!BY56,BY57)</f>
        <v>24</v>
      </c>
      <c r="BZ56" s="629" t="s">
        <v>1065</v>
      </c>
      <c r="CA56" s="632">
        <f>+IF(CA57="",Septembre!CA56,CA57)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IF(CF57="",+Septembre!CE57,CF57)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IF(CF58="",Septembre!CE58,CF58)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+IF(CA61="",Septembre!CA60,CA61)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+IF(BA65="",Septembre!K67,BA65)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+IF(BA68="",Septembre!K68,BA68)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E74+Septembre!H74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E75+Septembre!H75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Oct'!EH51=0,"",'Retenue Oct'!EH51),AX76)</f>
        <v/>
      </c>
      <c r="AZ75" s="2043"/>
      <c r="BA75" s="936" t="str">
        <f>+IF(BA76="",IF('Retenue Oct'!EF51=0,"",'Retenue Oct'!EF51),BA76)</f>
        <v/>
      </c>
      <c r="BB75" s="937"/>
      <c r="BC75" s="938" t="str">
        <f>IF(BC76="",IF(+'Retenue Oct'!EG51=0,"",'Retenue Oct'!EG51),BC76)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E76+Septembre!H76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+E77+Septembre!H77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IF(AR78="",+Septembre!AL78,AR78)</f>
        <v>0</v>
      </c>
      <c r="AM78" s="2179"/>
      <c r="AN78" s="2179"/>
      <c r="AO78" s="2179"/>
      <c r="AQ78" s="438" t="s">
        <v>762</v>
      </c>
      <c r="AR78" s="2304"/>
      <c r="AS78" s="2304"/>
      <c r="AT78" s="2041" t="str">
        <f>IFERROR(VLOOKUP(AY78,'Liste des Libellés'!$A$4:$F$32,6,FALSE),"")</f>
        <v/>
      </c>
      <c r="AU78" s="2041"/>
      <c r="AV78" s="2041"/>
      <c r="AW78" s="2041"/>
      <c r="AX78" s="935"/>
      <c r="AY78" s="2043" t="str">
        <f>+IF(AX79="",IF('Retenue Oct'!EH53=0,"",'Retenue Oct'!EH53),AX79)</f>
        <v/>
      </c>
      <c r="AZ78" s="2043"/>
      <c r="BA78" s="936" t="str">
        <f>+IF(BA79="",IF('Retenue Oct'!EF53=0,"",'Retenue Oct'!EF53),BA79)</f>
        <v/>
      </c>
      <c r="BB78" s="937"/>
      <c r="BC78" s="938" t="str">
        <f>IF(BC79="",IF(+'Retenue Oct'!EG53=0,"",'Retenue Oct'!EG53),BC79)</f>
        <v/>
      </c>
      <c r="BD78" s="972"/>
      <c r="BE78" s="129"/>
      <c r="BF78" s="129"/>
      <c r="BG78" s="129"/>
      <c r="BH78" s="129"/>
      <c r="BI78" s="129"/>
      <c r="CA78" s="667"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+Septembre!F80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Oct'!EH55=0,"",'Retenue Oct'!EH55),AX82)</f>
        <v/>
      </c>
      <c r="AZ81" s="2043"/>
      <c r="BA81" s="936" t="str">
        <f>+IF(BA82="",IF('Retenue Oct'!EF55=0,"",'Retenue Oct'!EF55),BA82)</f>
        <v/>
      </c>
      <c r="BB81" s="937"/>
      <c r="BC81" s="938" t="str">
        <f>IF(BC82="",IF(+'Retenue Oct'!EG55=0,"",'Retenue Oct'!EG55),BC82)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Oct'!EH57=0,"",'Retenue Oct'!EH57),AX85)</f>
        <v/>
      </c>
      <c r="AZ84" s="2043"/>
      <c r="BA84" s="936" t="str">
        <f>+IF(BA85="",IF('Retenue Oct'!EF57=0,"",'Retenue Oct'!EF57),BA85)</f>
        <v/>
      </c>
      <c r="BB84" s="937"/>
      <c r="BC84" s="938" t="str">
        <f>IF(BC85="",IF(+'Retenue Oct'!EG57=0,"",'Retenue Oct'!EG57),BC85)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Septembre!F86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IF(AR86="",+Septembre!AH86,AR86)</f>
        <v>0</v>
      </c>
      <c r="AI86" s="1732"/>
      <c r="AJ86" s="1732"/>
      <c r="AK86" s="1733"/>
      <c r="AL86" s="1731">
        <f>IF(AS86="",IF(DP8=52,+EI29+Septembre!AL86,+EI25+Septembre!AL86),IF(DP8=52,+EI29+Septembre!AL86+AS86,+EI25+Septembre!AL86+AS86))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45961</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+Septembre!AH87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+Septembre!AH89+Septembre!AH90</f>
        <v>0</v>
      </c>
      <c r="AI89" s="1732"/>
      <c r="AJ89" s="1732"/>
      <c r="AK89" s="1733"/>
      <c r="AL89" s="1731">
        <f>+Septembre!AL89+Septembre!AL90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+Septembre!G99</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+Septembre!G100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402025</v>
      </c>
      <c r="BA107" s="1473">
        <f>+$AT$4</f>
        <v>40</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412025</v>
      </c>
      <c r="BA108" s="1478">
        <f>+$AT$5</f>
        <v>41</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422025</v>
      </c>
      <c r="BA109" s="1478">
        <f>+$AT$6</f>
        <v>42</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432025</v>
      </c>
      <c r="BA110" s="1478">
        <f>+$AT$7</f>
        <v>43</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442025</v>
      </c>
      <c r="BA111" s="1478">
        <f>+$AT$8</f>
        <v>44</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402025</v>
      </c>
      <c r="BA142" s="1473">
        <f>+$AT$4</f>
        <v>40</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412025</v>
      </c>
      <c r="BA143" s="1478">
        <f>+$AT$5</f>
        <v>41</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422025</v>
      </c>
      <c r="BA144" s="1478">
        <f>+$AT$6</f>
        <v>42</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432025</v>
      </c>
      <c r="BA145" s="1478">
        <f>+$AT$7</f>
        <v>43</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442025</v>
      </c>
      <c r="BA146" s="1478">
        <f>+$AT$8</f>
        <v>44</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VdZv90wTBjXzJk+RNL8Pr+zF8xZBRje+SPus58DQu/Rol/nphR0yMuiKPST1MhaYm5YWPhIQZZMrh6TBIdM/Ug==" saltValue="lybjYZeXb5cNSU+uqkOrng==" spinCount="100000" sheet="1" objects="1" scenarios="1" formatCells="0" formatColumns="0" formatRows="0" insertColumns="0" insertRows="0" insertHyperlinks="0" sort="0" autoFilter="0" pivotTables="0"/>
  <mergeCells count="794">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AR69:AZ69"/>
    <mergeCell ref="U51:W51"/>
    <mergeCell ref="X51:Z51"/>
    <mergeCell ref="R56:T56"/>
    <mergeCell ref="R58:T58"/>
    <mergeCell ref="U55:W55"/>
    <mergeCell ref="Z71:AB71"/>
    <mergeCell ref="R69:AB69"/>
    <mergeCell ref="AA66:AF66"/>
    <mergeCell ref="T67:Z67"/>
    <mergeCell ref="R64:S64"/>
    <mergeCell ref="T66:Z66"/>
    <mergeCell ref="R65:S65"/>
    <mergeCell ref="AM55:AO55"/>
    <mergeCell ref="AM51:AO51"/>
    <mergeCell ref="AJ51:AL51"/>
    <mergeCell ref="X54:Z54"/>
    <mergeCell ref="T63:Z63"/>
    <mergeCell ref="R62:T62"/>
    <mergeCell ref="AM56:AO56"/>
    <mergeCell ref="X55:Z55"/>
    <mergeCell ref="AD69:AK69"/>
    <mergeCell ref="AG66:AI66"/>
    <mergeCell ref="AG51:AI51"/>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BA139:BA140"/>
    <mergeCell ref="BB139:BC140"/>
    <mergeCell ref="BD139:BD140"/>
    <mergeCell ref="BE139:BE140"/>
    <mergeCell ref="BA137:BH137"/>
    <mergeCell ref="BA102:BH102"/>
    <mergeCell ref="BA104:BA105"/>
    <mergeCell ref="BB104:BC105"/>
    <mergeCell ref="BD104:BD105"/>
    <mergeCell ref="BE104:BE105"/>
    <mergeCell ref="N56:P56"/>
    <mergeCell ref="R51:T51"/>
    <mergeCell ref="H46:J46"/>
    <mergeCell ref="A50:G50"/>
    <mergeCell ref="H45:J45"/>
    <mergeCell ref="H49:J49"/>
    <mergeCell ref="H48:J48"/>
    <mergeCell ref="A49:G49"/>
    <mergeCell ref="H47:J47"/>
    <mergeCell ref="A51:G51"/>
    <mergeCell ref="A53:G53"/>
    <mergeCell ref="H51:J51"/>
    <mergeCell ref="A48:G48"/>
    <mergeCell ref="K54:M54"/>
    <mergeCell ref="N54:P54"/>
    <mergeCell ref="R54:T54"/>
    <mergeCell ref="R55:T55"/>
    <mergeCell ref="K53:M53"/>
    <mergeCell ref="N53:P53"/>
    <mergeCell ref="R53:T53"/>
    <mergeCell ref="A52:G52"/>
    <mergeCell ref="A54:G54"/>
    <mergeCell ref="A45:G45"/>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Q54:BZ54"/>
    <mergeCell ref="AW45:AX45"/>
    <mergeCell ref="AW47:AX47"/>
    <mergeCell ref="BS33:BX33"/>
    <mergeCell ref="BS28:BX28"/>
    <mergeCell ref="AW31:AX31"/>
    <mergeCell ref="H50:J50"/>
    <mergeCell ref="U41:W41"/>
    <mergeCell ref="H42:J42"/>
    <mergeCell ref="N44:P44"/>
    <mergeCell ref="R46:T46"/>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L83:AO83"/>
    <mergeCell ref="AL78:AO78"/>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88:E88"/>
    <mergeCell ref="A81:E81"/>
    <mergeCell ref="H77:K77"/>
    <mergeCell ref="L78:P78"/>
    <mergeCell ref="A77:D77"/>
    <mergeCell ref="F80:H80"/>
    <mergeCell ref="A83:E83"/>
    <mergeCell ref="F83:H83"/>
    <mergeCell ref="A87:E87"/>
    <mergeCell ref="A86:E86"/>
    <mergeCell ref="F81:H81"/>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I127:AJ127"/>
    <mergeCell ref="AM125:AP125"/>
    <mergeCell ref="AM127:AP127"/>
    <mergeCell ref="AL89:AO89"/>
    <mergeCell ref="AL93:AO93"/>
    <mergeCell ref="AL90:AO90"/>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9:AO129"/>
    <mergeCell ref="AE129:AF129"/>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92:AG92"/>
    <mergeCell ref="V88:AG88"/>
    <mergeCell ref="V89:AG89"/>
    <mergeCell ref="AH80:AK82"/>
    <mergeCell ref="AH90:AK90"/>
    <mergeCell ref="R88:T88"/>
    <mergeCell ref="R90:T90"/>
    <mergeCell ref="R87:T87"/>
    <mergeCell ref="I85:P85"/>
    <mergeCell ref="AH85:AK85"/>
    <mergeCell ref="R89:T89"/>
    <mergeCell ref="AL88:AO88"/>
    <mergeCell ref="AH87:AK87"/>
    <mergeCell ref="AH88:AK88"/>
    <mergeCell ref="AH89:AK89"/>
    <mergeCell ref="AH86:AK86"/>
    <mergeCell ref="F86:L86"/>
    <mergeCell ref="F87:I87"/>
    <mergeCell ref="AL87:AO87"/>
    <mergeCell ref="V87:AG87"/>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55:J55"/>
    <mergeCell ref="H54:J54"/>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W30:AX30"/>
    <mergeCell ref="AJ35:AL35"/>
    <mergeCell ref="AJ29:AL29"/>
    <mergeCell ref="AW29:AX29"/>
    <mergeCell ref="AJ38:AL38"/>
    <mergeCell ref="AJ37:AL37"/>
    <mergeCell ref="AM33:AO33"/>
    <mergeCell ref="AW27:AX27"/>
    <mergeCell ref="AM26:AO26"/>
    <mergeCell ref="AW26:AX26"/>
    <mergeCell ref="AZ18:AZ19"/>
    <mergeCell ref="BA18:BA19"/>
    <mergeCell ref="BE18:BE19"/>
    <mergeCell ref="BC18:BC19"/>
    <mergeCell ref="AW23:AX23"/>
    <mergeCell ref="AW20:AX20"/>
    <mergeCell ref="AW24:AX24"/>
    <mergeCell ref="AM20:AO20"/>
    <mergeCell ref="AM21:AO2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G34:AI34"/>
    <mergeCell ref="AG43:AI43"/>
    <mergeCell ref="AD36:AF36"/>
    <mergeCell ref="AD33:AF33"/>
    <mergeCell ref="AJ46:AL46"/>
    <mergeCell ref="AM37:AO37"/>
    <mergeCell ref="AM38:AO38"/>
    <mergeCell ref="AM39:AO39"/>
    <mergeCell ref="AM42:AO42"/>
    <mergeCell ref="AJ36:AL36"/>
    <mergeCell ref="AM36:AO36"/>
    <mergeCell ref="AM40:AO40"/>
    <mergeCell ref="B27:K27"/>
    <mergeCell ref="B24:K24"/>
    <mergeCell ref="L23:O23"/>
    <mergeCell ref="P23:S23"/>
    <mergeCell ref="L24:O24"/>
    <mergeCell ref="AG25:AI25"/>
    <mergeCell ref="B23:K23"/>
    <mergeCell ref="AD25:AF25"/>
    <mergeCell ref="L28:O28"/>
    <mergeCell ref="B28:K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P30:S30"/>
    <mergeCell ref="P29:S29"/>
    <mergeCell ref="T30:W30"/>
    <mergeCell ref="AM28:AO28"/>
    <mergeCell ref="AD31:AF31"/>
    <mergeCell ref="AD32:AF32"/>
    <mergeCell ref="T29:W29"/>
    <mergeCell ref="L20:O20"/>
    <mergeCell ref="AE14:AK14"/>
    <mergeCell ref="AE15:AK15"/>
    <mergeCell ref="T20:W20"/>
    <mergeCell ref="AG27:AI27"/>
    <mergeCell ref="P27:S27"/>
    <mergeCell ref="P28:S28"/>
    <mergeCell ref="AG26:AI26"/>
    <mergeCell ref="AM31:AO31"/>
    <mergeCell ref="AM32:AO32"/>
    <mergeCell ref="AG28:AI28"/>
    <mergeCell ref="AJ30:AL30"/>
    <mergeCell ref="AJ32:AL32"/>
    <mergeCell ref="AJ31:AL31"/>
    <mergeCell ref="AM30:AO30"/>
    <mergeCell ref="AM29:AO29"/>
    <mergeCell ref="AJ28:AL28"/>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G33:AI33"/>
    <mergeCell ref="B33:K33"/>
    <mergeCell ref="P33:S33"/>
    <mergeCell ref="L31:O31"/>
    <mergeCell ref="L32:O32"/>
    <mergeCell ref="T33:W33"/>
    <mergeCell ref="U49:W49"/>
    <mergeCell ref="U48:W48"/>
    <mergeCell ref="U47:W47"/>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P32:S32"/>
    <mergeCell ref="P31:S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H44:J44"/>
    <mergeCell ref="L27:O27"/>
    <mergeCell ref="AB26:AC26"/>
    <mergeCell ref="T26:W26"/>
    <mergeCell ref="L29:O29"/>
    <mergeCell ref="L33:O33"/>
    <mergeCell ref="AB33:AC33"/>
    <mergeCell ref="R45:T45"/>
    <mergeCell ref="AG44:AI44"/>
    <mergeCell ref="AD44:AF44"/>
    <mergeCell ref="AD41:AF41"/>
    <mergeCell ref="AB40:AC40"/>
    <mergeCell ref="AB42:AC42"/>
    <mergeCell ref="AB41:AC41"/>
    <mergeCell ref="X43:Z43"/>
    <mergeCell ref="X41:Z41"/>
    <mergeCell ref="B30:K30"/>
    <mergeCell ref="B29:K29"/>
    <mergeCell ref="B32:K32"/>
    <mergeCell ref="B31:K31"/>
    <mergeCell ref="B34:K34"/>
    <mergeCell ref="L34:O34"/>
    <mergeCell ref="L30:O30"/>
    <mergeCell ref="P34:S34"/>
    <mergeCell ref="K50:M50"/>
    <mergeCell ref="K47:M47"/>
    <mergeCell ref="K44:M44"/>
    <mergeCell ref="K45:M45"/>
    <mergeCell ref="R44:T44"/>
    <mergeCell ref="AB47:AC47"/>
    <mergeCell ref="AD46:AF46"/>
    <mergeCell ref="U45:W45"/>
    <mergeCell ref="K40:M40"/>
    <mergeCell ref="N45:P45"/>
    <mergeCell ref="U46:W46"/>
    <mergeCell ref="N46:P46"/>
    <mergeCell ref="AD45:AF45"/>
    <mergeCell ref="AB45:AC45"/>
    <mergeCell ref="AJ50:AL50"/>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X58:Z58"/>
    <mergeCell ref="X61:Z6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2679" priority="16">
      <formula>$U$14=0</formula>
    </cfRule>
  </conditionalFormatting>
  <conditionalFormatting sqref="B26:K26">
    <cfRule type="expression" dxfId="2678" priority="26">
      <formula>$U$14=0</formula>
    </cfRule>
  </conditionalFormatting>
  <conditionalFormatting sqref="B29:K29">
    <cfRule type="cellIs" dxfId="2677" priority="13" operator="greaterThan">
      <formula>0</formula>
    </cfRule>
  </conditionalFormatting>
  <conditionalFormatting sqref="C70:G70">
    <cfRule type="cellIs" dxfId="2676" priority="7" operator="greaterThan">
      <formula>0</formula>
    </cfRule>
  </conditionalFormatting>
  <conditionalFormatting sqref="F87:I87">
    <cfRule type="cellIs" dxfId="2675" priority="2" operator="greaterThan">
      <formula>0</formula>
    </cfRule>
  </conditionalFormatting>
  <conditionalFormatting sqref="F86:L86">
    <cfRule type="cellIs" dxfId="2674" priority="3" operator="greaterThan">
      <formula>0</formula>
    </cfRule>
  </conditionalFormatting>
  <conditionalFormatting sqref="H65:J65">
    <cfRule type="expression" dxfId="2673" priority="40">
      <formula>AND($AX$60="Oui",$AZ$62="hrs")</formula>
    </cfRule>
    <cfRule type="expression" dxfId="2672" priority="38">
      <formula>AND($AX$60="Oui",$AZ$62="")</formula>
    </cfRule>
  </conditionalFormatting>
  <conditionalFormatting sqref="H66:J66">
    <cfRule type="expression" dxfId="2671" priority="36">
      <formula>AND($BW$41="Non",$AX$61="Non")</formula>
    </cfRule>
    <cfRule type="expression" dxfId="2670" priority="35">
      <formula>AND($AX$61="Oui",$AZ$63="jrs")</formula>
    </cfRule>
    <cfRule type="expression" dxfId="2669" priority="34">
      <formula>AND($AX$61="Oui",$AZ$63="")</formula>
    </cfRule>
    <cfRule type="expression" dxfId="2668" priority="37">
      <formula>AND($BW$41="Oui",$AX$61="Non")</formula>
    </cfRule>
  </conditionalFormatting>
  <conditionalFormatting sqref="H70:J71">
    <cfRule type="cellIs" dxfId="2667" priority="6" operator="greaterThan">
      <formula>0</formula>
    </cfRule>
  </conditionalFormatting>
  <conditionalFormatting sqref="H65:K66">
    <cfRule type="cellIs" dxfId="2666" priority="33" operator="equal">
      <formula>0</formula>
    </cfRule>
  </conditionalFormatting>
  <conditionalFormatting sqref="H67:M68">
    <cfRule type="cellIs" dxfId="2665" priority="54" operator="equal">
      <formula>0</formula>
    </cfRule>
  </conditionalFormatting>
  <conditionalFormatting sqref="H69:M69">
    <cfRule type="cellIs" dxfId="2664" priority="8" operator="greaterThan">
      <formula>0</formula>
    </cfRule>
  </conditionalFormatting>
  <conditionalFormatting sqref="H40:Z60">
    <cfRule type="cellIs" dxfId="2663" priority="32" operator="equal">
      <formula>0</formula>
    </cfRule>
  </conditionalFormatting>
  <conditionalFormatting sqref="K81:K82 L82:T83 K88:T88 K89:Q90">
    <cfRule type="expression" dxfId="2662" priority="514">
      <formula>$EO$6="OUI"</formula>
    </cfRule>
  </conditionalFormatting>
  <conditionalFormatting sqref="K87">
    <cfRule type="expression" dxfId="2661" priority="4">
      <formula>$EO$6="OUI"</formula>
    </cfRule>
  </conditionalFormatting>
  <conditionalFormatting sqref="L18:O19">
    <cfRule type="cellIs" dxfId="2660" priority="20" operator="equal">
      <formula>0</formula>
    </cfRule>
  </conditionalFormatting>
  <conditionalFormatting sqref="L21:O22">
    <cfRule type="cellIs" dxfId="2659" priority="31" operator="equal">
      <formula>0</formula>
    </cfRule>
  </conditionalFormatting>
  <conditionalFormatting sqref="L27:O28">
    <cfRule type="cellIs" dxfId="2658" priority="14" operator="greaterThan">
      <formula>0</formula>
    </cfRule>
  </conditionalFormatting>
  <conditionalFormatting sqref="L30:O32">
    <cfRule type="cellIs" dxfId="2657" priority="12" operator="greaterThan">
      <formula>0</formula>
    </cfRule>
  </conditionalFormatting>
  <conditionalFormatting sqref="L34:O34">
    <cfRule type="cellIs" dxfId="2656" priority="10" operator="greaterThan">
      <formula>0</formula>
    </cfRule>
  </conditionalFormatting>
  <conditionalFormatting sqref="L23:S24">
    <cfRule type="cellIs" dxfId="2655" priority="15" operator="greaterThan">
      <formula>0</formula>
    </cfRule>
  </conditionalFormatting>
  <conditionalFormatting sqref="L25:S26">
    <cfRule type="containsErrors" dxfId="2654" priority="24">
      <formula>ISERROR(L25)</formula>
    </cfRule>
    <cfRule type="cellIs" dxfId="2653" priority="25" operator="equal">
      <formula>0</formula>
    </cfRule>
  </conditionalFormatting>
  <conditionalFormatting sqref="M87:T87">
    <cfRule type="expression" dxfId="2652" priority="511">
      <formula>$EO$6="OUI"</formula>
    </cfRule>
  </conditionalFormatting>
  <conditionalFormatting sqref="N65:P71">
    <cfRule type="cellIs" dxfId="2651" priority="60" operator="equal">
      <formula>0</formula>
    </cfRule>
  </conditionalFormatting>
  <conditionalFormatting sqref="O86">
    <cfRule type="expression" dxfId="2650" priority="515">
      <formula>EO6="OUI"</formula>
    </cfRule>
  </conditionalFormatting>
  <conditionalFormatting sqref="O14:T14">
    <cfRule type="expression" dxfId="2649" priority="209">
      <formula>$U$14=0</formula>
    </cfRule>
  </conditionalFormatting>
  <conditionalFormatting sqref="P20">
    <cfRule type="expression" dxfId="2648" priority="17">
      <formula>$DP$14=1</formula>
    </cfRule>
  </conditionalFormatting>
  <conditionalFormatting sqref="P18:S18">
    <cfRule type="expression" dxfId="2647" priority="21">
      <formula>$L$18=0</formula>
    </cfRule>
  </conditionalFormatting>
  <conditionalFormatting sqref="P19:S19">
    <cfRule type="expression" dxfId="2646" priority="19">
      <formula>$L$19=0</formula>
    </cfRule>
  </conditionalFormatting>
  <conditionalFormatting sqref="P21:S21">
    <cfRule type="expression" dxfId="2645" priority="30">
      <formula>$L$21=0</formula>
    </cfRule>
  </conditionalFormatting>
  <conditionalFormatting sqref="P22:S22">
    <cfRule type="expression" dxfId="2644" priority="29">
      <formula>$L$22=0</formula>
    </cfRule>
  </conditionalFormatting>
  <conditionalFormatting sqref="R87:T87">
    <cfRule type="expression" dxfId="2643" priority="510">
      <formula>$EO$7="OUI"</formula>
    </cfRule>
  </conditionalFormatting>
  <conditionalFormatting sqref="R89:T89">
    <cfRule type="expression" dxfId="2642" priority="506">
      <formula>$EO$6="OUI"</formula>
    </cfRule>
    <cfRule type="expression" dxfId="2641" priority="505">
      <formula>$EO$8="OUI"</formula>
    </cfRule>
  </conditionalFormatting>
  <conditionalFormatting sqref="R90:T90">
    <cfRule type="expression" dxfId="2640" priority="512">
      <formula>$EO$7="OUI"</formula>
    </cfRule>
    <cfRule type="expression" dxfId="2639" priority="513">
      <formula>$EO$6="OUI"</formula>
    </cfRule>
  </conditionalFormatting>
  <conditionalFormatting sqref="T20">
    <cfRule type="expression" dxfId="2638" priority="18">
      <formula>$DP$14=1</formula>
    </cfRule>
  </conditionalFormatting>
  <conditionalFormatting sqref="T30:T32">
    <cfRule type="cellIs" dxfId="2637" priority="28" operator="equal">
      <formula>0</formula>
    </cfRule>
  </conditionalFormatting>
  <conditionalFormatting sqref="T18:W19">
    <cfRule type="cellIs" dxfId="2636" priority="22" operator="equal">
      <formula>0</formula>
    </cfRule>
  </conditionalFormatting>
  <conditionalFormatting sqref="T21:W28">
    <cfRule type="cellIs" dxfId="2635" priority="27" operator="equal">
      <formula>0</formula>
    </cfRule>
  </conditionalFormatting>
  <conditionalFormatting sqref="T29:W29">
    <cfRule type="cellIs" dxfId="2634" priority="11" operator="greaterThan">
      <formula>0</formula>
    </cfRule>
  </conditionalFormatting>
  <conditionalFormatting sqref="T33:W33">
    <cfRule type="cellIs" dxfId="2633" priority="9" operator="greaterThan">
      <formula>0</formula>
    </cfRule>
  </conditionalFormatting>
  <conditionalFormatting sqref="T34:W34">
    <cfRule type="cellIs" dxfId="2632" priority="23" operator="equal">
      <formula>0</formula>
    </cfRule>
  </conditionalFormatting>
  <conditionalFormatting sqref="U14:X14">
    <cfRule type="cellIs" dxfId="2631" priority="207" operator="equal">
      <formula>0</formula>
    </cfRule>
  </conditionalFormatting>
  <conditionalFormatting sqref="V80:AF81">
    <cfRule type="cellIs" dxfId="2630" priority="1" operator="notEqual">
      <formula>"Commentaires :"</formula>
    </cfRule>
  </conditionalFormatting>
  <conditionalFormatting sqref="Y73:AO75">
    <cfRule type="expression" dxfId="2629" priority="64">
      <formula>$DP$8=52</formula>
    </cfRule>
  </conditionalFormatting>
  <conditionalFormatting sqref="AB20:AC50">
    <cfRule type="expression" dxfId="2628" priority="430">
      <formula>VLOOKUP(AB20,base_feries,1,FALSE)</formula>
    </cfRule>
    <cfRule type="expression" dxfId="2627" priority="429">
      <formula>OR(WEEKDAY(AB20,2)=6,WEEKDAY(AB20,2)=7)</formula>
    </cfRule>
    <cfRule type="expression" dxfId="2626" priority="428">
      <formula>WEEKDAY(AB20,2)=7</formula>
    </cfRule>
  </conditionalFormatting>
  <conditionalFormatting sqref="AD20:AF50">
    <cfRule type="cellIs" dxfId="2625" priority="300" operator="equal">
      <formula>0</formula>
    </cfRule>
    <cfRule type="expression" dxfId="2624" priority="299">
      <formula>FC20="oui"</formula>
    </cfRule>
  </conditionalFormatting>
  <conditionalFormatting sqref="AG20:AI50">
    <cfRule type="expression" dxfId="2623" priority="301">
      <formula>FC20="oui"</formula>
    </cfRule>
  </conditionalFormatting>
  <conditionalFormatting sqref="AH83:AH84">
    <cfRule type="cellIs" dxfId="2622" priority="525" stopIfTrue="1" operator="equal">
      <formula>0</formula>
    </cfRule>
  </conditionalFormatting>
  <conditionalFormatting sqref="AH89:AH91">
    <cfRule type="cellIs" dxfId="2621" priority="69" stopIfTrue="1" operator="equal">
      <formula>0</formula>
    </cfRule>
  </conditionalFormatting>
  <conditionalFormatting sqref="AH93:AK93">
    <cfRule type="cellIs" dxfId="2620" priority="516" operator="equal">
      <formula>0</formula>
    </cfRule>
  </conditionalFormatting>
  <conditionalFormatting sqref="AH86:AL87">
    <cfRule type="cellIs" dxfId="2619" priority="65" stopIfTrue="1" operator="equal">
      <formula>0</formula>
    </cfRule>
  </conditionalFormatting>
  <conditionalFormatting sqref="AH92:AO92">
    <cfRule type="cellIs" dxfId="2618" priority="239" operator="lessThan">
      <formula>-0.001</formula>
    </cfRule>
  </conditionalFormatting>
  <conditionalFormatting sqref="AJ20:AL50">
    <cfRule type="expression" dxfId="2617" priority="302">
      <formula>FC20="oui"</formula>
    </cfRule>
  </conditionalFormatting>
  <conditionalFormatting sqref="AL83">
    <cfRule type="cellIs" dxfId="2616" priority="524" stopIfTrue="1" operator="equal">
      <formula>0</formula>
    </cfRule>
  </conditionalFormatting>
  <conditionalFormatting sqref="AL89:AL91">
    <cfRule type="cellIs" dxfId="2615" priority="68" stopIfTrue="1" operator="equal">
      <formula>0</formula>
    </cfRule>
  </conditionalFormatting>
  <conditionalFormatting sqref="AL93">
    <cfRule type="cellIs" dxfId="2614" priority="523" stopIfTrue="1" operator="equal">
      <formula>0</formula>
    </cfRule>
  </conditionalFormatting>
  <conditionalFormatting sqref="AM20:AO50">
    <cfRule type="expression" dxfId="2613" priority="303">
      <formula>FC20="oui"</formula>
    </cfRule>
  </conditionalFormatting>
  <conditionalFormatting sqref="AP20:AP50">
    <cfRule type="expression" dxfId="2612" priority="147">
      <formula>BL20="E"</formula>
    </cfRule>
    <cfRule type="expression" dxfId="2611" priority="150">
      <formula>BL20="B"</formula>
    </cfRule>
    <cfRule type="expression" dxfId="2610" priority="149">
      <formula>BL20="C"</formula>
    </cfRule>
    <cfRule type="expression" dxfId="2609" priority="148">
      <formula>BL20="D"</formula>
    </cfRule>
    <cfRule type="expression" dxfId="2608" priority="144">
      <formula>BL20="H"</formula>
    </cfRule>
    <cfRule type="expression" dxfId="2607" priority="145">
      <formula>BL20="G"</formula>
    </cfRule>
    <cfRule type="expression" dxfId="2606" priority="146">
      <formula>BL20="F"</formula>
    </cfRule>
  </conditionalFormatting>
  <conditionalFormatting sqref="AQ62:AU62">
    <cfRule type="expression" dxfId="2605" priority="46">
      <formula>$AT$60="Non"</formula>
    </cfRule>
  </conditionalFormatting>
  <conditionalFormatting sqref="AQ63:AU63">
    <cfRule type="expression" dxfId="2604" priority="43">
      <formula>$AT$61="Non"</formula>
    </cfRule>
  </conditionalFormatting>
  <conditionalFormatting sqref="AR20:AR50">
    <cfRule type="expression" dxfId="2603" priority="189">
      <formula>AND(AR20&lt;&gt;"",AZ20&lt;&gt;"")</formula>
    </cfRule>
    <cfRule type="expression" dxfId="2602" priority="185">
      <formula>FN20=10</formula>
    </cfRule>
    <cfRule type="expression" dxfId="2601" priority="181">
      <formula>FC20="oui"</formula>
    </cfRule>
    <cfRule type="expression" dxfId="2600" priority="173">
      <formula>AB20=""</formula>
    </cfRule>
  </conditionalFormatting>
  <conditionalFormatting sqref="AR17:BJ50">
    <cfRule type="expression" dxfId="2599" priority="49">
      <formula>$EX$13="oui"</formula>
    </cfRule>
  </conditionalFormatting>
  <conditionalFormatting sqref="AS51:BJ51 DK51">
    <cfRule type="expression" dxfId="2598" priority="134">
      <formula>$EX$13="oui"</formula>
    </cfRule>
  </conditionalFormatting>
  <conditionalFormatting sqref="AT4:AT10">
    <cfRule type="expression" dxfId="2597" priority="445">
      <formula>AU4="H"</formula>
    </cfRule>
    <cfRule type="expression" dxfId="2596" priority="447">
      <formula>AU4="F"</formula>
    </cfRule>
    <cfRule type="expression" dxfId="2595" priority="448">
      <formula>AU4="E"</formula>
    </cfRule>
    <cfRule type="expression" dxfId="2594" priority="449">
      <formula>AU4="D"</formula>
    </cfRule>
    <cfRule type="expression" dxfId="2593" priority="451">
      <formula>AU4="B"</formula>
    </cfRule>
    <cfRule type="expression" dxfId="2592" priority="446">
      <formula>AU4="G"</formula>
    </cfRule>
    <cfRule type="expression" dxfId="2591" priority="450">
      <formula>AU4="C"</formula>
    </cfRule>
  </conditionalFormatting>
  <conditionalFormatting sqref="AT20:AT50">
    <cfRule type="expression" dxfId="2590" priority="184">
      <formula>FC20="oui"</formula>
    </cfRule>
    <cfRule type="expression" dxfId="2589" priority="180">
      <formula>AB20=""</formula>
    </cfRule>
  </conditionalFormatting>
  <conditionalFormatting sqref="AU4:AU10">
    <cfRule type="expression" dxfId="2588" priority="381">
      <formula>FG4="rouge"</formula>
    </cfRule>
    <cfRule type="expression" dxfId="2587" priority="380">
      <formula>AT4=""</formula>
    </cfRule>
  </conditionalFormatting>
  <conditionalFormatting sqref="AU20:AU50">
    <cfRule type="expression" dxfId="2586" priority="179">
      <formula>AB20=""</formula>
    </cfRule>
    <cfRule type="expression" dxfId="2585" priority="188">
      <formula>FC20="oui"</formula>
    </cfRule>
  </conditionalFormatting>
  <conditionalFormatting sqref="AW20:AX50">
    <cfRule type="expression" dxfId="2584" priority="191">
      <formula>WEEKDAY(AW20,2)=7</formula>
    </cfRule>
    <cfRule type="expression" dxfId="2583" priority="192">
      <formula>OR(WEEKDAY(AW20,2)=6,WEEKDAY(AW20,2)=7)</formula>
    </cfRule>
    <cfRule type="expression" dxfId="2582" priority="193">
      <formula>VLOOKUP(AW20,base_feries,1,FALSE)</formula>
    </cfRule>
  </conditionalFormatting>
  <conditionalFormatting sqref="AX62:AZ62">
    <cfRule type="expression" dxfId="2581" priority="45">
      <formula>$AX$60="Non"</formula>
    </cfRule>
  </conditionalFormatting>
  <conditionalFormatting sqref="AX63:AZ63">
    <cfRule type="expression" dxfId="2580" priority="42">
      <formula>$AX$61="Non"</formula>
    </cfRule>
  </conditionalFormatting>
  <conditionalFormatting sqref="AZ20:AZ50">
    <cfRule type="expression" dxfId="2579" priority="50">
      <formula>AB20=""</formula>
    </cfRule>
    <cfRule type="expression" dxfId="2578" priority="53">
      <formula>AND(AR20&lt;&gt;"",AZ20&lt;&gt;"")</formula>
    </cfRule>
    <cfRule type="expression" dxfId="2577" priority="52">
      <formula>FL20=10</formula>
    </cfRule>
    <cfRule type="expression" dxfId="2576" priority="51">
      <formula>FC20="oui"</formula>
    </cfRule>
  </conditionalFormatting>
  <conditionalFormatting sqref="BA20:BA50">
    <cfRule type="expression" dxfId="2575" priority="178">
      <formula>AB20=""</formula>
    </cfRule>
    <cfRule type="expression" dxfId="2574" priority="182">
      <formula>FC20="oui"</formula>
    </cfRule>
  </conditionalFormatting>
  <conditionalFormatting sqref="BA62">
    <cfRule type="expression" dxfId="2573" priority="44">
      <formula>$BA$60="Non"</formula>
    </cfRule>
  </conditionalFormatting>
  <conditionalFormatting sqref="BA63">
    <cfRule type="expression" dxfId="2572" priority="41">
      <formula>$BA$61="Non"</formula>
    </cfRule>
  </conditionalFormatting>
  <conditionalFormatting sqref="BA102 BA103:BH115">
    <cfRule type="expression" dxfId="2571" priority="95">
      <formula>$DP$8=52</formula>
    </cfRule>
  </conditionalFormatting>
  <conditionalFormatting sqref="BA137 BA138:BH149">
    <cfRule type="expression" dxfId="2570" priority="67">
      <formula>$DP$8=52</formula>
    </cfRule>
  </conditionalFormatting>
  <conditionalFormatting sqref="BC20:BC55">
    <cfRule type="cellIs" dxfId="2569" priority="187" operator="equal">
      <formula>0</formula>
    </cfRule>
    <cfRule type="expression" dxfId="2568" priority="175">
      <formula>AJ20=""</formula>
    </cfRule>
  </conditionalFormatting>
  <conditionalFormatting sqref="BC112:BH112">
    <cfRule type="expression" dxfId="2567" priority="94">
      <formula>$BA$112=""</formula>
    </cfRule>
  </conditionalFormatting>
  <conditionalFormatting sqref="BC147:BH147">
    <cfRule type="expression" dxfId="2566" priority="66">
      <formula>$BA$112=""</formula>
    </cfRule>
  </conditionalFormatting>
  <conditionalFormatting sqref="BD20:BD50">
    <cfRule type="expression" dxfId="2565" priority="176">
      <formula>FL20="oui"</formula>
    </cfRule>
  </conditionalFormatting>
  <conditionalFormatting sqref="BE20:BE50">
    <cfRule type="expression" dxfId="2564" priority="186">
      <formula>OR(BE20=0,BE20="")</formula>
    </cfRule>
  </conditionalFormatting>
  <conditionalFormatting sqref="BH20:BH50">
    <cfRule type="expression" dxfId="2563" priority="135">
      <formula>AO20=""</formula>
    </cfRule>
    <cfRule type="cellIs" dxfId="2562" priority="172" operator="equal">
      <formula>0</formula>
    </cfRule>
  </conditionalFormatting>
  <conditionalFormatting sqref="BI9:BI14">
    <cfRule type="cellIs" dxfId="2561" priority="101" operator="equal">
      <formula>0</formula>
    </cfRule>
  </conditionalFormatting>
  <conditionalFormatting sqref="BQ54">
    <cfRule type="expression" dxfId="2560" priority="425">
      <formula>$BW$41="Non"</formula>
    </cfRule>
  </conditionalFormatting>
  <conditionalFormatting sqref="BQ36:CA36">
    <cfRule type="expression" dxfId="2559" priority="426">
      <formula>$BW$41="Oui"</formula>
    </cfRule>
  </conditionalFormatting>
  <conditionalFormatting sqref="BS21:CA34">
    <cfRule type="expression" dxfId="2558" priority="81">
      <formula>$EO$12="NON"</formula>
    </cfRule>
  </conditionalFormatting>
  <conditionalFormatting sqref="BY28:BY33">
    <cfRule type="notContainsBlanks" dxfId="2557" priority="82">
      <formula>LEN(TRIM(BY28))&gt;0</formula>
    </cfRule>
  </conditionalFormatting>
  <conditionalFormatting sqref="BY56">
    <cfRule type="duplicateValues" dxfId="2556" priority="473"/>
    <cfRule type="expression" dxfId="2555" priority="472">
      <formula>$BW$41="Oui"</formula>
    </cfRule>
  </conditionalFormatting>
  <conditionalFormatting sqref="BY60">
    <cfRule type="expression" dxfId="2554" priority="466">
      <formula>$BW$41="Oui"</formula>
    </cfRule>
    <cfRule type="cellIs" dxfId="2553" priority="467" operator="lessThan">
      <formula>$BY$59</formula>
    </cfRule>
    <cfRule type="duplicateValues" dxfId="2552" priority="468"/>
  </conditionalFormatting>
  <conditionalFormatting sqref="CA56">
    <cfRule type="expression" dxfId="2551" priority="276">
      <formula>AND($CA$56&lt;$CE$47,$BW$41="Non")</formula>
    </cfRule>
  </conditionalFormatting>
  <conditionalFormatting sqref="CB78">
    <cfRule type="cellIs" dxfId="2550" priority="566" stopIfTrue="1" operator="equal">
      <formula>"NON"</formula>
    </cfRule>
    <cfRule type="cellIs" dxfId="2549" priority="567" stopIfTrue="1" operator="equal">
      <formula>"OUI"</formula>
    </cfRule>
  </conditionalFormatting>
  <conditionalFormatting sqref="CE53:CE54">
    <cfRule type="expression" dxfId="2548" priority="153">
      <formula>$BW$41="Non"</formula>
    </cfRule>
  </conditionalFormatting>
  <conditionalFormatting sqref="CE57:CE58">
    <cfRule type="expression" dxfId="2547" priority="152">
      <formula>$BW$41="Non"</formula>
    </cfRule>
  </conditionalFormatting>
  <conditionalFormatting sqref="CE3:CF3">
    <cfRule type="expression" dxfId="2546" priority="114">
      <formula>$CD$3=""</formula>
    </cfRule>
    <cfRule type="expression" dxfId="2545" priority="113">
      <formula>AND($CE$3="",$CE$5&lt;&gt;"")</formula>
    </cfRule>
    <cfRule type="expression" dxfId="2544" priority="112">
      <formula>$FX$3="vrai"</formula>
    </cfRule>
  </conditionalFormatting>
  <conditionalFormatting sqref="CE5:CF5">
    <cfRule type="expression" dxfId="2543" priority="121">
      <formula>OR(AND(CE5&lt;&gt;0,CE5&lt;AJ4),AND(CE5&lt;&gt;0,CE5&gt;EG5),AND(CE5&lt;&gt;0,CE5&lt;AB20))</formula>
    </cfRule>
    <cfRule type="expression" dxfId="2542" priority="120">
      <formula>CD5=""</formula>
    </cfRule>
    <cfRule type="expression" dxfId="2541" priority="119">
      <formula>$FX$5="vrai"</formula>
    </cfRule>
  </conditionalFormatting>
  <conditionalFormatting sqref="CE8:CF8">
    <cfRule type="cellIs" dxfId="2540" priority="118" operator="greaterThan">
      <formula>$CE$5</formula>
    </cfRule>
    <cfRule type="expression" dxfId="2539" priority="117">
      <formula>AND(CE8&lt;&gt;0,CE8&lt;AJ4)</formula>
    </cfRule>
    <cfRule type="expression" dxfId="2538" priority="116">
      <formula>CD8=""</formula>
    </cfRule>
    <cfRule type="expression" dxfId="2537" priority="115">
      <formula>$FX$8="vrai"</formula>
    </cfRule>
  </conditionalFormatting>
  <conditionalFormatting sqref="CF47">
    <cfRule type="notContainsBlanks" dxfId="2536" priority="412">
      <formula>LEN(TRIM(CF47))&gt;0</formula>
    </cfRule>
  </conditionalFormatting>
  <conditionalFormatting sqref="CF49">
    <cfRule type="notContainsBlanks" dxfId="2535" priority="411">
      <formula>LEN(TRIM(CF49))&gt;0</formula>
    </cfRule>
  </conditionalFormatting>
  <conditionalFormatting sqref="CF53:CF54">
    <cfRule type="expression" dxfId="2534" priority="156">
      <formula>$BW$41="Non"</formula>
    </cfRule>
  </conditionalFormatting>
  <conditionalFormatting sqref="CF57:CF58">
    <cfRule type="expression" dxfId="2533" priority="154">
      <formula>$BW$41="Non"</formula>
    </cfRule>
  </conditionalFormatting>
  <conditionalFormatting sqref="CG8:CI8">
    <cfRule type="expression" dxfId="2532" priority="248">
      <formula>CD8=""</formula>
    </cfRule>
  </conditionalFormatting>
  <conditionalFormatting sqref="GW16:HR16">
    <cfRule type="expression" dxfId="2531" priority="402">
      <formula>$AE$123="NON"</formula>
    </cfRule>
  </conditionalFormatting>
  <conditionalFormatting sqref="HG16:HJ16">
    <cfRule type="expression" dxfId="2530" priority="4908">
      <formula>AR123&gt;0</formula>
    </cfRule>
  </conditionalFormatting>
  <conditionalFormatting sqref="HK16:HN16">
    <cfRule type="expression" dxfId="2529" priority="4909">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7"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1"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DATE(YEAR(Janvier!X3),MONTH(Janvier!X3)+10,DAY(Janvier!X3))</f>
        <v>45962</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19"/>
      <c r="CD3" s="131" t="str">
        <f>+IF(BZ8="OUI","Motif de la rupture :","")</f>
        <v/>
      </c>
      <c r="CE3" s="1874"/>
      <c r="CF3" s="1874"/>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44</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1132</v>
      </c>
      <c r="DL4" s="333">
        <f>+ROUNDDOWN((DL3-DL1)*60/100*100,0)</f>
        <v>16</v>
      </c>
      <c r="DO4" s="420" t="s">
        <v>209</v>
      </c>
      <c r="DP4" s="333" t="str">
        <f>IF(Octobre!BY8="OUI","Contrat fini",BY2)</f>
        <v>Fiche info</v>
      </c>
      <c r="EF4" s="333" t="s">
        <v>1044</v>
      </c>
      <c r="EG4" s="755">
        <f>+Identification!B95</f>
        <v>0</v>
      </c>
      <c r="FG4" s="333" t="str">
        <f>IFERROR(IF(VLOOKUP(AT4,Octobre!$AT$4:$AU$10,2,FALSE)&lt;&gt;Novembre!AU4,"rouge","ok"),0)</f>
        <v>ok</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45962</v>
      </c>
      <c r="Y5" s="1948"/>
      <c r="Z5" s="1953" t="s">
        <v>460</v>
      </c>
      <c r="AA5" s="1953"/>
      <c r="AB5" s="1948">
        <f>+IF(AND(DATE(YEAR(EG4),MONTH(EG4),DAY(EG4))&gt;=DATE(YEAR(X3),MONTH(X3),DAY(X3)),DATE(YEAR(EG4),MONTH(EG4),DAY(EG4))&lt;=DATE(YEAR(X3),MONTH(X3),DAY(EOMONTH(X3,0)))),EG4,EOMONTH(X3,0))</f>
        <v>45991</v>
      </c>
      <c r="AC5" s="1952"/>
      <c r="AP5" s="211"/>
      <c r="AQ5" s="336"/>
      <c r="AR5" s="211"/>
      <c r="AS5" s="212"/>
      <c r="AT5" s="319">
        <f t="array" ref="AT5">IFERROR(INDEX($BK$20:$BK$50,MATCH(0,INDEX(COUNTIF($AT$3:AT4,$BK$20:$BK$50),0,0),0)),"")</f>
        <v>45</v>
      </c>
      <c r="AU5" s="1144" t="s">
        <v>235</v>
      </c>
      <c r="AV5" s="212"/>
      <c r="AW5" s="212"/>
      <c r="AX5" s="212"/>
      <c r="AY5" s="212"/>
      <c r="BJ5" s="212"/>
      <c r="BK5" s="212"/>
      <c r="BL5" s="212"/>
      <c r="BM5" s="212"/>
      <c r="BN5" s="212"/>
      <c r="BO5" s="212"/>
      <c r="CA5" s="584"/>
      <c r="CD5" s="131" t="str">
        <f>+IF(BZ8="OUI","Date de fin de contrat :","")</f>
        <v/>
      </c>
      <c r="CE5" s="1879"/>
      <c r="CF5" s="1879"/>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522</v>
      </c>
      <c r="DP5" s="333">
        <f>+VLOOKUP(DP4,base_donné_contrat,2,FALSE)</f>
        <v>0</v>
      </c>
      <c r="EF5" s="333" t="s">
        <v>1233</v>
      </c>
      <c r="EG5" s="755">
        <f>+EOMONTH(X3,0)</f>
        <v>45991</v>
      </c>
      <c r="FG5" s="333">
        <f>IFERROR(IF(VLOOKUP(AT5,Octobre!$AT$4:$AU$10,2,FALSE)&lt;&gt;Novembre!AU5,"rouge","ok"),0)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46</v>
      </c>
      <c r="AU6" s="1144" t="s">
        <v>235</v>
      </c>
      <c r="BQ6" s="596"/>
      <c r="BR6" s="596"/>
      <c r="BS6" s="596"/>
      <c r="BT6" s="596"/>
      <c r="BU6" s="596"/>
      <c r="BV6" s="596"/>
      <c r="BW6" s="596"/>
      <c r="BX6" s="597" t="s">
        <v>520</v>
      </c>
      <c r="BY6" s="598" t="str">
        <f>+IF(BZ6="",Octobre!BY6,BZ6)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210</v>
      </c>
      <c r="DP6" s="756">
        <f>+IFERROR(VLOOKUP(X3,base_smic,2,TRUE),0)</f>
        <v>11.88</v>
      </c>
      <c r="EF6" s="333" t="s">
        <v>1561</v>
      </c>
      <c r="EG6" s="333">
        <f>+VLOOKUP(X3,Identification!A90:B92,2,TRUE)</f>
        <v>3925</v>
      </c>
      <c r="EN6" s="333" t="s">
        <v>936</v>
      </c>
      <c r="EO6" s="333" t="str">
        <f>+IF(AND(R87=0,R90=0,AE129="NON"),"OUI","")</f>
        <v>OUI</v>
      </c>
      <c r="FG6" s="333">
        <f>IFERROR(IF(VLOOKUP(AT6,Octobre!$AT$4:$AU$10,2,FALSE)&lt;&gt;Novembre!AU6,"rouge","ok"),0)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47</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211</v>
      </c>
      <c r="DP7" s="333" t="str">
        <f>+VLOOKUP(DP4,base_donné_contrat,4,FALSE)</f>
        <v>NON</v>
      </c>
      <c r="EF7" s="420" t="s">
        <v>964</v>
      </c>
      <c r="EG7" s="1586" t="e">
        <f>(T25/P18+T26/P19)*-1</f>
        <v>#DIV/0!</v>
      </c>
      <c r="EN7" s="333" t="s">
        <v>939</v>
      </c>
      <c r="EO7" s="333" t="str">
        <f>+IF(AND(EO6="",BY8="OUI",R90&lt;&gt;0),"OUI","")</f>
        <v/>
      </c>
      <c r="FG7" s="333">
        <f>IFERROR(IF(VLOOKUP(AT7,Octobre!$AT$4:$AU$10,2,FALSE)&lt;&gt;Novembre!AU7,"rouge","ok"),0)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48</v>
      </c>
      <c r="AU8" s="1144" t="s">
        <v>235</v>
      </c>
      <c r="BG8" s="252"/>
      <c r="BH8" s="1462" t="str">
        <f>+AT3</f>
        <v>N° Sem.</v>
      </c>
      <c r="BI8" s="1463" t="s">
        <v>1580</v>
      </c>
      <c r="BQ8" s="2132" t="s">
        <v>219</v>
      </c>
      <c r="BR8" s="2133"/>
      <c r="BS8" s="2133"/>
      <c r="BT8" s="2133"/>
      <c r="BU8" s="2133"/>
      <c r="BV8" s="2133"/>
      <c r="BW8" s="2133"/>
      <c r="BX8" s="2133"/>
      <c r="BY8" s="985" t="str">
        <f>IF(BZ8="",Octobre!BY8,BZ8)</f>
        <v>NON</v>
      </c>
      <c r="BZ8" s="1136"/>
      <c r="CA8" s="584"/>
      <c r="CD8" s="131" t="str">
        <f>+IF(BZ8="OUI","Date de notification de la rupture ou de la démission :","")</f>
        <v/>
      </c>
      <c r="CE8" s="1880"/>
      <c r="CF8" s="1880"/>
      <c r="CG8" s="1884" t="s">
        <v>1414</v>
      </c>
      <c r="CH8" s="1884"/>
      <c r="CI8" s="1884"/>
      <c r="CJ8" s="198"/>
      <c r="CK8" s="198"/>
      <c r="CL8" s="198"/>
      <c r="CM8" s="198"/>
      <c r="CN8" s="198"/>
      <c r="CO8" s="198"/>
      <c r="CP8" s="198"/>
      <c r="CQ8" s="198"/>
      <c r="CR8" s="198"/>
      <c r="CS8" s="198"/>
      <c r="CT8" s="198"/>
      <c r="CU8" s="198"/>
      <c r="CV8" s="198"/>
      <c r="CW8" s="198"/>
      <c r="CX8" s="198"/>
      <c r="CY8" s="198"/>
      <c r="CZ8" s="198"/>
      <c r="DA8" s="198"/>
      <c r="DB8" s="198"/>
      <c r="DC8" s="198"/>
      <c r="DD8" s="198"/>
      <c r="DO8" s="420" t="s">
        <v>523</v>
      </c>
      <c r="DP8" s="333">
        <f>+VLOOKUP(DP4,base_donné_contrat,5,FALSE)</f>
        <v>0</v>
      </c>
      <c r="EN8" s="333" t="s">
        <v>966</v>
      </c>
      <c r="EO8" s="333" t="str">
        <f>+IF(AND(EO6="",R89=0,R87&gt;0,OR(T30&gt;0,T32&gt;0)),"OUI","")</f>
        <v/>
      </c>
      <c r="FG8" s="333">
        <f>IFERROR(IF(VLOOKUP(AT8,Octobre!$AT$4:$AU$10,2,FALSE)&lt;&gt;Novembre!AU8,"rouge","ok"),0)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442025</v>
      </c>
      <c r="BH9" s="1464">
        <f t="shared" ref="BH9:BH14" si="0">+AT4</f>
        <v>44</v>
      </c>
      <c r="BI9" s="1465">
        <f>IF($AR$13=S.CAL!$CU$2,+SUMIF(S.CAL!$FW$3:$FW$374,BG9,S.CAL!$FX$3:$FX$374),IF($AR$13=S.CAL!$CU$3,SUMIF(Feuilles_de_présence_planning!$EG$12:$EG$537,BG9,Feuilles_de_présence_planning!$EE$12:$EE$537),"err"))</f>
        <v>0</v>
      </c>
      <c r="BY9" s="198" t="str">
        <f>+IF(Octobre!BY8="OUI","FIN","O")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IFERROR(IF(VLOOKUP(AT9,Octobre!$AT$4:$AU$10,2,FALSE)&lt;&gt;Novembre!AU9,"rouge","ok"),0)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452025</v>
      </c>
      <c r="BH10" s="1464">
        <f t="shared" si="0"/>
        <v>45</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IFERROR(IF(VLOOKUP(AT10,Octobre!$AT$4:$AU$10,2,FALSE)&lt;&gt;Novembre!AU10,"rouge","ok"),0)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462025</v>
      </c>
      <c r="BH11" s="1464">
        <f t="shared" si="0"/>
        <v>46</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472025</v>
      </c>
      <c r="BH12" s="1464">
        <f t="shared" si="0"/>
        <v>47</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6</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IF(AR14="",Octobre!AR13,AR14)</f>
        <v>à partir du tableau ci-dessous</v>
      </c>
      <c r="AS13" s="2296"/>
      <c r="AT13" s="2296"/>
      <c r="AU13" s="2296"/>
      <c r="AV13" s="2296"/>
      <c r="AW13" s="2296"/>
      <c r="AX13" s="2296"/>
      <c r="AY13" s="2296"/>
      <c r="AZ13" s="2296"/>
      <c r="BA13" s="2308" t="s">
        <v>1102</v>
      </c>
      <c r="BB13" s="2308"/>
      <c r="BC13" s="2308"/>
      <c r="BD13" s="971"/>
      <c r="BG13" s="1453" t="str">
        <f t="shared" si="1"/>
        <v>482025</v>
      </c>
      <c r="BH13" s="1464">
        <f t="shared" si="0"/>
        <v>48</v>
      </c>
      <c r="BI13" s="1465">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356</v>
      </c>
      <c r="DP13" s="756">
        <f>+VLOOKUP(DP4,base_donné_contrat,12,FALSE)</f>
        <v>0</v>
      </c>
      <c r="EF13" s="333" t="s">
        <v>226</v>
      </c>
      <c r="EH13" s="333" t="s">
        <v>225</v>
      </c>
      <c r="EN13" s="333" t="s">
        <v>1212</v>
      </c>
      <c r="EO13" s="869">
        <f>+Octobre!EO13+Octobre!R89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652</v>
      </c>
      <c r="DP15" s="333"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711</v>
      </c>
      <c r="DP16" s="333" t="str">
        <f>+VLOOKUP(DP4,base_donné_contrat,10,FALSE)</f>
        <v>Méthode 1</v>
      </c>
      <c r="DZ16" s="420"/>
      <c r="EA16" s="420"/>
      <c r="EB16" s="420"/>
      <c r="EC16" s="420"/>
      <c r="ED16" s="420"/>
      <c r="EE16" s="420" t="s">
        <v>224</v>
      </c>
      <c r="EF16" s="759">
        <f>+Octobre!EF16</f>
        <v>0</v>
      </c>
      <c r="EG16" s="759">
        <f>+Octobre!EG16</f>
        <v>0</v>
      </c>
      <c r="EH16" s="759">
        <f>+Octobre!EH16+Octobre!EH17</f>
        <v>0</v>
      </c>
      <c r="EI16" s="759">
        <f>+Octobre!EI16+Octobre!EI17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2362" t="s">
        <v>975</v>
      </c>
      <c r="ER17" s="2362"/>
      <c r="ES17" s="2362"/>
      <c r="ET17" s="2362"/>
      <c r="EU17" s="2362"/>
      <c r="EV17" s="1411"/>
      <c r="EW17" s="2361" t="s">
        <v>976</v>
      </c>
      <c r="EX17" s="2361"/>
      <c r="EY17" s="2361"/>
      <c r="EZ17" s="2361"/>
      <c r="FA17" s="2361"/>
      <c r="FB17" s="795"/>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c r="BP19" s="214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Nov'!D18:D48,"&gt;0")</f>
        <v>0</v>
      </c>
      <c r="EQ19" s="797" t="s">
        <v>16</v>
      </c>
      <c r="ER19" s="798" t="s">
        <v>971</v>
      </c>
      <c r="ES19" s="799" t="s">
        <v>972</v>
      </c>
      <c r="ET19" s="798" t="s">
        <v>973</v>
      </c>
      <c r="EU19" s="799" t="s">
        <v>50</v>
      </c>
      <c r="EV19" s="1413" t="s">
        <v>1558</v>
      </c>
      <c r="EW19" s="798" t="s">
        <v>16</v>
      </c>
      <c r="EX19" s="799" t="s">
        <v>971</v>
      </c>
      <c r="EY19" s="798" t="s">
        <v>972</v>
      </c>
      <c r="EZ19" s="799" t="s">
        <v>973</v>
      </c>
      <c r="FA19" s="800" t="s">
        <v>50</v>
      </c>
      <c r="FB19" s="798"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45962</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44</v>
      </c>
      <c r="AQ20" s="340"/>
      <c r="AR20" s="1145"/>
      <c r="AS20" s="332">
        <f t="shared" ref="AS20:AS50" si="3">SUM(AD20:AL20)</f>
        <v>0</v>
      </c>
      <c r="AT20" s="1146"/>
      <c r="AU20" s="1146"/>
      <c r="AV20" s="332"/>
      <c r="AW20" s="1989">
        <f>AB20</f>
        <v>45962</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infoA6</v>
      </c>
      <c r="BK20" s="129">
        <f>IFERROR(WEEKNUM(AB20,21),"")</f>
        <v>44</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25</v>
      </c>
      <c r="EQ20" s="766">
        <f>+AB20</f>
        <v>45962</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45962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44</v>
      </c>
      <c r="GA20" s="129">
        <f>+$X$4</f>
        <v>2025</v>
      </c>
      <c r="GB20" s="129" t="str">
        <f>+FZ20&amp;GA20</f>
        <v>442025</v>
      </c>
      <c r="GC20" s="225">
        <f>IF(AND($GD$53=S.CAL!$P$3,$GD$52=FZ20),GE20,IF(BH20="",0,BH20))</f>
        <v>0</v>
      </c>
      <c r="GD20" s="129" t="str">
        <f>IFERROR(+Décembre!$BY$2&amp;BL20&amp;BM20,0)</f>
        <v>Fiche infoA6</v>
      </c>
      <c r="GE20" s="129" t="str">
        <f t="shared" ref="GE20:GE50" si="19">+IFERROR(VLOOKUP(GD20,Base_heures,6,FALSE),"")</f>
        <v/>
      </c>
      <c r="GF20" s="225" t="str">
        <f>IF(FP20=1,GG20,AM20)</f>
        <v/>
      </c>
      <c r="GG20" s="1469" t="str">
        <f>+'Retenue Nov'!D18</f>
        <v/>
      </c>
      <c r="GH20" s="1469">
        <f>+'Retenue Nov'!BF18</f>
        <v>0</v>
      </c>
      <c r="GJ20" s="1530" t="str">
        <f>+AM20</f>
        <v/>
      </c>
      <c r="GK20" s="225" t="str">
        <f>+AG20</f>
        <v/>
      </c>
      <c r="GL20" s="225" t="str">
        <f>+AJ20</f>
        <v/>
      </c>
      <c r="GM20" s="1529">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1">+ROUND(P21*L21,2)</f>
        <v>0</v>
      </c>
      <c r="U21" s="1817"/>
      <c r="V21" s="1817"/>
      <c r="W21" s="1818"/>
      <c r="X21" s="223"/>
      <c r="Y21" s="223"/>
      <c r="Z21" s="223"/>
      <c r="AA21" s="903" t="str">
        <f>IF(AND(BE21="OUI",$AR$13=S.CAL!$CU$2),"►",IF(AND(EV21="OUI",$AR$13=S.CAL!$CU$3),"►",""))</f>
        <v/>
      </c>
      <c r="AB21" s="1877">
        <f>+$X$3+1</f>
        <v>45963</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2">AB21</f>
        <v>45963</v>
      </c>
      <c r="AX21" s="1878"/>
      <c r="AY21" s="332"/>
      <c r="AZ21" s="1126"/>
      <c r="BA21" s="993"/>
      <c r="BB21" s="561"/>
      <c r="BC21" s="566">
        <f t="shared" ref="BC21:BC50" si="23">+IF(AND(BE21="OUI",BD21=""),IFERROR(BH21-AZ21,FS21),IF(AND(BE21="OUI",BD21&lt;&gt;""),BD21,0))</f>
        <v>0</v>
      </c>
      <c r="BD21" s="1126"/>
      <c r="BE21" s="825">
        <f t="shared" ref="BE21:BE50" si="24">+IF(OR(AND(BF21="",BO21="OUI"),AND(BF21="",FC21="oui",BO21=""),AND(BF21="",IFERROR(BH21-AZ21,0)&gt;0,AZ21&lt;&gt;"")),"OUI",BF21)</f>
        <v>0</v>
      </c>
      <c r="BF21" s="1150"/>
      <c r="BG21" s="224"/>
      <c r="BH21" s="566" t="str">
        <f t="shared" ref="BH21:BH50" si="25">IF(BI21="",+FB21,BI21)</f>
        <v/>
      </c>
      <c r="BI21" s="1150"/>
      <c r="BJ21" s="129" t="str">
        <f t="shared" ref="BJ21:BJ47" si="26">+BN21&amp;BL21&amp;BM21</f>
        <v>Fiche infoA7</v>
      </c>
      <c r="BK21" s="129">
        <f t="shared" ref="BK21" si="27">IFERROR(WEEKNUM(AB21,21),"")</f>
        <v>44</v>
      </c>
      <c r="BL21" s="129" t="str">
        <f t="shared" si="4"/>
        <v>A</v>
      </c>
      <c r="BM21" s="129">
        <f t="shared" si="5"/>
        <v>7</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45962</v>
      </c>
      <c r="EJ21" s="755"/>
      <c r="EK21" s="755"/>
      <c r="EQ21" s="766">
        <f t="shared" ref="EQ21" si="28">+AB21</f>
        <v>45963</v>
      </c>
      <c r="ER21" s="767">
        <f t="shared" si="10"/>
        <v>0</v>
      </c>
      <c r="ES21" s="768">
        <f t="shared" si="11"/>
        <v>0</v>
      </c>
      <c r="ET21" s="767">
        <f t="shared" si="12"/>
        <v>0</v>
      </c>
      <c r="EU21" s="768">
        <f t="shared" si="13"/>
        <v>0</v>
      </c>
      <c r="EV21" s="767" t="str">
        <f t="shared" si="14"/>
        <v/>
      </c>
      <c r="EW21" s="769">
        <f t="shared" ref="EW21:EW50" si="29">+EQ21</f>
        <v>45963</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44</v>
      </c>
      <c r="GA21" s="129">
        <f t="shared" ref="GA21:GA50" si="39">+$X$4</f>
        <v>2025</v>
      </c>
      <c r="GB21" s="129" t="str">
        <f t="shared" ref="GB21:GB48" si="40">+FZ21&amp;GA21</f>
        <v>442025</v>
      </c>
      <c r="GC21" s="225">
        <f>IF(AND($GD$53=S.CAL!$P$3,$GD$52=FZ21),GE21,IF(BH21="",0,BH21))</f>
        <v>0</v>
      </c>
      <c r="GD21" s="129" t="str">
        <f>IFERROR(+Décembre!$BY$2&amp;BL21&amp;BM21,0)</f>
        <v>Fiche infoA7</v>
      </c>
      <c r="GE21" s="129" t="str">
        <f t="shared" si="19"/>
        <v/>
      </c>
      <c r="GF21" s="225" t="str">
        <f t="shared" ref="GF21:GF48" si="41">IF(FP21=1,GG21,AM21)</f>
        <v/>
      </c>
      <c r="GG21" s="1469" t="str">
        <f>+'Retenue Nov'!D19</f>
        <v/>
      </c>
      <c r="GH21" s="1469">
        <f>+'Retenue Nov'!BF19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20"/>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45964</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f t="shared" ref="AP22:AP50" si="48">IFERROR(IF(WEEKDAY(AB22,11)=1,WEEKNUM(AB22,21),""),"")</f>
        <v>45</v>
      </c>
      <c r="AQ22" s="340"/>
      <c r="AR22" s="1126"/>
      <c r="AS22" s="332">
        <f t="shared" si="3"/>
        <v>0</v>
      </c>
      <c r="AT22" s="1147"/>
      <c r="AU22" s="1147"/>
      <c r="AV22" s="332"/>
      <c r="AW22" s="2017">
        <f t="shared" si="22"/>
        <v>45964</v>
      </c>
      <c r="AX22" s="1878"/>
      <c r="AY22" s="332"/>
      <c r="AZ22" s="1126"/>
      <c r="BA22" s="993"/>
      <c r="BB22" s="561"/>
      <c r="BC22" s="566">
        <f t="shared" si="23"/>
        <v>0</v>
      </c>
      <c r="BD22" s="1126"/>
      <c r="BE22" s="825">
        <f t="shared" si="24"/>
        <v>0</v>
      </c>
      <c r="BF22" s="1150"/>
      <c r="BG22" s="224"/>
      <c r="BH22" s="566" t="str">
        <f t="shared" si="25"/>
        <v/>
      </c>
      <c r="BI22" s="1150"/>
      <c r="BJ22" s="129" t="str">
        <f t="shared" si="26"/>
        <v>Fiche infoA1</v>
      </c>
      <c r="BK22" s="129">
        <f t="shared" ref="BK22:BK50" si="49">IFERROR(WEEKNUM(AB22,21),"")</f>
        <v>45</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45991</v>
      </c>
      <c r="EJ22" s="755"/>
      <c r="EK22" s="755"/>
      <c r="EQ22" s="766">
        <f t="shared" ref="EQ22:EQ50" si="53">+AB22</f>
        <v>45964</v>
      </c>
      <c r="ER22" s="767">
        <f t="shared" si="10"/>
        <v>0</v>
      </c>
      <c r="ES22" s="768">
        <f t="shared" si="11"/>
        <v>0</v>
      </c>
      <c r="ET22" s="767">
        <f t="shared" si="12"/>
        <v>0</v>
      </c>
      <c r="EU22" s="768">
        <f t="shared" si="13"/>
        <v>0</v>
      </c>
      <c r="EV22" s="767" t="str">
        <f t="shared" si="14"/>
        <v/>
      </c>
      <c r="EW22" s="769">
        <f t="shared" si="29"/>
        <v>45964</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45</v>
      </c>
      <c r="GA22" s="129">
        <f t="shared" si="39"/>
        <v>2025</v>
      </c>
      <c r="GB22" s="129" t="str">
        <f t="shared" si="40"/>
        <v>452025</v>
      </c>
      <c r="GC22" s="225">
        <f>IF(AND($GD$53=S.CAL!$P$3,$GD$52=FZ22),GE22,IF(BH22="",0,BH22))</f>
        <v>0</v>
      </c>
      <c r="GD22" s="129" t="str">
        <f>IFERROR(+Décembre!$BY$2&amp;BL22&amp;BM22,0)</f>
        <v>Fiche infoA1</v>
      </c>
      <c r="GE22" s="129" t="str">
        <f t="shared" si="19"/>
        <v/>
      </c>
      <c r="GF22" s="225" t="str">
        <f t="shared" si="41"/>
        <v/>
      </c>
      <c r="GG22" s="1469" t="str">
        <f>+'Retenue Nov'!D20</f>
        <v/>
      </c>
      <c r="GH22" s="1469">
        <f>+'Retenue Nov'!BF20</f>
        <v>0</v>
      </c>
      <c r="GJ22" s="1530" t="str">
        <f t="shared" si="42"/>
        <v/>
      </c>
      <c r="GK22" s="225" t="str">
        <f t="shared" si="43"/>
        <v/>
      </c>
      <c r="GL22" s="225" t="str">
        <f t="shared" si="44"/>
        <v/>
      </c>
      <c r="GM22" s="1529">
        <f t="shared" si="45"/>
        <v>0</v>
      </c>
      <c r="GO22" s="129">
        <f t="shared" si="20"/>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45965</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2"/>
        <v>45965</v>
      </c>
      <c r="AX23" s="1878"/>
      <c r="AY23" s="332"/>
      <c r="AZ23" s="1126"/>
      <c r="BA23" s="993"/>
      <c r="BB23" s="561"/>
      <c r="BC23" s="566">
        <f t="shared" si="23"/>
        <v>0</v>
      </c>
      <c r="BD23" s="1126"/>
      <c r="BE23" s="825">
        <f t="shared" si="24"/>
        <v>0</v>
      </c>
      <c r="BF23" s="1150"/>
      <c r="BG23" s="224"/>
      <c r="BH23" s="566" t="str">
        <f t="shared" si="25"/>
        <v/>
      </c>
      <c r="BI23" s="1150"/>
      <c r="BJ23" s="129" t="str">
        <f t="shared" si="26"/>
        <v>Fiche infoA2</v>
      </c>
      <c r="BK23" s="129">
        <f t="shared" si="49"/>
        <v>45</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766">
        <f t="shared" si="53"/>
        <v>45965</v>
      </c>
      <c r="ER23" s="767">
        <f t="shared" si="10"/>
        <v>0</v>
      </c>
      <c r="ES23" s="768">
        <f t="shared" si="11"/>
        <v>0</v>
      </c>
      <c r="ET23" s="767">
        <f t="shared" si="12"/>
        <v>0</v>
      </c>
      <c r="EU23" s="768">
        <f t="shared" si="13"/>
        <v>0</v>
      </c>
      <c r="EV23" s="767" t="str">
        <f t="shared" si="14"/>
        <v/>
      </c>
      <c r="EW23" s="769">
        <f t="shared" si="29"/>
        <v>45965</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45</v>
      </c>
      <c r="GA23" s="129">
        <f t="shared" si="39"/>
        <v>2025</v>
      </c>
      <c r="GB23" s="129" t="str">
        <f t="shared" si="40"/>
        <v>452025</v>
      </c>
      <c r="GC23" s="225">
        <f>IF(AND($GD$53=S.CAL!$P$3,$GD$52=FZ23),GE23,IF(BH23="",0,BH23))</f>
        <v>0</v>
      </c>
      <c r="GD23" s="129" t="str">
        <f>IFERROR(+Décembre!$BY$2&amp;BL23&amp;BM23,0)</f>
        <v>Fiche infoA2</v>
      </c>
      <c r="GE23" s="129" t="str">
        <f t="shared" si="19"/>
        <v/>
      </c>
      <c r="GF23" s="225" t="str">
        <f t="shared" si="41"/>
        <v/>
      </c>
      <c r="GG23" s="1469" t="str">
        <f>+'Retenue Nov'!D21</f>
        <v/>
      </c>
      <c r="GH23" s="1469">
        <f>+'Retenue Nov'!BF21</f>
        <v>0</v>
      </c>
      <c r="GJ23" s="1530" t="str">
        <f t="shared" si="42"/>
        <v/>
      </c>
      <c r="GK23" s="225" t="str">
        <f t="shared" si="43"/>
        <v/>
      </c>
      <c r="GL23" s="225" t="str">
        <f t="shared" si="44"/>
        <v/>
      </c>
      <c r="GM23" s="1529">
        <f t="shared" si="45"/>
        <v>0</v>
      </c>
      <c r="GO23" s="129">
        <f t="shared" si="20"/>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45966</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2"/>
        <v>45966</v>
      </c>
      <c r="AX24" s="1878"/>
      <c r="AY24" s="332"/>
      <c r="AZ24" s="1126"/>
      <c r="BA24" s="993"/>
      <c r="BB24" s="561"/>
      <c r="BC24" s="566">
        <f t="shared" si="23"/>
        <v>0</v>
      </c>
      <c r="BD24" s="1126"/>
      <c r="BE24" s="825">
        <f t="shared" si="24"/>
        <v>0</v>
      </c>
      <c r="BF24" s="1150"/>
      <c r="BG24" s="224"/>
      <c r="BH24" s="566" t="str">
        <f t="shared" si="25"/>
        <v/>
      </c>
      <c r="BI24" s="1150"/>
      <c r="BJ24" s="129" t="str">
        <f t="shared" si="26"/>
        <v>Fiche infoA3</v>
      </c>
      <c r="BK24" s="129">
        <f t="shared" si="49"/>
        <v>45</v>
      </c>
      <c r="BL24" s="129" t="str">
        <f t="shared" si="4"/>
        <v>A</v>
      </c>
      <c r="BM24" s="129">
        <f t="shared" si="50"/>
        <v>3</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45966</v>
      </c>
      <c r="ER24" s="767">
        <f t="shared" si="10"/>
        <v>0</v>
      </c>
      <c r="ES24" s="768">
        <f t="shared" si="11"/>
        <v>0</v>
      </c>
      <c r="ET24" s="767">
        <f t="shared" si="12"/>
        <v>0</v>
      </c>
      <c r="EU24" s="768">
        <f t="shared" si="13"/>
        <v>0</v>
      </c>
      <c r="EV24" s="767" t="str">
        <f t="shared" si="14"/>
        <v/>
      </c>
      <c r="EW24" s="769">
        <f t="shared" si="29"/>
        <v>45966</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45</v>
      </c>
      <c r="GA24" s="129">
        <f t="shared" si="39"/>
        <v>2025</v>
      </c>
      <c r="GB24" s="129" t="str">
        <f t="shared" si="40"/>
        <v>452025</v>
      </c>
      <c r="GC24" s="225">
        <f>IF(AND($GD$53=S.CAL!$P$3,$GD$52=FZ24),GE24,IF(BH24="",0,BH24))</f>
        <v>0</v>
      </c>
      <c r="GD24" s="129" t="str">
        <f>IFERROR(+Décembre!$BY$2&amp;BL24&amp;BM24,0)</f>
        <v>Fiche infoA3</v>
      </c>
      <c r="GE24" s="129" t="str">
        <f t="shared" si="19"/>
        <v/>
      </c>
      <c r="GF24" s="225" t="str">
        <f t="shared" si="41"/>
        <v/>
      </c>
      <c r="GG24" s="1469" t="str">
        <f>+'Retenue Nov'!D22</f>
        <v/>
      </c>
      <c r="GH24" s="1469">
        <f>+'Retenue Nov'!BF22</f>
        <v>0</v>
      </c>
      <c r="GJ24" s="1530" t="str">
        <f t="shared" si="42"/>
        <v/>
      </c>
      <c r="GK24" s="225" t="str">
        <f t="shared" si="43"/>
        <v/>
      </c>
      <c r="GL24" s="225" t="str">
        <f t="shared" si="44"/>
        <v/>
      </c>
      <c r="GM24" s="1529">
        <f t="shared" si="45"/>
        <v>0</v>
      </c>
      <c r="GO24" s="129">
        <f t="shared" si="20"/>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Nov'!R48*-1)</f>
        <v>#DIV/0!</v>
      </c>
      <c r="M25" s="1811"/>
      <c r="N25" s="1811"/>
      <c r="O25" s="1812"/>
      <c r="P25" s="1816" t="e">
        <f>+IF(L25,T25/L25,0)</f>
        <v>#DIV/0!</v>
      </c>
      <c r="Q25" s="1817"/>
      <c r="R25" s="1817"/>
      <c r="S25" s="1818"/>
      <c r="T25" s="1913">
        <f>IF(A18="Salaire heures normales réelles",0,'Retenue Nov'!R52*-1)</f>
        <v>0</v>
      </c>
      <c r="U25" s="1914"/>
      <c r="V25" s="1914"/>
      <c r="W25" s="1915"/>
      <c r="X25" s="226"/>
      <c r="Y25" s="226"/>
      <c r="Z25" s="226"/>
      <c r="AA25" s="903" t="str">
        <f>IF(AND(BE25="OUI",$AR$13=S.CAL!$CU$2),"►",IF(AND(EV25="OUI",$AR$13=S.CAL!$CU$3),"►",""))</f>
        <v/>
      </c>
      <c r="AB25" s="1877">
        <f>+$X$3+5</f>
        <v>45967</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2"/>
        <v>45967</v>
      </c>
      <c r="AX25" s="1878"/>
      <c r="AY25" s="332"/>
      <c r="AZ25" s="1126"/>
      <c r="BA25" s="993"/>
      <c r="BB25" s="561"/>
      <c r="BC25" s="566">
        <f t="shared" si="23"/>
        <v>0</v>
      </c>
      <c r="BD25" s="1126"/>
      <c r="BE25" s="825">
        <f t="shared" si="24"/>
        <v>0</v>
      </c>
      <c r="BF25" s="1150"/>
      <c r="BG25" s="224"/>
      <c r="BH25" s="566" t="str">
        <f t="shared" si="25"/>
        <v/>
      </c>
      <c r="BI25" s="1150"/>
      <c r="BJ25" s="129" t="str">
        <f t="shared" si="26"/>
        <v>Fiche infoA4</v>
      </c>
      <c r="BK25" s="129">
        <f t="shared" si="49"/>
        <v>45</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164</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766">
        <f t="shared" si="53"/>
        <v>45967</v>
      </c>
      <c r="ER25" s="767">
        <f t="shared" si="10"/>
        <v>0</v>
      </c>
      <c r="ES25" s="768">
        <f t="shared" si="11"/>
        <v>0</v>
      </c>
      <c r="ET25" s="767">
        <f t="shared" si="12"/>
        <v>0</v>
      </c>
      <c r="EU25" s="768">
        <f t="shared" si="13"/>
        <v>0</v>
      </c>
      <c r="EV25" s="767" t="str">
        <f t="shared" si="14"/>
        <v/>
      </c>
      <c r="EW25" s="769">
        <f t="shared" si="29"/>
        <v>45967</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45</v>
      </c>
      <c r="GA25" s="129">
        <f t="shared" si="39"/>
        <v>2025</v>
      </c>
      <c r="GB25" s="129" t="str">
        <f t="shared" si="40"/>
        <v>452025</v>
      </c>
      <c r="GC25" s="225">
        <f>IF(AND($GD$53=S.CAL!$P$3,$GD$52=FZ25),GE25,IF(BH25="",0,BH25))</f>
        <v>0</v>
      </c>
      <c r="GD25" s="129" t="str">
        <f>IFERROR(+Décembre!$BY$2&amp;BL25&amp;BM25,0)</f>
        <v>Fiche infoA4</v>
      </c>
      <c r="GE25" s="129" t="str">
        <f t="shared" si="19"/>
        <v/>
      </c>
      <c r="GF25" s="225" t="str">
        <f t="shared" si="41"/>
        <v/>
      </c>
      <c r="GG25" s="1469" t="str">
        <f>+'Retenue Nov'!D23</f>
        <v/>
      </c>
      <c r="GH25" s="1469">
        <f>+'Retenue Nov'!BF23</f>
        <v>0</v>
      </c>
      <c r="GJ25" s="1530" t="str">
        <f t="shared" si="42"/>
        <v/>
      </c>
      <c r="GK25" s="225" t="str">
        <f t="shared" si="43"/>
        <v/>
      </c>
      <c r="GL25" s="225" t="str">
        <f t="shared" si="44"/>
        <v/>
      </c>
      <c r="GM25" s="1529">
        <f t="shared" si="45"/>
        <v>0</v>
      </c>
      <c r="GO25" s="129">
        <f t="shared" si="20"/>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Nov'!R50*-1)</f>
        <v>#DIV/0!</v>
      </c>
      <c r="M26" s="1811"/>
      <c r="N26" s="1811"/>
      <c r="O26" s="1812"/>
      <c r="P26" s="1816" t="e">
        <f>+IF(L26,T26/L26,0)</f>
        <v>#DIV/0!</v>
      </c>
      <c r="Q26" s="1817"/>
      <c r="R26" s="1817"/>
      <c r="S26" s="1818"/>
      <c r="T26" s="1913">
        <f>IF(A18="Salaire heures normales réelles",0,'Retenue Nov'!R54*-1)</f>
        <v>0</v>
      </c>
      <c r="U26" s="1914"/>
      <c r="V26" s="1914"/>
      <c r="W26" s="1915"/>
      <c r="X26" s="223"/>
      <c r="Y26" s="223"/>
      <c r="Z26" s="223"/>
      <c r="AA26" s="903" t="str">
        <f>IF(AND(BE26="OUI",$AR$13=S.CAL!$CU$2),"►",IF(AND(EV26="OUI",$AR$13=S.CAL!$CU$3),"►",""))</f>
        <v/>
      </c>
      <c r="AB26" s="1877">
        <f>+$X$3+6</f>
        <v>45968</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2"/>
        <v>45968</v>
      </c>
      <c r="AX26" s="1878"/>
      <c r="AY26" s="332"/>
      <c r="AZ26" s="1126"/>
      <c r="BA26" s="993"/>
      <c r="BB26" s="561"/>
      <c r="BC26" s="566">
        <f t="shared" si="23"/>
        <v>0</v>
      </c>
      <c r="BD26" s="1126"/>
      <c r="BE26" s="825">
        <f t="shared" si="24"/>
        <v>0</v>
      </c>
      <c r="BF26" s="1150"/>
      <c r="BG26" s="224"/>
      <c r="BH26" s="566" t="str">
        <f t="shared" si="25"/>
        <v/>
      </c>
      <c r="BI26" s="1150"/>
      <c r="BJ26" s="129" t="str">
        <f t="shared" si="26"/>
        <v>Fiche infoA5</v>
      </c>
      <c r="BK26" s="129">
        <f t="shared" si="49"/>
        <v>45</v>
      </c>
      <c r="BL26" s="129" t="str">
        <f t="shared" si="4"/>
        <v>A</v>
      </c>
      <c r="BM26" s="129">
        <f t="shared" si="50"/>
        <v>5</v>
      </c>
      <c r="BN26" s="225" t="str">
        <f t="shared" si="60"/>
        <v>Fiche info</v>
      </c>
      <c r="BO26" s="332" t="str">
        <f t="shared" si="51"/>
        <v/>
      </c>
      <c r="BP26" s="198" t="str">
        <f t="shared" si="52"/>
        <v/>
      </c>
      <c r="BQ26" s="208"/>
      <c r="BX26" s="595"/>
      <c r="BY26" s="2085" t="s">
        <v>1114</v>
      </c>
      <c r="BZ26" s="2085" t="s">
        <v>449</v>
      </c>
      <c r="CA26" s="2083" t="s">
        <v>1115</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45968</v>
      </c>
      <c r="ER26" s="767">
        <f t="shared" si="10"/>
        <v>0</v>
      </c>
      <c r="ES26" s="768">
        <f t="shared" si="11"/>
        <v>0</v>
      </c>
      <c r="ET26" s="767">
        <f t="shared" si="12"/>
        <v>0</v>
      </c>
      <c r="EU26" s="768">
        <f t="shared" si="13"/>
        <v>0</v>
      </c>
      <c r="EV26" s="767" t="str">
        <f t="shared" si="14"/>
        <v/>
      </c>
      <c r="EW26" s="769">
        <f t="shared" si="29"/>
        <v>45968</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45</v>
      </c>
      <c r="GA26" s="129">
        <f t="shared" si="39"/>
        <v>2025</v>
      </c>
      <c r="GB26" s="129" t="str">
        <f t="shared" si="40"/>
        <v>452025</v>
      </c>
      <c r="GC26" s="225">
        <f>IF(AND($GD$53=S.CAL!$P$3,$GD$52=FZ26),GE26,IF(BH26="",0,BH26))</f>
        <v>0</v>
      </c>
      <c r="GD26" s="129" t="str">
        <f>IFERROR(+Décembre!$BY$2&amp;BL26&amp;BM26,0)</f>
        <v>Fiche infoA5</v>
      </c>
      <c r="GE26" s="129" t="str">
        <f t="shared" si="19"/>
        <v/>
      </c>
      <c r="GF26" s="225" t="str">
        <f t="shared" si="41"/>
        <v/>
      </c>
      <c r="GG26" s="1469" t="str">
        <f>+'Retenue Nov'!D24</f>
        <v/>
      </c>
      <c r="GH26" s="1469">
        <f>+'Retenue Nov'!BF24</f>
        <v>0</v>
      </c>
      <c r="GJ26" s="1530" t="str">
        <f t="shared" si="42"/>
        <v/>
      </c>
      <c r="GK26" s="225" t="str">
        <f t="shared" si="43"/>
        <v/>
      </c>
      <c r="GL26" s="225" t="str">
        <f t="shared" si="44"/>
        <v/>
      </c>
      <c r="GM26" s="1529">
        <f t="shared" si="45"/>
        <v>0</v>
      </c>
      <c r="GO26" s="129">
        <f t="shared" si="20"/>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45969</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t="str">
        <f t="shared" si="48"/>
        <v/>
      </c>
      <c r="AQ27" s="340"/>
      <c r="AR27" s="1126"/>
      <c r="AS27" s="332">
        <f t="shared" si="3"/>
        <v>0</v>
      </c>
      <c r="AT27" s="1147"/>
      <c r="AU27" s="1147"/>
      <c r="AV27" s="332"/>
      <c r="AW27" s="2017">
        <f t="shared" si="22"/>
        <v>45969</v>
      </c>
      <c r="AX27" s="1878"/>
      <c r="AY27" s="332"/>
      <c r="AZ27" s="1126"/>
      <c r="BA27" s="993"/>
      <c r="BB27" s="561"/>
      <c r="BC27" s="566">
        <f t="shared" si="23"/>
        <v>0</v>
      </c>
      <c r="BD27" s="1126"/>
      <c r="BE27" s="825">
        <f t="shared" si="24"/>
        <v>0</v>
      </c>
      <c r="BF27" s="1150"/>
      <c r="BG27" s="224"/>
      <c r="BH27" s="566" t="str">
        <f t="shared" si="25"/>
        <v/>
      </c>
      <c r="BI27" s="1150"/>
      <c r="BJ27" s="129" t="str">
        <f t="shared" si="26"/>
        <v>Fiche infoA6</v>
      </c>
      <c r="BK27" s="129">
        <f t="shared" si="49"/>
        <v>45</v>
      </c>
      <c r="BL27" s="129" t="str">
        <f t="shared" si="4"/>
        <v>A</v>
      </c>
      <c r="BM27" s="129">
        <f t="shared" si="50"/>
        <v>6</v>
      </c>
      <c r="BN27" s="225" t="str">
        <f t="shared" si="60"/>
        <v>Fiche info</v>
      </c>
      <c r="BO27" s="332" t="str">
        <f t="shared" si="51"/>
        <v/>
      </c>
      <c r="BP27" s="198" t="str">
        <f t="shared" si="52"/>
        <v/>
      </c>
      <c r="BQ27" s="208"/>
      <c r="BX27" s="595"/>
      <c r="BY27" s="2086"/>
      <c r="BZ27" s="2145"/>
      <c r="CA27" s="2084"/>
      <c r="CB27" s="198" t="s">
        <v>1111</v>
      </c>
      <c r="CC27" s="198" t="s">
        <v>1112</v>
      </c>
      <c r="CD27" s="198" t="s">
        <v>1113</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45969</v>
      </c>
      <c r="ER27" s="767">
        <f t="shared" si="10"/>
        <v>0</v>
      </c>
      <c r="ES27" s="768">
        <f t="shared" si="11"/>
        <v>0</v>
      </c>
      <c r="ET27" s="767">
        <f t="shared" si="12"/>
        <v>0</v>
      </c>
      <c r="EU27" s="768">
        <f t="shared" si="13"/>
        <v>0</v>
      </c>
      <c r="EV27" s="767" t="str">
        <f t="shared" si="14"/>
        <v/>
      </c>
      <c r="EW27" s="769">
        <f t="shared" si="29"/>
        <v>45969</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45</v>
      </c>
      <c r="GA27" s="129">
        <f t="shared" si="39"/>
        <v>2025</v>
      </c>
      <c r="GB27" s="129" t="str">
        <f t="shared" si="40"/>
        <v>452025</v>
      </c>
      <c r="GC27" s="225">
        <f>IF(AND($GD$53=S.CAL!$P$3,$GD$52=FZ27),GE27,IF(BH27="",0,BH27))</f>
        <v>0</v>
      </c>
      <c r="GD27" s="129" t="str">
        <f>IFERROR(+Décembre!$BY$2&amp;BL27&amp;BM27,0)</f>
        <v>Fiche infoA6</v>
      </c>
      <c r="GE27" s="129" t="str">
        <f t="shared" si="19"/>
        <v/>
      </c>
      <c r="GF27" s="225" t="str">
        <f t="shared" si="41"/>
        <v/>
      </c>
      <c r="GG27" s="1469" t="str">
        <f>+'Retenue Nov'!D25</f>
        <v/>
      </c>
      <c r="GH27" s="1469">
        <f>+'Retenue Nov'!BF25</f>
        <v>0</v>
      </c>
      <c r="GJ27" s="1530" t="str">
        <f t="shared" si="42"/>
        <v/>
      </c>
      <c r="GK27" s="225" t="str">
        <f t="shared" si="43"/>
        <v/>
      </c>
      <c r="GL27" s="225" t="str">
        <f t="shared" si="44"/>
        <v/>
      </c>
      <c r="GM27" s="1529">
        <f t="shared" si="45"/>
        <v>0</v>
      </c>
      <c r="GO27" s="129">
        <f t="shared" si="20"/>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45970</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2"/>
        <v>45970</v>
      </c>
      <c r="AX28" s="1878"/>
      <c r="AY28" s="332"/>
      <c r="AZ28" s="1126"/>
      <c r="BA28" s="993"/>
      <c r="BB28" s="561"/>
      <c r="BC28" s="566">
        <f t="shared" si="23"/>
        <v>0</v>
      </c>
      <c r="BD28" s="1126"/>
      <c r="BE28" s="825">
        <f t="shared" si="24"/>
        <v>0</v>
      </c>
      <c r="BF28" s="1150"/>
      <c r="BG28" s="224"/>
      <c r="BH28" s="566" t="str">
        <f t="shared" si="25"/>
        <v/>
      </c>
      <c r="BI28" s="1150"/>
      <c r="BJ28" s="129" t="str">
        <f t="shared" si="26"/>
        <v>Fiche infoA7</v>
      </c>
      <c r="BK28" s="129">
        <f t="shared" si="49"/>
        <v>45</v>
      </c>
      <c r="BL28" s="129" t="str">
        <f t="shared" si="4"/>
        <v>A</v>
      </c>
      <c r="BM28" s="129">
        <f t="shared" si="50"/>
        <v>7</v>
      </c>
      <c r="BN28" s="225" t="str">
        <f t="shared" si="60"/>
        <v>Fiche info</v>
      </c>
      <c r="BO28" s="332" t="str">
        <f t="shared" si="51"/>
        <v/>
      </c>
      <c r="BP28" s="198" t="str">
        <f t="shared" si="52"/>
        <v/>
      </c>
      <c r="BQ28" s="198"/>
      <c r="BS28" s="2012" t="str">
        <f>+"Semaine numéro : "&amp;AT4</f>
        <v>Semaine numéro : 44</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198">
        <f>+SUMIF(Octobre!$BK$20:$BK$50,AT4,Octobre!$AM$20:$AO$50)</f>
        <v>0</v>
      </c>
      <c r="CD28" s="198">
        <f>+SUMIF(Décembre!$BK$20:$BK$50,AT4,Décembre!$AM$20:$AO$50)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766">
        <f t="shared" si="53"/>
        <v>45970</v>
      </c>
      <c r="ER28" s="767">
        <f t="shared" si="10"/>
        <v>0</v>
      </c>
      <c r="ES28" s="768">
        <f t="shared" si="11"/>
        <v>0</v>
      </c>
      <c r="ET28" s="767">
        <f t="shared" si="12"/>
        <v>0</v>
      </c>
      <c r="EU28" s="768">
        <f t="shared" si="13"/>
        <v>0</v>
      </c>
      <c r="EV28" s="767" t="str">
        <f t="shared" si="14"/>
        <v/>
      </c>
      <c r="EW28" s="769">
        <f t="shared" si="29"/>
        <v>45970</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45</v>
      </c>
      <c r="GA28" s="129">
        <f t="shared" si="39"/>
        <v>2025</v>
      </c>
      <c r="GB28" s="129" t="str">
        <f t="shared" si="40"/>
        <v>452025</v>
      </c>
      <c r="GC28" s="225">
        <f>IF(AND($GD$53=S.CAL!$P$3,$GD$52=FZ28),GE28,IF(BH28="",0,BH28))</f>
        <v>0</v>
      </c>
      <c r="GD28" s="129" t="str">
        <f>IFERROR(+Décembre!$BY$2&amp;BL28&amp;BM28,0)</f>
        <v>Fiche infoA7</v>
      </c>
      <c r="GE28" s="129" t="str">
        <f t="shared" si="19"/>
        <v/>
      </c>
      <c r="GF28" s="225" t="str">
        <f t="shared" si="41"/>
        <v/>
      </c>
      <c r="GG28" s="1469" t="str">
        <f>+'Retenue Nov'!D26</f>
        <v/>
      </c>
      <c r="GH28" s="1469">
        <f>+'Retenue Nov'!BF26</f>
        <v>0</v>
      </c>
      <c r="GJ28" s="1530" t="str">
        <f t="shared" si="42"/>
        <v/>
      </c>
      <c r="GK28" s="225" t="str">
        <f t="shared" si="43"/>
        <v/>
      </c>
      <c r="GL28" s="225" t="str">
        <f t="shared" si="44"/>
        <v/>
      </c>
      <c r="GM28" s="1529">
        <f t="shared" si="45"/>
        <v>0</v>
      </c>
      <c r="GO28" s="129">
        <f t="shared" si="20"/>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45971</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f t="shared" si="48"/>
        <v>46</v>
      </c>
      <c r="AQ29" s="340"/>
      <c r="AR29" s="1126"/>
      <c r="AS29" s="332">
        <f t="shared" si="3"/>
        <v>0</v>
      </c>
      <c r="AT29" s="1147"/>
      <c r="AU29" s="1147"/>
      <c r="AV29" s="332"/>
      <c r="AW29" s="2017">
        <f t="shared" si="22"/>
        <v>45971</v>
      </c>
      <c r="AX29" s="1878"/>
      <c r="AY29" s="332"/>
      <c r="AZ29" s="1126"/>
      <c r="BA29" s="993"/>
      <c r="BB29" s="561"/>
      <c r="BC29" s="566">
        <f t="shared" si="23"/>
        <v>0</v>
      </c>
      <c r="BD29" s="1126"/>
      <c r="BE29" s="825">
        <f t="shared" si="24"/>
        <v>0</v>
      </c>
      <c r="BF29" s="1150"/>
      <c r="BG29" s="224"/>
      <c r="BH29" s="566" t="str">
        <f t="shared" si="25"/>
        <v/>
      </c>
      <c r="BI29" s="1150"/>
      <c r="BJ29" s="129" t="str">
        <f t="shared" si="26"/>
        <v>Fiche infoA1</v>
      </c>
      <c r="BK29" s="129">
        <f t="shared" si="49"/>
        <v>46</v>
      </c>
      <c r="BL29" s="129" t="str">
        <f t="shared" si="4"/>
        <v>A</v>
      </c>
      <c r="BM29" s="129">
        <f t="shared" si="50"/>
        <v>1</v>
      </c>
      <c r="BN29" s="225" t="str">
        <f t="shared" si="60"/>
        <v>Fiche info</v>
      </c>
      <c r="BO29" s="332" t="str">
        <f t="shared" si="51"/>
        <v/>
      </c>
      <c r="BP29" s="198" t="str">
        <f t="shared" si="52"/>
        <v/>
      </c>
      <c r="BQ29" s="198"/>
      <c r="BS29" s="2012" t="str">
        <f t="shared" ref="BS29:BS33" si="64">+"Semaine numéro : "&amp;AT5</f>
        <v>Semaine numéro : 45</v>
      </c>
      <c r="BT29" s="2013"/>
      <c r="BU29" s="2013"/>
      <c r="BV29" s="2013"/>
      <c r="BW29" s="2013"/>
      <c r="BX29" s="2014"/>
      <c r="BY29" s="1137"/>
      <c r="BZ29" s="674">
        <f t="shared" ref="BZ29:BZ33" si="65">+IF(BY29="",IF(AND(CC29&gt;0,CB29&gt;0),CC29+CB29,IF(CD29&gt;0,0,CB29)),BY29)</f>
        <v>0</v>
      </c>
      <c r="CA29" s="673">
        <f t="shared" si="62"/>
        <v>0</v>
      </c>
      <c r="CB29" s="198">
        <f t="shared" si="63"/>
        <v>0</v>
      </c>
      <c r="CC29" s="198">
        <f>+SUMIF(Octobre!$BK$20:$BK$50,AT5,Octobre!$AM$20:$AO$50)</f>
        <v>0</v>
      </c>
      <c r="CD29" s="198">
        <f>+SUMIF(Décembre!$BK$20:$BK$50,AT5,Décembre!$AM$20:$AO$50)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766">
        <f t="shared" si="53"/>
        <v>45971</v>
      </c>
      <c r="ER29" s="767">
        <f t="shared" si="10"/>
        <v>0</v>
      </c>
      <c r="ES29" s="768">
        <f t="shared" si="11"/>
        <v>0</v>
      </c>
      <c r="ET29" s="767">
        <f t="shared" si="12"/>
        <v>0</v>
      </c>
      <c r="EU29" s="768">
        <f t="shared" si="13"/>
        <v>0</v>
      </c>
      <c r="EV29" s="767" t="str">
        <f t="shared" si="14"/>
        <v/>
      </c>
      <c r="EW29" s="769">
        <f t="shared" si="29"/>
        <v>45971</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46</v>
      </c>
      <c r="GA29" s="129">
        <f t="shared" si="39"/>
        <v>2025</v>
      </c>
      <c r="GB29" s="129" t="str">
        <f t="shared" si="40"/>
        <v>462025</v>
      </c>
      <c r="GC29" s="225">
        <f>IF(AND($GD$53=S.CAL!$P$3,$GD$52=FZ29),GE29,IF(BH29="",0,BH29))</f>
        <v>0</v>
      </c>
      <c r="GD29" s="129" t="str">
        <f>IFERROR(+Décembre!$BY$2&amp;BL29&amp;BM29,0)</f>
        <v>Fiche infoA1</v>
      </c>
      <c r="GE29" s="129" t="str">
        <f t="shared" si="19"/>
        <v/>
      </c>
      <c r="GF29" s="225" t="str">
        <f t="shared" si="41"/>
        <v/>
      </c>
      <c r="GG29" s="1469" t="str">
        <f>+'Retenue Nov'!D27</f>
        <v/>
      </c>
      <c r="GH29" s="1469">
        <f>+'Retenue Nov'!BF27</f>
        <v>0</v>
      </c>
      <c r="GJ29" s="1530" t="str">
        <f t="shared" si="42"/>
        <v/>
      </c>
      <c r="GK29" s="225" t="str">
        <f t="shared" si="43"/>
        <v/>
      </c>
      <c r="GL29" s="225" t="str">
        <f t="shared" si="44"/>
        <v/>
      </c>
      <c r="GM29" s="1529">
        <f t="shared" si="45"/>
        <v>0</v>
      </c>
      <c r="GO29" s="129">
        <f t="shared" si="20"/>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45972</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2"/>
        <v>45972</v>
      </c>
      <c r="AX30" s="1878"/>
      <c r="AY30" s="332"/>
      <c r="AZ30" s="1126"/>
      <c r="BA30" s="993"/>
      <c r="BB30" s="561"/>
      <c r="BC30" s="566">
        <f t="shared" si="23"/>
        <v>0</v>
      </c>
      <c r="BD30" s="1126"/>
      <c r="BE30" s="825">
        <f t="shared" si="24"/>
        <v>0</v>
      </c>
      <c r="BF30" s="1150"/>
      <c r="BG30" s="224"/>
      <c r="BH30" s="566" t="str">
        <f t="shared" si="25"/>
        <v/>
      </c>
      <c r="BI30" s="1150"/>
      <c r="BJ30" s="129" t="str">
        <f t="shared" si="26"/>
        <v>Fiche infoA2</v>
      </c>
      <c r="BK30" s="129">
        <f t="shared" si="49"/>
        <v>46</v>
      </c>
      <c r="BL30" s="129" t="str">
        <f t="shared" si="4"/>
        <v>A</v>
      </c>
      <c r="BM30" s="129">
        <f t="shared" si="50"/>
        <v>2</v>
      </c>
      <c r="BN30" s="225" t="str">
        <f t="shared" si="60"/>
        <v>Fiche info</v>
      </c>
      <c r="BO30" s="332" t="str">
        <f t="shared" si="51"/>
        <v/>
      </c>
      <c r="BP30" s="198" t="str">
        <f t="shared" si="52"/>
        <v/>
      </c>
      <c r="BQ30" s="198"/>
      <c r="BS30" s="2012" t="str">
        <f t="shared" si="64"/>
        <v>Semaine numéro : 46</v>
      </c>
      <c r="BT30" s="2013"/>
      <c r="BU30" s="2013"/>
      <c r="BV30" s="2013"/>
      <c r="BW30" s="2013"/>
      <c r="BX30" s="2014"/>
      <c r="BY30" s="1137"/>
      <c r="BZ30" s="674">
        <f t="shared" si="65"/>
        <v>0</v>
      </c>
      <c r="CA30" s="673">
        <f t="shared" si="62"/>
        <v>0</v>
      </c>
      <c r="CB30" s="198">
        <f t="shared" si="63"/>
        <v>0</v>
      </c>
      <c r="CC30" s="198">
        <f>+SUMIF(Octobre!$BK$20:$BK$50,AT6,Octobre!$AM$20:$AO$50)</f>
        <v>0</v>
      </c>
      <c r="CD30" s="198">
        <f>+SUMIF(Décembre!$BK$20:$BK$50,AT6,Décembre!$AM$20:$AO$50)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45972</v>
      </c>
      <c r="ER30" s="767">
        <f t="shared" si="10"/>
        <v>0</v>
      </c>
      <c r="ES30" s="768">
        <f t="shared" si="11"/>
        <v>0</v>
      </c>
      <c r="ET30" s="767">
        <f t="shared" si="12"/>
        <v>0</v>
      </c>
      <c r="EU30" s="768">
        <f t="shared" si="13"/>
        <v>0</v>
      </c>
      <c r="EV30" s="767" t="str">
        <f t="shared" si="14"/>
        <v/>
      </c>
      <c r="EW30" s="769">
        <f t="shared" si="29"/>
        <v>45972</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46</v>
      </c>
      <c r="GA30" s="129">
        <f t="shared" si="39"/>
        <v>2025</v>
      </c>
      <c r="GB30" s="129" t="str">
        <f t="shared" si="40"/>
        <v>462025</v>
      </c>
      <c r="GC30" s="225">
        <f>IF(AND($GD$53=S.CAL!$P$3,$GD$52=FZ30),GE30,IF(BH30="",0,BH30))</f>
        <v>0</v>
      </c>
      <c r="GD30" s="129" t="str">
        <f>IFERROR(+Décembre!$BY$2&amp;BL30&amp;BM30,0)</f>
        <v>Fiche infoA2</v>
      </c>
      <c r="GE30" s="129" t="str">
        <f t="shared" si="19"/>
        <v/>
      </c>
      <c r="GF30" s="225" t="str">
        <f t="shared" si="41"/>
        <v/>
      </c>
      <c r="GG30" s="1469" t="str">
        <f>+'Retenue Nov'!D28</f>
        <v/>
      </c>
      <c r="GH30" s="1469">
        <f>+'Retenue Nov'!BF28</f>
        <v>0</v>
      </c>
      <c r="GJ30" s="1530" t="str">
        <f t="shared" si="42"/>
        <v/>
      </c>
      <c r="GK30" s="225" t="str">
        <f t="shared" si="43"/>
        <v/>
      </c>
      <c r="GL30" s="225" t="str">
        <f t="shared" si="44"/>
        <v/>
      </c>
      <c r="GM30" s="1529">
        <f t="shared" si="45"/>
        <v>0</v>
      </c>
      <c r="GO30" s="129">
        <f t="shared" si="20"/>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45973</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2"/>
        <v>45973</v>
      </c>
      <c r="AX31" s="1878"/>
      <c r="AY31" s="332"/>
      <c r="AZ31" s="1126"/>
      <c r="BA31" s="993"/>
      <c r="BB31" s="561"/>
      <c r="BC31" s="566">
        <f t="shared" si="23"/>
        <v>0</v>
      </c>
      <c r="BD31" s="1126"/>
      <c r="BE31" s="825">
        <f t="shared" si="24"/>
        <v>0</v>
      </c>
      <c r="BF31" s="1150"/>
      <c r="BG31" s="224"/>
      <c r="BH31" s="566" t="str">
        <f t="shared" si="25"/>
        <v/>
      </c>
      <c r="BI31" s="1150"/>
      <c r="BJ31" s="129" t="str">
        <f t="shared" si="26"/>
        <v>Fiche infoA3</v>
      </c>
      <c r="BK31" s="129">
        <f t="shared" si="49"/>
        <v>46</v>
      </c>
      <c r="BL31" s="129" t="str">
        <f t="shared" si="4"/>
        <v>A</v>
      </c>
      <c r="BM31" s="129">
        <f t="shared" si="50"/>
        <v>3</v>
      </c>
      <c r="BN31" s="225" t="str">
        <f t="shared" si="60"/>
        <v>Fiche info</v>
      </c>
      <c r="BO31" s="332" t="str">
        <f t="shared" si="51"/>
        <v/>
      </c>
      <c r="BP31" s="198" t="str">
        <f t="shared" si="52"/>
        <v/>
      </c>
      <c r="BQ31" s="198"/>
      <c r="BS31" s="2012" t="str">
        <f t="shared" si="64"/>
        <v>Semaine numéro : 47</v>
      </c>
      <c r="BT31" s="2013"/>
      <c r="BU31" s="2013"/>
      <c r="BV31" s="2013"/>
      <c r="BW31" s="2013"/>
      <c r="BX31" s="2014"/>
      <c r="BY31" s="1137"/>
      <c r="BZ31" s="674">
        <f t="shared" si="65"/>
        <v>0</v>
      </c>
      <c r="CA31" s="673">
        <f t="shared" si="62"/>
        <v>0</v>
      </c>
      <c r="CB31" s="198">
        <f t="shared" si="63"/>
        <v>0</v>
      </c>
      <c r="CC31" s="198">
        <f>+SUMIF(Octobre!$BK$20:$BK$50,AT7,Octobre!$AM$20:$AO$50)</f>
        <v>0</v>
      </c>
      <c r="CD31" s="198">
        <f>+SUMIF(Décembre!$BK$20:$BK$50,AT7,Décembre!$AM$20:$AO$50)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45973</v>
      </c>
      <c r="ER31" s="767">
        <f t="shared" si="10"/>
        <v>0</v>
      </c>
      <c r="ES31" s="768">
        <f t="shared" si="11"/>
        <v>0</v>
      </c>
      <c r="ET31" s="767">
        <f t="shared" si="12"/>
        <v>0</v>
      </c>
      <c r="EU31" s="768">
        <f t="shared" si="13"/>
        <v>0</v>
      </c>
      <c r="EV31" s="767" t="str">
        <f t="shared" si="14"/>
        <v/>
      </c>
      <c r="EW31" s="769">
        <f t="shared" si="29"/>
        <v>45973</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46</v>
      </c>
      <c r="GA31" s="129">
        <f t="shared" si="39"/>
        <v>2025</v>
      </c>
      <c r="GB31" s="129" t="str">
        <f t="shared" si="40"/>
        <v>462025</v>
      </c>
      <c r="GC31" s="225">
        <f>IF(AND($GD$53=S.CAL!$P$3,$GD$52=FZ31),GE31,IF(BH31="",0,BH31))</f>
        <v>0</v>
      </c>
      <c r="GD31" s="129" t="str">
        <f>IFERROR(+Décembre!$BY$2&amp;BL31&amp;BM31,0)</f>
        <v>Fiche infoA3</v>
      </c>
      <c r="GE31" s="129" t="str">
        <f t="shared" si="19"/>
        <v/>
      </c>
      <c r="GF31" s="225" t="str">
        <f t="shared" si="41"/>
        <v/>
      </c>
      <c r="GG31" s="1469" t="str">
        <f>+'Retenue Nov'!D29</f>
        <v/>
      </c>
      <c r="GH31" s="1469">
        <f>+'Retenue Nov'!BF29</f>
        <v>0</v>
      </c>
      <c r="GJ31" s="1530" t="str">
        <f t="shared" si="42"/>
        <v/>
      </c>
      <c r="GK31" s="225" t="str">
        <f t="shared" si="43"/>
        <v/>
      </c>
      <c r="GL31" s="225" t="str">
        <f t="shared" si="44"/>
        <v/>
      </c>
      <c r="GM31" s="1529">
        <f t="shared" si="45"/>
        <v>0</v>
      </c>
      <c r="GO31" s="129">
        <f t="shared" si="20"/>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45974</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2"/>
        <v>45974</v>
      </c>
      <c r="AX32" s="1878"/>
      <c r="AY32" s="332"/>
      <c r="AZ32" s="1126"/>
      <c r="BA32" s="993"/>
      <c r="BB32" s="561"/>
      <c r="BC32" s="566">
        <f t="shared" si="23"/>
        <v>0</v>
      </c>
      <c r="BD32" s="1126"/>
      <c r="BE32" s="825">
        <f t="shared" si="24"/>
        <v>0</v>
      </c>
      <c r="BF32" s="1150"/>
      <c r="BG32" s="224"/>
      <c r="BH32" s="566" t="str">
        <f t="shared" si="25"/>
        <v/>
      </c>
      <c r="BI32" s="1150"/>
      <c r="BJ32" s="129" t="str">
        <f t="shared" si="26"/>
        <v>Fiche infoA4</v>
      </c>
      <c r="BK32" s="129">
        <f t="shared" si="49"/>
        <v>46</v>
      </c>
      <c r="BL32" s="129" t="str">
        <f t="shared" si="4"/>
        <v>A</v>
      </c>
      <c r="BM32" s="129">
        <f t="shared" si="50"/>
        <v>4</v>
      </c>
      <c r="BN32" s="225" t="str">
        <f t="shared" si="60"/>
        <v>Fiche info</v>
      </c>
      <c r="BO32" s="332" t="str">
        <f t="shared" si="51"/>
        <v/>
      </c>
      <c r="BP32" s="198" t="str">
        <f t="shared" si="52"/>
        <v/>
      </c>
      <c r="BQ32" s="198"/>
      <c r="BS32" s="2012" t="str">
        <f t="shared" si="64"/>
        <v>Semaine numéro : 48</v>
      </c>
      <c r="BT32" s="2013"/>
      <c r="BU32" s="2013"/>
      <c r="BV32" s="2013"/>
      <c r="BW32" s="2013"/>
      <c r="BX32" s="2014"/>
      <c r="BY32" s="1137"/>
      <c r="BZ32" s="674">
        <f t="shared" si="65"/>
        <v>0</v>
      </c>
      <c r="CA32" s="673">
        <f t="shared" si="62"/>
        <v>0</v>
      </c>
      <c r="CB32" s="198">
        <f t="shared" si="63"/>
        <v>0</v>
      </c>
      <c r="CC32" s="198">
        <f>+SUMIF(Octobre!$BK$20:$BK$50,AT8,Octobre!$AM$20:$AO$50)</f>
        <v>0</v>
      </c>
      <c r="CD32" s="198">
        <f>+SUMIF(Décembre!$BK$20:$BK$50,AT8,Décembre!$AM$20:$AO$50)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45974</v>
      </c>
      <c r="ER32" s="767">
        <f t="shared" si="10"/>
        <v>0</v>
      </c>
      <c r="ES32" s="768">
        <f t="shared" si="11"/>
        <v>0</v>
      </c>
      <c r="ET32" s="767">
        <f t="shared" si="12"/>
        <v>0</v>
      </c>
      <c r="EU32" s="768">
        <f t="shared" si="13"/>
        <v>0</v>
      </c>
      <c r="EV32" s="767" t="str">
        <f t="shared" si="14"/>
        <v/>
      </c>
      <c r="EW32" s="769">
        <f t="shared" si="29"/>
        <v>45974</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46</v>
      </c>
      <c r="GA32" s="129">
        <f t="shared" si="39"/>
        <v>2025</v>
      </c>
      <c r="GB32" s="129" t="str">
        <f t="shared" si="40"/>
        <v>462025</v>
      </c>
      <c r="GC32" s="225">
        <f>IF(AND($GD$53=S.CAL!$P$3,$GD$52=FZ32),GE32,IF(BH32="",0,BH32))</f>
        <v>0</v>
      </c>
      <c r="GD32" s="129" t="str">
        <f>IFERROR(+Décembre!$BY$2&amp;BL32&amp;BM32,0)</f>
        <v>Fiche infoA4</v>
      </c>
      <c r="GE32" s="129" t="str">
        <f t="shared" si="19"/>
        <v/>
      </c>
      <c r="GF32" s="225" t="str">
        <f t="shared" si="41"/>
        <v/>
      </c>
      <c r="GG32" s="1469" t="str">
        <f>+'Retenue Nov'!D30</f>
        <v/>
      </c>
      <c r="GH32" s="1469">
        <f>+'Retenue Nov'!BF30</f>
        <v>0</v>
      </c>
      <c r="GJ32" s="1530" t="str">
        <f t="shared" si="42"/>
        <v/>
      </c>
      <c r="GK32" s="225" t="str">
        <f t="shared" si="43"/>
        <v/>
      </c>
      <c r="GL32" s="225" t="str">
        <f t="shared" si="44"/>
        <v/>
      </c>
      <c r="GM32" s="1529">
        <f t="shared" si="45"/>
        <v>0</v>
      </c>
      <c r="GO32" s="129">
        <f t="shared" si="20"/>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45975</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2"/>
        <v>45975</v>
      </c>
      <c r="AX33" s="1878"/>
      <c r="AY33" s="332"/>
      <c r="AZ33" s="1126"/>
      <c r="BA33" s="993"/>
      <c r="BB33" s="561"/>
      <c r="BC33" s="566">
        <f t="shared" si="23"/>
        <v>0</v>
      </c>
      <c r="BD33" s="1126"/>
      <c r="BE33" s="825">
        <f t="shared" si="24"/>
        <v>0</v>
      </c>
      <c r="BF33" s="1150"/>
      <c r="BG33" s="224"/>
      <c r="BH33" s="566" t="str">
        <f t="shared" si="25"/>
        <v/>
      </c>
      <c r="BI33" s="1150"/>
      <c r="BJ33" s="129" t="str">
        <f t="shared" si="26"/>
        <v>Fiche infoA5</v>
      </c>
      <c r="BK33" s="129">
        <f t="shared" si="49"/>
        <v>46</v>
      </c>
      <c r="BL33" s="129" t="str">
        <f t="shared" si="4"/>
        <v>A</v>
      </c>
      <c r="BM33" s="129">
        <f t="shared" si="50"/>
        <v>5</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198">
        <f>+SUMIF(Octobre!$BK$20:$BK$50,AT9,Octobre!$AM$20:$AO$50)</f>
        <v>0</v>
      </c>
      <c r="CD33" s="198">
        <f>+SUMIF(Décembre!$BK$20:$BK$50,AT9,Décembre!$AM$20:$AO$50)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45975</v>
      </c>
      <c r="ER33" s="767">
        <f t="shared" si="10"/>
        <v>0</v>
      </c>
      <c r="ES33" s="768">
        <f t="shared" si="11"/>
        <v>0</v>
      </c>
      <c r="ET33" s="767">
        <f t="shared" si="12"/>
        <v>0</v>
      </c>
      <c r="EU33" s="768">
        <f t="shared" si="13"/>
        <v>0</v>
      </c>
      <c r="EV33" s="767" t="str">
        <f t="shared" si="14"/>
        <v/>
      </c>
      <c r="EW33" s="769">
        <f t="shared" si="29"/>
        <v>45975</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46</v>
      </c>
      <c r="GA33" s="129">
        <f t="shared" si="39"/>
        <v>2025</v>
      </c>
      <c r="GB33" s="129" t="str">
        <f t="shared" si="40"/>
        <v>462025</v>
      </c>
      <c r="GC33" s="225">
        <f>IF(AND($GD$53=S.CAL!$P$3,$GD$52=FZ33),GE33,IF(BH33="",0,BH33))</f>
        <v>0</v>
      </c>
      <c r="GD33" s="129" t="str">
        <f>IFERROR(+Décembre!$BY$2&amp;BL33&amp;BM33,0)</f>
        <v>Fiche infoA5</v>
      </c>
      <c r="GE33" s="129" t="str">
        <f t="shared" si="19"/>
        <v/>
      </c>
      <c r="GF33" s="225" t="str">
        <f t="shared" si="41"/>
        <v/>
      </c>
      <c r="GG33" s="1469" t="str">
        <f>+'Retenue Nov'!D31</f>
        <v/>
      </c>
      <c r="GH33" s="1469">
        <f>+'Retenue Nov'!BF31</f>
        <v>0</v>
      </c>
      <c r="GJ33" s="1530" t="str">
        <f t="shared" si="42"/>
        <v/>
      </c>
      <c r="GK33" s="225" t="str">
        <f t="shared" si="43"/>
        <v/>
      </c>
      <c r="GL33" s="225" t="str">
        <f t="shared" si="44"/>
        <v/>
      </c>
      <c r="GM33" s="1529">
        <f t="shared" si="45"/>
        <v>0</v>
      </c>
      <c r="GO33" s="129">
        <f t="shared" si="20"/>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45976</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t="str">
        <f t="shared" si="48"/>
        <v/>
      </c>
      <c r="AQ34" s="340"/>
      <c r="AR34" s="1126"/>
      <c r="AS34" s="332">
        <f t="shared" si="3"/>
        <v>0</v>
      </c>
      <c r="AT34" s="1147"/>
      <c r="AU34" s="1147"/>
      <c r="AV34" s="332"/>
      <c r="AW34" s="2017">
        <f t="shared" si="22"/>
        <v>45976</v>
      </c>
      <c r="AX34" s="1878"/>
      <c r="AY34" s="332"/>
      <c r="AZ34" s="1126"/>
      <c r="BA34" s="993"/>
      <c r="BB34" s="561"/>
      <c r="BC34" s="566">
        <f t="shared" si="23"/>
        <v>0</v>
      </c>
      <c r="BD34" s="1126"/>
      <c r="BE34" s="825">
        <f t="shared" si="24"/>
        <v>0</v>
      </c>
      <c r="BF34" s="1150"/>
      <c r="BG34" s="224"/>
      <c r="BH34" s="566" t="str">
        <f t="shared" si="25"/>
        <v/>
      </c>
      <c r="BI34" s="1150"/>
      <c r="BJ34" s="129" t="str">
        <f t="shared" si="26"/>
        <v>Fiche infoA6</v>
      </c>
      <c r="BK34" s="129">
        <f t="shared" si="49"/>
        <v>46</v>
      </c>
      <c r="BL34" s="129" t="str">
        <f t="shared" si="4"/>
        <v>A</v>
      </c>
      <c r="BM34" s="129">
        <f t="shared" si="50"/>
        <v>6</v>
      </c>
      <c r="BN34" s="225" t="str">
        <f t="shared" si="60"/>
        <v>Fiche info</v>
      </c>
      <c r="BO34" s="332" t="str">
        <f t="shared" si="51"/>
        <v/>
      </c>
      <c r="BP34" s="198" t="str">
        <f t="shared" si="52"/>
        <v/>
      </c>
      <c r="BQ34" s="198"/>
      <c r="BZ34" s="676" t="s">
        <v>450</v>
      </c>
      <c r="CA34" s="677">
        <f>+IF(AND(DP14=1,OR(DP29="NON",DP29=0)),0,SUM(CA28:CA33))</f>
        <v>0</v>
      </c>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45976</v>
      </c>
      <c r="ER34" s="767">
        <f t="shared" si="10"/>
        <v>0</v>
      </c>
      <c r="ES34" s="768">
        <f t="shared" si="11"/>
        <v>0</v>
      </c>
      <c r="ET34" s="767">
        <f t="shared" si="12"/>
        <v>0</v>
      </c>
      <c r="EU34" s="768">
        <f t="shared" si="13"/>
        <v>0</v>
      </c>
      <c r="EV34" s="767" t="str">
        <f t="shared" si="14"/>
        <v/>
      </c>
      <c r="EW34" s="769">
        <f t="shared" si="29"/>
        <v>45976</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46</v>
      </c>
      <c r="GA34" s="129">
        <f t="shared" si="39"/>
        <v>2025</v>
      </c>
      <c r="GB34" s="129" t="str">
        <f t="shared" si="40"/>
        <v>462025</v>
      </c>
      <c r="GC34" s="225">
        <f>IF(AND($GD$53=S.CAL!$P$3,$GD$52=FZ34),GE34,IF(BH34="",0,BH34))</f>
        <v>0</v>
      </c>
      <c r="GD34" s="129" t="str">
        <f>IFERROR(+Décembre!$BY$2&amp;BL34&amp;BM34,0)</f>
        <v>Fiche infoA6</v>
      </c>
      <c r="GE34" s="129" t="str">
        <f t="shared" si="19"/>
        <v/>
      </c>
      <c r="GF34" s="225" t="str">
        <f t="shared" si="41"/>
        <v/>
      </c>
      <c r="GG34" s="1469" t="str">
        <f>+'Retenue Nov'!D32</f>
        <v/>
      </c>
      <c r="GH34" s="1469">
        <f>+'Retenue Nov'!BF32</f>
        <v>0</v>
      </c>
      <c r="GJ34" s="1530" t="str">
        <f t="shared" si="42"/>
        <v/>
      </c>
      <c r="GK34" s="225" t="str">
        <f t="shared" si="43"/>
        <v/>
      </c>
      <c r="GL34" s="225" t="str">
        <f t="shared" si="44"/>
        <v/>
      </c>
      <c r="GM34" s="1529">
        <f t="shared" si="45"/>
        <v>0</v>
      </c>
      <c r="GO34" s="129">
        <f t="shared" si="20"/>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45977</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2"/>
        <v>45977</v>
      </c>
      <c r="AX35" s="1878"/>
      <c r="AY35" s="332"/>
      <c r="AZ35" s="1126"/>
      <c r="BA35" s="993"/>
      <c r="BB35" s="561"/>
      <c r="BC35" s="566">
        <f t="shared" si="23"/>
        <v>0</v>
      </c>
      <c r="BD35" s="1126"/>
      <c r="BE35" s="825">
        <f t="shared" si="24"/>
        <v>0</v>
      </c>
      <c r="BF35" s="1150"/>
      <c r="BG35" s="224"/>
      <c r="BH35" s="566" t="str">
        <f t="shared" si="25"/>
        <v/>
      </c>
      <c r="BI35" s="1150"/>
      <c r="BJ35" s="129" t="str">
        <f t="shared" si="26"/>
        <v>Fiche infoA7</v>
      </c>
      <c r="BK35" s="129">
        <f t="shared" si="49"/>
        <v>46</v>
      </c>
      <c r="BL35" s="129" t="str">
        <f t="shared" si="4"/>
        <v>A</v>
      </c>
      <c r="BM35" s="129">
        <f t="shared" si="50"/>
        <v>7</v>
      </c>
      <c r="BN35" s="225" t="str">
        <f t="shared" si="60"/>
        <v>Fiche info</v>
      </c>
      <c r="BO35" s="332" t="str">
        <f t="shared" si="51"/>
        <v/>
      </c>
      <c r="BP35" s="198" t="str">
        <f t="shared" si="52"/>
        <v/>
      </c>
      <c r="BQ35" s="198"/>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45977</v>
      </c>
      <c r="ER35" s="767">
        <f t="shared" si="10"/>
        <v>0</v>
      </c>
      <c r="ES35" s="768">
        <f t="shared" si="11"/>
        <v>0</v>
      </c>
      <c r="ET35" s="767">
        <f t="shared" si="12"/>
        <v>0</v>
      </c>
      <c r="EU35" s="768">
        <f t="shared" si="13"/>
        <v>0</v>
      </c>
      <c r="EV35" s="767" t="str">
        <f t="shared" si="14"/>
        <v/>
      </c>
      <c r="EW35" s="769">
        <f t="shared" si="29"/>
        <v>45977</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46</v>
      </c>
      <c r="GA35" s="129">
        <f t="shared" si="39"/>
        <v>2025</v>
      </c>
      <c r="GB35" s="129" t="str">
        <f t="shared" si="40"/>
        <v>462025</v>
      </c>
      <c r="GC35" s="225">
        <f>IF(AND($GD$53=S.CAL!$P$3,$GD$52=FZ35),GE35,IF(BH35="",0,BH35))</f>
        <v>0</v>
      </c>
      <c r="GD35" s="129" t="str">
        <f>IFERROR(+Décembre!$BY$2&amp;BL35&amp;BM35,0)</f>
        <v>Fiche infoA7</v>
      </c>
      <c r="GE35" s="129" t="str">
        <f t="shared" si="19"/>
        <v/>
      </c>
      <c r="GF35" s="225" t="str">
        <f t="shared" si="41"/>
        <v/>
      </c>
      <c r="GG35" s="1469" t="str">
        <f>+'Retenue Nov'!D33</f>
        <v/>
      </c>
      <c r="GH35" s="1469">
        <f>+'Retenue Nov'!BF33</f>
        <v>0</v>
      </c>
      <c r="GJ35" s="1530" t="str">
        <f t="shared" si="42"/>
        <v/>
      </c>
      <c r="GK35" s="225" t="str">
        <f t="shared" si="43"/>
        <v/>
      </c>
      <c r="GL35" s="225" t="str">
        <f t="shared" si="44"/>
        <v/>
      </c>
      <c r="GM35" s="1529">
        <f t="shared" si="45"/>
        <v>0</v>
      </c>
      <c r="GO35" s="129">
        <f t="shared" si="20"/>
        <v>0</v>
      </c>
      <c r="GP35" s="129" t="str">
        <f t="shared" si="46"/>
        <v/>
      </c>
      <c r="GQ35" s="1469" t="str">
        <f t="shared" si="47"/>
        <v/>
      </c>
    </row>
    <row r="36" spans="1:199" x14ac:dyDescent="0.2">
      <c r="X36" s="228"/>
      <c r="Y36" s="228"/>
      <c r="Z36" s="228"/>
      <c r="AA36" s="903" t="str">
        <f>IF(AND(BE36="OUI",$AR$13=S.CAL!$CU$2),"►",IF(AND(EV36="OUI",$AR$13=S.CAL!$CU$3),"►",""))</f>
        <v/>
      </c>
      <c r="AB36" s="1877">
        <f>+$X$3+16</f>
        <v>45978</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f t="shared" si="48"/>
        <v>47</v>
      </c>
      <c r="AQ36" s="340"/>
      <c r="AR36" s="1126"/>
      <c r="AS36" s="332">
        <f t="shared" si="3"/>
        <v>0</v>
      </c>
      <c r="AT36" s="1147"/>
      <c r="AU36" s="1147"/>
      <c r="AV36" s="332"/>
      <c r="AW36" s="2017">
        <f t="shared" si="22"/>
        <v>45978</v>
      </c>
      <c r="AX36" s="1878"/>
      <c r="AY36" s="332"/>
      <c r="AZ36" s="1126"/>
      <c r="BA36" s="993"/>
      <c r="BB36" s="561"/>
      <c r="BC36" s="566">
        <f t="shared" si="23"/>
        <v>0</v>
      </c>
      <c r="BD36" s="1126"/>
      <c r="BE36" s="825">
        <f t="shared" si="24"/>
        <v>0</v>
      </c>
      <c r="BF36" s="1150"/>
      <c r="BG36" s="224"/>
      <c r="BH36" s="566" t="str">
        <f t="shared" si="25"/>
        <v/>
      </c>
      <c r="BI36" s="1150"/>
      <c r="BJ36" s="129" t="str">
        <f t="shared" si="26"/>
        <v>Fiche infoA1</v>
      </c>
      <c r="BK36" s="129">
        <f t="shared" si="49"/>
        <v>47</v>
      </c>
      <c r="BL36" s="129" t="str">
        <f t="shared" si="4"/>
        <v>A</v>
      </c>
      <c r="BM36" s="129">
        <f t="shared" si="50"/>
        <v>1</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45978</v>
      </c>
      <c r="ER36" s="767">
        <f t="shared" si="10"/>
        <v>0</v>
      </c>
      <c r="ES36" s="768">
        <f t="shared" si="11"/>
        <v>0</v>
      </c>
      <c r="ET36" s="767">
        <f t="shared" si="12"/>
        <v>0</v>
      </c>
      <c r="EU36" s="768">
        <f t="shared" si="13"/>
        <v>0</v>
      </c>
      <c r="EV36" s="767" t="str">
        <f t="shared" si="14"/>
        <v/>
      </c>
      <c r="EW36" s="769">
        <f t="shared" si="29"/>
        <v>45978</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47</v>
      </c>
      <c r="GA36" s="129">
        <f t="shared" si="39"/>
        <v>2025</v>
      </c>
      <c r="GB36" s="129" t="str">
        <f t="shared" si="40"/>
        <v>472025</v>
      </c>
      <c r="GC36" s="225">
        <f>IF(AND($GD$53=S.CAL!$P$3,$GD$52=FZ36),GE36,IF(BH36="",0,BH36))</f>
        <v>0</v>
      </c>
      <c r="GD36" s="129" t="str">
        <f>IFERROR(+Décembre!$BY$2&amp;BL36&amp;BM36,0)</f>
        <v>Fiche infoA1</v>
      </c>
      <c r="GE36" s="129" t="str">
        <f t="shared" si="19"/>
        <v/>
      </c>
      <c r="GF36" s="225" t="str">
        <f t="shared" si="41"/>
        <v/>
      </c>
      <c r="GG36" s="1469" t="str">
        <f>+'Retenue Nov'!D34</f>
        <v/>
      </c>
      <c r="GH36" s="1469">
        <f>+'Retenue Nov'!BF34</f>
        <v>0</v>
      </c>
      <c r="GJ36" s="1530" t="str">
        <f t="shared" si="42"/>
        <v/>
      </c>
      <c r="GK36" s="225" t="str">
        <f t="shared" si="43"/>
        <v/>
      </c>
      <c r="GL36" s="225" t="str">
        <f t="shared" si="44"/>
        <v/>
      </c>
      <c r="GM36" s="1529">
        <f t="shared" si="45"/>
        <v>0</v>
      </c>
      <c r="GO36" s="129">
        <f t="shared" si="20"/>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45979</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2"/>
        <v>45979</v>
      </c>
      <c r="AX37" s="1878"/>
      <c r="AY37" s="332"/>
      <c r="AZ37" s="1126"/>
      <c r="BA37" s="993"/>
      <c r="BB37" s="561"/>
      <c r="BC37" s="566">
        <f t="shared" si="23"/>
        <v>0</v>
      </c>
      <c r="BD37" s="1126"/>
      <c r="BE37" s="825">
        <f t="shared" si="24"/>
        <v>0</v>
      </c>
      <c r="BF37" s="1150"/>
      <c r="BG37" s="224"/>
      <c r="BH37" s="566" t="str">
        <f t="shared" si="25"/>
        <v/>
      </c>
      <c r="BI37" s="1150"/>
      <c r="BJ37" s="129" t="str">
        <f t="shared" si="26"/>
        <v>Fiche infoA2</v>
      </c>
      <c r="BK37" s="129">
        <f t="shared" si="49"/>
        <v>47</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45979</v>
      </c>
      <c r="ER37" s="767">
        <f t="shared" si="10"/>
        <v>0</v>
      </c>
      <c r="ES37" s="768">
        <f t="shared" si="11"/>
        <v>0</v>
      </c>
      <c r="ET37" s="767">
        <f t="shared" si="12"/>
        <v>0</v>
      </c>
      <c r="EU37" s="768">
        <f t="shared" si="13"/>
        <v>0</v>
      </c>
      <c r="EV37" s="767" t="str">
        <f t="shared" si="14"/>
        <v/>
      </c>
      <c r="EW37" s="769">
        <f t="shared" si="29"/>
        <v>45979</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47</v>
      </c>
      <c r="GA37" s="129">
        <f t="shared" si="39"/>
        <v>2025</v>
      </c>
      <c r="GB37" s="129" t="str">
        <f t="shared" si="40"/>
        <v>472025</v>
      </c>
      <c r="GC37" s="225">
        <f>IF(AND($GD$53=S.CAL!$P$3,$GD$52=FZ37),GE37,IF(BH37="",0,BH37))</f>
        <v>0</v>
      </c>
      <c r="GD37" s="129" t="str">
        <f>IFERROR(+Décembre!$BY$2&amp;BL37&amp;BM37,0)</f>
        <v>Fiche infoA2</v>
      </c>
      <c r="GE37" s="129" t="str">
        <f t="shared" si="19"/>
        <v/>
      </c>
      <c r="GF37" s="225" t="str">
        <f t="shared" si="41"/>
        <v/>
      </c>
      <c r="GG37" s="1469" t="str">
        <f>+'Retenue Nov'!D35</f>
        <v/>
      </c>
      <c r="GH37" s="1469">
        <f>+'Retenue Nov'!BF35</f>
        <v>0</v>
      </c>
      <c r="GJ37" s="1530" t="str">
        <f t="shared" si="42"/>
        <v/>
      </c>
      <c r="GK37" s="225" t="str">
        <f t="shared" si="43"/>
        <v/>
      </c>
      <c r="GL37" s="225" t="str">
        <f t="shared" si="44"/>
        <v/>
      </c>
      <c r="GM37" s="1529">
        <f t="shared" si="45"/>
        <v>0</v>
      </c>
      <c r="GO37" s="129">
        <f t="shared" si="20"/>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45980</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2"/>
        <v>45980</v>
      </c>
      <c r="AX38" s="1878"/>
      <c r="AY38" s="332"/>
      <c r="AZ38" s="1126"/>
      <c r="BA38" s="993"/>
      <c r="BB38" s="561"/>
      <c r="BC38" s="566">
        <f t="shared" si="23"/>
        <v>0</v>
      </c>
      <c r="BD38" s="1126"/>
      <c r="BE38" s="825">
        <f t="shared" si="24"/>
        <v>0</v>
      </c>
      <c r="BF38" s="1150"/>
      <c r="BG38" s="224"/>
      <c r="BH38" s="566" t="str">
        <f t="shared" si="25"/>
        <v/>
      </c>
      <c r="BI38" s="1150"/>
      <c r="BJ38" s="129" t="str">
        <f t="shared" si="26"/>
        <v>Fiche infoA3</v>
      </c>
      <c r="BK38" s="129">
        <f t="shared" si="49"/>
        <v>47</v>
      </c>
      <c r="BL38" s="129" t="str">
        <f t="shared" si="4"/>
        <v>A</v>
      </c>
      <c r="BM38" s="129">
        <f t="shared" si="50"/>
        <v>3</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45980</v>
      </c>
      <c r="ER38" s="767">
        <f t="shared" si="10"/>
        <v>0</v>
      </c>
      <c r="ES38" s="768">
        <f t="shared" si="11"/>
        <v>0</v>
      </c>
      <c r="ET38" s="767">
        <f t="shared" si="12"/>
        <v>0</v>
      </c>
      <c r="EU38" s="768">
        <f t="shared" si="13"/>
        <v>0</v>
      </c>
      <c r="EV38" s="767" t="str">
        <f t="shared" si="14"/>
        <v/>
      </c>
      <c r="EW38" s="769">
        <f t="shared" si="29"/>
        <v>45980</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47</v>
      </c>
      <c r="GA38" s="129">
        <f t="shared" si="39"/>
        <v>2025</v>
      </c>
      <c r="GB38" s="129" t="str">
        <f t="shared" si="40"/>
        <v>472025</v>
      </c>
      <c r="GC38" s="225">
        <f>IF(AND($GD$53=S.CAL!$P$3,$GD$52=FZ38),GE38,IF(BH38="",0,BH38))</f>
        <v>0</v>
      </c>
      <c r="GD38" s="129" t="str">
        <f>IFERROR(+Décembre!$BY$2&amp;BL38&amp;BM38,0)</f>
        <v>Fiche infoA3</v>
      </c>
      <c r="GE38" s="129" t="str">
        <f t="shared" si="19"/>
        <v/>
      </c>
      <c r="GF38" s="225" t="str">
        <f t="shared" si="41"/>
        <v/>
      </c>
      <c r="GG38" s="1469" t="str">
        <f>+'Retenue Nov'!D36</f>
        <v/>
      </c>
      <c r="GH38" s="1469">
        <f>+'Retenue Nov'!BF36</f>
        <v>0</v>
      </c>
      <c r="GJ38" s="1530" t="str">
        <f t="shared" si="42"/>
        <v/>
      </c>
      <c r="GK38" s="225" t="str">
        <f t="shared" si="43"/>
        <v/>
      </c>
      <c r="GL38" s="225" t="str">
        <f t="shared" si="44"/>
        <v/>
      </c>
      <c r="GM38" s="1529">
        <f t="shared" si="45"/>
        <v>0</v>
      </c>
      <c r="GO38" s="129">
        <f t="shared" si="20"/>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45981</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2"/>
        <v>45981</v>
      </c>
      <c r="AX39" s="1878"/>
      <c r="AY39" s="332"/>
      <c r="AZ39" s="1126"/>
      <c r="BA39" s="993"/>
      <c r="BB39" s="561"/>
      <c r="BC39" s="566">
        <f t="shared" si="23"/>
        <v>0</v>
      </c>
      <c r="BD39" s="1126"/>
      <c r="BE39" s="825">
        <f t="shared" si="24"/>
        <v>0</v>
      </c>
      <c r="BF39" s="1150"/>
      <c r="BG39" s="224"/>
      <c r="BH39" s="566" t="str">
        <f t="shared" si="25"/>
        <v/>
      </c>
      <c r="BI39" s="1150"/>
      <c r="BJ39" s="129" t="str">
        <f t="shared" si="26"/>
        <v>Fiche infoA4</v>
      </c>
      <c r="BK39" s="129">
        <f t="shared" si="49"/>
        <v>47</v>
      </c>
      <c r="BL39" s="129" t="str">
        <f t="shared" si="4"/>
        <v>A</v>
      </c>
      <c r="BM39" s="129">
        <f t="shared" si="50"/>
        <v>4</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45981</v>
      </c>
      <c r="ER39" s="767">
        <f t="shared" si="10"/>
        <v>0</v>
      </c>
      <c r="ES39" s="768">
        <f t="shared" si="11"/>
        <v>0</v>
      </c>
      <c r="ET39" s="767">
        <f t="shared" si="12"/>
        <v>0</v>
      </c>
      <c r="EU39" s="768">
        <f t="shared" si="13"/>
        <v>0</v>
      </c>
      <c r="EV39" s="767" t="str">
        <f t="shared" si="14"/>
        <v/>
      </c>
      <c r="EW39" s="769">
        <f t="shared" si="29"/>
        <v>45981</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47</v>
      </c>
      <c r="GA39" s="129">
        <f t="shared" si="39"/>
        <v>2025</v>
      </c>
      <c r="GB39" s="129" t="str">
        <f t="shared" si="40"/>
        <v>472025</v>
      </c>
      <c r="GC39" s="225">
        <f>IF(AND($GD$53=S.CAL!$P$3,$GD$52=FZ39),GE39,IF(BH39="",0,BH39))</f>
        <v>0</v>
      </c>
      <c r="GD39" s="129" t="str">
        <f>IFERROR(+Décembre!$BY$2&amp;BL39&amp;BM39,0)</f>
        <v>Fiche infoA4</v>
      </c>
      <c r="GE39" s="129" t="str">
        <f t="shared" si="19"/>
        <v/>
      </c>
      <c r="GF39" s="225" t="str">
        <f t="shared" si="41"/>
        <v/>
      </c>
      <c r="GG39" s="1469" t="str">
        <f>+'Retenue Nov'!D37</f>
        <v/>
      </c>
      <c r="GH39" s="1469">
        <f>+'Retenue Nov'!BF37</f>
        <v>0</v>
      </c>
      <c r="GJ39" s="1530" t="str">
        <f t="shared" si="42"/>
        <v/>
      </c>
      <c r="GK39" s="225" t="str">
        <f t="shared" si="43"/>
        <v/>
      </c>
      <c r="GL39" s="225" t="str">
        <f t="shared" si="44"/>
        <v/>
      </c>
      <c r="GM39" s="1529">
        <f t="shared" si="45"/>
        <v>0</v>
      </c>
      <c r="GO39" s="129">
        <f t="shared" si="20"/>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45982</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2"/>
        <v>45982</v>
      </c>
      <c r="AX40" s="1878"/>
      <c r="AY40" s="332"/>
      <c r="AZ40" s="1126"/>
      <c r="BA40" s="993"/>
      <c r="BB40" s="561"/>
      <c r="BC40" s="566">
        <f t="shared" si="23"/>
        <v>0</v>
      </c>
      <c r="BD40" s="1126"/>
      <c r="BE40" s="825">
        <f t="shared" si="24"/>
        <v>0</v>
      </c>
      <c r="BF40" s="1150"/>
      <c r="BG40" s="224"/>
      <c r="BH40" s="566" t="str">
        <f t="shared" si="25"/>
        <v/>
      </c>
      <c r="BI40" s="1150"/>
      <c r="BJ40" s="129" t="str">
        <f t="shared" si="26"/>
        <v>Fiche infoA5</v>
      </c>
      <c r="BK40" s="129">
        <f t="shared" si="49"/>
        <v>47</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Nov'!P27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45982</v>
      </c>
      <c r="ER40" s="767">
        <f t="shared" si="10"/>
        <v>0</v>
      </c>
      <c r="ES40" s="768">
        <f t="shared" si="11"/>
        <v>0</v>
      </c>
      <c r="ET40" s="767">
        <f t="shared" si="12"/>
        <v>0</v>
      </c>
      <c r="EU40" s="768">
        <f t="shared" si="13"/>
        <v>0</v>
      </c>
      <c r="EV40" s="767" t="str">
        <f t="shared" si="14"/>
        <v/>
      </c>
      <c r="EW40" s="769">
        <f t="shared" si="29"/>
        <v>45982</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47</v>
      </c>
      <c r="GA40" s="129">
        <f t="shared" si="39"/>
        <v>2025</v>
      </c>
      <c r="GB40" s="129" t="str">
        <f t="shared" si="40"/>
        <v>472025</v>
      </c>
      <c r="GC40" s="225">
        <f>IF(AND($GD$53=S.CAL!$P$3,$GD$52=FZ40),GE40,IF(BH40="",0,BH40))</f>
        <v>0</v>
      </c>
      <c r="GD40" s="129" t="str">
        <f>IFERROR(+Décembre!$BY$2&amp;BL40&amp;BM40,0)</f>
        <v>Fiche infoA5</v>
      </c>
      <c r="GE40" s="129" t="str">
        <f t="shared" si="19"/>
        <v/>
      </c>
      <c r="GF40" s="225" t="str">
        <f t="shared" si="41"/>
        <v/>
      </c>
      <c r="GG40" s="1469" t="str">
        <f>+'Retenue Nov'!D38</f>
        <v/>
      </c>
      <c r="GH40" s="1469">
        <f>+'Retenue Nov'!BF38</f>
        <v>0</v>
      </c>
      <c r="GJ40" s="1530" t="str">
        <f t="shared" si="42"/>
        <v/>
      </c>
      <c r="GK40" s="225" t="str">
        <f t="shared" si="43"/>
        <v/>
      </c>
      <c r="GL40" s="225" t="str">
        <f t="shared" si="44"/>
        <v/>
      </c>
      <c r="GM40" s="1529">
        <f t="shared" si="45"/>
        <v>0</v>
      </c>
      <c r="GO40" s="129">
        <f t="shared" si="20"/>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45983</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t="str">
        <f t="shared" si="48"/>
        <v/>
      </c>
      <c r="AQ41" s="340"/>
      <c r="AR41" s="1126"/>
      <c r="AS41" s="332">
        <f t="shared" si="3"/>
        <v>0</v>
      </c>
      <c r="AT41" s="1147"/>
      <c r="AU41" s="1147"/>
      <c r="AV41" s="332"/>
      <c r="AW41" s="2017">
        <f t="shared" si="22"/>
        <v>45983</v>
      </c>
      <c r="AX41" s="1878"/>
      <c r="AY41" s="332"/>
      <c r="AZ41" s="1126"/>
      <c r="BA41" s="993"/>
      <c r="BB41" s="561"/>
      <c r="BC41" s="566">
        <f t="shared" si="23"/>
        <v>0</v>
      </c>
      <c r="BD41" s="1126"/>
      <c r="BE41" s="825">
        <f t="shared" si="24"/>
        <v>0</v>
      </c>
      <c r="BF41" s="1150"/>
      <c r="BG41" s="224"/>
      <c r="BH41" s="566" t="str">
        <f t="shared" si="25"/>
        <v/>
      </c>
      <c r="BI41" s="1150"/>
      <c r="BJ41" s="129" t="str">
        <f t="shared" si="26"/>
        <v>Fiche infoA6</v>
      </c>
      <c r="BK41" s="129">
        <f t="shared" si="49"/>
        <v>47</v>
      </c>
      <c r="BL41" s="129" t="str">
        <f t="shared" si="4"/>
        <v>A</v>
      </c>
      <c r="BM41" s="129">
        <f t="shared" si="50"/>
        <v>6</v>
      </c>
      <c r="BN41" s="225" t="str">
        <f t="shared" si="60"/>
        <v>Fiche info</v>
      </c>
      <c r="BO41" s="332" t="str">
        <f t="shared" si="51"/>
        <v/>
      </c>
      <c r="BP41" s="198" t="str">
        <f t="shared" si="52"/>
        <v/>
      </c>
      <c r="BQ41" s="2142" t="s">
        <v>1063</v>
      </c>
      <c r="BR41" s="2142"/>
      <c r="BS41" s="2142"/>
      <c r="BT41" s="2142"/>
      <c r="BU41" s="2142"/>
      <c r="BV41" s="2142"/>
      <c r="BW41" s="601" t="str">
        <f>+IF(BX41="",Octobre!BW41,BX41)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45983</v>
      </c>
      <c r="ER41" s="767">
        <f t="shared" si="10"/>
        <v>0</v>
      </c>
      <c r="ES41" s="768">
        <f t="shared" si="11"/>
        <v>0</v>
      </c>
      <c r="ET41" s="767">
        <f t="shared" si="12"/>
        <v>0</v>
      </c>
      <c r="EU41" s="768">
        <f t="shared" si="13"/>
        <v>0</v>
      </c>
      <c r="EV41" s="767" t="str">
        <f t="shared" si="14"/>
        <v/>
      </c>
      <c r="EW41" s="769">
        <f t="shared" si="29"/>
        <v>45983</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47</v>
      </c>
      <c r="GA41" s="129">
        <f t="shared" si="39"/>
        <v>2025</v>
      </c>
      <c r="GB41" s="129" t="str">
        <f t="shared" si="40"/>
        <v>472025</v>
      </c>
      <c r="GC41" s="225">
        <f>IF(AND($GD$53=S.CAL!$P$3,$GD$52=FZ41),GE41,IF(BH41="",0,BH41))</f>
        <v>0</v>
      </c>
      <c r="GD41" s="129" t="str">
        <f>IFERROR(+Décembre!$BY$2&amp;BL41&amp;BM41,0)</f>
        <v>Fiche infoA6</v>
      </c>
      <c r="GE41" s="129" t="str">
        <f t="shared" si="19"/>
        <v/>
      </c>
      <c r="GF41" s="225" t="str">
        <f t="shared" si="41"/>
        <v/>
      </c>
      <c r="GG41" s="1469" t="str">
        <f>+'Retenue Nov'!D39</f>
        <v/>
      </c>
      <c r="GH41" s="1469">
        <f>+'Retenue Nov'!BF39</f>
        <v>0</v>
      </c>
      <c r="GJ41" s="1530" t="str">
        <f t="shared" si="42"/>
        <v/>
      </c>
      <c r="GK41" s="225" t="str">
        <f t="shared" si="43"/>
        <v/>
      </c>
      <c r="GL41" s="225" t="str">
        <f t="shared" si="44"/>
        <v/>
      </c>
      <c r="GM41" s="1529">
        <f t="shared" si="45"/>
        <v>0</v>
      </c>
      <c r="GO41" s="129">
        <f t="shared" si="20"/>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45984</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2"/>
        <v>45984</v>
      </c>
      <c r="AX42" s="1878"/>
      <c r="AY42" s="332"/>
      <c r="AZ42" s="1126"/>
      <c r="BA42" s="993"/>
      <c r="BB42" s="561"/>
      <c r="BC42" s="566">
        <f t="shared" si="23"/>
        <v>0</v>
      </c>
      <c r="BD42" s="1126"/>
      <c r="BE42" s="825">
        <f t="shared" si="24"/>
        <v>0</v>
      </c>
      <c r="BF42" s="1150"/>
      <c r="BG42" s="224"/>
      <c r="BH42" s="566" t="str">
        <f t="shared" si="25"/>
        <v/>
      </c>
      <c r="BI42" s="1150"/>
      <c r="BJ42" s="129" t="str">
        <f t="shared" si="26"/>
        <v>Fiche infoA7</v>
      </c>
      <c r="BK42" s="129">
        <f t="shared" si="49"/>
        <v>47</v>
      </c>
      <c r="BL42" s="129" t="str">
        <f t="shared" si="4"/>
        <v>A</v>
      </c>
      <c r="BM42" s="129">
        <f t="shared" si="50"/>
        <v>7</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45984</v>
      </c>
      <c r="ER42" s="767">
        <f t="shared" si="10"/>
        <v>0</v>
      </c>
      <c r="ES42" s="768">
        <f t="shared" si="11"/>
        <v>0</v>
      </c>
      <c r="ET42" s="767">
        <f t="shared" si="12"/>
        <v>0</v>
      </c>
      <c r="EU42" s="768">
        <f t="shared" si="13"/>
        <v>0</v>
      </c>
      <c r="EV42" s="767" t="str">
        <f t="shared" si="14"/>
        <v/>
      </c>
      <c r="EW42" s="769">
        <f t="shared" si="29"/>
        <v>45984</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47</v>
      </c>
      <c r="GA42" s="129">
        <f t="shared" si="39"/>
        <v>2025</v>
      </c>
      <c r="GB42" s="129" t="str">
        <f t="shared" si="40"/>
        <v>472025</v>
      </c>
      <c r="GC42" s="225">
        <f>IF(AND($GD$53=S.CAL!$P$3,$GD$52=FZ42),GE42,IF(BH42="",0,BH42))</f>
        <v>0</v>
      </c>
      <c r="GD42" s="129" t="str">
        <f>IFERROR(+Décembre!$BY$2&amp;BL42&amp;BM42,0)</f>
        <v>Fiche infoA7</v>
      </c>
      <c r="GE42" s="129" t="str">
        <f t="shared" si="19"/>
        <v/>
      </c>
      <c r="GF42" s="225" t="str">
        <f t="shared" si="41"/>
        <v/>
      </c>
      <c r="GG42" s="1469" t="str">
        <f>+'Retenue Nov'!D40</f>
        <v/>
      </c>
      <c r="GH42" s="1469">
        <f>+'Retenue Nov'!BF40</f>
        <v>0</v>
      </c>
      <c r="GJ42" s="1530" t="str">
        <f t="shared" si="42"/>
        <v/>
      </c>
      <c r="GK42" s="225" t="str">
        <f t="shared" si="43"/>
        <v/>
      </c>
      <c r="GL42" s="225" t="str">
        <f t="shared" si="44"/>
        <v/>
      </c>
      <c r="GM42" s="1529">
        <f t="shared" si="45"/>
        <v>0</v>
      </c>
      <c r="GO42" s="129">
        <f t="shared" si="20"/>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45985</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f t="shared" si="48"/>
        <v>48</v>
      </c>
      <c r="AQ43" s="340"/>
      <c r="AR43" s="1126"/>
      <c r="AS43" s="332">
        <f t="shared" si="3"/>
        <v>0</v>
      </c>
      <c r="AT43" s="1147"/>
      <c r="AU43" s="1147"/>
      <c r="AV43" s="332"/>
      <c r="AW43" s="2017">
        <f t="shared" si="22"/>
        <v>45985</v>
      </c>
      <c r="AX43" s="1878"/>
      <c r="AY43" s="332"/>
      <c r="AZ43" s="1126"/>
      <c r="BA43" s="993"/>
      <c r="BB43" s="561"/>
      <c r="BC43" s="566">
        <f t="shared" si="23"/>
        <v>0</v>
      </c>
      <c r="BD43" s="1126"/>
      <c r="BE43" s="825">
        <f t="shared" si="24"/>
        <v>0</v>
      </c>
      <c r="BF43" s="1150"/>
      <c r="BG43" s="224"/>
      <c r="BH43" s="566" t="str">
        <f t="shared" si="25"/>
        <v/>
      </c>
      <c r="BI43" s="1150"/>
      <c r="BJ43" s="129" t="str">
        <f t="shared" si="26"/>
        <v>Fiche infoA1</v>
      </c>
      <c r="BK43" s="129">
        <f t="shared" si="49"/>
        <v>48</v>
      </c>
      <c r="BL43" s="129" t="str">
        <f t="shared" si="4"/>
        <v>A</v>
      </c>
      <c r="BM43" s="129">
        <f t="shared" si="50"/>
        <v>1</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45985</v>
      </c>
      <c r="ER43" s="767">
        <f t="shared" si="10"/>
        <v>0</v>
      </c>
      <c r="ES43" s="768">
        <f t="shared" si="11"/>
        <v>0</v>
      </c>
      <c r="ET43" s="767">
        <f t="shared" si="12"/>
        <v>0</v>
      </c>
      <c r="EU43" s="768">
        <f t="shared" si="13"/>
        <v>0</v>
      </c>
      <c r="EV43" s="767" t="str">
        <f t="shared" si="14"/>
        <v/>
      </c>
      <c r="EW43" s="769">
        <f t="shared" si="29"/>
        <v>45985</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48</v>
      </c>
      <c r="GA43" s="129">
        <f t="shared" si="39"/>
        <v>2025</v>
      </c>
      <c r="GB43" s="129" t="str">
        <f t="shared" si="40"/>
        <v>482025</v>
      </c>
      <c r="GC43" s="225">
        <f>IF(AND($GD$53=S.CAL!$P$3,$GD$52=FZ43),GE43,IF(BH43="",0,BH43))</f>
        <v>0</v>
      </c>
      <c r="GD43" s="129" t="str">
        <f>IFERROR(+Décembre!$BY$2&amp;BL43&amp;BM43,0)</f>
        <v>Fiche infoA1</v>
      </c>
      <c r="GE43" s="129" t="str">
        <f t="shared" si="19"/>
        <v/>
      </c>
      <c r="GF43" s="225" t="str">
        <f t="shared" si="41"/>
        <v/>
      </c>
      <c r="GG43" s="1469" t="str">
        <f>+'Retenue Nov'!D41</f>
        <v/>
      </c>
      <c r="GH43" s="1469">
        <f>+'Retenue Nov'!BF41</f>
        <v>0</v>
      </c>
      <c r="GJ43" s="1530" t="str">
        <f t="shared" si="42"/>
        <v/>
      </c>
      <c r="GK43" s="225" t="str">
        <f t="shared" si="43"/>
        <v/>
      </c>
      <c r="GL43" s="225" t="str">
        <f t="shared" si="44"/>
        <v/>
      </c>
      <c r="GM43" s="1529">
        <f t="shared" si="45"/>
        <v>0</v>
      </c>
      <c r="GO43" s="129">
        <f t="shared" si="20"/>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45986</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2"/>
        <v>45986</v>
      </c>
      <c r="AX44" s="1878"/>
      <c r="AY44" s="332"/>
      <c r="AZ44" s="1126"/>
      <c r="BA44" s="993"/>
      <c r="BB44" s="561"/>
      <c r="BC44" s="566">
        <f t="shared" si="23"/>
        <v>0</v>
      </c>
      <c r="BD44" s="1126"/>
      <c r="BE44" s="825">
        <f t="shared" si="24"/>
        <v>0</v>
      </c>
      <c r="BF44" s="1150"/>
      <c r="BG44" s="224"/>
      <c r="BH44" s="566" t="str">
        <f t="shared" si="25"/>
        <v/>
      </c>
      <c r="BI44" s="1150"/>
      <c r="BJ44" s="129" t="str">
        <f t="shared" si="26"/>
        <v>Fiche infoA2</v>
      </c>
      <c r="BK44" s="129">
        <f t="shared" si="49"/>
        <v>48</v>
      </c>
      <c r="BL44" s="129" t="str">
        <f t="shared" si="4"/>
        <v>A</v>
      </c>
      <c r="BM44" s="129">
        <f t="shared" si="50"/>
        <v>2</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+IF(CC45="",Octobre!CC44,CC45)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45986</v>
      </c>
      <c r="ER44" s="767">
        <f t="shared" si="10"/>
        <v>0</v>
      </c>
      <c r="ES44" s="768">
        <f t="shared" si="11"/>
        <v>0</v>
      </c>
      <c r="ET44" s="767">
        <f t="shared" si="12"/>
        <v>0</v>
      </c>
      <c r="EU44" s="768">
        <f t="shared" si="13"/>
        <v>0</v>
      </c>
      <c r="EV44" s="767" t="str">
        <f t="shared" si="14"/>
        <v/>
      </c>
      <c r="EW44" s="769">
        <f t="shared" si="29"/>
        <v>45986</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48</v>
      </c>
      <c r="GA44" s="129">
        <f t="shared" si="39"/>
        <v>2025</v>
      </c>
      <c r="GB44" s="129" t="str">
        <f t="shared" si="40"/>
        <v>482025</v>
      </c>
      <c r="GC44" s="225">
        <f>IF(AND($GD$53=S.CAL!$P$3,$GD$52=FZ44),GE44,IF(BH44="",0,BH44))</f>
        <v>0</v>
      </c>
      <c r="GD44" s="129" t="str">
        <f>IFERROR(+Décembre!$BY$2&amp;BL44&amp;BM44,0)</f>
        <v>Fiche infoA2</v>
      </c>
      <c r="GE44" s="129" t="str">
        <f t="shared" si="19"/>
        <v/>
      </c>
      <c r="GF44" s="225" t="str">
        <f t="shared" si="41"/>
        <v/>
      </c>
      <c r="GG44" s="1469" t="str">
        <f>+'Retenue Nov'!D42</f>
        <v/>
      </c>
      <c r="GH44" s="1469">
        <f>+'Retenue Nov'!BF42</f>
        <v>0</v>
      </c>
      <c r="GJ44" s="1530" t="str">
        <f t="shared" si="42"/>
        <v/>
      </c>
      <c r="GK44" s="225" t="str">
        <f t="shared" si="43"/>
        <v/>
      </c>
      <c r="GL44" s="225" t="str">
        <f t="shared" si="44"/>
        <v/>
      </c>
      <c r="GM44" s="1529">
        <f t="shared" si="45"/>
        <v>0</v>
      </c>
      <c r="GO44" s="129">
        <f t="shared" si="20"/>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45987</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2"/>
        <v>45987</v>
      </c>
      <c r="AX45" s="1878"/>
      <c r="AY45" s="332"/>
      <c r="AZ45" s="1126"/>
      <c r="BA45" s="993"/>
      <c r="BB45" s="561"/>
      <c r="BC45" s="566">
        <f t="shared" si="23"/>
        <v>0</v>
      </c>
      <c r="BD45" s="1126"/>
      <c r="BE45" s="825">
        <f t="shared" si="24"/>
        <v>0</v>
      </c>
      <c r="BF45" s="1150"/>
      <c r="BG45" s="224"/>
      <c r="BH45" s="566" t="str">
        <f t="shared" si="25"/>
        <v/>
      </c>
      <c r="BI45" s="1150"/>
      <c r="BJ45" s="129" t="str">
        <f t="shared" si="26"/>
        <v>Fiche infoA3</v>
      </c>
      <c r="BK45" s="129">
        <f t="shared" si="49"/>
        <v>48</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45987</v>
      </c>
      <c r="ER45" s="767">
        <f t="shared" si="10"/>
        <v>0</v>
      </c>
      <c r="ES45" s="768">
        <f t="shared" si="11"/>
        <v>0</v>
      </c>
      <c r="ET45" s="767">
        <f t="shared" si="12"/>
        <v>0</v>
      </c>
      <c r="EU45" s="768">
        <f t="shared" si="13"/>
        <v>0</v>
      </c>
      <c r="EV45" s="767" t="str">
        <f t="shared" si="14"/>
        <v/>
      </c>
      <c r="EW45" s="769">
        <f t="shared" si="29"/>
        <v>45987</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48</v>
      </c>
      <c r="GA45" s="129">
        <f t="shared" si="39"/>
        <v>2025</v>
      </c>
      <c r="GB45" s="129" t="str">
        <f t="shared" si="40"/>
        <v>482025</v>
      </c>
      <c r="GC45" s="225">
        <f>IF(AND($GD$53=S.CAL!$P$3,$GD$52=FZ45),GE45,IF(BH45="",0,BH45))</f>
        <v>0</v>
      </c>
      <c r="GD45" s="129" t="str">
        <f>IFERROR(+Décembre!$BY$2&amp;BL45&amp;BM45,0)</f>
        <v>Fiche infoA3</v>
      </c>
      <c r="GE45" s="129" t="str">
        <f t="shared" si="19"/>
        <v/>
      </c>
      <c r="GF45" s="225" t="str">
        <f t="shared" si="41"/>
        <v/>
      </c>
      <c r="GG45" s="1469" t="str">
        <f>+'Retenue Nov'!D43</f>
        <v/>
      </c>
      <c r="GH45" s="1469">
        <f>+'Retenue Nov'!BF43</f>
        <v>0</v>
      </c>
      <c r="GJ45" s="1530" t="str">
        <f t="shared" si="42"/>
        <v/>
      </c>
      <c r="GK45" s="225" t="str">
        <f t="shared" si="43"/>
        <v/>
      </c>
      <c r="GL45" s="225" t="str">
        <f t="shared" si="44"/>
        <v/>
      </c>
      <c r="GM45" s="1529">
        <f t="shared" si="45"/>
        <v>0</v>
      </c>
      <c r="GO45" s="129">
        <f t="shared" si="20"/>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45988</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2"/>
        <v>45988</v>
      </c>
      <c r="AX46" s="1878"/>
      <c r="AY46" s="332"/>
      <c r="AZ46" s="1126"/>
      <c r="BA46" s="993"/>
      <c r="BB46" s="561"/>
      <c r="BC46" s="566">
        <f t="shared" si="23"/>
        <v>0</v>
      </c>
      <c r="BD46" s="1126"/>
      <c r="BE46" s="825">
        <f t="shared" si="24"/>
        <v>0</v>
      </c>
      <c r="BF46" s="1150"/>
      <c r="BG46" s="224"/>
      <c r="BH46" s="566" t="str">
        <f t="shared" si="25"/>
        <v/>
      </c>
      <c r="BI46" s="1150"/>
      <c r="BJ46" s="129" t="str">
        <f t="shared" si="26"/>
        <v>Fiche infoA4</v>
      </c>
      <c r="BK46" s="129">
        <f t="shared" si="49"/>
        <v>48</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45988</v>
      </c>
      <c r="ER46" s="767">
        <f t="shared" si="10"/>
        <v>0</v>
      </c>
      <c r="ES46" s="768">
        <f t="shared" si="11"/>
        <v>0</v>
      </c>
      <c r="ET46" s="767">
        <f t="shared" si="12"/>
        <v>0</v>
      </c>
      <c r="EU46" s="768">
        <f t="shared" si="13"/>
        <v>0</v>
      </c>
      <c r="EV46" s="767" t="str">
        <f t="shared" si="14"/>
        <v/>
      </c>
      <c r="EW46" s="769">
        <f t="shared" si="29"/>
        <v>45988</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48</v>
      </c>
      <c r="GA46" s="129">
        <f t="shared" si="39"/>
        <v>2025</v>
      </c>
      <c r="GB46" s="129" t="str">
        <f t="shared" si="40"/>
        <v>482025</v>
      </c>
      <c r="GC46" s="225">
        <f>IF(AND($GD$53=S.CAL!$P$3,$GD$52=FZ46),GE46,IF(BH46="",0,BH46))</f>
        <v>0</v>
      </c>
      <c r="GD46" s="129" t="str">
        <f>IFERROR(+Décembre!$BY$2&amp;BL46&amp;BM46,0)</f>
        <v>Fiche infoA4</v>
      </c>
      <c r="GE46" s="129" t="str">
        <f t="shared" si="19"/>
        <v/>
      </c>
      <c r="GF46" s="225" t="str">
        <f t="shared" si="41"/>
        <v/>
      </c>
      <c r="GG46" s="1469" t="str">
        <f>+'Retenue Nov'!D44</f>
        <v/>
      </c>
      <c r="GH46" s="1469">
        <f>+'Retenue Nov'!BF44</f>
        <v>0</v>
      </c>
      <c r="GJ46" s="1530" t="str">
        <f t="shared" si="42"/>
        <v/>
      </c>
      <c r="GK46" s="225" t="str">
        <f t="shared" si="43"/>
        <v/>
      </c>
      <c r="GL46" s="225" t="str">
        <f t="shared" si="44"/>
        <v/>
      </c>
      <c r="GM46" s="1529">
        <f t="shared" si="45"/>
        <v>0</v>
      </c>
      <c r="GO46" s="129">
        <f t="shared" si="20"/>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66">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67">ROUND(U47*R47,2)</f>
        <v>0</v>
      </c>
      <c r="Y47" s="1900"/>
      <c r="Z47" s="1900"/>
      <c r="AA47" s="903" t="str">
        <f>IF(AND(BE47="OUI",$AR$13=S.CAL!$CU$2),"►",IF(AND(EV47="OUI",$AR$13=S.CAL!$CU$3),"►",""))</f>
        <v/>
      </c>
      <c r="AB47" s="1877">
        <f>+$X$3+27</f>
        <v>45989</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2"/>
        <v>45989</v>
      </c>
      <c r="AX47" s="1878"/>
      <c r="AY47" s="332"/>
      <c r="AZ47" s="1126"/>
      <c r="BA47" s="993"/>
      <c r="BB47" s="561"/>
      <c r="BC47" s="566">
        <f t="shared" si="23"/>
        <v>0</v>
      </c>
      <c r="BD47" s="1126"/>
      <c r="BE47" s="825">
        <f t="shared" si="24"/>
        <v>0</v>
      </c>
      <c r="BF47" s="1150"/>
      <c r="BG47" s="224"/>
      <c r="BH47" s="566" t="str">
        <f t="shared" si="25"/>
        <v/>
      </c>
      <c r="BI47" s="1150"/>
      <c r="BJ47" s="129" t="str">
        <f t="shared" si="26"/>
        <v>Fiche infoA5</v>
      </c>
      <c r="BK47" s="129">
        <f t="shared" si="49"/>
        <v>48</v>
      </c>
      <c r="BL47" s="129" t="str">
        <f t="shared" si="4"/>
        <v>A</v>
      </c>
      <c r="BM47" s="129">
        <f t="shared" si="50"/>
        <v>5</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IF(CF47="",Octobre!CE47,CF47)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45989</v>
      </c>
      <c r="ER47" s="767">
        <f t="shared" si="10"/>
        <v>0</v>
      </c>
      <c r="ES47" s="768">
        <f t="shared" si="11"/>
        <v>0</v>
      </c>
      <c r="ET47" s="767">
        <f t="shared" si="12"/>
        <v>0</v>
      </c>
      <c r="EU47" s="768">
        <f t="shared" si="13"/>
        <v>0</v>
      </c>
      <c r="EV47" s="767" t="str">
        <f t="shared" si="14"/>
        <v/>
      </c>
      <c r="EW47" s="769">
        <f t="shared" si="29"/>
        <v>45989</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48</v>
      </c>
      <c r="GA47" s="129">
        <f t="shared" si="39"/>
        <v>2025</v>
      </c>
      <c r="GB47" s="129" t="str">
        <f t="shared" si="40"/>
        <v>482025</v>
      </c>
      <c r="GC47" s="225">
        <f>IF(AND($GD$53=S.CAL!$P$3,$GD$52=FZ47),GE47,IF(BH47="",0,BH47))</f>
        <v>0</v>
      </c>
      <c r="GD47" s="129" t="str">
        <f>IFERROR(+Décembre!$BY$2&amp;BL47&amp;BM47,0)</f>
        <v>Fiche infoA5</v>
      </c>
      <c r="GE47" s="129" t="str">
        <f t="shared" si="19"/>
        <v/>
      </c>
      <c r="GF47" s="225" t="str">
        <f t="shared" si="41"/>
        <v/>
      </c>
      <c r="GG47" s="1469" t="str">
        <f>+'Retenue Nov'!D45</f>
        <v/>
      </c>
      <c r="GH47" s="1469">
        <f>+'Retenue Nov'!BF45</f>
        <v>0</v>
      </c>
      <c r="GJ47" s="1530" t="str">
        <f t="shared" si="42"/>
        <v/>
      </c>
      <c r="GK47" s="225" t="str">
        <f t="shared" si="43"/>
        <v/>
      </c>
      <c r="GL47" s="225" t="str">
        <f t="shared" si="44"/>
        <v/>
      </c>
      <c r="GM47" s="1529">
        <f t="shared" si="45"/>
        <v>0</v>
      </c>
      <c r="GO47" s="129">
        <f t="shared" si="20"/>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66"/>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67"/>
        <v>0</v>
      </c>
      <c r="Y48" s="1900"/>
      <c r="Z48" s="1900"/>
      <c r="AA48" s="903" t="str">
        <f>IF(AND(BE48="OUI",$AR$13=S.CAL!$CU$2),"►",IF(AND(EV48="OUI",$AR$13=S.CAL!$CU$3),"►",""))</f>
        <v/>
      </c>
      <c r="AB48" s="1877">
        <f>IF(AB20+28&lt;DATE(YEAR(AB20),MONTH(AB20)+1,DAY(AB20)),AB20+28,"")</f>
        <v>45990</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t="str">
        <f t="shared" si="48"/>
        <v/>
      </c>
      <c r="AQ48" s="340"/>
      <c r="AR48" s="1126"/>
      <c r="AS48" s="332">
        <f t="shared" si="3"/>
        <v>0</v>
      </c>
      <c r="AT48" s="1147"/>
      <c r="AU48" s="1147"/>
      <c r="AV48" s="332"/>
      <c r="AW48" s="2017">
        <f t="shared" si="22"/>
        <v>45990</v>
      </c>
      <c r="AX48" s="1878"/>
      <c r="AY48" s="332"/>
      <c r="AZ48" s="1126"/>
      <c r="BA48" s="993"/>
      <c r="BB48" s="561"/>
      <c r="BC48" s="566">
        <f t="shared" si="23"/>
        <v>0</v>
      </c>
      <c r="BD48" s="1126"/>
      <c r="BE48" s="825">
        <f t="shared" si="24"/>
        <v>0</v>
      </c>
      <c r="BF48" s="1150"/>
      <c r="BG48" s="224"/>
      <c r="BH48" s="566" t="str">
        <f t="shared" si="25"/>
        <v/>
      </c>
      <c r="BI48" s="1150"/>
      <c r="BJ48" s="129" t="str">
        <f>IFERROR(+BN48&amp;BL48&amp;BM48,0)</f>
        <v>Fiche infoA6</v>
      </c>
      <c r="BK48" s="129">
        <f t="shared" si="49"/>
        <v>48</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45990</v>
      </c>
      <c r="ER48" s="767">
        <f t="shared" si="10"/>
        <v>0</v>
      </c>
      <c r="ES48" s="768">
        <f t="shared" si="11"/>
        <v>0</v>
      </c>
      <c r="ET48" s="767">
        <f t="shared" si="12"/>
        <v>0</v>
      </c>
      <c r="EU48" s="768">
        <f t="shared" si="13"/>
        <v>0</v>
      </c>
      <c r="EV48" s="767" t="str">
        <f t="shared" si="14"/>
        <v/>
      </c>
      <c r="EW48" s="769">
        <f t="shared" si="29"/>
        <v>45990</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48</v>
      </c>
      <c r="GA48" s="129">
        <f t="shared" si="39"/>
        <v>2025</v>
      </c>
      <c r="GB48" s="129" t="str">
        <f t="shared" si="40"/>
        <v>482025</v>
      </c>
      <c r="GC48" s="225">
        <f>IF(AND($GD$53=S.CAL!$P$3,$GD$52=FZ48),GE48,IF(BH48="",0,BH48))</f>
        <v>0</v>
      </c>
      <c r="GD48" s="129" t="str">
        <f>IFERROR(+Décembre!$BY$2&amp;BL48&amp;BM48,0)</f>
        <v>Fiche infoA6</v>
      </c>
      <c r="GE48" s="129" t="str">
        <f t="shared" si="19"/>
        <v/>
      </c>
      <c r="GF48" s="225" t="str">
        <f t="shared" si="41"/>
        <v/>
      </c>
      <c r="GG48" s="1469" t="str">
        <f>+'Retenue Nov'!D46</f>
        <v/>
      </c>
      <c r="GH48" s="1469">
        <f>+'Retenue Nov'!BF46</f>
        <v>0</v>
      </c>
      <c r="GJ48" s="1530" t="str">
        <f t="shared" si="42"/>
        <v/>
      </c>
      <c r="GK48" s="225" t="str">
        <f t="shared" si="43"/>
        <v/>
      </c>
      <c r="GL48" s="225" t="str">
        <f t="shared" si="44"/>
        <v/>
      </c>
      <c r="GM48" s="1529">
        <f t="shared" si="45"/>
        <v>0</v>
      </c>
      <c r="GO48" s="129">
        <f t="shared" si="20"/>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66"/>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45991</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2"/>
        <v>45991</v>
      </c>
      <c r="AX49" s="1878"/>
      <c r="AY49" s="332"/>
      <c r="AZ49" s="1126"/>
      <c r="BA49" s="993"/>
      <c r="BB49" s="561"/>
      <c r="BC49" s="566">
        <f t="shared" si="23"/>
        <v>0</v>
      </c>
      <c r="BD49" s="1126"/>
      <c r="BE49" s="825">
        <f t="shared" si="24"/>
        <v>0</v>
      </c>
      <c r="BF49" s="1150"/>
      <c r="BG49" s="224"/>
      <c r="BH49" s="566" t="str">
        <f t="shared" si="25"/>
        <v/>
      </c>
      <c r="BI49" s="1150"/>
      <c r="BJ49" s="129" t="str">
        <f t="shared" ref="BJ49:BJ50" si="68">IFERROR(+BN49&amp;BL49&amp;BM49,0)</f>
        <v>Fiche infoA7</v>
      </c>
      <c r="BK49" s="129">
        <f t="shared" si="49"/>
        <v>48</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IF(CF49="",Octobre!CE49,CF49)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45991</v>
      </c>
      <c r="ER49" s="767">
        <f t="shared" si="10"/>
        <v>0</v>
      </c>
      <c r="ES49" s="768">
        <f t="shared" si="11"/>
        <v>0</v>
      </c>
      <c r="ET49" s="767">
        <f t="shared" si="12"/>
        <v>0</v>
      </c>
      <c r="EU49" s="768">
        <f t="shared" si="13"/>
        <v>0</v>
      </c>
      <c r="EV49" s="767" t="str">
        <f t="shared" si="14"/>
        <v/>
      </c>
      <c r="EW49" s="769">
        <f t="shared" si="29"/>
        <v>45991</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48</v>
      </c>
      <c r="GA49" s="129">
        <f t="shared" si="39"/>
        <v>2025</v>
      </c>
      <c r="GB49" s="129" t="str">
        <f t="shared" ref="GB49:GB50" si="69">+FZ49&amp;GA49</f>
        <v>482025</v>
      </c>
      <c r="GC49" s="225">
        <f>IF(AND($GD$53=S.CAL!$P$3,$GD$52=FZ49),GE49,IF(BH49="",0,BH49))</f>
        <v>0</v>
      </c>
      <c r="GD49" s="129" t="str">
        <f>IFERROR(+Décembre!$BY$2&amp;BL49&amp;BM49,0)</f>
        <v>Fiche infoA7</v>
      </c>
      <c r="GE49" s="129" t="str">
        <f t="shared" si="19"/>
        <v/>
      </c>
      <c r="GF49" s="225" t="str">
        <f t="shared" ref="GF49:GF50" si="70">IF(FP49=1,GG49,AM49)</f>
        <v/>
      </c>
      <c r="GG49" s="1469" t="str">
        <f>+'Retenue Nov'!D47</f>
        <v/>
      </c>
      <c r="GH49" s="1469">
        <f>+'Retenue Nov'!BF47</f>
        <v>0</v>
      </c>
      <c r="GJ49" s="1530" t="str">
        <f t="shared" si="42"/>
        <v/>
      </c>
      <c r="GK49" s="225" t="str">
        <f t="shared" si="43"/>
        <v/>
      </c>
      <c r="GL49" s="225" t="str">
        <f t="shared" si="44"/>
        <v/>
      </c>
      <c r="GM49" s="1529">
        <f t="shared" si="45"/>
        <v>0</v>
      </c>
      <c r="GO49" s="129">
        <f t="shared" si="20"/>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66"/>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t="str">
        <f>IF(AB20+30&lt;DATE(YEAR(AB20),MONTH(AB20)+1,DAY(AB20)),AB20+30,"")</f>
        <v/>
      </c>
      <c r="AC50" s="1878"/>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t="str">
        <f t="shared" si="22"/>
        <v/>
      </c>
      <c r="AX50" s="2097"/>
      <c r="AY50" s="332"/>
      <c r="AZ50" s="1127"/>
      <c r="BA50" s="994"/>
      <c r="BB50" s="561"/>
      <c r="BC50" s="564">
        <f t="shared" si="23"/>
        <v>0</v>
      </c>
      <c r="BD50" s="1127"/>
      <c r="BE50" s="826">
        <f t="shared" si="24"/>
        <v>0</v>
      </c>
      <c r="BF50" s="1151"/>
      <c r="BG50" s="224"/>
      <c r="BH50" s="564" t="str">
        <f t="shared" si="25"/>
        <v/>
      </c>
      <c r="BI50" s="1151"/>
      <c r="BJ50" s="129" t="str">
        <f t="shared" si="68"/>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9"/>
        <v>2025</v>
      </c>
      <c r="GC50" s="225">
        <f>IF(AND($GD$53=S.CAL!$P$3,$GD$52=FZ50),GE50,IF(BH50="",0,BH50))</f>
        <v>0</v>
      </c>
      <c r="GD50" s="129" t="str">
        <f>IFERROR(+Décembre!$BY$2&amp;BL50&amp;BM50,0)</f>
        <v>Fiche infoA0</v>
      </c>
      <c r="GE50" s="129" t="str">
        <f t="shared" si="19"/>
        <v/>
      </c>
      <c r="GF50" s="225" t="str">
        <f t="shared" si="70"/>
        <v/>
      </c>
      <c r="GG50" s="1469" t="str">
        <f>+'Retenue Nov'!D48</f>
        <v/>
      </c>
      <c r="GH50" s="1469">
        <f>+'Retenue Nov'!BF48</f>
        <v>0</v>
      </c>
      <c r="GJ50" s="1530" t="str">
        <f t="shared" si="42"/>
        <v/>
      </c>
      <c r="GK50" s="225" t="str">
        <f t="shared" si="43"/>
        <v/>
      </c>
      <c r="GL50" s="225" t="str">
        <f t="shared" si="44"/>
        <v/>
      </c>
      <c r="GM50" s="1529">
        <f t="shared" si="45"/>
        <v>0</v>
      </c>
      <c r="GO50" s="129">
        <f t="shared" si="20"/>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1">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2">SUM(DV20:DV50)</f>
        <v>0</v>
      </c>
      <c r="DW51" s="1370">
        <f t="shared" si="72"/>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R52" s="768"/>
      <c r="ES52" s="768"/>
      <c r="ET52" s="768"/>
      <c r="EU52" s="768"/>
      <c r="EV52" s="768"/>
      <c r="GD52" s="129">
        <f>+MAX(FZ20:FZ50)</f>
        <v>48</v>
      </c>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IF(CF53="",+Octobre!CE53,CF53)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R53" s="768"/>
      <c r="ES53" s="768"/>
      <c r="ET53" s="768"/>
      <c r="EU53" s="768"/>
      <c r="EV53" s="768"/>
      <c r="GD53" s="129" t="str">
        <f>+BY2</f>
        <v>Fiche info</v>
      </c>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IF(CF54="",Octobre!CE54,CF54)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R54" s="768"/>
      <c r="ES54" s="768"/>
      <c r="ET54" s="768"/>
      <c r="EU54" s="768"/>
      <c r="EV54" s="768"/>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3">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IF(CF55&gt;0,CF55,IF(AND(CE53=Octobre!CE53,CE54=Octobre!CE54),Octobre!CE55,IF(OR(CE53&lt;&gt;Octobre!CE53,CE54&lt;&gt;Octobre!CE54),CE53/CE54)))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R55" s="768"/>
      <c r="ES55" s="768"/>
      <c r="ET55" s="768"/>
      <c r="EU55" s="768"/>
      <c r="EV55" s="768"/>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Nov'!E52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+IF(BY57="",Octobre!BY56,BY57)</f>
        <v>24</v>
      </c>
      <c r="BZ56" s="629" t="s">
        <v>1065</v>
      </c>
      <c r="CA56" s="632">
        <f>+IF(CA57="",Octobre!CA56,CA57)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IF(CF57="",+Octobre!CE57,CF57)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IF(CF58="",Octobre!CE58,CF58)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+IF(CA61="",Octobre!CA60,CA61)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74">+IF(FG59=0,"",FG59)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74"/>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74"/>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+IF(BA65="",Octobre!K67,BA65)</f>
        <v>0</v>
      </c>
      <c r="L67" s="1782"/>
      <c r="M67" s="1782"/>
      <c r="N67" s="1780">
        <f>ROUND(K67*H67,2)</f>
        <v>0</v>
      </c>
      <c r="O67" s="1780"/>
      <c r="P67" s="1780"/>
      <c r="Q67" s="248"/>
      <c r="R67" s="2079" t="str">
        <f t="shared" si="74"/>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+IF(BA68="",Octobre!K68,BA68)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E74+Octobre!H74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E75+Octobre!H75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Nov'!EH51=0,"",'Retenue Nov'!EH51),AX76)</f>
        <v/>
      </c>
      <c r="AZ75" s="2043"/>
      <c r="BA75" s="936" t="str">
        <f>+IF(BA76="",IF('Retenue Nov'!EF51=0,"",'Retenue Nov'!EF51),BA76)</f>
        <v/>
      </c>
      <c r="BB75" s="937"/>
      <c r="BC75" s="938" t="str">
        <f>IF(BC76="",IF(+'Retenue Nov'!EG51=0,"",'Retenue Nov'!EG51),BC76)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E76+Octobre!H76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+E77+Octobre!H77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IF(AR78="",+Octobre!AL78,AR78)</f>
        <v>0</v>
      </c>
      <c r="AM78" s="2179"/>
      <c r="AN78" s="2179"/>
      <c r="AO78" s="2179"/>
      <c r="AQ78" s="438" t="s">
        <v>762</v>
      </c>
      <c r="AR78" s="2304"/>
      <c r="AS78" s="2304"/>
      <c r="AT78" s="2041" t="str">
        <f>IFERROR(VLOOKUP(AY78,'Liste des Libellés'!$A$4:$F$32,6,FALSE),"")</f>
        <v/>
      </c>
      <c r="AU78" s="2041"/>
      <c r="AV78" s="2041"/>
      <c r="AW78" s="2041"/>
      <c r="AX78" s="935"/>
      <c r="AY78" s="2043" t="str">
        <f>+IF(AX79="",IF('Retenue Nov'!EH53=0,"",'Retenue Nov'!EH53),AX79)</f>
        <v/>
      </c>
      <c r="AZ78" s="2043"/>
      <c r="BA78" s="936" t="str">
        <f>+IF(BA79="",IF('Retenue Nov'!EF53=0,"",'Retenue Nov'!EF53),BA79)</f>
        <v/>
      </c>
      <c r="BB78" s="937"/>
      <c r="BC78" s="938" t="str">
        <f>IF(BC79="",IF(+'Retenue Nov'!EG53=0,"",'Retenue Nov'!EG53),BC79)</f>
        <v/>
      </c>
      <c r="BD78" s="972"/>
      <c r="BE78" s="129"/>
      <c r="BF78" s="129"/>
      <c r="BG78" s="129"/>
      <c r="BH78" s="129"/>
      <c r="BI78" s="129"/>
      <c r="CA78" s="667"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1093</v>
      </c>
      <c r="CB79" s="255"/>
    </row>
    <row r="80" spans="1:83" ht="15.75" customHeight="1" x14ac:dyDescent="0.2">
      <c r="A80" s="1729" t="s">
        <v>150</v>
      </c>
      <c r="B80" s="1729"/>
      <c r="C80" s="1729"/>
      <c r="D80" s="1729"/>
      <c r="E80" s="2303"/>
      <c r="F80" s="2189" t="str">
        <f>+Octobre!F80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7"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Nov'!EH55=0,"",'Retenue Nov'!EH55),AX82)</f>
        <v/>
      </c>
      <c r="AZ81" s="2043"/>
      <c r="BA81" s="936" t="str">
        <f>+IF(BA82="",IF('Retenue Nov'!EF55=0,"",'Retenue Nov'!EF55),BA82)</f>
        <v/>
      </c>
      <c r="BB81" s="937"/>
      <c r="BC81" s="938" t="str">
        <f>IF(BC82="",IF(+'Retenue Nov'!EG55=0,"",'Retenue Nov'!EG55),BC82)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Nov'!EH57=0,"",'Retenue Nov'!EH57),AX85)</f>
        <v/>
      </c>
      <c r="AZ84" s="2043"/>
      <c r="BA84" s="936" t="str">
        <f>+IF(BA85="",IF('Retenue Nov'!EF57=0,"",'Retenue Nov'!EF57),BA85)</f>
        <v/>
      </c>
      <c r="BB84" s="937"/>
      <c r="BC84" s="938" t="str">
        <f>IF(BC85="",IF(+'Retenue Nov'!EG57=0,"",'Retenue Nov'!EG57),BC85)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Octobre!F86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IF(AR86="",Octobre!AH86,AR86)</f>
        <v>0</v>
      </c>
      <c r="AI86" s="1732"/>
      <c r="AJ86" s="1732"/>
      <c r="AK86" s="1733"/>
      <c r="AL86" s="1731">
        <f>IF(AS86="",IF(DP8=52,+EI29+Octobre!AL86,+EI25+Octobre!AL86),IF(DP8=52,+EI29+Octobre!AL86+AS86,+EI25+Octobre!AL86+AS86))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45991</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+Octobre!AH87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+Octobre!AH89+Octobre!AH90</f>
        <v>0</v>
      </c>
      <c r="AI89" s="1732"/>
      <c r="AJ89" s="1732"/>
      <c r="AK89" s="1733"/>
      <c r="AL89" s="1731">
        <f>+Octobre!AL89+Octobre!AL90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249"/>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+IF(AH101="",AL101-COUNTIF(AD20:AF50,'Liste des Libellés'!A18),AH101)</f>
        <v>0</v>
      </c>
      <c r="AI93" s="2163"/>
      <c r="AJ93" s="2163"/>
      <c r="AK93" s="2164"/>
      <c r="AL93" s="2162"/>
      <c r="AM93" s="2163"/>
      <c r="AN93" s="2163"/>
      <c r="AO93" s="2164"/>
      <c r="AP93" s="1029"/>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Y97" s="264"/>
      <c r="Z97" s="215"/>
      <c r="AA97" s="278"/>
      <c r="AB97" s="215"/>
      <c r="AC97" s="215"/>
      <c r="AD97" s="215"/>
      <c r="AE97" s="215"/>
      <c r="AF97" s="215"/>
      <c r="AG97" s="279" t="s">
        <v>638</v>
      </c>
      <c r="AH97" s="215"/>
      <c r="AI97" s="215"/>
      <c r="AJ97" s="215"/>
      <c r="AK97" s="215"/>
      <c r="AL97" s="215"/>
      <c r="AM97" s="215"/>
      <c r="AN97" s="215"/>
      <c r="AO97" s="21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Y98" s="265"/>
      <c r="AG98" s="131" t="s">
        <v>644</v>
      </c>
      <c r="AH98" s="2357">
        <f>+AH85</f>
        <v>0</v>
      </c>
      <c r="AI98" s="2357"/>
      <c r="AJ98" s="2357"/>
      <c r="AK98" s="2357"/>
      <c r="AL98" s="2357" t="str">
        <f>IF(AND(AH98&gt;=15,AH98&lt;=24),AH98,IF(AH98&gt;24,24,"&lt; 15 jrs"))</f>
        <v>&lt; 15 jrs</v>
      </c>
      <c r="AM98" s="2357"/>
      <c r="AN98" s="2357"/>
      <c r="AO98" s="2363"/>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+Octobre!G99</f>
        <v>0</v>
      </c>
      <c r="H99" s="2348"/>
      <c r="I99" s="2349"/>
      <c r="Y99" s="265"/>
      <c r="AG99" s="131" t="s">
        <v>645</v>
      </c>
      <c r="AH99" s="2357">
        <f>+AH89</f>
        <v>0</v>
      </c>
      <c r="AI99" s="2355"/>
      <c r="AJ99" s="2355"/>
      <c r="AK99" s="2355"/>
      <c r="AL99" s="2357" t="str">
        <f>+IF(AH99&gt;=12,AH99,"&lt;12 jrs")</f>
        <v>&lt;12 jrs</v>
      </c>
      <c r="AM99" s="2357"/>
      <c r="AN99" s="2357"/>
      <c r="AO99" s="2363"/>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+Octobre!G100</f>
        <v>0</v>
      </c>
      <c r="H100" s="2181"/>
      <c r="I100" s="2182"/>
      <c r="L100" s="131"/>
      <c r="M100" s="371"/>
      <c r="N100" s="371"/>
      <c r="O100" s="371"/>
      <c r="P100" s="206"/>
      <c r="Q100" s="206"/>
      <c r="Y100" s="265"/>
      <c r="AG100" s="131" t="s">
        <v>646</v>
      </c>
      <c r="AL100" s="2355">
        <f>IFERROR(+AL98-AL99,0)</f>
        <v>0</v>
      </c>
      <c r="AM100" s="2355"/>
      <c r="AN100" s="2355"/>
      <c r="AO100" s="235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80"/>
      <c r="Z101" s="281"/>
      <c r="AA101" s="214"/>
      <c r="AB101" s="281"/>
      <c r="AC101" s="281"/>
      <c r="AD101" s="281"/>
      <c r="AE101" s="281"/>
      <c r="AF101" s="281"/>
      <c r="AG101" s="282" t="s">
        <v>647</v>
      </c>
      <c r="AH101" s="2353"/>
      <c r="AI101" s="2354"/>
      <c r="AJ101" s="2354"/>
      <c r="AK101" s="2354"/>
      <c r="AL101" s="2358">
        <f>+IF(AL100&gt;=6,2,IF(AND(AL100&gt;=3,AL100&lt;=5),1,0))</f>
        <v>0</v>
      </c>
      <c r="AM101" s="2359"/>
      <c r="AN101" s="2359"/>
      <c r="AO101" s="2360"/>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442025</v>
      </c>
      <c r="BA107" s="1473">
        <f>+$AT$4</f>
        <v>44</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452025</v>
      </c>
      <c r="BA108" s="1478">
        <f>+$AT$5</f>
        <v>45</v>
      </c>
      <c r="BB108" s="1479"/>
      <c r="BC108" s="1480">
        <f>+IF(BF108&gt;0,BF108,COUNTIFS($GF$20:$GF$50,"&gt;0",$GB$20:$GB$50,AZ108)+IF($DP$8&lt;52,+COUNTIFS($GH$20:$GH$50,"&gt;0",$GB$20:$GB$50,AZ108)))</f>
        <v>0</v>
      </c>
      <c r="BD108" s="1481">
        <f>IF(BH108&gt;0,BH108,COUNTIFS(S.CAL!$FX$3:$FX$374,"&gt;0",S.CAL!$FW$3:$FW$374,AZ108))</f>
        <v>0</v>
      </c>
      <c r="BE108" s="1482">
        <f t="shared" ref="BE108:BE112" si="75">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462025</v>
      </c>
      <c r="BA109" s="1478">
        <f>+$AT$6</f>
        <v>46</v>
      </c>
      <c r="BB109" s="1479"/>
      <c r="BC109" s="1480">
        <f>IF(BF109&gt;0,BF109,+COUNTIFS($GF$20:$GF$50,"&gt;0",$GB$20:$GB$50,AZ109)+IF($DP$8&lt;52,+COUNTIFS($GH$20:$GH$50,"&gt;0",$GB$20:$GB$50,AZ109)))</f>
        <v>0</v>
      </c>
      <c r="BD109" s="1481">
        <f>IF(BH109&gt;0,BH109,+COUNTIFS(S.CAL!$FX$3:$FX$374,"&gt;0",S.CAL!$FW$3:$FW$374,AZ109))</f>
        <v>0</v>
      </c>
      <c r="BE109" s="1482">
        <f t="shared" si="75"/>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472025</v>
      </c>
      <c r="BA110" s="1478">
        <f>+$AT$7</f>
        <v>47</v>
      </c>
      <c r="BB110" s="1479"/>
      <c r="BC110" s="1480">
        <f>IF(BF110&gt;0,BF110,+COUNTIFS($GF$20:$GF$50,"&gt;0",$GB$20:$GB$50,AZ110)+IF($DP$8&lt;52,+COUNTIFS($GH$20:$GH$50,"&gt;0",$GB$20:$GB$50,AZ110)))</f>
        <v>0</v>
      </c>
      <c r="BD110" s="1481">
        <f>IF(BH110&gt;0,BH110,+COUNTIFS(S.CAL!$FX$3:$FX$374,"&gt;0",S.CAL!$FW$3:$FW$374,AZ110))</f>
        <v>0</v>
      </c>
      <c r="BE110" s="1482">
        <f t="shared" si="75"/>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482025</v>
      </c>
      <c r="BA111" s="1478">
        <f>+$AT$8</f>
        <v>48</v>
      </c>
      <c r="BB111" s="1479"/>
      <c r="BC111" s="1480">
        <f>IF(BF111&gt;0,BF111,+COUNTIFS($GF$20:$GF$50,"&gt;0",$GB$20:$GB$50,AZ111)+IF($DP$8&lt;52,+COUNTIFS($GH$20:$GH$50,"&gt;0",$GB$20:$GB$50,AZ111)))</f>
        <v>0</v>
      </c>
      <c r="BD111" s="1481">
        <f>IF(BH111&gt;0,BH111,+COUNTIFS(S.CAL!$FX$3:$FX$374,"&gt;0",S.CAL!$FW$3:$FW$374,AZ111))</f>
        <v>0</v>
      </c>
      <c r="BE111" s="1482">
        <f t="shared" si="75"/>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IF(BH112&gt;0,BH112,+COUNTIFS(S.CAL!$FX$3:$FX$374,"&gt;0",S.CAL!$FW$3:$FW$374,AZ112))</f>
        <v>0</v>
      </c>
      <c r="BE112" s="1487">
        <f t="shared" si="75"/>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442025</v>
      </c>
      <c r="BA142" s="1473">
        <f>+$AT$4</f>
        <v>44</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452025</v>
      </c>
      <c r="BA143" s="1478">
        <f>+$AT$5</f>
        <v>45</v>
      </c>
      <c r="BB143" s="1479"/>
      <c r="BC143" s="1480">
        <f t="shared" ref="BC143:BC147" si="76">+IF(BF143&gt;0,BF143,+COUNTIFS($GP$20:$GP$50,"&gt;0",$GB$20:$GB$50,AZ143))</f>
        <v>0</v>
      </c>
      <c r="BD143" s="1481">
        <f>IF(BH143&gt;0,BH143,COUNTIFS(S.CAL!$FX$3:$FX$374,"&gt;0",S.CAL!$FW$3:$FW$374,AZ143))</f>
        <v>0</v>
      </c>
      <c r="BE143" s="1482">
        <f t="shared" ref="BE143:BE147" si="77">IFERROR(ROUND(+BC143/BD143,2),0)</f>
        <v>0</v>
      </c>
      <c r="BF143" s="1501"/>
      <c r="BG143" s="1498"/>
      <c r="BH143" s="1501"/>
    </row>
    <row r="144" spans="21:81" x14ac:dyDescent="0.2">
      <c r="AZ144" s="1472" t="str">
        <f>+$BG$11</f>
        <v>462025</v>
      </c>
      <c r="BA144" s="1478">
        <f>+$AT$6</f>
        <v>46</v>
      </c>
      <c r="BB144" s="1479"/>
      <c r="BC144" s="1480">
        <f t="shared" si="76"/>
        <v>0</v>
      </c>
      <c r="BD144" s="1481">
        <f>IF(BH144&gt;0,BH144,+COUNTIFS(S.CAL!$FX$3:$FX$374,"&gt;0",S.CAL!$FW$3:$FW$374,AZ144))</f>
        <v>0</v>
      </c>
      <c r="BE144" s="1482">
        <f t="shared" si="77"/>
        <v>0</v>
      </c>
      <c r="BF144" s="1501"/>
      <c r="BG144" s="1498"/>
      <c r="BH144" s="1501"/>
    </row>
    <row r="145" spans="52:60" x14ac:dyDescent="0.2">
      <c r="AZ145" s="1472" t="str">
        <f>+$BG$12</f>
        <v>472025</v>
      </c>
      <c r="BA145" s="1478">
        <f>+$AT$7</f>
        <v>47</v>
      </c>
      <c r="BB145" s="1479"/>
      <c r="BC145" s="1480">
        <f t="shared" si="76"/>
        <v>0</v>
      </c>
      <c r="BD145" s="1481">
        <f>IF(BH145&gt;0,BH145,+COUNTIFS(S.CAL!$FX$3:$FX$374,"&gt;0",S.CAL!$FW$3:$FW$374,AZ145))</f>
        <v>0</v>
      </c>
      <c r="BE145" s="1482">
        <f t="shared" si="77"/>
        <v>0</v>
      </c>
      <c r="BF145" s="1501"/>
      <c r="BG145" s="1498"/>
      <c r="BH145" s="1501"/>
    </row>
    <row r="146" spans="52:60" x14ac:dyDescent="0.2">
      <c r="AZ146" s="1472" t="str">
        <f>+$BG$13</f>
        <v>482025</v>
      </c>
      <c r="BA146" s="1478">
        <f>+$AT$8</f>
        <v>48</v>
      </c>
      <c r="BB146" s="1479"/>
      <c r="BC146" s="1480">
        <f t="shared" si="76"/>
        <v>0</v>
      </c>
      <c r="BD146" s="1481">
        <f>IF(BH146&gt;0,BH146,+COUNTIFS(S.CAL!$FX$3:$FX$374,"&gt;0",S.CAL!$FW$3:$FW$374,AZ146))</f>
        <v>0</v>
      </c>
      <c r="BE146" s="1482">
        <f t="shared" si="77"/>
        <v>0</v>
      </c>
      <c r="BF146" s="1501"/>
      <c r="BG146" s="1498"/>
      <c r="BH146" s="1501"/>
    </row>
    <row r="147" spans="52:60" x14ac:dyDescent="0.2">
      <c r="AZ147" s="1472" t="str">
        <f>+$BG$14</f>
        <v>2025</v>
      </c>
      <c r="BA147" s="1483" t="str">
        <f>+$AT$9</f>
        <v/>
      </c>
      <c r="BB147" s="1484"/>
      <c r="BC147" s="1485">
        <f t="shared" si="76"/>
        <v>0</v>
      </c>
      <c r="BD147" s="1486">
        <f>IF(BH147&gt;0,BH147,+COUNTIFS(S.CAL!$FX$3:$FX$374,"&gt;0",S.CAL!$FW$3:$FW$374,AZ147))</f>
        <v>0</v>
      </c>
      <c r="BE147" s="1487">
        <f t="shared" si="77"/>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ffL1vjtXzpr16ASwpGKvKt9fCYAV0XqrOZsQUC5QF3LSV/mYjA2CVRztg03uDfe9NdIbHgLrTUTkR7Jpx/1QAA==" saltValue="QKKB+rXosFFtoTQLYNYw4Q==" spinCount="100000" sheet="1" objects="1" scenarios="1" formatCells="0" formatColumns="0" formatRows="0" insertColumns="0" insertRows="0" insertHyperlinks="0" sort="0" autoFilter="0" pivotTables="0"/>
  <mergeCells count="802">
    <mergeCell ref="GQ17:GQ18"/>
    <mergeCell ref="AH86:AK86"/>
    <mergeCell ref="AL86:AO86"/>
    <mergeCell ref="A64:G64"/>
    <mergeCell ref="X56:Z56"/>
    <mergeCell ref="R61:W61"/>
    <mergeCell ref="H44:J44"/>
    <mergeCell ref="BY49:BZ50"/>
    <mergeCell ref="BZ47:BZ48"/>
    <mergeCell ref="BI56:BX56"/>
    <mergeCell ref="BW57:BX57"/>
    <mergeCell ref="BI59:BX59"/>
    <mergeCell ref="BI60:BX60"/>
    <mergeCell ref="BQ54:BZ54"/>
    <mergeCell ref="BQ82:BY82"/>
    <mergeCell ref="H48:J48"/>
    <mergeCell ref="K44:M44"/>
    <mergeCell ref="AR18:AR19"/>
    <mergeCell ref="CB84:CB86"/>
    <mergeCell ref="BL18:BL19"/>
    <mergeCell ref="BA18:BA19"/>
    <mergeCell ref="AW47:AX47"/>
    <mergeCell ref="GP17:GP18"/>
    <mergeCell ref="AX63:AY63"/>
    <mergeCell ref="BA139:BA140"/>
    <mergeCell ref="BB139:BC140"/>
    <mergeCell ref="BD139:BD140"/>
    <mergeCell ref="BE139:BE140"/>
    <mergeCell ref="BA137:BH137"/>
    <mergeCell ref="BA102:BH102"/>
    <mergeCell ref="V85:AG85"/>
    <mergeCell ref="V86:AG86"/>
    <mergeCell ref="V87:AG87"/>
    <mergeCell ref="V88:AG88"/>
    <mergeCell ref="V89:AG89"/>
    <mergeCell ref="V90:AG90"/>
    <mergeCell ref="V91:AG91"/>
    <mergeCell ref="V92:AG92"/>
    <mergeCell ref="V93:AG93"/>
    <mergeCell ref="BA104:BA105"/>
    <mergeCell ref="BB104:BC105"/>
    <mergeCell ref="BD104:BD105"/>
    <mergeCell ref="BE104:BE105"/>
    <mergeCell ref="AR123:AS123"/>
    <mergeCell ref="AL87:AO87"/>
    <mergeCell ref="AL88:AO88"/>
    <mergeCell ref="AR129:AS129"/>
    <mergeCell ref="AN123:AO123"/>
    <mergeCell ref="AW46:AX46"/>
    <mergeCell ref="AW44:AX44"/>
    <mergeCell ref="AW42:AX42"/>
    <mergeCell ref="AW40:AX40"/>
    <mergeCell ref="AW41:AX41"/>
    <mergeCell ref="AW21:AX21"/>
    <mergeCell ref="AW22:AX22"/>
    <mergeCell ref="AW32:AX32"/>
    <mergeCell ref="AW34:AX34"/>
    <mergeCell ref="AW33:AX33"/>
    <mergeCell ref="BH18:BH19"/>
    <mergeCell ref="CA26:CA27"/>
    <mergeCell ref="BY26:BY27"/>
    <mergeCell ref="BZ26:BZ27"/>
    <mergeCell ref="AW45:AX45"/>
    <mergeCell ref="AW35:AX35"/>
    <mergeCell ref="BQ42:BW43"/>
    <mergeCell ref="BQ36:CA36"/>
    <mergeCell ref="AW43:AX43"/>
    <mergeCell ref="AW27:AX27"/>
    <mergeCell ref="AW28:AX28"/>
    <mergeCell ref="AW29:AX29"/>
    <mergeCell ref="AW30:AX30"/>
    <mergeCell ref="AW20:AX20"/>
    <mergeCell ref="AW36:AX36"/>
    <mergeCell ref="GF17:GF18"/>
    <mergeCell ref="GG17:GG18"/>
    <mergeCell ref="GH17:GH18"/>
    <mergeCell ref="BY44:BY45"/>
    <mergeCell ref="AW48:AX48"/>
    <mergeCell ref="H47:J47"/>
    <mergeCell ref="K56:M56"/>
    <mergeCell ref="N56:P56"/>
    <mergeCell ref="U51:W51"/>
    <mergeCell ref="R51:T51"/>
    <mergeCell ref="R53:T53"/>
    <mergeCell ref="U53:W53"/>
    <mergeCell ref="R48:T48"/>
    <mergeCell ref="U49:W49"/>
    <mergeCell ref="X47:Z47"/>
    <mergeCell ref="R44:T44"/>
    <mergeCell ref="AM47:AO47"/>
    <mergeCell ref="AJ44:AL44"/>
    <mergeCell ref="R49:T49"/>
    <mergeCell ref="H52:J52"/>
    <mergeCell ref="K52:M52"/>
    <mergeCell ref="H51:J51"/>
    <mergeCell ref="N52:P52"/>
    <mergeCell ref="AW50:AX50"/>
    <mergeCell ref="H60:J60"/>
    <mergeCell ref="K60:M60"/>
    <mergeCell ref="N60:P60"/>
    <mergeCell ref="R63:S63"/>
    <mergeCell ref="N58:P58"/>
    <mergeCell ref="H53:J53"/>
    <mergeCell ref="K53:M53"/>
    <mergeCell ref="H57:J57"/>
    <mergeCell ref="H68:J68"/>
    <mergeCell ref="H66:J66"/>
    <mergeCell ref="H67:J67"/>
    <mergeCell ref="H65:J65"/>
    <mergeCell ref="K64:M64"/>
    <mergeCell ref="N65:P65"/>
    <mergeCell ref="N67:P67"/>
    <mergeCell ref="N66:P66"/>
    <mergeCell ref="H61:M61"/>
    <mergeCell ref="K57:M57"/>
    <mergeCell ref="R64:S64"/>
    <mergeCell ref="R57:T57"/>
    <mergeCell ref="R55:T55"/>
    <mergeCell ref="H64:J64"/>
    <mergeCell ref="N64:P64"/>
    <mergeCell ref="AQ81:AS81"/>
    <mergeCell ref="AR78:AS78"/>
    <mergeCell ref="A60:G60"/>
    <mergeCell ref="R60:T60"/>
    <mergeCell ref="U60:W60"/>
    <mergeCell ref="AX60:AY60"/>
    <mergeCell ref="AU60:AW60"/>
    <mergeCell ref="X51:Z51"/>
    <mergeCell ref="K51:M51"/>
    <mergeCell ref="N61:P61"/>
    <mergeCell ref="A56:G56"/>
    <mergeCell ref="A57:G57"/>
    <mergeCell ref="A58:G58"/>
    <mergeCell ref="R52:T52"/>
    <mergeCell ref="U52:W52"/>
    <mergeCell ref="X52:Z52"/>
    <mergeCell ref="R54:T54"/>
    <mergeCell ref="U54:W54"/>
    <mergeCell ref="X54:Z54"/>
    <mergeCell ref="K58:M58"/>
    <mergeCell ref="H58:J58"/>
    <mergeCell ref="AU61:AW61"/>
    <mergeCell ref="K59:M59"/>
    <mergeCell ref="H59:J59"/>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E73:G73"/>
    <mergeCell ref="A65:A70"/>
    <mergeCell ref="B67:G67"/>
    <mergeCell ref="B66:G66"/>
    <mergeCell ref="K67:M67"/>
    <mergeCell ref="K66:M66"/>
    <mergeCell ref="K69:M69"/>
    <mergeCell ref="B65:G65"/>
    <mergeCell ref="C70:G70"/>
    <mergeCell ref="K65:M65"/>
    <mergeCell ref="AM48:AO48"/>
    <mergeCell ref="AM51:AO51"/>
    <mergeCell ref="CC45:CD45"/>
    <mergeCell ref="CA49:CA50"/>
    <mergeCell ref="CA47:CA48"/>
    <mergeCell ref="CA44:CA45"/>
    <mergeCell ref="AL77:AO77"/>
    <mergeCell ref="Z77:AK77"/>
    <mergeCell ref="AT75:AW75"/>
    <mergeCell ref="BY47:BY48"/>
    <mergeCell ref="CC44:CD44"/>
    <mergeCell ref="AJ47:AL47"/>
    <mergeCell ref="AA66:AF66"/>
    <mergeCell ref="AM66:AO66"/>
    <mergeCell ref="AR66:AZ66"/>
    <mergeCell ref="AR68:AZ68"/>
    <mergeCell ref="AQ77:AT77"/>
    <mergeCell ref="AU73:BB73"/>
    <mergeCell ref="BC62:BF64"/>
    <mergeCell ref="AX61:AY61"/>
    <mergeCell ref="AQ62:AU62"/>
    <mergeCell ref="AQ63:AU63"/>
    <mergeCell ref="BZ44:BZ45"/>
    <mergeCell ref="AX62:AY62"/>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J49:AL49"/>
    <mergeCell ref="AB50:AC50"/>
    <mergeCell ref="Z74:AK74"/>
    <mergeCell ref="Z75:AK75"/>
    <mergeCell ref="AC69:AC71"/>
    <mergeCell ref="Z78:AK78"/>
    <mergeCell ref="V80:AF81"/>
    <mergeCell ref="AR65:AZ65"/>
    <mergeCell ref="AW49:AX49"/>
    <mergeCell ref="AM50:AO50"/>
    <mergeCell ref="AV95:AY95"/>
    <mergeCell ref="AX76:AY76"/>
    <mergeCell ref="AT78:AW78"/>
    <mergeCell ref="AY78:AZ78"/>
    <mergeCell ref="AX79:AY79"/>
    <mergeCell ref="AT81:AW81"/>
    <mergeCell ref="AY81:AZ81"/>
    <mergeCell ref="AX82:AY82"/>
    <mergeCell ref="AT84:AW84"/>
    <mergeCell ref="AY84:AZ84"/>
    <mergeCell ref="AX85:AY85"/>
    <mergeCell ref="AR69:AZ69"/>
    <mergeCell ref="AY75:AZ75"/>
    <mergeCell ref="AM56:AO56"/>
    <mergeCell ref="AM64:AO64"/>
    <mergeCell ref="AL74:AO74"/>
    <mergeCell ref="AM63:AO63"/>
    <mergeCell ref="AL78:AO78"/>
    <mergeCell ref="AL70:AO70"/>
    <mergeCell ref="AM57:AO57"/>
    <mergeCell ref="AM49:AO49"/>
    <mergeCell ref="AA63:AF63"/>
    <mergeCell ref="AG63:AI63"/>
    <mergeCell ref="AJ63:AL63"/>
    <mergeCell ref="AD47:AF47"/>
    <mergeCell ref="AG45:AI45"/>
    <mergeCell ref="AD50:AF50"/>
    <mergeCell ref="AD49:AF49"/>
    <mergeCell ref="AG50:AI50"/>
    <mergeCell ref="AB57:AL57"/>
    <mergeCell ref="AJ50:AL50"/>
    <mergeCell ref="AG47:AI47"/>
    <mergeCell ref="AB46:AC46"/>
    <mergeCell ref="AD48:AF48"/>
    <mergeCell ref="AD51:AF51"/>
    <mergeCell ref="AB45:AC45"/>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BD18:BD19"/>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AJ20:AL20"/>
    <mergeCell ref="A1:AO1"/>
    <mergeCell ref="B27:K27"/>
    <mergeCell ref="B31:K31"/>
    <mergeCell ref="B29:K29"/>
    <mergeCell ref="AF3:AH3"/>
    <mergeCell ref="AM29:AO29"/>
    <mergeCell ref="Z10:AO10"/>
    <mergeCell ref="AB20:AC20"/>
    <mergeCell ref="AW31:AX31"/>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G18:AI19"/>
    <mergeCell ref="AB23:AC23"/>
    <mergeCell ref="AB30:AC30"/>
    <mergeCell ref="AB26:AC26"/>
    <mergeCell ref="AB34:AC34"/>
    <mergeCell ref="AG24:AI24"/>
    <mergeCell ref="AG26:AI26"/>
    <mergeCell ref="AJ24:AL24"/>
    <mergeCell ref="AJ30:AL30"/>
    <mergeCell ref="T25:W25"/>
    <mergeCell ref="AB29:AC29"/>
    <mergeCell ref="AB32:AC32"/>
    <mergeCell ref="AD24:AF24"/>
    <mergeCell ref="AD27:AF27"/>
    <mergeCell ref="T23:W23"/>
    <mergeCell ref="T24:W24"/>
    <mergeCell ref="AD26:AF26"/>
    <mergeCell ref="AG33:AI33"/>
    <mergeCell ref="AB24:AC24"/>
    <mergeCell ref="AJ33:AL33"/>
    <mergeCell ref="AG31:AI31"/>
    <mergeCell ref="AJ32:AL32"/>
    <mergeCell ref="AJ31:AL31"/>
    <mergeCell ref="T32:W32"/>
    <mergeCell ref="AD30:AF30"/>
    <mergeCell ref="AJ18:AL19"/>
    <mergeCell ref="AD22:AF22"/>
    <mergeCell ref="AM34:AO34"/>
    <mergeCell ref="AG35:AI35"/>
    <mergeCell ref="AJ35:AL35"/>
    <mergeCell ref="AM35:AO35"/>
    <mergeCell ref="AM30:AO30"/>
    <mergeCell ref="AJ26:AL26"/>
    <mergeCell ref="AG34:AI34"/>
    <mergeCell ref="AD34:AF34"/>
    <mergeCell ref="AM33:AO33"/>
    <mergeCell ref="AG25:AI25"/>
    <mergeCell ref="AJ29:AL29"/>
    <mergeCell ref="AJ25:AL25"/>
    <mergeCell ref="AM32:AO32"/>
    <mergeCell ref="AD35:AF35"/>
    <mergeCell ref="AM46:AO46"/>
    <mergeCell ref="AG46:AI46"/>
    <mergeCell ref="AM39:AO39"/>
    <mergeCell ref="AG44:AI44"/>
    <mergeCell ref="AG43:AI43"/>
    <mergeCell ref="AM44:AO44"/>
    <mergeCell ref="AM43:AO43"/>
    <mergeCell ref="AJ41:AL41"/>
    <mergeCell ref="AJ36:AL36"/>
    <mergeCell ref="AJ39:AL39"/>
    <mergeCell ref="AG40:AI40"/>
    <mergeCell ref="AJ46:AL46"/>
    <mergeCell ref="AJ45:AL45"/>
    <mergeCell ref="AM45:AO45"/>
    <mergeCell ref="AM40:AO40"/>
    <mergeCell ref="AM36:AO36"/>
    <mergeCell ref="AJ38:AL38"/>
    <mergeCell ref="AG41:AI41"/>
    <mergeCell ref="AG42:AI42"/>
    <mergeCell ref="AB38:AC38"/>
    <mergeCell ref="AM42:AO42"/>
    <mergeCell ref="AJ42:AL42"/>
    <mergeCell ref="AM37:AO37"/>
    <mergeCell ref="AD36:AF36"/>
    <mergeCell ref="AD41:AF41"/>
    <mergeCell ref="AD42:AF42"/>
    <mergeCell ref="AG39:AI39"/>
    <mergeCell ref="AJ40:AL40"/>
    <mergeCell ref="AM38:AO38"/>
    <mergeCell ref="AG38:AI38"/>
    <mergeCell ref="AB40:AC40"/>
    <mergeCell ref="AB42:AC42"/>
    <mergeCell ref="AD38:AF38"/>
    <mergeCell ref="AD37:AF37"/>
    <mergeCell ref="AB41:AC41"/>
    <mergeCell ref="AM41:AO41"/>
    <mergeCell ref="AG37:AI37"/>
    <mergeCell ref="AB36:AC36"/>
    <mergeCell ref="AJ37:AL37"/>
    <mergeCell ref="AG36:AI36"/>
    <mergeCell ref="AH91:AK91"/>
    <mergeCell ref="AL91:AO91"/>
    <mergeCell ref="AL99:AO99"/>
    <mergeCell ref="AL98:AO98"/>
    <mergeCell ref="AL93:AO93"/>
    <mergeCell ref="AH89:AK89"/>
    <mergeCell ref="AL84:AO84"/>
    <mergeCell ref="AG65:AI65"/>
    <mergeCell ref="AA65:AF65"/>
    <mergeCell ref="AH83:AK83"/>
    <mergeCell ref="AL80:AO82"/>
    <mergeCell ref="AL75:AO75"/>
    <mergeCell ref="AL83:AO83"/>
    <mergeCell ref="V84:AG84"/>
    <mergeCell ref="AL73:AO73"/>
    <mergeCell ref="AL85:AO85"/>
    <mergeCell ref="AB43:AC43"/>
    <mergeCell ref="AD44:AF44"/>
    <mergeCell ref="AD46:AF46"/>
    <mergeCell ref="R71:Y71"/>
    <mergeCell ref="Z70:AB70"/>
    <mergeCell ref="AD70:AK70"/>
    <mergeCell ref="AG48:AI48"/>
    <mergeCell ref="AB48:AC48"/>
    <mergeCell ref="AJ51:AL51"/>
    <mergeCell ref="AB47:AC47"/>
    <mergeCell ref="AD43:AF43"/>
    <mergeCell ref="AJ48:AL48"/>
    <mergeCell ref="AJ43:AL43"/>
    <mergeCell ref="AD45:AF45"/>
    <mergeCell ref="T65:Z65"/>
    <mergeCell ref="T66:Z66"/>
    <mergeCell ref="X49:Z49"/>
    <mergeCell ref="X48:Z48"/>
    <mergeCell ref="X45:Z45"/>
    <mergeCell ref="R50:T50"/>
    <mergeCell ref="X53:Z53"/>
    <mergeCell ref="R65:S65"/>
    <mergeCell ref="R59:T59"/>
    <mergeCell ref="X55:Z55"/>
    <mergeCell ref="R40:T40"/>
    <mergeCell ref="R39:T39"/>
    <mergeCell ref="R43:T43"/>
    <mergeCell ref="X40:Z40"/>
    <mergeCell ref="X42:Z42"/>
    <mergeCell ref="L78:P78"/>
    <mergeCell ref="L76:P76"/>
    <mergeCell ref="L74:P74"/>
    <mergeCell ref="Q74:T74"/>
    <mergeCell ref="Q78:T78"/>
    <mergeCell ref="Q76:T76"/>
    <mergeCell ref="R41:T41"/>
    <mergeCell ref="R42:T42"/>
    <mergeCell ref="U39:W39"/>
    <mergeCell ref="U40:W40"/>
    <mergeCell ref="X41:Z41"/>
    <mergeCell ref="X50:Z50"/>
    <mergeCell ref="N42:P42"/>
    <mergeCell ref="K42:M42"/>
    <mergeCell ref="H62:M62"/>
    <mergeCell ref="H45:J45"/>
    <mergeCell ref="H50:J50"/>
    <mergeCell ref="N57:P57"/>
    <mergeCell ref="U59:W59"/>
    <mergeCell ref="U57:W57"/>
    <mergeCell ref="U55:W55"/>
    <mergeCell ref="U56:W56"/>
    <mergeCell ref="T64:Z64"/>
    <mergeCell ref="K55:M55"/>
    <mergeCell ref="X60:Z60"/>
    <mergeCell ref="AD39:AF39"/>
    <mergeCell ref="AD40:AF40"/>
    <mergeCell ref="U44:W44"/>
    <mergeCell ref="N45:P45"/>
    <mergeCell ref="N50:P50"/>
    <mergeCell ref="N53:P53"/>
    <mergeCell ref="K49:M49"/>
    <mergeCell ref="R46:T46"/>
    <mergeCell ref="R45:T45"/>
    <mergeCell ref="U45:W45"/>
    <mergeCell ref="U48:W48"/>
    <mergeCell ref="U42:W42"/>
    <mergeCell ref="K46:M46"/>
    <mergeCell ref="K43:M43"/>
    <mergeCell ref="U47:W47"/>
    <mergeCell ref="X43:Z43"/>
    <mergeCell ref="U43:W43"/>
    <mergeCell ref="X44:Z44"/>
    <mergeCell ref="AB44:AC44"/>
    <mergeCell ref="N41:P41"/>
    <mergeCell ref="K41:M41"/>
    <mergeCell ref="N40:P40"/>
    <mergeCell ref="K40:M40"/>
    <mergeCell ref="P20:S20"/>
    <mergeCell ref="A25:A26"/>
    <mergeCell ref="A77:D77"/>
    <mergeCell ref="B32:K32"/>
    <mergeCell ref="T27:W27"/>
    <mergeCell ref="T28:W28"/>
    <mergeCell ref="T26:W26"/>
    <mergeCell ref="B28:K28"/>
    <mergeCell ref="AB33:AC33"/>
    <mergeCell ref="A44:G44"/>
    <mergeCell ref="A43:G43"/>
    <mergeCell ref="A42:G42"/>
    <mergeCell ref="A39:G39"/>
    <mergeCell ref="H40:J40"/>
    <mergeCell ref="N39:P39"/>
    <mergeCell ref="A40:G40"/>
    <mergeCell ref="H43:J43"/>
    <mergeCell ref="N43:P43"/>
    <mergeCell ref="A45:G45"/>
    <mergeCell ref="A8:D8"/>
    <mergeCell ref="E7:R7"/>
    <mergeCell ref="L17:O17"/>
    <mergeCell ref="P17:S17"/>
    <mergeCell ref="A17:K17"/>
    <mergeCell ref="A7:D7"/>
    <mergeCell ref="E8:R8"/>
    <mergeCell ref="A14:H14"/>
    <mergeCell ref="I14:L14"/>
    <mergeCell ref="O14:T14"/>
    <mergeCell ref="V12:Y12"/>
    <mergeCell ref="H77:K77"/>
    <mergeCell ref="N69:P69"/>
    <mergeCell ref="R66:S66"/>
    <mergeCell ref="H42:J42"/>
    <mergeCell ref="N71:P71"/>
    <mergeCell ref="H39:J39"/>
    <mergeCell ref="AD28:AF28"/>
    <mergeCell ref="AE14:AK14"/>
    <mergeCell ref="P24:S24"/>
    <mergeCell ref="P28:S28"/>
    <mergeCell ref="L25:O25"/>
    <mergeCell ref="L28:O28"/>
    <mergeCell ref="L26:O26"/>
    <mergeCell ref="R38:Z38"/>
    <mergeCell ref="H38:P38"/>
    <mergeCell ref="T31:W31"/>
    <mergeCell ref="T30:W30"/>
    <mergeCell ref="L27:O27"/>
    <mergeCell ref="P27:S27"/>
    <mergeCell ref="P26:S26"/>
    <mergeCell ref="B34:K34"/>
    <mergeCell ref="B25:K25"/>
    <mergeCell ref="T35:W35"/>
    <mergeCell ref="AB5:AC5"/>
    <mergeCell ref="AJ4:AO4"/>
    <mergeCell ref="AD25:AF25"/>
    <mergeCell ref="AL15:AO15"/>
    <mergeCell ref="AJ23:AL23"/>
    <mergeCell ref="AJ22:AL22"/>
    <mergeCell ref="F82:H82"/>
    <mergeCell ref="R70:Y70"/>
    <mergeCell ref="T63:Z63"/>
    <mergeCell ref="X61:Z61"/>
    <mergeCell ref="R62:T62"/>
    <mergeCell ref="X46:Z46"/>
    <mergeCell ref="U46:W46"/>
    <mergeCell ref="H56:J56"/>
    <mergeCell ref="R58:T58"/>
    <mergeCell ref="U58:W58"/>
    <mergeCell ref="X58:Z58"/>
    <mergeCell ref="X57:Z57"/>
    <mergeCell ref="A53:G53"/>
    <mergeCell ref="AL69:AO69"/>
    <mergeCell ref="V7:AO7"/>
    <mergeCell ref="A20:K20"/>
    <mergeCell ref="L22:O22"/>
    <mergeCell ref="P22:S22"/>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AG27:AI27"/>
    <mergeCell ref="AG28:AI28"/>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T18:W18"/>
    <mergeCell ref="T19:W19"/>
    <mergeCell ref="AL14:AO14"/>
    <mergeCell ref="P18:S18"/>
    <mergeCell ref="BV21:BZ23"/>
    <mergeCell ref="AM21:AO21"/>
    <mergeCell ref="BH17:BI17"/>
    <mergeCell ref="P15:X15"/>
    <mergeCell ref="N15:O15"/>
    <mergeCell ref="C15:M15"/>
    <mergeCell ref="P23:S23"/>
    <mergeCell ref="P21:S21"/>
    <mergeCell ref="AW23:AX23"/>
    <mergeCell ref="BC18:BC19"/>
    <mergeCell ref="BE18:BE19"/>
    <mergeCell ref="BI18:BI19"/>
    <mergeCell ref="BF18:BF19"/>
    <mergeCell ref="BJ18:BJ19"/>
    <mergeCell ref="AM20:AO20"/>
    <mergeCell ref="AZ18:AZ19"/>
    <mergeCell ref="T21:W21"/>
    <mergeCell ref="A21:K21"/>
    <mergeCell ref="A22:K22"/>
    <mergeCell ref="L20:O20"/>
    <mergeCell ref="BC17:BE17"/>
    <mergeCell ref="BO18:BO19"/>
    <mergeCell ref="CE8:CF8"/>
    <mergeCell ref="AD31:AF31"/>
    <mergeCell ref="AD33:AF33"/>
    <mergeCell ref="AB37:AC37"/>
    <mergeCell ref="AB35:AC35"/>
    <mergeCell ref="H41:J41"/>
    <mergeCell ref="K39:M39"/>
    <mergeCell ref="V8:Y8"/>
    <mergeCell ref="V9:Y9"/>
    <mergeCell ref="V10:Y10"/>
    <mergeCell ref="L35:S35"/>
    <mergeCell ref="B26:K26"/>
    <mergeCell ref="T33:W33"/>
    <mergeCell ref="U14:X14"/>
    <mergeCell ref="T20:W20"/>
    <mergeCell ref="T34:W34"/>
    <mergeCell ref="AG30:AI30"/>
    <mergeCell ref="AD29:AF29"/>
    <mergeCell ref="P25:S25"/>
    <mergeCell ref="AJ34:AL34"/>
    <mergeCell ref="AG32:AI32"/>
    <mergeCell ref="U41:W41"/>
    <mergeCell ref="X39:Z39"/>
    <mergeCell ref="A41:G41"/>
    <mergeCell ref="N46:P46"/>
    <mergeCell ref="N48:P48"/>
    <mergeCell ref="A46:G46"/>
    <mergeCell ref="A55:G55"/>
    <mergeCell ref="H49:J49"/>
    <mergeCell ref="A48:G48"/>
    <mergeCell ref="A49:G49"/>
    <mergeCell ref="N44:P44"/>
    <mergeCell ref="K45:M45"/>
    <mergeCell ref="A52:G52"/>
    <mergeCell ref="H46:J46"/>
    <mergeCell ref="A51:G51"/>
    <mergeCell ref="A54:G54"/>
    <mergeCell ref="H54:J54"/>
    <mergeCell ref="K54:M54"/>
    <mergeCell ref="N54:P54"/>
    <mergeCell ref="H55:J55"/>
    <mergeCell ref="N51:P51"/>
    <mergeCell ref="K47:M47"/>
    <mergeCell ref="N47:P47"/>
    <mergeCell ref="K48:M48"/>
    <mergeCell ref="A50:G50"/>
    <mergeCell ref="A47:G47"/>
    <mergeCell ref="K50:M50"/>
    <mergeCell ref="CE3:CF3"/>
    <mergeCell ref="CG8:CI8"/>
    <mergeCell ref="N62:P62"/>
    <mergeCell ref="R47:T47"/>
    <mergeCell ref="R56:T56"/>
    <mergeCell ref="N49:P49"/>
    <mergeCell ref="AB39:AC39"/>
    <mergeCell ref="U50:W50"/>
    <mergeCell ref="AD23:AF23"/>
    <mergeCell ref="AD32:AF32"/>
    <mergeCell ref="Z8:AO8"/>
    <mergeCell ref="Z5:AA5"/>
    <mergeCell ref="Z11:AO11"/>
    <mergeCell ref="AH12:AO12"/>
    <mergeCell ref="AM18:AO19"/>
    <mergeCell ref="AJ21:AL21"/>
    <mergeCell ref="AD18:AF19"/>
    <mergeCell ref="AG20:AI20"/>
    <mergeCell ref="N59:P59"/>
    <mergeCell ref="N55:P55"/>
    <mergeCell ref="V11:Y11"/>
    <mergeCell ref="Y15:Z15"/>
    <mergeCell ref="CE5:CF5"/>
    <mergeCell ref="AB25:AC25"/>
    <mergeCell ref="AH101:AK101"/>
    <mergeCell ref="AL100:AO100"/>
    <mergeCell ref="AJ125:AK125"/>
    <mergeCell ref="AH98:AK98"/>
    <mergeCell ref="AH99:AK99"/>
    <mergeCell ref="AG66:AI66"/>
    <mergeCell ref="F80:H80"/>
    <mergeCell ref="AL71:AO71"/>
    <mergeCell ref="Z71:AB71"/>
    <mergeCell ref="T67:Z67"/>
    <mergeCell ref="R89:T89"/>
    <mergeCell ref="AD69:AK69"/>
    <mergeCell ref="R69:AB69"/>
    <mergeCell ref="R67:S67"/>
    <mergeCell ref="AD71:AK71"/>
    <mergeCell ref="AH80:AK82"/>
    <mergeCell ref="H71:J71"/>
    <mergeCell ref="AL101:AO101"/>
    <mergeCell ref="AL89:AO89"/>
    <mergeCell ref="AH90:AK90"/>
    <mergeCell ref="AH93:AK93"/>
    <mergeCell ref="AL90:AO90"/>
    <mergeCell ref="AL92:AO92"/>
    <mergeCell ref="AH92:AK92"/>
    <mergeCell ref="A59:G59"/>
    <mergeCell ref="X59:Z59"/>
    <mergeCell ref="AH85:AK85"/>
    <mergeCell ref="AH84:AK84"/>
    <mergeCell ref="AH87:AK87"/>
    <mergeCell ref="N68:P68"/>
    <mergeCell ref="K70:M70"/>
    <mergeCell ref="H73:K73"/>
    <mergeCell ref="H76:K76"/>
    <mergeCell ref="F81:H81"/>
    <mergeCell ref="E77:G77"/>
    <mergeCell ref="E75:G75"/>
    <mergeCell ref="N70:P70"/>
    <mergeCell ref="N72:P72"/>
    <mergeCell ref="Z73:AK73"/>
    <mergeCell ref="Y73:Y75"/>
    <mergeCell ref="A81:E81"/>
    <mergeCell ref="F86:L86"/>
    <mergeCell ref="F87:I87"/>
    <mergeCell ref="A87:E87"/>
    <mergeCell ref="R87:T87"/>
    <mergeCell ref="A83:E83"/>
    <mergeCell ref="A82:E82"/>
    <mergeCell ref="A80:E80"/>
    <mergeCell ref="AE129:AF129"/>
    <mergeCell ref="R90:T90"/>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N129:AO129"/>
    <mergeCell ref="AH88:AK88"/>
    <mergeCell ref="AM127:AP127"/>
    <mergeCell ref="AM125:AP125"/>
    <mergeCell ref="AD135:AE135"/>
    <mergeCell ref="AG135:AI135"/>
    <mergeCell ref="AJ135:AK135"/>
    <mergeCell ref="AJ131:AK131"/>
    <mergeCell ref="AL131:AN131"/>
    <mergeCell ref="AO131:AP131"/>
    <mergeCell ref="AC133:AD133"/>
    <mergeCell ref="AE133:AG133"/>
    <mergeCell ref="AH133:AI133"/>
  </mergeCells>
  <conditionalFormatting sqref="A20:W20">
    <cfRule type="expression" dxfId="2524" priority="16">
      <formula>$U$14=0</formula>
    </cfRule>
  </conditionalFormatting>
  <conditionalFormatting sqref="B26:K26">
    <cfRule type="expression" dxfId="2523" priority="26">
      <formula>$U$14=0</formula>
    </cfRule>
  </conditionalFormatting>
  <conditionalFormatting sqref="B29:K29">
    <cfRule type="cellIs" dxfId="2522" priority="13" operator="greaterThan">
      <formula>0</formula>
    </cfRule>
  </conditionalFormatting>
  <conditionalFormatting sqref="C70:G70">
    <cfRule type="cellIs" dxfId="2521" priority="7" operator="greaterThan">
      <formula>0</formula>
    </cfRule>
  </conditionalFormatting>
  <conditionalFormatting sqref="F87:I87">
    <cfRule type="cellIs" dxfId="2520" priority="2" operator="greaterThan">
      <formula>0</formula>
    </cfRule>
  </conditionalFormatting>
  <conditionalFormatting sqref="F86:L86">
    <cfRule type="cellIs" dxfId="2519" priority="3" operator="greaterThan">
      <formula>0</formula>
    </cfRule>
  </conditionalFormatting>
  <conditionalFormatting sqref="H65:J65">
    <cfRule type="expression" dxfId="2518" priority="40">
      <formula>AND($AX$60="Oui",$AZ$62="hrs")</formula>
    </cfRule>
    <cfRule type="expression" dxfId="2517" priority="38">
      <formula>AND($AX$60="Oui",$AZ$62="")</formula>
    </cfRule>
  </conditionalFormatting>
  <conditionalFormatting sqref="H66:J66">
    <cfRule type="expression" dxfId="2516" priority="36">
      <formula>AND($BW$41="Non",$AX$61="Non")</formula>
    </cfRule>
    <cfRule type="expression" dxfId="2515" priority="35">
      <formula>AND($AX$61="Oui",$AZ$63="jrs")</formula>
    </cfRule>
    <cfRule type="expression" dxfId="2514" priority="34">
      <formula>AND($AX$61="Oui",$AZ$63="")</formula>
    </cfRule>
    <cfRule type="expression" dxfId="2513" priority="37">
      <formula>AND($BW$41="Oui",$AX$61="Non")</formula>
    </cfRule>
  </conditionalFormatting>
  <conditionalFormatting sqref="H70:J71">
    <cfRule type="cellIs" dxfId="2512" priority="6" operator="greaterThan">
      <formula>0</formula>
    </cfRule>
  </conditionalFormatting>
  <conditionalFormatting sqref="H65:K66">
    <cfRule type="cellIs" dxfId="2511" priority="33" operator="equal">
      <formula>0</formula>
    </cfRule>
  </conditionalFormatting>
  <conditionalFormatting sqref="H67:M68">
    <cfRule type="cellIs" dxfId="2510" priority="54" operator="equal">
      <formula>0</formula>
    </cfRule>
  </conditionalFormatting>
  <conditionalFormatting sqref="H69:M69">
    <cfRule type="cellIs" dxfId="2509" priority="8" operator="greaterThan">
      <formula>0</formula>
    </cfRule>
  </conditionalFormatting>
  <conditionalFormatting sqref="H40:Z60">
    <cfRule type="cellIs" dxfId="2508" priority="32" operator="equal">
      <formula>0</formula>
    </cfRule>
  </conditionalFormatting>
  <conditionalFormatting sqref="K81:K82 L82:T83 K88:T88 K89:Q90">
    <cfRule type="expression" dxfId="2507" priority="512">
      <formula>$EO$6="OUI"</formula>
    </cfRule>
  </conditionalFormatting>
  <conditionalFormatting sqref="K87">
    <cfRule type="expression" dxfId="2506" priority="4">
      <formula>$EO$6="OUI"</formula>
    </cfRule>
  </conditionalFormatting>
  <conditionalFormatting sqref="L18:O19">
    <cfRule type="cellIs" dxfId="2505" priority="20" operator="equal">
      <formula>0</formula>
    </cfRule>
  </conditionalFormatting>
  <conditionalFormatting sqref="L21:O22">
    <cfRule type="cellIs" dxfId="2504" priority="31" operator="equal">
      <formula>0</formula>
    </cfRule>
  </conditionalFormatting>
  <conditionalFormatting sqref="L27:O28">
    <cfRule type="cellIs" dxfId="2503" priority="14" operator="greaterThan">
      <formula>0</formula>
    </cfRule>
  </conditionalFormatting>
  <conditionalFormatting sqref="L30:O32">
    <cfRule type="cellIs" dxfId="2502" priority="12" operator="greaterThan">
      <formula>0</formula>
    </cfRule>
  </conditionalFormatting>
  <conditionalFormatting sqref="L34:O34">
    <cfRule type="cellIs" dxfId="2501" priority="10" operator="greaterThan">
      <formula>0</formula>
    </cfRule>
  </conditionalFormatting>
  <conditionalFormatting sqref="L23:S24">
    <cfRule type="cellIs" dxfId="2500" priority="15" operator="greaterThan">
      <formula>0</formula>
    </cfRule>
  </conditionalFormatting>
  <conditionalFormatting sqref="L25:S26">
    <cfRule type="containsErrors" dxfId="2499" priority="24">
      <formula>ISERROR(L25)</formula>
    </cfRule>
    <cfRule type="cellIs" dxfId="2498" priority="25" operator="equal">
      <formula>0</formula>
    </cfRule>
  </conditionalFormatting>
  <conditionalFormatting sqref="M87:T87">
    <cfRule type="expression" dxfId="2497" priority="509">
      <formula>$EO$6="OUI"</formula>
    </cfRule>
  </conditionalFormatting>
  <conditionalFormatting sqref="N65:P71">
    <cfRule type="cellIs" dxfId="2496" priority="60" operator="equal">
      <formula>0</formula>
    </cfRule>
  </conditionalFormatting>
  <conditionalFormatting sqref="O86">
    <cfRule type="expression" dxfId="2495" priority="513">
      <formula>EO6="OUI"</formula>
    </cfRule>
  </conditionalFormatting>
  <conditionalFormatting sqref="O14:T14">
    <cfRule type="expression" dxfId="2494" priority="209">
      <formula>$U$14=0</formula>
    </cfRule>
  </conditionalFormatting>
  <conditionalFormatting sqref="P20">
    <cfRule type="expression" dxfId="2493" priority="17">
      <formula>$DP$14=1</formula>
    </cfRule>
  </conditionalFormatting>
  <conditionalFormatting sqref="P18:S18">
    <cfRule type="expression" dxfId="2492" priority="21">
      <formula>$L$18=0</formula>
    </cfRule>
  </conditionalFormatting>
  <conditionalFormatting sqref="P19:S19">
    <cfRule type="expression" dxfId="2491" priority="19">
      <formula>$L$19=0</formula>
    </cfRule>
  </conditionalFormatting>
  <conditionalFormatting sqref="P21:S21">
    <cfRule type="expression" dxfId="2490" priority="30">
      <formula>$L$21=0</formula>
    </cfRule>
  </conditionalFormatting>
  <conditionalFormatting sqref="P22:S22">
    <cfRule type="expression" dxfId="2489" priority="29">
      <formula>$L$22=0</formula>
    </cfRule>
  </conditionalFormatting>
  <conditionalFormatting sqref="R87:T87">
    <cfRule type="expression" dxfId="2488" priority="508">
      <formula>$EO$7="OUI"</formula>
    </cfRule>
  </conditionalFormatting>
  <conditionalFormatting sqref="R89:T89">
    <cfRule type="expression" dxfId="2487" priority="504">
      <formula>$EO$6="OUI"</formula>
    </cfRule>
    <cfRule type="expression" dxfId="2486" priority="503">
      <formula>$EO$8="OUI"</formula>
    </cfRule>
  </conditionalFormatting>
  <conditionalFormatting sqref="R90:T90">
    <cfRule type="expression" dxfId="2485" priority="510">
      <formula>$EO$7="OUI"</formula>
    </cfRule>
    <cfRule type="expression" dxfId="2484" priority="511">
      <formula>$EO$6="OUI"</formula>
    </cfRule>
  </conditionalFormatting>
  <conditionalFormatting sqref="T20">
    <cfRule type="expression" dxfId="2483" priority="18">
      <formula>$DP$14=1</formula>
    </cfRule>
  </conditionalFormatting>
  <conditionalFormatting sqref="T30:T32">
    <cfRule type="cellIs" dxfId="2482" priority="28" operator="equal">
      <formula>0</formula>
    </cfRule>
  </conditionalFormatting>
  <conditionalFormatting sqref="T18:W19">
    <cfRule type="cellIs" dxfId="2481" priority="22" operator="equal">
      <formula>0</formula>
    </cfRule>
  </conditionalFormatting>
  <conditionalFormatting sqref="T21:W28">
    <cfRule type="cellIs" dxfId="2480" priority="27" operator="equal">
      <formula>0</formula>
    </cfRule>
  </conditionalFormatting>
  <conditionalFormatting sqref="T29:W29">
    <cfRule type="cellIs" dxfId="2479" priority="11" operator="greaterThan">
      <formula>0</formula>
    </cfRule>
  </conditionalFormatting>
  <conditionalFormatting sqref="T33:W33">
    <cfRule type="cellIs" dxfId="2478" priority="9" operator="greaterThan">
      <formula>0</formula>
    </cfRule>
  </conditionalFormatting>
  <conditionalFormatting sqref="T34:W34">
    <cfRule type="cellIs" dxfId="2477" priority="23" operator="equal">
      <formula>0</formula>
    </cfRule>
  </conditionalFormatting>
  <conditionalFormatting sqref="U14:X14">
    <cfRule type="cellIs" dxfId="2476" priority="207" operator="equal">
      <formula>0</formula>
    </cfRule>
  </conditionalFormatting>
  <conditionalFormatting sqref="V80:AF81">
    <cfRule type="cellIs" dxfId="2475" priority="1" operator="notEqual">
      <formula>"Commentaires :"</formula>
    </cfRule>
  </conditionalFormatting>
  <conditionalFormatting sqref="Y73:AO75">
    <cfRule type="expression" dxfId="2474" priority="64">
      <formula>$DP$8=52</formula>
    </cfRule>
  </conditionalFormatting>
  <conditionalFormatting sqref="AB20:AC50">
    <cfRule type="expression" dxfId="2473" priority="429">
      <formula>VLOOKUP(AB20,base_feries,1,FALSE)</formula>
    </cfRule>
    <cfRule type="expression" dxfId="2472" priority="428">
      <formula>OR(WEEKDAY(AB20,2)=6,WEEKDAY(AB20,2)=7)</formula>
    </cfRule>
    <cfRule type="expression" dxfId="2471" priority="427">
      <formula>WEEKDAY(AB20,2)=7</formula>
    </cfRule>
  </conditionalFormatting>
  <conditionalFormatting sqref="AD20:AF50">
    <cfRule type="cellIs" dxfId="2470" priority="300" operator="equal">
      <formula>0</formula>
    </cfRule>
    <cfRule type="expression" dxfId="2469" priority="299">
      <formula>FC20="oui"</formula>
    </cfRule>
  </conditionalFormatting>
  <conditionalFormatting sqref="AG20:AI50">
    <cfRule type="expression" dxfId="2468" priority="301">
      <formula>FC20="oui"</formula>
    </cfRule>
  </conditionalFormatting>
  <conditionalFormatting sqref="AH83:AH84">
    <cfRule type="cellIs" dxfId="2467" priority="523" stopIfTrue="1" operator="equal">
      <formula>0</formula>
    </cfRule>
  </conditionalFormatting>
  <conditionalFormatting sqref="AH89:AH91">
    <cfRule type="cellIs" dxfId="2466" priority="69" stopIfTrue="1" operator="equal">
      <formula>0</formula>
    </cfRule>
  </conditionalFormatting>
  <conditionalFormatting sqref="AH93:AK93">
    <cfRule type="cellIs" dxfId="2465" priority="514" operator="equal">
      <formula>0</formula>
    </cfRule>
  </conditionalFormatting>
  <conditionalFormatting sqref="AH86:AL87">
    <cfRule type="cellIs" dxfId="2464" priority="65" stopIfTrue="1" operator="equal">
      <formula>0</formula>
    </cfRule>
  </conditionalFormatting>
  <conditionalFormatting sqref="AH92:AO92">
    <cfRule type="cellIs" dxfId="2463" priority="239" operator="lessThan">
      <formula>-0.001</formula>
    </cfRule>
  </conditionalFormatting>
  <conditionalFormatting sqref="AJ20:AL50">
    <cfRule type="expression" dxfId="2462" priority="302">
      <formula>FC20="oui"</formula>
    </cfRule>
  </conditionalFormatting>
  <conditionalFormatting sqref="AL83">
    <cfRule type="cellIs" dxfId="2461" priority="522" stopIfTrue="1" operator="equal">
      <formula>0</formula>
    </cfRule>
  </conditionalFormatting>
  <conditionalFormatting sqref="AL89:AL91">
    <cfRule type="cellIs" dxfId="2460" priority="68" stopIfTrue="1" operator="equal">
      <formula>0</formula>
    </cfRule>
  </conditionalFormatting>
  <conditionalFormatting sqref="AL93">
    <cfRule type="cellIs" dxfId="2459" priority="521" stopIfTrue="1" operator="equal">
      <formula>0</formula>
    </cfRule>
  </conditionalFormatting>
  <conditionalFormatting sqref="AM20:AO50">
    <cfRule type="expression" dxfId="2458" priority="303">
      <formula>FC20="oui"</formula>
    </cfRule>
  </conditionalFormatting>
  <conditionalFormatting sqref="AP20:AP50">
    <cfRule type="expression" dxfId="2457" priority="147">
      <formula>BL20="E"</formula>
    </cfRule>
    <cfRule type="expression" dxfId="2456" priority="150">
      <formula>BL20="B"</formula>
    </cfRule>
    <cfRule type="expression" dxfId="2455" priority="149">
      <formula>BL20="C"</formula>
    </cfRule>
    <cfRule type="expression" dxfId="2454" priority="148">
      <formula>BL20="D"</formula>
    </cfRule>
    <cfRule type="expression" dxfId="2453" priority="144">
      <formula>BL20="H"</formula>
    </cfRule>
    <cfRule type="expression" dxfId="2452" priority="145">
      <formula>BL20="G"</formula>
    </cfRule>
    <cfRule type="expression" dxfId="2451" priority="146">
      <formula>BL20="F"</formula>
    </cfRule>
  </conditionalFormatting>
  <conditionalFormatting sqref="AQ62:AU62">
    <cfRule type="expression" dxfId="2450" priority="46">
      <formula>$AT$60="Non"</formula>
    </cfRule>
  </conditionalFormatting>
  <conditionalFormatting sqref="AQ63:AU63">
    <cfRule type="expression" dxfId="2449" priority="43">
      <formula>$AT$61="Non"</formula>
    </cfRule>
  </conditionalFormatting>
  <conditionalFormatting sqref="AR20:AR50">
    <cfRule type="expression" dxfId="2448" priority="189">
      <formula>AND(AR20&lt;&gt;"",AZ20&lt;&gt;"")</formula>
    </cfRule>
    <cfRule type="expression" dxfId="2447" priority="185">
      <formula>FN20=10</formula>
    </cfRule>
    <cfRule type="expression" dxfId="2446" priority="181">
      <formula>FC20="oui"</formula>
    </cfRule>
    <cfRule type="expression" dxfId="2445" priority="173">
      <formula>AB20=""</formula>
    </cfRule>
  </conditionalFormatting>
  <conditionalFormatting sqref="AR17:BJ50">
    <cfRule type="expression" dxfId="2444" priority="49">
      <formula>$EX$13="oui"</formula>
    </cfRule>
  </conditionalFormatting>
  <conditionalFormatting sqref="AS51:BJ51 DK51">
    <cfRule type="expression" dxfId="2443" priority="134">
      <formula>$EX$13="oui"</formula>
    </cfRule>
  </conditionalFormatting>
  <conditionalFormatting sqref="AT4:AT10">
    <cfRule type="expression" dxfId="2442" priority="444">
      <formula>AU4="H"</formula>
    </cfRule>
    <cfRule type="expression" dxfId="2441" priority="446">
      <formula>AU4="F"</formula>
    </cfRule>
    <cfRule type="expression" dxfId="2440" priority="447">
      <formula>AU4="E"</formula>
    </cfRule>
    <cfRule type="expression" dxfId="2439" priority="448">
      <formula>AU4="D"</formula>
    </cfRule>
    <cfRule type="expression" dxfId="2438" priority="450">
      <formula>AU4="B"</formula>
    </cfRule>
    <cfRule type="expression" dxfId="2437" priority="445">
      <formula>AU4="G"</formula>
    </cfRule>
    <cfRule type="expression" dxfId="2436" priority="449">
      <formula>AU4="C"</formula>
    </cfRule>
  </conditionalFormatting>
  <conditionalFormatting sqref="AT20:AT50">
    <cfRule type="expression" dxfId="2435" priority="184">
      <formula>FC20="oui"</formula>
    </cfRule>
    <cfRule type="expression" dxfId="2434" priority="180">
      <formula>AB20=""</formula>
    </cfRule>
  </conditionalFormatting>
  <conditionalFormatting sqref="AU4:AU10">
    <cfRule type="expression" dxfId="2433" priority="381">
      <formula>FG4="rouge"</formula>
    </cfRule>
    <cfRule type="expression" dxfId="2432" priority="380">
      <formula>AT4=""</formula>
    </cfRule>
  </conditionalFormatting>
  <conditionalFormatting sqref="AU20:AU50">
    <cfRule type="expression" dxfId="2431" priority="179">
      <formula>AB20=""</formula>
    </cfRule>
    <cfRule type="expression" dxfId="2430" priority="188">
      <formula>FC20="oui"</formula>
    </cfRule>
  </conditionalFormatting>
  <conditionalFormatting sqref="AW20:AX50">
    <cfRule type="expression" dxfId="2429" priority="191">
      <formula>WEEKDAY(AW20,2)=7</formula>
    </cfRule>
    <cfRule type="expression" dxfId="2428" priority="192">
      <formula>OR(WEEKDAY(AW20,2)=6,WEEKDAY(AW20,2)=7)</formula>
    </cfRule>
    <cfRule type="expression" dxfId="2427" priority="193">
      <formula>VLOOKUP(AW20,base_feries,1,FALSE)</formula>
    </cfRule>
  </conditionalFormatting>
  <conditionalFormatting sqref="AX62:AZ62">
    <cfRule type="expression" dxfId="2426" priority="45">
      <formula>$AX$60="Non"</formula>
    </cfRule>
  </conditionalFormatting>
  <conditionalFormatting sqref="AX63:AZ63">
    <cfRule type="expression" dxfId="2425" priority="42">
      <formula>$AX$61="Non"</formula>
    </cfRule>
  </conditionalFormatting>
  <conditionalFormatting sqref="AZ20:AZ50">
    <cfRule type="expression" dxfId="2424" priority="50">
      <formula>AB20=""</formula>
    </cfRule>
    <cfRule type="expression" dxfId="2423" priority="53">
      <formula>AND(AR20&lt;&gt;"",AZ20&lt;&gt;"")</formula>
    </cfRule>
    <cfRule type="expression" dxfId="2422" priority="52">
      <formula>FL20=10</formula>
    </cfRule>
    <cfRule type="expression" dxfId="2421" priority="51">
      <formula>FC20="oui"</formula>
    </cfRule>
  </conditionalFormatting>
  <conditionalFormatting sqref="BA20:BA50">
    <cfRule type="expression" dxfId="2420" priority="178">
      <formula>AB20=""</formula>
    </cfRule>
    <cfRule type="expression" dxfId="2419" priority="182">
      <formula>FC20="oui"</formula>
    </cfRule>
  </conditionalFormatting>
  <conditionalFormatting sqref="BA62">
    <cfRule type="expression" dxfId="2418" priority="44">
      <formula>$BA$60="Non"</formula>
    </cfRule>
  </conditionalFormatting>
  <conditionalFormatting sqref="BA63">
    <cfRule type="expression" dxfId="2417" priority="41">
      <formula>$BA$61="Non"</formula>
    </cfRule>
  </conditionalFormatting>
  <conditionalFormatting sqref="BA102 BA103:BH115">
    <cfRule type="expression" dxfId="2416" priority="95">
      <formula>$DP$8=52</formula>
    </cfRule>
  </conditionalFormatting>
  <conditionalFormatting sqref="BA137 BA138:BH149">
    <cfRule type="expression" dxfId="2415" priority="67">
      <formula>$DP$8=52</formula>
    </cfRule>
  </conditionalFormatting>
  <conditionalFormatting sqref="BC20:BC55">
    <cfRule type="cellIs" dxfId="2414" priority="187" operator="equal">
      <formula>0</formula>
    </cfRule>
    <cfRule type="expression" dxfId="2413" priority="175">
      <formula>AJ20=""</formula>
    </cfRule>
  </conditionalFormatting>
  <conditionalFormatting sqref="BC112:BH112">
    <cfRule type="expression" dxfId="2412" priority="94">
      <formula>$BA$112=""</formula>
    </cfRule>
  </conditionalFormatting>
  <conditionalFormatting sqref="BC147:BH147">
    <cfRule type="expression" dxfId="2411" priority="66">
      <formula>$BA$112=""</formula>
    </cfRule>
  </conditionalFormatting>
  <conditionalFormatting sqref="BD20:BD50">
    <cfRule type="expression" dxfId="2410" priority="176">
      <formula>FL20="oui"</formula>
    </cfRule>
  </conditionalFormatting>
  <conditionalFormatting sqref="BE20:BE50">
    <cfRule type="expression" dxfId="2409" priority="186">
      <formula>OR(BE20=0,BE20="")</formula>
    </cfRule>
  </conditionalFormatting>
  <conditionalFormatting sqref="BH20:BH50">
    <cfRule type="expression" dxfId="2408" priority="135">
      <formula>AO20=""</formula>
    </cfRule>
    <cfRule type="cellIs" dxfId="2407" priority="172" operator="equal">
      <formula>0</formula>
    </cfRule>
  </conditionalFormatting>
  <conditionalFormatting sqref="BI9:BI14">
    <cfRule type="cellIs" dxfId="2406" priority="101" operator="equal">
      <formula>0</formula>
    </cfRule>
  </conditionalFormatting>
  <conditionalFormatting sqref="BQ54">
    <cfRule type="expression" dxfId="2405" priority="424">
      <formula>$BW$41="Non"</formula>
    </cfRule>
  </conditionalFormatting>
  <conditionalFormatting sqref="BQ36:CA36">
    <cfRule type="expression" dxfId="2404" priority="425">
      <formula>$BW$41="Oui"</formula>
    </cfRule>
  </conditionalFormatting>
  <conditionalFormatting sqref="BS21:CA34">
    <cfRule type="expression" dxfId="2403" priority="81">
      <formula>$EO$12="NON"</formula>
    </cfRule>
  </conditionalFormatting>
  <conditionalFormatting sqref="BY28:BY33">
    <cfRule type="notContainsBlanks" dxfId="2402" priority="82">
      <formula>LEN(TRIM(BY28))&gt;0</formula>
    </cfRule>
  </conditionalFormatting>
  <conditionalFormatting sqref="BY56">
    <cfRule type="duplicateValues" dxfId="2401" priority="472"/>
    <cfRule type="expression" dxfId="2400" priority="471">
      <formula>$BW$41="Oui"</formula>
    </cfRule>
  </conditionalFormatting>
  <conditionalFormatting sqref="BY60">
    <cfRule type="expression" dxfId="2399" priority="465">
      <formula>$BW$41="Oui"</formula>
    </cfRule>
    <cfRule type="cellIs" dxfId="2398" priority="466" operator="lessThan">
      <formula>$BY$59</formula>
    </cfRule>
    <cfRule type="duplicateValues" dxfId="2397" priority="467"/>
  </conditionalFormatting>
  <conditionalFormatting sqref="CA56">
    <cfRule type="expression" dxfId="2396" priority="276">
      <formula>AND($CA$56&lt;$CE$47,$BW$41="Non")</formula>
    </cfRule>
  </conditionalFormatting>
  <conditionalFormatting sqref="CB78">
    <cfRule type="cellIs" dxfId="2395" priority="565" stopIfTrue="1" operator="equal">
      <formula>"NON"</formula>
    </cfRule>
    <cfRule type="cellIs" dxfId="2394" priority="566" stopIfTrue="1" operator="equal">
      <formula>"OUI"</formula>
    </cfRule>
  </conditionalFormatting>
  <conditionalFormatting sqref="CE53:CE54">
    <cfRule type="expression" dxfId="2393" priority="153">
      <formula>$BW$41="Non"</formula>
    </cfRule>
  </conditionalFormatting>
  <conditionalFormatting sqref="CE57:CE58">
    <cfRule type="expression" dxfId="2392" priority="152">
      <formula>$BW$41="Non"</formula>
    </cfRule>
  </conditionalFormatting>
  <conditionalFormatting sqref="CE3:CF3">
    <cfRule type="expression" dxfId="2391" priority="114">
      <formula>$CD$3=""</formula>
    </cfRule>
    <cfRule type="expression" dxfId="2390" priority="113">
      <formula>AND($CE$3="",$CE$5&lt;&gt;"")</formula>
    </cfRule>
    <cfRule type="expression" dxfId="2389" priority="112">
      <formula>$FX$3="vrai"</formula>
    </cfRule>
  </conditionalFormatting>
  <conditionalFormatting sqref="CE5:CF5">
    <cfRule type="expression" dxfId="2388" priority="121">
      <formula>OR(AND(CE5&lt;&gt;0,CE5&lt;AJ4),AND(CE5&lt;&gt;0,CE5&gt;EG5),AND(CE5&lt;&gt;0,CE5&lt;AB20))</formula>
    </cfRule>
    <cfRule type="expression" dxfId="2387" priority="120">
      <formula>CD5=""</formula>
    </cfRule>
    <cfRule type="expression" dxfId="2386" priority="119">
      <formula>$FX$5="vrai"</formula>
    </cfRule>
  </conditionalFormatting>
  <conditionalFormatting sqref="CE8:CF8">
    <cfRule type="cellIs" dxfId="2385" priority="118" operator="greaterThan">
      <formula>$CE$5</formula>
    </cfRule>
    <cfRule type="expression" dxfId="2384" priority="117">
      <formula>AND(CE8&lt;&gt;0,CE8&lt;AJ4)</formula>
    </cfRule>
    <cfRule type="expression" dxfId="2383" priority="116">
      <formula>CD8=""</formula>
    </cfRule>
    <cfRule type="expression" dxfId="2382" priority="115">
      <formula>$FX$8="vrai"</formula>
    </cfRule>
  </conditionalFormatting>
  <conditionalFormatting sqref="CF47">
    <cfRule type="notContainsBlanks" dxfId="2381" priority="412">
      <formula>LEN(TRIM(CF47))&gt;0</formula>
    </cfRule>
  </conditionalFormatting>
  <conditionalFormatting sqref="CF49">
    <cfRule type="notContainsBlanks" dxfId="2380" priority="411">
      <formula>LEN(TRIM(CF49))&gt;0</formula>
    </cfRule>
  </conditionalFormatting>
  <conditionalFormatting sqref="CF53:CF54">
    <cfRule type="expression" dxfId="2379" priority="156">
      <formula>$BW$41="Non"</formula>
    </cfRule>
  </conditionalFormatting>
  <conditionalFormatting sqref="CF57:CF58">
    <cfRule type="expression" dxfId="2378" priority="154">
      <formula>$BW$41="Non"</formula>
    </cfRule>
  </conditionalFormatting>
  <conditionalFormatting sqref="CG8:CI8">
    <cfRule type="expression" dxfId="2377" priority="248">
      <formula>CD8=""</formula>
    </cfRule>
  </conditionalFormatting>
  <conditionalFormatting sqref="GW16:HR16">
    <cfRule type="expression" dxfId="2376" priority="402">
      <formula>$AE$123="NON"</formula>
    </cfRule>
  </conditionalFormatting>
  <conditionalFormatting sqref="HG16:HJ16">
    <cfRule type="expression" dxfId="2375" priority="4902">
      <formula>AR123&gt;0</formula>
    </cfRule>
  </conditionalFormatting>
  <conditionalFormatting sqref="HK16:HN16">
    <cfRule type="expression" dxfId="2374" priority="490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7"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1"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2" width="12.42578125" style="198" hidden="1" customWidth="1"/>
    <col min="63" max="65" width="8.7109375" style="198" hidden="1" customWidth="1"/>
    <col min="66" max="66" width="3" style="198" hidden="1" customWidth="1"/>
    <col min="67" max="67" width="7"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1916" t="s">
        <v>510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BA1" s="827"/>
      <c r="BB1" s="208"/>
      <c r="BC1" s="827"/>
      <c r="BD1" s="827"/>
      <c r="BZ1" s="129" t="s">
        <v>1049</v>
      </c>
      <c r="CA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J1" s="333" t="s">
        <v>1130</v>
      </c>
      <c r="DK1" s="333" t="s">
        <v>1131</v>
      </c>
      <c r="DL1" s="333">
        <f>+ROUND(INT(DL3),0)</f>
        <v>6</v>
      </c>
      <c r="DO1" s="751" t="s">
        <v>521</v>
      </c>
      <c r="EF1" s="333" t="s">
        <v>963</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258</v>
      </c>
      <c r="AU2" s="129"/>
      <c r="BF2" s="2131" t="s">
        <v>1106</v>
      </c>
      <c r="BG2" s="2131"/>
      <c r="BH2" s="2131"/>
      <c r="BI2" s="2131"/>
      <c r="BJ2" s="2131"/>
      <c r="BK2" s="2131"/>
      <c r="BL2" s="2131"/>
      <c r="BM2" s="2131"/>
      <c r="BN2" s="2131"/>
      <c r="BO2" s="2131"/>
      <c r="BP2" s="2131"/>
      <c r="BQ2" s="2131"/>
      <c r="BR2" s="2128" t="s">
        <v>519</v>
      </c>
      <c r="BS2" s="2128"/>
      <c r="BT2" s="2128"/>
      <c r="BU2" s="2128"/>
      <c r="BV2" s="2128"/>
      <c r="BW2" s="2128"/>
      <c r="BX2" s="2128"/>
      <c r="BY2" s="129" t="str">
        <f>+VLOOKUP(X3,S.CAL!DH3:DI14,2,FALSE)</f>
        <v>Fiche info</v>
      </c>
      <c r="BZ2" s="1135"/>
      <c r="CA2" s="669" t="s">
        <v>1098</v>
      </c>
      <c r="CC2" s="131"/>
      <c r="CD2" s="88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K2" s="333" t="s">
        <v>1132</v>
      </c>
      <c r="DL2" s="333">
        <f>+IF(DL4&gt;=10,DL4,"0"&amp;DL4)</f>
        <v>16</v>
      </c>
      <c r="DO2" s="420" t="s">
        <v>932</v>
      </c>
      <c r="DP2" s="333">
        <f>+VLOOKUP(DP4,base_donné_contrat,15,FALSE)</f>
        <v>0</v>
      </c>
      <c r="EF2" s="333" t="s">
        <v>961</v>
      </c>
      <c r="EG2" s="753" t="e">
        <f>+BZ68+BZ81+BZ84</f>
        <v>#DIV/0!</v>
      </c>
    </row>
    <row r="3" spans="1:226" ht="18" customHeight="1" x14ac:dyDescent="0.25">
      <c r="A3" s="1949" t="s">
        <v>0</v>
      </c>
      <c r="B3" s="1950"/>
      <c r="C3" s="1950"/>
      <c r="D3" s="1950"/>
      <c r="E3" s="1950"/>
      <c r="F3" s="1950"/>
      <c r="G3" s="1950"/>
      <c r="H3" s="1950"/>
      <c r="I3" s="1950"/>
      <c r="J3" s="1950"/>
      <c r="K3" s="1950"/>
      <c r="L3" s="1950"/>
      <c r="M3" s="1950"/>
      <c r="N3" s="1950"/>
      <c r="O3" s="1950"/>
      <c r="P3" s="1950"/>
      <c r="Q3" s="1950"/>
      <c r="R3" s="1951"/>
      <c r="S3" s="199"/>
      <c r="T3" s="199"/>
      <c r="U3" s="199"/>
      <c r="V3" s="201" t="s">
        <v>32</v>
      </c>
      <c r="W3" s="202"/>
      <c r="X3" s="1923">
        <f>DATE(YEAR(Janvier!X3),MONTH(Janvier!X3)+11,DAY(Janvier!X3))</f>
        <v>45992</v>
      </c>
      <c r="Y3" s="1924"/>
      <c r="Z3" s="1924"/>
      <c r="AA3" s="1924"/>
      <c r="AB3" s="1924"/>
      <c r="AC3" s="1925"/>
      <c r="AD3" s="199"/>
      <c r="AE3" s="199"/>
      <c r="AF3" s="1917" t="s">
        <v>29</v>
      </c>
      <c r="AG3" s="1918"/>
      <c r="AH3" s="1919"/>
      <c r="AI3" s="1889">
        <f>Identification!B25</f>
        <v>0</v>
      </c>
      <c r="AJ3" s="1890"/>
      <c r="AK3" s="1890"/>
      <c r="AL3" s="1890"/>
      <c r="AM3" s="1890"/>
      <c r="AN3" s="1890"/>
      <c r="AO3" s="1891"/>
      <c r="AQ3" s="334"/>
      <c r="AT3" s="129" t="s">
        <v>233</v>
      </c>
      <c r="AU3" s="129" t="s">
        <v>234</v>
      </c>
      <c r="AX3" s="2307" t="s">
        <v>1100</v>
      </c>
      <c r="AY3" s="2307"/>
      <c r="AZ3" s="2307"/>
      <c r="CA3" s="466"/>
      <c r="CD3" s="131" t="str">
        <f>+IF(BZ8="OUI","Motif de la rupture :","")</f>
        <v/>
      </c>
      <c r="CE3" s="1874"/>
      <c r="CF3" s="1874"/>
      <c r="CG3" s="198">
        <f>+IF(CE3=S.CAL!FO1,S.CAL!FP1,IF(CE3=S.CAL!FO2,S.CAL!FP2,IF(CE3=S.CAL!FO3,S.CAL!FP30,0)))</f>
        <v>0</v>
      </c>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K3" s="333" t="s">
        <v>1133</v>
      </c>
      <c r="DL3" s="333">
        <f>2.65*9/CE49</f>
        <v>6.2763157894736841</v>
      </c>
      <c r="DO3" s="420" t="s">
        <v>933</v>
      </c>
      <c r="DP3" s="333">
        <f>+VLOOKUP(DP4,base_donné_contrat,14,FALSE)</f>
        <v>0</v>
      </c>
      <c r="EF3" s="333" t="s">
        <v>964</v>
      </c>
      <c r="EG3" s="754" t="e">
        <f>+EG7</f>
        <v>#DIV/0!</v>
      </c>
      <c r="FG3" s="333" t="s">
        <v>1172</v>
      </c>
      <c r="FX3" s="129" t="str">
        <f>+IF(AND(CD3="",CE3&lt;&gt;""),"vrai","faux")</f>
        <v>faux</v>
      </c>
    </row>
    <row r="4" spans="1:226" x14ac:dyDescent="0.2">
      <c r="A4" s="1911" t="s">
        <v>33</v>
      </c>
      <c r="B4" s="1912"/>
      <c r="C4" s="1912"/>
      <c r="D4" s="1912"/>
      <c r="E4" s="1912">
        <f>Identification!B7</f>
        <v>0</v>
      </c>
      <c r="F4" s="1912"/>
      <c r="G4" s="1912"/>
      <c r="H4" s="1912"/>
      <c r="I4" s="1912"/>
      <c r="J4" s="1912"/>
      <c r="K4" s="1912"/>
      <c r="L4" s="1912"/>
      <c r="M4" s="1912"/>
      <c r="N4" s="1912"/>
      <c r="O4" s="1912"/>
      <c r="P4" s="1912"/>
      <c r="Q4" s="1912"/>
      <c r="R4" s="1956"/>
      <c r="V4" s="203" t="s">
        <v>12</v>
      </c>
      <c r="W4" s="204"/>
      <c r="X4" s="1926">
        <f>Identification!B60</f>
        <v>2025</v>
      </c>
      <c r="Y4" s="1927"/>
      <c r="Z4" s="1927"/>
      <c r="AA4" s="1927"/>
      <c r="AB4" s="1927"/>
      <c r="AC4" s="1928"/>
      <c r="AE4" s="205"/>
      <c r="AF4" s="1889" t="s">
        <v>34</v>
      </c>
      <c r="AG4" s="1890"/>
      <c r="AH4" s="1890"/>
      <c r="AI4" s="1891"/>
      <c r="AJ4" s="1920">
        <f>Janvier!AJ4</f>
        <v>0</v>
      </c>
      <c r="AK4" s="1921"/>
      <c r="AL4" s="1921"/>
      <c r="AM4" s="1921"/>
      <c r="AN4" s="1921"/>
      <c r="AO4" s="1922"/>
      <c r="AP4" s="206"/>
      <c r="AQ4" s="335"/>
      <c r="AR4" s="206"/>
      <c r="AS4" s="208"/>
      <c r="AT4" s="319">
        <f t="array" ref="AT4">IFERROR(INDEX($BK$20:$BK$50,MATCH(0,INDEX(COUNTIF($AT$3:AT3,$BK$20:$BK$50),0,0),0)),"")</f>
        <v>49</v>
      </c>
      <c r="AU4" s="1144" t="s">
        <v>235</v>
      </c>
      <c r="AV4" s="208"/>
      <c r="AW4" s="208"/>
      <c r="AX4" s="208"/>
      <c r="AY4" s="208"/>
      <c r="BJ4" s="208"/>
      <c r="BK4" s="208"/>
      <c r="BL4" s="208"/>
      <c r="BM4" s="208"/>
      <c r="BN4" s="208"/>
      <c r="BO4" s="208"/>
      <c r="BR4" s="1729" t="s">
        <v>15</v>
      </c>
      <c r="BS4" s="1729"/>
      <c r="BT4" s="1729"/>
      <c r="BU4" s="1729"/>
      <c r="BV4" s="1729"/>
      <c r="BW4" s="1729"/>
      <c r="BX4" s="1729"/>
      <c r="BY4" s="489">
        <f>IF(BZ4="",IF(Identification!B66="NON",VLOOKUP(AB20,Identification!A71:B74,2,TRUE),VLOOKUP(AB20,Identification!A78:B81,2,TRUE)),BZ4)</f>
        <v>0.78120000000000001</v>
      </c>
      <c r="BZ4" s="1135"/>
      <c r="CA4" s="465"/>
      <c r="CE4" s="584"/>
      <c r="CF4" s="584"/>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K4" s="333" t="s">
        <v>1132</v>
      </c>
      <c r="DL4" s="333">
        <f>+ROUNDDOWN((DL3-DL1)*60/100*100,0)</f>
        <v>16</v>
      </c>
      <c r="DO4" s="420" t="s">
        <v>209</v>
      </c>
      <c r="DP4" s="333" t="str">
        <f>IF(Novembre!BY8="OUI","Contrat fini",BY2)</f>
        <v>Fiche info</v>
      </c>
      <c r="EF4" s="333" t="s">
        <v>1044</v>
      </c>
      <c r="EG4" s="755">
        <f>+Identification!B95</f>
        <v>0</v>
      </c>
      <c r="FG4" s="333">
        <f>IFERROR(IF(VLOOKUP(AT4,Novembre!$AT$4:$AU$10,2,FALSE)&lt;&gt;Décembre!AU4,"rouge","ok"),0)</f>
        <v>0</v>
      </c>
    </row>
    <row r="5" spans="1:226" x14ac:dyDescent="0.2">
      <c r="A5" s="1804" t="s">
        <v>35</v>
      </c>
      <c r="B5" s="1805"/>
      <c r="C5" s="1805"/>
      <c r="D5" s="1805"/>
      <c r="E5" s="1805">
        <f>Identification!B10</f>
        <v>0</v>
      </c>
      <c r="F5" s="1805"/>
      <c r="G5" s="1805"/>
      <c r="H5" s="1805"/>
      <c r="I5" s="1805"/>
      <c r="J5" s="1805"/>
      <c r="K5" s="1805"/>
      <c r="L5" s="1805"/>
      <c r="M5" s="1805"/>
      <c r="N5" s="1805"/>
      <c r="O5" s="1805"/>
      <c r="P5" s="1805"/>
      <c r="Q5" s="1805"/>
      <c r="R5" s="1885"/>
      <c r="V5" s="209" t="s">
        <v>459</v>
      </c>
      <c r="W5" s="210"/>
      <c r="X5" s="1947">
        <f>+IF(AND(DATE(YEAR(AJ4),MONTH(AJ4),DAY(AJ4))&gt;=DATE(YEAR(X3),MONTH(X3),DAY(X3)),DATE(YEAR(AJ4),MONTH(AJ4),DAY(AJ4))&lt;=DATE(YEAR(X3),MONTH(X3),DAY(EOMONTH(X3,0)))),AJ4,X3)</f>
        <v>45992</v>
      </c>
      <c r="Y5" s="1948"/>
      <c r="Z5" s="1953" t="s">
        <v>460</v>
      </c>
      <c r="AA5" s="1953"/>
      <c r="AB5" s="1948">
        <f>+IF(AND(DATE(YEAR(EG4),MONTH(EG4),DAY(EG4))&gt;=DATE(YEAR(X3),MONTH(X3),DAY(X3)),DATE(YEAR(EG4),MONTH(EG4),DAY(EG4))&lt;=DATE(YEAR(X3),MONTH(X3),DAY(EOMONTH(X3,0)))),EG4,EOMONTH(X3,0))</f>
        <v>46022</v>
      </c>
      <c r="AC5" s="1952"/>
      <c r="AP5" s="211"/>
      <c r="AQ5" s="336"/>
      <c r="AR5" s="211"/>
      <c r="AS5" s="212"/>
      <c r="AT5" s="319">
        <f t="array" ref="AT5">IFERROR(INDEX($BK$20:$BK$50,MATCH(0,INDEX(COUNTIF($AT$3:AT4,$BK$20:$BK$50),0,0),0)),"")</f>
        <v>50</v>
      </c>
      <c r="AU5" s="1144" t="s">
        <v>235</v>
      </c>
      <c r="AV5" s="212"/>
      <c r="AW5" s="212"/>
      <c r="AX5" s="212"/>
      <c r="AY5" s="212"/>
      <c r="BJ5" s="212"/>
      <c r="BK5" s="212"/>
      <c r="BL5" s="212"/>
      <c r="BM5" s="212"/>
      <c r="BN5" s="212"/>
      <c r="BO5" s="212"/>
      <c r="CA5" s="584"/>
      <c r="CD5" s="131" t="str">
        <f>+IF(BZ8="OUI","Date de fin de contrat :","")</f>
        <v/>
      </c>
      <c r="CE5" s="1879"/>
      <c r="CF5" s="1879"/>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O5" s="420" t="s">
        <v>522</v>
      </c>
      <c r="DP5" s="333">
        <f>+VLOOKUP(DP4,base_donné_contrat,2,FALSE)</f>
        <v>0</v>
      </c>
      <c r="EF5" s="333" t="s">
        <v>1233</v>
      </c>
      <c r="EG5" s="755">
        <f>+EOMONTH(X3,0)</f>
        <v>46022</v>
      </c>
      <c r="FG5" s="333">
        <f>IFERROR(IF(VLOOKUP(AT5,Novembre!$AT$4:$AU$10,2,FALSE)&lt;&gt;Décembre!AU5,"rouge","ok"),0)</f>
        <v>0</v>
      </c>
      <c r="FX5" s="129" t="str">
        <f>+IF(AND(CD5="",CE5&lt;&gt;""),"vrai","faux")</f>
        <v>faux</v>
      </c>
    </row>
    <row r="6" spans="1:226" x14ac:dyDescent="0.2">
      <c r="A6" s="1804" t="s">
        <v>37</v>
      </c>
      <c r="B6" s="1805"/>
      <c r="C6" s="1805"/>
      <c r="D6" s="1805"/>
      <c r="E6" s="1805" t="str">
        <f>Identification!B13&amp;"  "&amp;Identification!B16</f>
        <v>0  0</v>
      </c>
      <c r="F6" s="1805"/>
      <c r="G6" s="1805"/>
      <c r="H6" s="1805"/>
      <c r="I6" s="1805"/>
      <c r="J6" s="1805"/>
      <c r="K6" s="1805"/>
      <c r="L6" s="1805"/>
      <c r="M6" s="1805"/>
      <c r="N6" s="1805"/>
      <c r="O6" s="1805"/>
      <c r="P6" s="1805"/>
      <c r="Q6" s="1805"/>
      <c r="R6" s="1885"/>
      <c r="AQ6" s="334"/>
      <c r="AT6" s="319">
        <f t="array" ref="AT6">IFERROR(INDEX($BK$20:$BK$50,MATCH(0,INDEX(COUNTIF($AT$3:AT5,$BK$20:$BK$50),0,0),0)),"")</f>
        <v>51</v>
      </c>
      <c r="AU6" s="1144" t="s">
        <v>235</v>
      </c>
      <c r="BQ6" s="596"/>
      <c r="BR6" s="596"/>
      <c r="BS6" s="596"/>
      <c r="BT6" s="596"/>
      <c r="BU6" s="596"/>
      <c r="BV6" s="596"/>
      <c r="BW6" s="596"/>
      <c r="BX6" s="597" t="s">
        <v>520</v>
      </c>
      <c r="BY6" s="598" t="str">
        <f>+IF(BZ6="",Novembre!BY6,BZ6)</f>
        <v>Non</v>
      </c>
      <c r="BZ6" s="599"/>
      <c r="CA6" s="584"/>
      <c r="CE6" s="584"/>
      <c r="CF6" s="584"/>
      <c r="CG6" s="465"/>
      <c r="CI6" s="465"/>
      <c r="CJ6" s="465"/>
      <c r="CK6" s="465"/>
      <c r="CL6" s="465"/>
      <c r="CM6" s="465"/>
      <c r="CN6" s="465"/>
      <c r="CO6" s="465"/>
      <c r="CP6" s="465"/>
      <c r="CQ6" s="465"/>
      <c r="CR6" s="465"/>
      <c r="CS6" s="465"/>
      <c r="CT6" s="465"/>
      <c r="CU6" s="465"/>
      <c r="CV6" s="465"/>
      <c r="CW6" s="465"/>
      <c r="CX6" s="465"/>
      <c r="CY6" s="465"/>
      <c r="CZ6" s="465"/>
      <c r="DA6" s="465"/>
      <c r="DB6" s="465"/>
      <c r="DC6" s="465"/>
      <c r="DD6" s="465"/>
      <c r="DO6" s="420" t="s">
        <v>210</v>
      </c>
      <c r="DP6" s="756">
        <f>+IFERROR(VLOOKUP(X3,base_smic,2,TRUE),0)</f>
        <v>11.88</v>
      </c>
      <c r="EF6" s="333" t="s">
        <v>1561</v>
      </c>
      <c r="EG6" s="333">
        <f>+VLOOKUP(X3,Identification!A90:B92,2,TRUE)</f>
        <v>3925</v>
      </c>
      <c r="EN6" s="333" t="s">
        <v>936</v>
      </c>
      <c r="EO6" s="333" t="str">
        <f>+IF(AND(R87=0,R90=0,AE129="NON"),"OUI","")</f>
        <v>OUI</v>
      </c>
      <c r="FG6" s="333">
        <f>IFERROR(IF(VLOOKUP(AT6,Novembre!$AT$4:$AU$10,2,FALSE)&lt;&gt;Décembre!AU6,"rouge","ok"),0)</f>
        <v>0</v>
      </c>
    </row>
    <row r="7" spans="1:226" ht="16.5" thickBot="1" x14ac:dyDescent="0.3">
      <c r="A7" s="1804" t="s">
        <v>5</v>
      </c>
      <c r="B7" s="1805"/>
      <c r="C7" s="1805"/>
      <c r="D7" s="1805"/>
      <c r="E7" s="1805">
        <f>Identification!B19</f>
        <v>0</v>
      </c>
      <c r="F7" s="1805"/>
      <c r="G7" s="1805"/>
      <c r="H7" s="1805"/>
      <c r="I7" s="1805"/>
      <c r="J7" s="1805"/>
      <c r="K7" s="1805"/>
      <c r="L7" s="1805"/>
      <c r="M7" s="1805"/>
      <c r="N7" s="1805"/>
      <c r="O7" s="1805"/>
      <c r="P7" s="1805"/>
      <c r="Q7" s="1805"/>
      <c r="R7" s="1885"/>
      <c r="V7" s="2067" t="s">
        <v>9</v>
      </c>
      <c r="W7" s="2068"/>
      <c r="X7" s="2068"/>
      <c r="Y7" s="2068"/>
      <c r="Z7" s="2068"/>
      <c r="AA7" s="2068"/>
      <c r="AB7" s="2068"/>
      <c r="AC7" s="2068"/>
      <c r="AD7" s="2068"/>
      <c r="AE7" s="2068"/>
      <c r="AF7" s="2068"/>
      <c r="AG7" s="2068"/>
      <c r="AH7" s="2068"/>
      <c r="AI7" s="2068"/>
      <c r="AJ7" s="2068"/>
      <c r="AK7" s="2068"/>
      <c r="AL7" s="2068"/>
      <c r="AM7" s="2068"/>
      <c r="AN7" s="2068"/>
      <c r="AO7" s="2069"/>
      <c r="AP7" s="213"/>
      <c r="AQ7" s="337"/>
      <c r="AR7" s="213"/>
      <c r="AT7" s="319">
        <f t="array" ref="AT7">IFERROR(INDEX($BK$20:$BK$50,MATCH(0,INDEX(COUNTIF($AT$3:AT6,$BK$20:$BK$50),0,0),0)),"")</f>
        <v>52</v>
      </c>
      <c r="AU7" s="1144" t="s">
        <v>235</v>
      </c>
      <c r="BG7" s="252"/>
      <c r="BH7" s="2139" t="s">
        <v>1559</v>
      </c>
      <c r="BI7" s="2139"/>
      <c r="CA7" s="584"/>
      <c r="CB7" s="1439" t="str">
        <f>+IF(AND(BY8="NON",OR(CE3&lt;&gt;"",CE5&lt;&gt;"",CE8&lt;&gt;"")),"Si vous mettez NON dans la cellule BV8,il faut que les cellules Motifs de la rupture CB3, Date de fin de contrat CB5 , Date de notification soit vide CB8 ","")</f>
        <v/>
      </c>
      <c r="CE7" s="584"/>
      <c r="CF7" s="584"/>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O7" s="420" t="s">
        <v>211</v>
      </c>
      <c r="DP7" s="333" t="str">
        <f>+VLOOKUP(DP4,base_donné_contrat,4,FALSE)</f>
        <v>NON</v>
      </c>
      <c r="EF7" s="420" t="s">
        <v>964</v>
      </c>
      <c r="EG7" s="1586" t="e">
        <f>(T25/P18+T26/P19)*-1</f>
        <v>#DIV/0!</v>
      </c>
      <c r="EN7" s="333" t="s">
        <v>939</v>
      </c>
      <c r="EO7" s="333" t="str">
        <f>+IF(AND(EO6="",BY8="OUI",R90&lt;&gt;0),"OUI","")</f>
        <v/>
      </c>
      <c r="FG7" s="333">
        <f>IFERROR(IF(VLOOKUP(AT7,Novembre!$AT$4:$AU$10,2,FALSE)&lt;&gt;Décembre!AU7,"rouge","ok"),0)</f>
        <v>0</v>
      </c>
    </row>
    <row r="8" spans="1:226" ht="14.25" thickTop="1" thickBot="1" x14ac:dyDescent="0.25">
      <c r="A8" s="1827" t="s">
        <v>1345</v>
      </c>
      <c r="B8" s="1828"/>
      <c r="C8" s="1828"/>
      <c r="D8" s="1828"/>
      <c r="E8" s="1828" t="str">
        <f>Identification!B22</f>
        <v>Le Puy-en-Velay</v>
      </c>
      <c r="F8" s="1828"/>
      <c r="G8" s="1828"/>
      <c r="H8" s="1828"/>
      <c r="I8" s="1828"/>
      <c r="J8" s="1828"/>
      <c r="K8" s="1828"/>
      <c r="L8" s="1828"/>
      <c r="M8" s="1828"/>
      <c r="N8" s="1828"/>
      <c r="O8" s="1828"/>
      <c r="P8" s="1828"/>
      <c r="Q8" s="1828"/>
      <c r="R8" s="1829"/>
      <c r="V8" s="1911" t="s">
        <v>33</v>
      </c>
      <c r="W8" s="1912"/>
      <c r="X8" s="1912"/>
      <c r="Y8" s="1912"/>
      <c r="Z8" s="1912">
        <f>Identification!B34</f>
        <v>0</v>
      </c>
      <c r="AA8" s="1912"/>
      <c r="AB8" s="1912"/>
      <c r="AC8" s="1912"/>
      <c r="AD8" s="1912"/>
      <c r="AE8" s="1912"/>
      <c r="AF8" s="1912"/>
      <c r="AG8" s="1912"/>
      <c r="AH8" s="1912"/>
      <c r="AI8" s="1912"/>
      <c r="AJ8" s="1912"/>
      <c r="AK8" s="1912"/>
      <c r="AL8" s="1912"/>
      <c r="AM8" s="1912"/>
      <c r="AN8" s="1912"/>
      <c r="AO8" s="1956"/>
      <c r="AQ8" s="334"/>
      <c r="AT8" s="319">
        <f t="array" ref="AT8">IFERROR(INDEX($BK$20:$BK$50,MATCH(0,INDEX(COUNTIF($AT$3:AT7,$BK$20:$BK$50),0,0),0)),"")</f>
        <v>1</v>
      </c>
      <c r="AU8" s="1144" t="s">
        <v>235</v>
      </c>
      <c r="BG8" s="252"/>
      <c r="BH8" s="1462" t="str">
        <f>+AT3</f>
        <v>N° Sem.</v>
      </c>
      <c r="BI8" s="1463" t="s">
        <v>1580</v>
      </c>
      <c r="BQ8" s="2132" t="s">
        <v>219</v>
      </c>
      <c r="BR8" s="2133"/>
      <c r="BS8" s="2133"/>
      <c r="BT8" s="2133"/>
      <c r="BU8" s="2133"/>
      <c r="BV8" s="2133"/>
      <c r="BW8" s="2133"/>
      <c r="BX8" s="2133"/>
      <c r="BY8" s="985" t="str">
        <f>IF(BZ8="",Novembre!BY8,BZ8)</f>
        <v>NON</v>
      </c>
      <c r="BZ8" s="1136"/>
      <c r="CA8" s="584"/>
      <c r="CD8" s="131" t="str">
        <f>+IF(BZ8="OUI","Date de notification de la rupture ou de la démission :","")</f>
        <v/>
      </c>
      <c r="CE8" s="1880"/>
      <c r="CF8" s="1880"/>
      <c r="CG8" s="1884" t="s">
        <v>1414</v>
      </c>
      <c r="CH8" s="1884"/>
      <c r="CI8" s="1884"/>
      <c r="CJ8" s="465"/>
      <c r="CK8" s="465"/>
      <c r="CL8" s="465"/>
      <c r="CM8" s="465"/>
      <c r="CN8" s="465"/>
      <c r="CO8" s="465"/>
      <c r="CP8" s="465"/>
      <c r="CQ8" s="465"/>
      <c r="CR8" s="465"/>
      <c r="CS8" s="465"/>
      <c r="CT8" s="465"/>
      <c r="CU8" s="465"/>
      <c r="CV8" s="465"/>
      <c r="CW8" s="465"/>
      <c r="CX8" s="465"/>
      <c r="CY8" s="465"/>
      <c r="CZ8" s="465"/>
      <c r="DA8" s="465"/>
      <c r="DB8" s="465"/>
      <c r="DC8" s="465"/>
      <c r="DD8" s="465"/>
      <c r="DO8" s="420" t="s">
        <v>523</v>
      </c>
      <c r="DP8" s="333">
        <f>+VLOOKUP(DP4,base_donné_contrat,5,FALSE)</f>
        <v>0</v>
      </c>
      <c r="EN8" s="333" t="s">
        <v>966</v>
      </c>
      <c r="EO8" s="333" t="str">
        <f>+IF(AND(EO6="",R89=0,R87&gt;0,OR(T30&gt;0,T32&gt;0)),"OUI","")</f>
        <v/>
      </c>
      <c r="FG8" s="333">
        <f>IFERROR(IF(VLOOKUP(AT8,Novembre!$AT$4:$AU$10,2,FALSE)&lt;&gt;Décembre!AU8,"rouge","ok"),0)</f>
        <v>0</v>
      </c>
      <c r="FX8" s="129" t="str">
        <f>+IF(AND(CD8="",CE8&lt;&gt;""),"vrai","faux")</f>
        <v>faux</v>
      </c>
    </row>
    <row r="9" spans="1:226" ht="13.5" customHeight="1" thickTop="1" x14ac:dyDescent="0.2">
      <c r="V9" s="1804" t="s">
        <v>35</v>
      </c>
      <c r="W9" s="1805"/>
      <c r="X9" s="1805"/>
      <c r="Y9" s="1805"/>
      <c r="Z9" s="1805">
        <f>Identification!B37</f>
        <v>0</v>
      </c>
      <c r="AA9" s="1805"/>
      <c r="AB9" s="1805"/>
      <c r="AC9" s="1805"/>
      <c r="AD9" s="1805"/>
      <c r="AE9" s="1805"/>
      <c r="AF9" s="1805"/>
      <c r="AG9" s="1805"/>
      <c r="AH9" s="1805"/>
      <c r="AI9" s="1805"/>
      <c r="AJ9" s="1805"/>
      <c r="AK9" s="1805"/>
      <c r="AL9" s="1805"/>
      <c r="AM9" s="1805"/>
      <c r="AN9" s="1805"/>
      <c r="AO9" s="1885"/>
      <c r="AQ9" s="334"/>
      <c r="AT9" s="319" t="str">
        <f t="array" ref="AT9">IFERROR(INDEX($BK$20:$BK$50,MATCH(0,INDEX(COUNTIF($AT$3:AT8,$BK$20:$BK$50),0,0),0)),"")</f>
        <v/>
      </c>
      <c r="AU9" s="1144" t="s">
        <v>235</v>
      </c>
      <c r="BG9" s="1453" t="str">
        <f>+BH9&amp;$X$4</f>
        <v>492025</v>
      </c>
      <c r="BH9" s="1464">
        <f t="shared" ref="BH9:BH14" si="0">+AT4</f>
        <v>49</v>
      </c>
      <c r="BI9" s="1465">
        <f>IF($AR$13=S.CAL!$CU$2,+SUMIF(S.CAL!$FW$3:$FW$374,BG9,S.CAL!$FX$3:$FX$374),IF($AR$13=S.CAL!$CU$3,SUMIF(Feuilles_de_présence_planning!$EG$12:$EG$537,BG9,Feuilles_de_présence_planning!$EE$12:$EE$537),"err"))</f>
        <v>0</v>
      </c>
      <c r="BY9" s="198" t="str">
        <f>+IF(Novembre!BY8="OUI","FIN","O")</f>
        <v>O</v>
      </c>
      <c r="BZ9" s="653"/>
      <c r="CA9" s="198"/>
      <c r="CF9" s="891" t="str">
        <f>+IF(BZ8="OUI","Ç","")</f>
        <v/>
      </c>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O9" s="420" t="s">
        <v>40</v>
      </c>
      <c r="DP9" s="333">
        <f>+VLOOKUP(DP4,base_donné_contrat,6,FALSE)</f>
        <v>0</v>
      </c>
      <c r="EN9" s="333" t="s">
        <v>1054</v>
      </c>
      <c r="EO9" s="333" t="str">
        <f>+IF(OR(AND(CE54&lt;=DL3,CE53&gt;=CE47),AND(CE54&gt;DL3,CE53&gt;=CE54*CE47/DL3)),"OUI","NON")</f>
        <v>NON</v>
      </c>
      <c r="EP9" s="333" t="str">
        <f>+IF(OR(AND(CE58&lt;=DL3,CE57&gt;=CE47),AND(CE58&gt;DL3,CE57&gt;=CE58*CE47/DL3)),"OUI","NON")</f>
        <v>NON</v>
      </c>
      <c r="FG9" s="333" t="str">
        <f>IFERROR(IF(VLOOKUP(AT9,Novembre!$AT$4:$AU$10,2,FALSE)&lt;&gt;Décembre!AU9,"rouge","ok"),0)</f>
        <v>ok</v>
      </c>
    </row>
    <row r="10" spans="1:226" ht="15" x14ac:dyDescent="0.2">
      <c r="A10" s="1963" t="s">
        <v>38</v>
      </c>
      <c r="B10" s="1963"/>
      <c r="C10" s="1963"/>
      <c r="D10" s="1963"/>
      <c r="E10" s="1963"/>
      <c r="F10" s="1963"/>
      <c r="G10" s="1963"/>
      <c r="H10" s="1963"/>
      <c r="I10" s="1963"/>
      <c r="J10" s="1963"/>
      <c r="K10" s="1963"/>
      <c r="L10" s="1963"/>
      <c r="M10" s="1963"/>
      <c r="V10" s="1804" t="s">
        <v>37</v>
      </c>
      <c r="W10" s="1805"/>
      <c r="X10" s="1805"/>
      <c r="Y10" s="1805"/>
      <c r="Z10" s="1805" t="str">
        <f>Identification!B40&amp;" "&amp;Identification!B43</f>
        <v>0 0</v>
      </c>
      <c r="AA10" s="1805"/>
      <c r="AB10" s="1805"/>
      <c r="AC10" s="1805"/>
      <c r="AD10" s="1805"/>
      <c r="AE10" s="1805"/>
      <c r="AF10" s="1805"/>
      <c r="AG10" s="1805"/>
      <c r="AH10" s="1805"/>
      <c r="AI10" s="1805"/>
      <c r="AJ10" s="1805"/>
      <c r="AK10" s="1805"/>
      <c r="AL10" s="1805"/>
      <c r="AM10" s="1805"/>
      <c r="AN10" s="1805"/>
      <c r="AO10" s="1885"/>
      <c r="AQ10" s="334"/>
      <c r="AT10" s="319" t="str">
        <f t="array" ref="AT10">IFERROR(INDEX($BK$20:$BK$50,MATCH(0,INDEX(COUNTIF($AT$3:AT9,$BK$20:$BK$50),0,0),0)),"")</f>
        <v/>
      </c>
      <c r="AU10" s="207" t="s">
        <v>235</v>
      </c>
      <c r="BG10" s="1453" t="str">
        <f t="shared" ref="BG10:BG14" si="1">+BH10&amp;$X$4</f>
        <v>502025</v>
      </c>
      <c r="BH10" s="1464">
        <f t="shared" si="0"/>
        <v>50</v>
      </c>
      <c r="BI10" s="1465">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O10" s="420" t="s">
        <v>113</v>
      </c>
      <c r="DP10" s="333">
        <f>+VLOOKUP(DP4,base_donné_contrat,7,FALSE)</f>
        <v>0</v>
      </c>
      <c r="EL10" s="757"/>
      <c r="EM10" s="757"/>
      <c r="EN10" s="333" t="s">
        <v>1055</v>
      </c>
      <c r="EO10" s="333" t="str">
        <f>+IF(OR(AND(CE54&lt;=9,CE53&gt;=CE49),AND(CE54&gt;9,CE53&gt;=CE54*CE49/9)),"OUI","NON")</f>
        <v>NON</v>
      </c>
      <c r="EP10" s="333" t="str">
        <f>+IF(OR(AND(CE58&lt;=DL3,CE57&gt;=CE47),AND(CE58&gt;DL3,CE57&gt;=CE58*CE47/DL3)),"OUI","NON")</f>
        <v>NON</v>
      </c>
      <c r="FG10" s="333" t="str">
        <f>IFERROR(IF(VLOOKUP(AT10,Novembre!$AT$4:$AU$10,2,FALSE)&lt;&gt;Décembre!AU10,"rouge","ok"),0)</f>
        <v>ok</v>
      </c>
    </row>
    <row r="11" spans="1:226" ht="12.75" customHeight="1" x14ac:dyDescent="0.2">
      <c r="A11" s="1963"/>
      <c r="B11" s="1963"/>
      <c r="C11" s="1963"/>
      <c r="D11" s="1963"/>
      <c r="E11" s="1963"/>
      <c r="F11" s="1963"/>
      <c r="G11" s="1963"/>
      <c r="H11" s="1963"/>
      <c r="I11" s="1963"/>
      <c r="J11" s="1963"/>
      <c r="K11" s="1963"/>
      <c r="L11" s="1963"/>
      <c r="M11" s="1963"/>
      <c r="V11" s="1804" t="s">
        <v>11</v>
      </c>
      <c r="W11" s="1805"/>
      <c r="X11" s="1805"/>
      <c r="Y11" s="1805"/>
      <c r="Z11" s="1805">
        <f>Identification!B57</f>
        <v>0</v>
      </c>
      <c r="AA11" s="1805"/>
      <c r="AB11" s="1805"/>
      <c r="AC11" s="1805"/>
      <c r="AD11" s="1805"/>
      <c r="AE11" s="1805"/>
      <c r="AF11" s="1805"/>
      <c r="AG11" s="1805"/>
      <c r="AH11" s="1805"/>
      <c r="AI11" s="1805"/>
      <c r="AJ11" s="1805"/>
      <c r="AK11" s="1805"/>
      <c r="AL11" s="1805"/>
      <c r="AM11" s="1805"/>
      <c r="AN11" s="1805"/>
      <c r="AO11" s="1885"/>
      <c r="AQ11" s="334"/>
      <c r="BG11" s="1453" t="str">
        <f t="shared" si="1"/>
        <v>512025</v>
      </c>
      <c r="BH11" s="1464">
        <f t="shared" si="0"/>
        <v>51</v>
      </c>
      <c r="BI11" s="1465">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O11" s="420" t="s">
        <v>41</v>
      </c>
      <c r="DP11" s="756">
        <f>+VLOOKUP(DP4,base_donné_contrat,8,FALSE)</f>
        <v>0</v>
      </c>
      <c r="EF11" s="333" t="s">
        <v>705</v>
      </c>
      <c r="EG11" s="333" t="s">
        <v>706</v>
      </c>
      <c r="EH11" s="333" t="s">
        <v>546</v>
      </c>
      <c r="EI11" s="333" t="s">
        <v>707</v>
      </c>
      <c r="EN11" s="333" t="s">
        <v>1056</v>
      </c>
      <c r="EO11" s="333" t="str">
        <f>+IF(OR(EO9="OUI",EO10="OUI",CE53=0),"OUI","NON")</f>
        <v>OUI</v>
      </c>
      <c r="EP11" s="333" t="str">
        <f>+IF(OR(AND(CE58&lt;=DL3,CE57&gt;=CE47),AND(CE58&gt;DL3,CE57&gt;=CE58*CE47/DL3)),"OUI","NON")</f>
        <v>NON</v>
      </c>
    </row>
    <row r="12" spans="1:226" x14ac:dyDescent="0.2">
      <c r="V12" s="1827" t="s">
        <v>39</v>
      </c>
      <c r="W12" s="1828"/>
      <c r="X12" s="1828"/>
      <c r="Y12" s="1828"/>
      <c r="Z12" s="1828">
        <f>Identification!B46</f>
        <v>0</v>
      </c>
      <c r="AA12" s="1828"/>
      <c r="AB12" s="1828"/>
      <c r="AC12" s="1828"/>
      <c r="AD12" s="1828"/>
      <c r="AE12" s="1828"/>
      <c r="AF12" s="1828"/>
      <c r="AG12" s="1828"/>
      <c r="AH12" s="1828" t="str">
        <f ca="1">+IF(Identification!B52="OUI","Né(e) le : "&amp;TEXT(Identification!B49,"jj/mm/aa")&amp;" ( "&amp;DATEDIF(Identification!B49,TODAY(),"Y")&amp;" ans)","")</f>
        <v/>
      </c>
      <c r="AI12" s="1828"/>
      <c r="AJ12" s="1828"/>
      <c r="AK12" s="1828"/>
      <c r="AL12" s="1828"/>
      <c r="AM12" s="1828"/>
      <c r="AN12" s="1828"/>
      <c r="AO12" s="1829"/>
      <c r="AQ12" s="334"/>
      <c r="AR12" s="2134" t="s">
        <v>984</v>
      </c>
      <c r="AS12" s="2134"/>
      <c r="AT12" s="2134"/>
      <c r="AU12" s="2134"/>
      <c r="AV12" s="2134"/>
      <c r="AW12" s="2134"/>
      <c r="AX12" s="2134"/>
      <c r="AY12" s="2134"/>
      <c r="AZ12" s="2134"/>
      <c r="BA12" s="2134"/>
      <c r="BB12" s="2134"/>
      <c r="BC12" s="2134"/>
      <c r="BD12" s="2134"/>
      <c r="BE12" s="2134"/>
      <c r="BF12" s="2134"/>
      <c r="BG12" s="1453" t="str">
        <f t="shared" si="1"/>
        <v>522025</v>
      </c>
      <c r="BH12" s="1464">
        <f t="shared" si="0"/>
        <v>52</v>
      </c>
      <c r="BI12" s="1465">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O12" s="420" t="s">
        <v>232</v>
      </c>
      <c r="DP12" s="333">
        <f>+VLOOKUP(DP4,base_donné_contrat,9,FALSE)</f>
        <v>0.1</v>
      </c>
      <c r="EF12" s="755">
        <f>+IF(AJ4&lt;DATE(YEAR(EI21)-1,6,1),DATE(YEAR(EI21)-1,6,1),DATE(YEAR(AJ4),MONTH(AJ4),1))</f>
        <v>45444</v>
      </c>
      <c r="EG12" s="333">
        <f>+IFERROR(DATEDIF(EF12,DATE(YEAR(EH12),MONTH(EH12),1),"m"),0)</f>
        <v>12</v>
      </c>
      <c r="EH12" s="755">
        <f>+IF(AJ4&lt;DATE(YEAR(EI21),6,1),DATE(YEAR(EI21),6,1),DATE(YEAR(AJ4),MONTH(AJ4),1))</f>
        <v>45809</v>
      </c>
      <c r="EI12" s="333">
        <f>+IFERROR(DATEDIF(EH12,DATE(YEAR(EI22),MONTH(EI22)+1,1),"m"),0)</f>
        <v>7</v>
      </c>
      <c r="EN12" s="420" t="s">
        <v>1644</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296" t="str">
        <f>IF(AR14="",Novembre!AR13,AR14)</f>
        <v>à partir du tableau ci-dessous</v>
      </c>
      <c r="AS13" s="2296"/>
      <c r="AT13" s="2296"/>
      <c r="AU13" s="2296"/>
      <c r="AV13" s="2296"/>
      <c r="AW13" s="2296"/>
      <c r="AX13" s="2296"/>
      <c r="AY13" s="2296"/>
      <c r="AZ13" s="2296"/>
      <c r="BA13" s="2308" t="s">
        <v>1102</v>
      </c>
      <c r="BB13" s="2308"/>
      <c r="BC13" s="2308"/>
      <c r="BD13" s="971"/>
      <c r="BG13" s="1453" t="str">
        <f t="shared" si="1"/>
        <v>12025</v>
      </c>
      <c r="BH13" s="1464">
        <f t="shared" si="0"/>
        <v>1</v>
      </c>
      <c r="BI13" s="1465">
        <f>IF($AR$13=S.CAL!$CU$2,+SUMIF(S.CAL!$FW$200:$FW$374,BG13,S.CAL!$FX$200:$FX$374),IF($AR$13=S.CAL!$CU$3,SUMIF(Feuilles_de_présence_planning!$EG$200:$EG$537,BG13,Feuilles_de_présence_planning!$EE$200:$EE$537),"err"))</f>
        <v>0</v>
      </c>
      <c r="BZ13" s="654" t="str">
        <f>+IF(BZ8="OUI","Si nécessaire calculer l'indemnité de préavis et vérifier l'indemnité de rupture","")</f>
        <v/>
      </c>
      <c r="CA13" s="198"/>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O13" s="420" t="s">
        <v>356</v>
      </c>
      <c r="DP13" s="756">
        <f>+VLOOKUP(DP4,base_donné_contrat,12,FALSE)</f>
        <v>0</v>
      </c>
      <c r="EF13" s="333" t="s">
        <v>226</v>
      </c>
      <c r="EH13" s="333" t="s">
        <v>225</v>
      </c>
      <c r="EN13" s="333" t="s">
        <v>1212</v>
      </c>
      <c r="EO13" s="869">
        <f>+Novembre!EO13+Novembre!R89</f>
        <v>0</v>
      </c>
      <c r="EW13" s="333" t="s">
        <v>979</v>
      </c>
      <c r="EX13" s="333" t="str">
        <f>+IF(AR13=S.CAL!CU3,"oui","non")</f>
        <v>non</v>
      </c>
    </row>
    <row r="14" spans="1:226" ht="14.25" customHeight="1" x14ac:dyDescent="0.2">
      <c r="A14" s="1729" t="str">
        <f>+IF(U14=0,"Heures mensualisées :","Heures mens. (&lt; ou = à 45 hrs / sem) :")</f>
        <v>Heures mensualisées :</v>
      </c>
      <c r="B14" s="1729"/>
      <c r="C14" s="1729"/>
      <c r="D14" s="1729"/>
      <c r="E14" s="1729"/>
      <c r="F14" s="1729"/>
      <c r="G14" s="1729"/>
      <c r="H14" s="1791"/>
      <c r="I14" s="1941">
        <f>+IF(AJ125="NON",DP9,AM125)</f>
        <v>0</v>
      </c>
      <c r="J14" s="1942"/>
      <c r="K14" s="1942"/>
      <c r="L14" s="1943"/>
      <c r="O14" s="1957" t="s">
        <v>843</v>
      </c>
      <c r="P14" s="1957"/>
      <c r="Q14" s="1957"/>
      <c r="R14" s="1957"/>
      <c r="S14" s="1957"/>
      <c r="T14" s="1958"/>
      <c r="U14" s="1968">
        <f>IF(AI127="NON",+DP10,AM127)</f>
        <v>0</v>
      </c>
      <c r="V14" s="1969"/>
      <c r="W14" s="1969"/>
      <c r="X14" s="1970"/>
      <c r="AE14" s="1889" t="s">
        <v>41</v>
      </c>
      <c r="AF14" s="1890"/>
      <c r="AG14" s="1890"/>
      <c r="AH14" s="1890"/>
      <c r="AI14" s="1890"/>
      <c r="AJ14" s="1890"/>
      <c r="AK14" s="1891"/>
      <c r="AL14" s="1886">
        <f>ROUND(+DP11,4)</f>
        <v>0</v>
      </c>
      <c r="AM14" s="1887"/>
      <c r="AN14" s="1887"/>
      <c r="AO14" s="1888"/>
      <c r="AQ14" s="521" t="s">
        <v>503</v>
      </c>
      <c r="AR14" s="2297"/>
      <c r="AS14" s="2297"/>
      <c r="AT14" s="2297"/>
      <c r="AU14" s="2297"/>
      <c r="AV14" s="2297"/>
      <c r="AW14" s="2297"/>
      <c r="AX14" s="2297"/>
      <c r="AY14" s="2297"/>
      <c r="AZ14" s="2297"/>
      <c r="BA14" s="2308"/>
      <c r="BB14" s="2308"/>
      <c r="BC14" s="2308"/>
      <c r="BD14" s="971"/>
      <c r="BG14" s="1453" t="str">
        <f t="shared" si="1"/>
        <v>2025</v>
      </c>
      <c r="BH14" s="1466" t="str">
        <f t="shared" si="0"/>
        <v/>
      </c>
      <c r="BI14" s="1467">
        <f>IF($AR$13=S.CAL!$CU$2,+SUMIF(S.CAL!$FW$200:$FW$374,BG14,S.CAL!$FX$200:$FX$374),IF($AR$13=S.CAL!$CU$3,SUMIF(Feuilles_de_présence_planning!$EG$200:$EG$537,BG14,Feuilles_de_présence_planning!$EE$200:$EE$537),"err"))</f>
        <v>0</v>
      </c>
      <c r="CA14" s="198"/>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O14" s="420" t="s">
        <v>454</v>
      </c>
      <c r="DP14" s="333">
        <f>+IF(Identification!B3=S.CAL!AY2,1,2)</f>
        <v>2</v>
      </c>
      <c r="EF14" s="758" t="s">
        <v>221</v>
      </c>
      <c r="EG14" s="758" t="s">
        <v>222</v>
      </c>
      <c r="EH14" s="758" t="s">
        <v>221</v>
      </c>
      <c r="EI14" s="758" t="s">
        <v>222</v>
      </c>
      <c r="EJ14" s="758"/>
      <c r="EK14" s="758"/>
    </row>
    <row r="15" spans="1:226" ht="12.75" customHeight="1" x14ac:dyDescent="0.2">
      <c r="C15" s="1729" t="s">
        <v>930</v>
      </c>
      <c r="D15" s="1729"/>
      <c r="E15" s="1729"/>
      <c r="F15" s="1729"/>
      <c r="G15" s="1729"/>
      <c r="H15" s="1729"/>
      <c r="I15" s="1729"/>
      <c r="J15" s="1729"/>
      <c r="K15" s="1729"/>
      <c r="L15" s="1729"/>
      <c r="M15" s="2066"/>
      <c r="N15" s="2064">
        <f>+DP12</f>
        <v>0.1</v>
      </c>
      <c r="O15" s="2065"/>
      <c r="P15" s="1729" t="s">
        <v>931</v>
      </c>
      <c r="Q15" s="1729"/>
      <c r="R15" s="1729"/>
      <c r="S15" s="1729"/>
      <c r="T15" s="1729"/>
      <c r="U15" s="1729"/>
      <c r="V15" s="1729"/>
      <c r="W15" s="1729"/>
      <c r="X15" s="2066"/>
      <c r="Y15" s="2064">
        <f>+DP2</f>
        <v>0</v>
      </c>
      <c r="Z15" s="2065"/>
      <c r="AE15" s="1889" t="s">
        <v>42</v>
      </c>
      <c r="AF15" s="1890"/>
      <c r="AG15" s="1890"/>
      <c r="AH15" s="1890"/>
      <c r="AI15" s="1890"/>
      <c r="AJ15" s="1890"/>
      <c r="AK15" s="1891"/>
      <c r="AL15" s="1886">
        <f>ROUND(AL14*BY4,4)</f>
        <v>0</v>
      </c>
      <c r="AM15" s="1887"/>
      <c r="AN15" s="1887"/>
      <c r="AO15" s="1888"/>
      <c r="AP15" s="220"/>
      <c r="AQ15" s="338"/>
      <c r="AR15" s="220"/>
      <c r="BQ15" s="2312" t="s">
        <v>1105</v>
      </c>
      <c r="BR15" s="2312"/>
      <c r="BS15" s="2312"/>
      <c r="BT15" s="2312"/>
      <c r="BU15" s="2312"/>
      <c r="BV15" s="2312"/>
      <c r="BW15" s="2312"/>
      <c r="BX15" s="2312"/>
      <c r="BY15" s="2312"/>
      <c r="BZ15" s="2312"/>
      <c r="CA15" s="2312"/>
      <c r="CB15" s="2312"/>
      <c r="CC15" s="2312"/>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O15" s="420" t="s">
        <v>652</v>
      </c>
      <c r="DP15" s="759" t="e">
        <f>+DP13/DP11*12/DP8*DP11/6</f>
        <v>#DIV/0!</v>
      </c>
      <c r="DZ15" s="420"/>
      <c r="EA15" s="420"/>
      <c r="EB15" s="420"/>
      <c r="EC15" s="420"/>
      <c r="ED15" s="420"/>
      <c r="EE15" s="420" t="s">
        <v>714</v>
      </c>
      <c r="EH15" s="759">
        <f>+EH16+EH17</f>
        <v>0</v>
      </c>
      <c r="EI15" s="759">
        <f>+EI16+EI17</f>
        <v>0</v>
      </c>
      <c r="EJ15" s="759"/>
      <c r="EK15" s="759"/>
      <c r="GF15" s="129" t="s">
        <v>1583</v>
      </c>
      <c r="GJ15" s="1026" t="s">
        <v>1612</v>
      </c>
      <c r="GK15" s="1527"/>
      <c r="GL15" s="1527"/>
      <c r="GM15" s="1528"/>
      <c r="GP15" s="1546" t="s">
        <v>1665</v>
      </c>
      <c r="GW15" s="129" t="s">
        <v>1500</v>
      </c>
    </row>
    <row r="16" spans="1:226" ht="12.75" customHeight="1" x14ac:dyDescent="0.2">
      <c r="AP16" s="220"/>
      <c r="AQ16" s="1569" t="str">
        <f>+IF(AH92&lt;0,"Erreur vous posez trop de CP Acq","")</f>
        <v/>
      </c>
      <c r="AR16" s="220"/>
      <c r="BQ16" s="2312"/>
      <c r="BR16" s="2312"/>
      <c r="BS16" s="2312"/>
      <c r="BT16" s="2312"/>
      <c r="BU16" s="2312"/>
      <c r="BV16" s="2312"/>
      <c r="BW16" s="2312"/>
      <c r="BX16" s="2312"/>
      <c r="BY16" s="2312"/>
      <c r="BZ16" s="2312"/>
      <c r="CA16" s="2312"/>
      <c r="CB16" s="2312"/>
      <c r="CC16" s="2312"/>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O16" s="333" t="s">
        <v>711</v>
      </c>
      <c r="DP16" s="333" t="str">
        <f>+VLOOKUP(DP4,base_donné_contrat,10,FALSE)</f>
        <v>Méthode 1</v>
      </c>
      <c r="DZ16" s="420"/>
      <c r="EA16" s="420"/>
      <c r="EB16" s="420"/>
      <c r="EC16" s="420"/>
      <c r="ED16" s="420"/>
      <c r="EE16" s="420" t="s">
        <v>224</v>
      </c>
      <c r="EF16" s="759">
        <f>+Novembre!EF16</f>
        <v>0</v>
      </c>
      <c r="EG16" s="759">
        <f>+Novembre!EG16</f>
        <v>0</v>
      </c>
      <c r="EH16" s="759">
        <f>+Novembre!EH16+Novembre!EH17</f>
        <v>0</v>
      </c>
      <c r="EI16" s="759">
        <f>+Novembre!EI16+Novembre!EI17</f>
        <v>0</v>
      </c>
      <c r="EJ16" s="759"/>
      <c r="EK16" s="759"/>
      <c r="GJ16" s="265" t="s">
        <v>1613</v>
      </c>
      <c r="GM16" s="1529"/>
      <c r="GW16" s="1977" t="s">
        <v>212</v>
      </c>
      <c r="GX16" s="1978"/>
      <c r="GY16" s="1978"/>
      <c r="GZ16" s="1978"/>
      <c r="HA16" s="1978"/>
      <c r="HB16" s="1978"/>
      <c r="HC16" s="1978"/>
      <c r="HD16" s="1978"/>
      <c r="HE16" s="1978"/>
      <c r="HF16" s="1979"/>
      <c r="HG16" s="1982">
        <f>+IF(OR(AE123="OUI",DP7="OUI"),ROUND(SUM(T18:W29)+T31,2),0)</f>
        <v>0</v>
      </c>
      <c r="HH16" s="1983"/>
      <c r="HI16" s="1983"/>
      <c r="HJ16" s="1984"/>
      <c r="HK16" s="1903">
        <f>+IF(AND(BY8="NON",AE123="OUI"),0.1,0)</f>
        <v>0</v>
      </c>
      <c r="HL16" s="1904"/>
      <c r="HM16" s="1904"/>
      <c r="HN16" s="1905"/>
      <c r="HO16" s="1982">
        <f>ROUND(IF(AR123="",+HK16*HG16,AR123),2)</f>
        <v>0</v>
      </c>
      <c r="HP16" s="1983"/>
      <c r="HQ16" s="1983"/>
      <c r="HR16" s="1984"/>
    </row>
    <row r="17" spans="1:199" ht="13.5" customHeight="1" thickBot="1" x14ac:dyDescent="0.25">
      <c r="A17" s="1974" t="s">
        <v>43</v>
      </c>
      <c r="B17" s="1975"/>
      <c r="C17" s="1975"/>
      <c r="D17" s="1975"/>
      <c r="E17" s="1975"/>
      <c r="F17" s="1975"/>
      <c r="G17" s="1975"/>
      <c r="H17" s="1975"/>
      <c r="I17" s="1975"/>
      <c r="J17" s="1975"/>
      <c r="K17" s="1976"/>
      <c r="L17" s="1962" t="s">
        <v>44</v>
      </c>
      <c r="M17" s="1935"/>
      <c r="N17" s="1935"/>
      <c r="O17" s="1936"/>
      <c r="P17" s="1934" t="s">
        <v>45</v>
      </c>
      <c r="Q17" s="1935"/>
      <c r="R17" s="1935"/>
      <c r="S17" s="1936"/>
      <c r="T17" s="1934" t="s">
        <v>46</v>
      </c>
      <c r="U17" s="1935"/>
      <c r="V17" s="1935"/>
      <c r="W17" s="1936"/>
      <c r="AE17" s="206"/>
      <c r="AF17" s="206"/>
      <c r="AG17" s="206"/>
      <c r="AH17" s="206"/>
      <c r="AI17" s="206"/>
      <c r="AJ17" s="206"/>
      <c r="AK17" s="206"/>
      <c r="AL17" s="220"/>
      <c r="AM17" s="220"/>
      <c r="AN17" s="220"/>
      <c r="AO17" s="220"/>
      <c r="AP17" s="220"/>
      <c r="AQ17" s="1569" t="str">
        <f>+IF(AL92&lt;0,"Erreur vous posez trop de CP Anticipés","")</f>
        <v/>
      </c>
      <c r="AR17" s="220"/>
      <c r="BC17" s="2138" t="s">
        <v>1014</v>
      </c>
      <c r="BD17" s="2138"/>
      <c r="BE17" s="2138"/>
      <c r="BH17" s="2139" t="s">
        <v>1559</v>
      </c>
      <c r="BI17" s="2139"/>
      <c r="BQ17" s="2312"/>
      <c r="BR17" s="2312"/>
      <c r="BS17" s="2312"/>
      <c r="BT17" s="2312"/>
      <c r="BU17" s="2312"/>
      <c r="BV17" s="2312"/>
      <c r="BW17" s="2312"/>
      <c r="BX17" s="2312"/>
      <c r="BY17" s="2312"/>
      <c r="BZ17" s="2312"/>
      <c r="CA17" s="2312"/>
      <c r="CB17" s="2312"/>
      <c r="CC17" s="2312"/>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O17" s="333" t="s">
        <v>725</v>
      </c>
      <c r="DP17" s="333" t="str">
        <f>+VLOOKUP(DP4,base_donné_contrat,11,FALSE)</f>
        <v>Méthode 1</v>
      </c>
      <c r="DU17" s="333" t="s">
        <v>1069</v>
      </c>
      <c r="DZ17" s="420"/>
      <c r="EA17" s="420" t="s">
        <v>1070</v>
      </c>
      <c r="EB17" s="420"/>
      <c r="EC17" s="420"/>
      <c r="ED17" s="420"/>
      <c r="EE17" s="420" t="s">
        <v>223</v>
      </c>
      <c r="EF17" s="759"/>
      <c r="EG17" s="759"/>
      <c r="EH17" s="759">
        <f>IF(EI19,(ROUND(1*EF19/EI19,2)),0)</f>
        <v>0</v>
      </c>
      <c r="EI17" s="759">
        <f>MROUND(BE114,0.05)</f>
        <v>0</v>
      </c>
      <c r="EJ17" s="759"/>
      <c r="EK17" s="759"/>
      <c r="EQ17" s="2362" t="s">
        <v>975</v>
      </c>
      <c r="ER17" s="2362"/>
      <c r="ES17" s="2362"/>
      <c r="ET17" s="2362"/>
      <c r="EU17" s="2362"/>
      <c r="EV17" s="1411"/>
      <c r="EW17" s="2361" t="s">
        <v>976</v>
      </c>
      <c r="EX17" s="2361"/>
      <c r="EY17" s="2361"/>
      <c r="EZ17" s="2361"/>
      <c r="FA17" s="2361"/>
      <c r="FB17" s="795"/>
      <c r="GF17" s="2295" t="s">
        <v>1584</v>
      </c>
      <c r="GG17" s="2295" t="s">
        <v>1585</v>
      </c>
      <c r="GH17" s="1963" t="s">
        <v>1586</v>
      </c>
      <c r="GJ17" s="265"/>
      <c r="GM17" s="1529"/>
      <c r="GP17" s="2289" t="s">
        <v>1666</v>
      </c>
      <c r="GQ17" s="2289" t="s">
        <v>1585</v>
      </c>
    </row>
    <row r="18" spans="1:199" ht="13.5" customHeight="1" thickTop="1" x14ac:dyDescent="0.2">
      <c r="A18" s="1755" t="str">
        <f>+IF(DP29="OUI","Salaire heures normales réelles",IF(U14&gt;0,"Salaire mensualisé (hrs &lt; ou = à 45 hrs / sem)","Salaire mensualisé"))</f>
        <v>Salaire mensualisé</v>
      </c>
      <c r="B18" s="1756"/>
      <c r="C18" s="1756"/>
      <c r="D18" s="1756"/>
      <c r="E18" s="1756"/>
      <c r="F18" s="1756"/>
      <c r="G18" s="1756"/>
      <c r="H18" s="1756"/>
      <c r="I18" s="1756"/>
      <c r="J18" s="1756"/>
      <c r="K18" s="1757"/>
      <c r="L18" s="1959">
        <f>IF(A18="Salaire heures normales réelles",AM51-L19,I14)</f>
        <v>0</v>
      </c>
      <c r="M18" s="1960"/>
      <c r="N18" s="1960"/>
      <c r="O18" s="1961"/>
      <c r="P18" s="1964">
        <f>AL14</f>
        <v>0</v>
      </c>
      <c r="Q18" s="1965"/>
      <c r="R18" s="1965"/>
      <c r="S18" s="1966"/>
      <c r="T18" s="1971">
        <f t="shared" ref="T18:T20" si="2">+ROUND(P18*L18,2)</f>
        <v>0</v>
      </c>
      <c r="U18" s="1972"/>
      <c r="V18" s="1972"/>
      <c r="W18" s="1973"/>
      <c r="AB18" s="1929" t="s">
        <v>16</v>
      </c>
      <c r="AC18" s="1930"/>
      <c r="AD18" s="1937" t="s">
        <v>1017</v>
      </c>
      <c r="AE18" s="1937"/>
      <c r="AF18" s="1937"/>
      <c r="AG18" s="1930" t="s">
        <v>48</v>
      </c>
      <c r="AH18" s="1930"/>
      <c r="AI18" s="1930"/>
      <c r="AJ18" s="1930" t="s">
        <v>49</v>
      </c>
      <c r="AK18" s="1930"/>
      <c r="AL18" s="1930"/>
      <c r="AM18" s="1937" t="s">
        <v>1018</v>
      </c>
      <c r="AN18" s="1937"/>
      <c r="AO18" s="1938"/>
      <c r="AQ18" s="334"/>
      <c r="AR18" s="2087" t="s">
        <v>696</v>
      </c>
      <c r="AT18" s="1986" t="s">
        <v>48</v>
      </c>
      <c r="AU18" s="1894" t="s">
        <v>49</v>
      </c>
      <c r="AV18" s="520"/>
      <c r="AW18" s="520"/>
      <c r="AX18" s="520"/>
      <c r="AY18" s="520"/>
      <c r="AZ18" s="1894" t="s">
        <v>1017</v>
      </c>
      <c r="BA18" s="1896" t="s">
        <v>1018</v>
      </c>
      <c r="BB18" s="562"/>
      <c r="BC18" s="1898" t="s">
        <v>1012</v>
      </c>
      <c r="BD18" s="1894" t="s">
        <v>1326</v>
      </c>
      <c r="BE18" s="1898" t="s">
        <v>1013</v>
      </c>
      <c r="BF18" s="2089" t="s">
        <v>503</v>
      </c>
      <c r="BG18" s="217"/>
      <c r="BH18" s="2278" t="s">
        <v>1012</v>
      </c>
      <c r="BI18" s="2089" t="s">
        <v>503</v>
      </c>
      <c r="BJ18" s="1892" t="s">
        <v>247</v>
      </c>
      <c r="BK18" s="1990" t="s">
        <v>251</v>
      </c>
      <c r="BL18" s="1990" t="s">
        <v>250</v>
      </c>
      <c r="BM18" s="1990" t="s">
        <v>248</v>
      </c>
      <c r="BN18" s="1990" t="s">
        <v>239</v>
      </c>
      <c r="BO18" s="1987" t="s">
        <v>1010</v>
      </c>
      <c r="BP18" s="2144" t="s">
        <v>1011</v>
      </c>
      <c r="BW18" s="217"/>
      <c r="BX18" s="217"/>
      <c r="BY18" s="217"/>
      <c r="CA18" s="198"/>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O18" s="420" t="s">
        <v>852</v>
      </c>
      <c r="DP18" s="333">
        <f>IF(OR(I14,U14),+U14/(I14+U14),0)</f>
        <v>0</v>
      </c>
      <c r="DX18" s="333" t="s">
        <v>1057</v>
      </c>
      <c r="DZ18" s="420"/>
      <c r="EA18" s="420"/>
      <c r="EB18" s="420"/>
      <c r="EC18" s="420"/>
      <c r="ED18" s="420"/>
      <c r="EE18" s="420" t="s">
        <v>704</v>
      </c>
      <c r="EF18" s="759">
        <f>EF16*2.5</f>
        <v>0</v>
      </c>
      <c r="EG18" s="759">
        <f>EG16/4*2.5</f>
        <v>0</v>
      </c>
      <c r="EH18" s="759">
        <f>(EH17+EH16)*2.5</f>
        <v>0</v>
      </c>
      <c r="EI18" s="759">
        <f>(EI17+EI16)/4*2.5</f>
        <v>0</v>
      </c>
      <c r="EJ18" s="759"/>
      <c r="EK18" s="759"/>
      <c r="EQ18" s="796"/>
      <c r="ER18" s="796"/>
      <c r="ES18" s="796"/>
      <c r="ET18" s="796"/>
      <c r="EU18" s="796"/>
      <c r="EV18" s="796"/>
      <c r="EW18" s="796"/>
      <c r="EX18" s="796"/>
      <c r="EY18" s="796"/>
      <c r="EZ18" s="796"/>
      <c r="FA18" s="796"/>
      <c r="FB18" s="796"/>
      <c r="FJ18" s="333" t="s">
        <v>1349</v>
      </c>
      <c r="FN18" s="129" t="s">
        <v>1354</v>
      </c>
      <c r="FP18" s="129" t="s">
        <v>1523</v>
      </c>
      <c r="FS18" s="129" t="s">
        <v>1560</v>
      </c>
      <c r="FZ18" s="1468" t="s">
        <v>1587</v>
      </c>
      <c r="GA18" s="1468" t="s">
        <v>1588</v>
      </c>
      <c r="GB18" s="1468" t="s">
        <v>247</v>
      </c>
      <c r="GC18" s="1468" t="s">
        <v>1589</v>
      </c>
      <c r="GD18" s="1468"/>
      <c r="GF18" s="2295"/>
      <c r="GG18" s="2295"/>
      <c r="GH18" s="1963"/>
      <c r="GJ18" s="265" t="s">
        <v>1614</v>
      </c>
      <c r="GK18" s="129" t="s">
        <v>1615</v>
      </c>
      <c r="GL18" s="129" t="s">
        <v>1616</v>
      </c>
      <c r="GM18" s="1529" t="s">
        <v>1617</v>
      </c>
      <c r="GO18" s="1546" t="s">
        <v>1523</v>
      </c>
      <c r="GP18" s="2289"/>
      <c r="GQ18" s="2289"/>
    </row>
    <row r="19" spans="1:199" ht="14.25" customHeight="1" x14ac:dyDescent="0.2">
      <c r="A19" s="1804" t="str">
        <f>+IF(DP29="OUI","Salaire heures majorées réelles","Heures majorées mensualisées")</f>
        <v>Heures majorées mensualisées</v>
      </c>
      <c r="B19" s="1805"/>
      <c r="C19" s="1805"/>
      <c r="D19" s="1805"/>
      <c r="E19" s="1805"/>
      <c r="F19" s="1805"/>
      <c r="G19" s="1805"/>
      <c r="H19" s="1805"/>
      <c r="I19" s="1805"/>
      <c r="J19" s="1805"/>
      <c r="K19" s="1841"/>
      <c r="L19" s="1944">
        <f>IF(DP29="OUI",CA34,U14)</f>
        <v>0</v>
      </c>
      <c r="M19" s="1945"/>
      <c r="N19" s="1945"/>
      <c r="O19" s="1946"/>
      <c r="P19" s="1807">
        <f>IF(DP14=1,AL14*(1+N15),AL14)</f>
        <v>0</v>
      </c>
      <c r="Q19" s="1808"/>
      <c r="R19" s="1808"/>
      <c r="S19" s="1967"/>
      <c r="T19" s="1816">
        <f t="shared" si="2"/>
        <v>0</v>
      </c>
      <c r="U19" s="1817"/>
      <c r="V19" s="1817"/>
      <c r="W19" s="1933"/>
      <c r="X19" s="206"/>
      <c r="Y19" s="206"/>
      <c r="Z19" s="206"/>
      <c r="AA19" s="221"/>
      <c r="AB19" s="1931"/>
      <c r="AC19" s="1932"/>
      <c r="AD19" s="1939"/>
      <c r="AE19" s="1939"/>
      <c r="AF19" s="1939"/>
      <c r="AG19" s="1932"/>
      <c r="AH19" s="1932"/>
      <c r="AI19" s="1932"/>
      <c r="AJ19" s="1932"/>
      <c r="AK19" s="1932"/>
      <c r="AL19" s="1932"/>
      <c r="AM19" s="1939"/>
      <c r="AN19" s="1939"/>
      <c r="AO19" s="1940"/>
      <c r="AP19" s="222"/>
      <c r="AQ19" s="339"/>
      <c r="AR19" s="2088"/>
      <c r="AT19" s="1986"/>
      <c r="AU19" s="1894"/>
      <c r="AV19" s="520"/>
      <c r="AW19" s="520"/>
      <c r="AX19" s="520"/>
      <c r="AY19" s="520"/>
      <c r="AZ19" s="1895"/>
      <c r="BA19" s="1897"/>
      <c r="BB19" s="562"/>
      <c r="BC19" s="1899"/>
      <c r="BD19" s="1894"/>
      <c r="BE19" s="1899"/>
      <c r="BF19" s="2090"/>
      <c r="BG19" s="217"/>
      <c r="BH19" s="1899"/>
      <c r="BI19" s="2090"/>
      <c r="BJ19" s="1893"/>
      <c r="BK19" s="1991"/>
      <c r="BL19" s="1991"/>
      <c r="BM19" s="1991"/>
      <c r="BN19" s="1991"/>
      <c r="BO19" s="1988" t="s">
        <v>995</v>
      </c>
      <c r="BP19" s="2144"/>
      <c r="BQ19" s="198"/>
      <c r="BR19" s="198"/>
      <c r="BS19" s="198"/>
      <c r="BT19" s="198"/>
      <c r="BU19" s="198"/>
      <c r="BV19" s="198"/>
      <c r="BW19" s="198"/>
      <c r="BX19" s="198"/>
      <c r="BY19" s="198"/>
      <c r="BZ19" s="198"/>
      <c r="CA19" s="198"/>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O19" s="333" t="s">
        <v>921</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1536</v>
      </c>
      <c r="DX19" s="333" t="str">
        <f>+"Journée entretien &lt;"&amp;DL1&amp;"h"&amp;DL2</f>
        <v>Journée entretien &lt;6h16</v>
      </c>
      <c r="DY19" s="420" t="str">
        <f>+"Heures entretien &gt;"&amp;DL1&amp;"h"&amp;DL2</f>
        <v>Heures entretien &gt;6h16</v>
      </c>
      <c r="DZ19" s="420"/>
      <c r="EA19" s="420" t="s">
        <v>1071</v>
      </c>
      <c r="EB19" s="420" t="s">
        <v>1072</v>
      </c>
      <c r="EC19" s="420"/>
      <c r="ED19" s="420"/>
      <c r="EE19" s="420" t="s">
        <v>1170</v>
      </c>
      <c r="EF19" s="333">
        <f>IF(DP8&lt;52,(COUNTIF(AM20:AO50,"&gt;0"))+FP57,(COUNTIF(AM20:AO50,"&gt;0"))+FP57)</f>
        <v>0</v>
      </c>
      <c r="EH19" s="333" t="s">
        <v>315</v>
      </c>
      <c r="EI19" s="333">
        <f>COUNTIF('Retenue Déc'!D18:D48,"&gt;0")</f>
        <v>0</v>
      </c>
      <c r="EQ19" s="797" t="s">
        <v>16</v>
      </c>
      <c r="ER19" s="798" t="s">
        <v>971</v>
      </c>
      <c r="ES19" s="799" t="s">
        <v>972</v>
      </c>
      <c r="ET19" s="798" t="s">
        <v>973</v>
      </c>
      <c r="EU19" s="799" t="s">
        <v>50</v>
      </c>
      <c r="EV19" s="1413" t="s">
        <v>1558</v>
      </c>
      <c r="EW19" s="798" t="s">
        <v>16</v>
      </c>
      <c r="EX19" s="799" t="s">
        <v>971</v>
      </c>
      <c r="EY19" s="798" t="s">
        <v>972</v>
      </c>
      <c r="EZ19" s="799" t="s">
        <v>973</v>
      </c>
      <c r="FA19" s="800" t="s">
        <v>50</v>
      </c>
      <c r="FB19" s="798" t="s">
        <v>1015</v>
      </c>
      <c r="FC19" s="333" t="s">
        <v>1175</v>
      </c>
      <c r="FD19" s="765" t="s">
        <v>1002</v>
      </c>
      <c r="FG19" s="333" t="s">
        <v>1287</v>
      </c>
      <c r="FJ19" s="333" t="s">
        <v>1350</v>
      </c>
      <c r="FK19" s="129" t="s">
        <v>1351</v>
      </c>
      <c r="FL19" s="129" t="s">
        <v>1353</v>
      </c>
      <c r="FN19" s="129" t="s">
        <v>1355</v>
      </c>
      <c r="GJ19" s="265"/>
      <c r="GM19" s="1529"/>
    </row>
    <row r="20" spans="1:199" x14ac:dyDescent="0.2">
      <c r="A20" s="1804" t="str">
        <f>+IF(AND(DP14=1,OR(DP29="NON",DP29=0)),"",+IF(DP29="OUI","","Majoration hrs majorées mensuelles"))</f>
        <v>Majoration hrs majorées mensuelles</v>
      </c>
      <c r="B20" s="1805"/>
      <c r="C20" s="1805"/>
      <c r="D20" s="1805"/>
      <c r="E20" s="1805"/>
      <c r="F20" s="1805"/>
      <c r="G20" s="1805"/>
      <c r="H20" s="1805"/>
      <c r="I20" s="1805"/>
      <c r="J20" s="1805"/>
      <c r="K20" s="1841"/>
      <c r="L20" s="1838">
        <f>+IF(AND(DP14=1,OR(DP29="NON",DP29=0)),0,IF(DP29="OUI",0,CA34))</f>
        <v>0</v>
      </c>
      <c r="M20" s="1839"/>
      <c r="N20" s="1839"/>
      <c r="O20" s="1840"/>
      <c r="P20" s="1807">
        <f>+IF(AND(DP14=1,OR(DP29="NON",DP29=0)),0,IF(DP29="OUI",0,AL14*N15))</f>
        <v>0</v>
      </c>
      <c r="Q20" s="1808"/>
      <c r="R20" s="1808"/>
      <c r="S20" s="1967"/>
      <c r="T20" s="1816">
        <f t="shared" si="2"/>
        <v>0</v>
      </c>
      <c r="U20" s="1817"/>
      <c r="V20" s="1817"/>
      <c r="W20" s="1933"/>
      <c r="X20" s="223"/>
      <c r="Y20" s="223"/>
      <c r="Z20" s="223"/>
      <c r="AA20" s="903" t="str">
        <f>IF(AND(BE20="OUI",$AR$13=S.CAL!$CU$2),"►",IF(AND(EV20="OUI",$AR$13=S.CAL!$CU$3),"►",""))</f>
        <v/>
      </c>
      <c r="AB20" s="1901">
        <f>+$X$3</f>
        <v>45992</v>
      </c>
      <c r="AC20" s="1902">
        <f>+$D$6</f>
        <v>0</v>
      </c>
      <c r="AD20" s="1875" t="str">
        <f>+IF(AND($AR$13=S.CAL!$CU$2,EX20&lt;&gt;0),EX20,IF(AND($AR$13=S.CAL!$CU$3,ER20&lt;&gt;0),ER20,0))</f>
        <v/>
      </c>
      <c r="AE20" s="1875"/>
      <c r="AF20" s="1875"/>
      <c r="AG20" s="1875" t="str">
        <f>+IF(AND($AR$13=S.CAL!$CU$2,EY20&lt;&gt;0),EY20,IF(AND($AR$13=S.CAL!$CU$3,ES20&lt;&gt;0),ES20,""))</f>
        <v/>
      </c>
      <c r="AH20" s="1875"/>
      <c r="AI20" s="1875"/>
      <c r="AJ20" s="1875" t="str">
        <f>+IF(AND($AR$13=S.CAL!$CU$2,EZ20&lt;&gt;0),EZ20,IF(AND($AR$13=S.CAL!$CU$3,ET20&lt;&gt;0),ET20,""))</f>
        <v/>
      </c>
      <c r="AK20" s="1875"/>
      <c r="AL20" s="1875"/>
      <c r="AM20" s="1875" t="str">
        <f>+IF(AND($AR$13=S.CAL!$CU$2,FA20&lt;&gt;0),FA20,IF(AND($AR$13=S.CAL!$CU$3,EU20&lt;&gt;0),EU20,""))</f>
        <v/>
      </c>
      <c r="AN20" s="1875"/>
      <c r="AO20" s="1876"/>
      <c r="AP20" s="217">
        <f>IFERROR(WEEKNUM(AB20,21),"")</f>
        <v>49</v>
      </c>
      <c r="AQ20" s="340"/>
      <c r="AR20" s="1145"/>
      <c r="AS20" s="332">
        <f t="shared" ref="AS20:AS50" si="3">SUM(AD20:AL20)</f>
        <v>0</v>
      </c>
      <c r="AT20" s="1146"/>
      <c r="AU20" s="1146"/>
      <c r="AV20" s="332"/>
      <c r="AW20" s="1989">
        <f>AB20</f>
        <v>45992</v>
      </c>
      <c r="AX20" s="1902"/>
      <c r="AY20" s="332"/>
      <c r="AZ20" s="1145"/>
      <c r="BA20" s="992"/>
      <c r="BB20" s="561"/>
      <c r="BC20" s="563">
        <f>+IF(AND(BE20="OUI",BD20=""),IFERROR(BH20-AZ20,FS20),IF(AND(BE20="OUI",BD20&lt;&gt;""),BD20,0))</f>
        <v>0</v>
      </c>
      <c r="BD20" s="1125"/>
      <c r="BE20" s="824">
        <f>+IF(OR(AND(BF20="",BO20="OUI"),AND(BF20="",FC20="oui",BO20=""),AND(BF20="",IFERROR(BH20-AZ20,0)&gt;0,AZ20&lt;&gt;"")),"OUI",BF20)</f>
        <v>0</v>
      </c>
      <c r="BF20" s="1149"/>
      <c r="BG20" s="224"/>
      <c r="BH20" s="1436" t="str">
        <f>IF(BI20="",+FB20,BI20)</f>
        <v/>
      </c>
      <c r="BI20" s="1149"/>
      <c r="BJ20" s="129" t="str">
        <f>+BN20&amp;BL20&amp;BM20</f>
        <v>Fiche infoA1</v>
      </c>
      <c r="BK20" s="129">
        <f>IFERROR(WEEKNUM(AB20,21),"")</f>
        <v>49</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O20" s="333" t="s">
        <v>948</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1520</v>
      </c>
      <c r="EF20" s="333">
        <f>+FP57</f>
        <v>0</v>
      </c>
      <c r="EH20" s="420" t="s">
        <v>541</v>
      </c>
      <c r="EI20" s="333">
        <f>NETWORKDAYS.INTL(EI21,EI22,11)</f>
        <v>27</v>
      </c>
      <c r="EQ20" s="801">
        <f>+AB20</f>
        <v>45992</v>
      </c>
      <c r="ER20" s="802">
        <f t="shared" ref="ER20:ER50" si="10">+IFERROR(VLOOKUP(EQ20,planning_fp,2,FALSE),"")</f>
        <v>0</v>
      </c>
      <c r="ES20" s="803">
        <f t="shared" ref="ES20:ES50" si="11">+IFERROR(VLOOKUP(EQ20,planning_fp,3,FALSE),"")</f>
        <v>0</v>
      </c>
      <c r="ET20" s="802">
        <f t="shared" ref="ET20:ET50" si="12">+IFERROR(VLOOKUP(EQ20,planning_fp,4,FALSE),"")</f>
        <v>0</v>
      </c>
      <c r="EU20" s="803">
        <f t="shared" ref="EU20:EU50" si="13">+IFERROR(VLOOKUP(EQ20,planning_fp,5,FALSE),"")</f>
        <v>0</v>
      </c>
      <c r="EV20" s="802" t="str">
        <f t="shared" ref="EV20:EV50" si="14">+IFERROR(VLOOKUP(EQ20,planning_fp,17,FALSE),"")</f>
        <v/>
      </c>
      <c r="EW20" s="769">
        <f>+EQ20</f>
        <v>45992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49</v>
      </c>
      <c r="GA20" s="129">
        <f>+$X$4</f>
        <v>2025</v>
      </c>
      <c r="GB20" s="129" t="str">
        <f>+FZ20&amp;GA20</f>
        <v>492025</v>
      </c>
      <c r="GC20" s="225">
        <f>IF(BH20="",0,BH20)</f>
        <v>0</v>
      </c>
      <c r="GF20" s="225" t="str">
        <f>IF(FP20=1,GG20,AM20)</f>
        <v/>
      </c>
      <c r="GG20" s="1469" t="str">
        <f>+'Retenue Déc'!D18</f>
        <v/>
      </c>
      <c r="GH20" s="1469">
        <f>+'Retenue Déc'!BF18</f>
        <v>0</v>
      </c>
      <c r="GJ20" s="1530" t="str">
        <f>+AM20</f>
        <v/>
      </c>
      <c r="GK20" s="225" t="str">
        <f>+AG20</f>
        <v/>
      </c>
      <c r="GL20" s="225" t="str">
        <f>+AJ20</f>
        <v/>
      </c>
      <c r="GM20" s="1529">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69" t="str">
        <f>+GG20</f>
        <v/>
      </c>
    </row>
    <row r="21" spans="1:199" ht="12.75" customHeight="1" x14ac:dyDescent="0.2">
      <c r="A21" s="1804" t="s">
        <v>51</v>
      </c>
      <c r="B21" s="1805"/>
      <c r="C21" s="1805"/>
      <c r="D21" s="1805"/>
      <c r="E21" s="1805"/>
      <c r="F21" s="1805"/>
      <c r="G21" s="1805"/>
      <c r="H21" s="1805"/>
      <c r="I21" s="1805"/>
      <c r="J21" s="1805"/>
      <c r="K21" s="1806"/>
      <c r="L21" s="1810">
        <f>AG51</f>
        <v>0</v>
      </c>
      <c r="M21" s="1811"/>
      <c r="N21" s="1811"/>
      <c r="O21" s="1812"/>
      <c r="P21" s="1807">
        <f>+P18*(1+Y15)</f>
        <v>0</v>
      </c>
      <c r="Q21" s="1808"/>
      <c r="R21" s="1808"/>
      <c r="S21" s="1809"/>
      <c r="T21" s="1816">
        <f t="shared" ref="T21" si="20">+ROUND(P21*L21,2)</f>
        <v>0</v>
      </c>
      <c r="U21" s="1817"/>
      <c r="V21" s="1817"/>
      <c r="W21" s="1818"/>
      <c r="X21" s="223"/>
      <c r="Y21" s="223"/>
      <c r="Z21" s="223"/>
      <c r="AA21" s="903" t="str">
        <f>IF(AND(BE21="OUI",$AR$13=S.CAL!$CU$2),"►",IF(AND(EV21="OUI",$AR$13=S.CAL!$CU$3),"►",""))</f>
        <v/>
      </c>
      <c r="AB21" s="1877">
        <f>+$X$3+1</f>
        <v>45993</v>
      </c>
      <c r="AC21" s="1878">
        <f>+$D$6+1</f>
        <v>1</v>
      </c>
      <c r="AD21" s="1875" t="str">
        <f>+IF(AND($AR$13=S.CAL!$CU$2,EX21&lt;&gt;0),EX21,IF(AND($AR$13=S.CAL!$CU$3,ER21&lt;&gt;0),ER21,0))</f>
        <v/>
      </c>
      <c r="AE21" s="1875"/>
      <c r="AF21" s="1875"/>
      <c r="AG21" s="1875" t="str">
        <f>+IF(AND($AR$13=S.CAL!$CU$2,EY21&lt;&gt;0),EY21,IF(AND($AR$13=S.CAL!$CU$3,ES21&lt;&gt;0),ES21,""))</f>
        <v/>
      </c>
      <c r="AH21" s="1875"/>
      <c r="AI21" s="1875"/>
      <c r="AJ21" s="1875" t="str">
        <f>+IF(AND($AR$13=S.CAL!$CU$2,EZ21&lt;&gt;0),EZ21,IF(AND($AR$13=S.CAL!$CU$3,ET21&lt;&gt;0),ET21,""))</f>
        <v/>
      </c>
      <c r="AK21" s="1875"/>
      <c r="AL21" s="1875"/>
      <c r="AM21" s="1875" t="str">
        <f>+IF(AND($AR$13=S.CAL!$CU$2,FA21&lt;&gt;0),FA21,IF(AND($AR$13=S.CAL!$CU$3,EU21&lt;&gt;0),EU21,""))</f>
        <v/>
      </c>
      <c r="AN21" s="1875"/>
      <c r="AO21" s="1876"/>
      <c r="AP21" s="217" t="str">
        <f>IFERROR(IF(WEEKDAY(AB21,11)=1,WEEKNUM(AB21,21),""),"")</f>
        <v/>
      </c>
      <c r="AQ21" s="340"/>
      <c r="AR21" s="1126"/>
      <c r="AS21" s="332">
        <f t="shared" si="3"/>
        <v>0</v>
      </c>
      <c r="AT21" s="1147"/>
      <c r="AU21" s="1147"/>
      <c r="AV21" s="332"/>
      <c r="AW21" s="2017">
        <f t="shared" ref="AW21:AW50" si="21">AB21</f>
        <v>45993</v>
      </c>
      <c r="AX21" s="1878"/>
      <c r="AY21" s="332"/>
      <c r="AZ21" s="1126"/>
      <c r="BA21" s="993"/>
      <c r="BB21" s="561"/>
      <c r="BC21" s="566">
        <f t="shared" ref="BC21:BC50" si="22">+IF(AND(BE21="OUI",BD21=""),IFERROR(BH21-AZ21,FS21),IF(AND(BE21="OUI",BD21&lt;&gt;""),BD21,0))</f>
        <v>0</v>
      </c>
      <c r="BD21" s="1126"/>
      <c r="BE21" s="825">
        <f t="shared" ref="BE21:BE50" si="23">+IF(OR(AND(BF21="",BO21="OUI"),AND(BF21="",FC21="oui",BO21=""),AND(BF21="",IFERROR(BH21-AZ21,0)&gt;0,AZ21&lt;&gt;"")),"OUI",BF21)</f>
        <v>0</v>
      </c>
      <c r="BF21" s="1150"/>
      <c r="BG21" s="224"/>
      <c r="BH21" s="566" t="str">
        <f t="shared" ref="BH21:BH50" si="24">IF(BI21="",+FB21,BI21)</f>
        <v/>
      </c>
      <c r="BI21" s="1150"/>
      <c r="BJ21" s="129" t="str">
        <f t="shared" ref="BJ21:BJ47" si="25">+BN21&amp;BL21&amp;BM21</f>
        <v>Fiche infoA2</v>
      </c>
      <c r="BK21" s="129">
        <f t="shared" ref="BK21" si="26">IFERROR(WEEKNUM(AB21,21),"")</f>
        <v>49</v>
      </c>
      <c r="BL21" s="129" t="str">
        <f t="shared" si="4"/>
        <v>A</v>
      </c>
      <c r="BM21" s="129">
        <f t="shared" si="5"/>
        <v>2</v>
      </c>
      <c r="BN21" s="225" t="str">
        <f>+BN20</f>
        <v>Fiche info</v>
      </c>
      <c r="BO21" s="332" t="str">
        <f t="shared" si="6"/>
        <v/>
      </c>
      <c r="BP21" s="198" t="str">
        <f t="shared" si="7"/>
        <v/>
      </c>
      <c r="BQ21" s="198"/>
      <c r="BR21" s="198"/>
      <c r="BS21" s="584"/>
      <c r="BT21" s="584"/>
      <c r="BU21" s="584"/>
      <c r="BV21" s="2143" t="s">
        <v>1654</v>
      </c>
      <c r="BW21" s="2143"/>
      <c r="BX21" s="2143"/>
      <c r="BY21" s="2143"/>
      <c r="BZ21" s="214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1128</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542</v>
      </c>
      <c r="EI21" s="755">
        <f>+X3</f>
        <v>45992</v>
      </c>
      <c r="EJ21" s="755"/>
      <c r="EK21" s="755"/>
      <c r="EQ21" s="801">
        <f t="shared" ref="EQ21" si="27">+AB21</f>
        <v>45993</v>
      </c>
      <c r="ER21" s="802">
        <f t="shared" si="10"/>
        <v>0</v>
      </c>
      <c r="ES21" s="803">
        <f t="shared" si="11"/>
        <v>0</v>
      </c>
      <c r="ET21" s="802">
        <f t="shared" si="12"/>
        <v>0</v>
      </c>
      <c r="EU21" s="803">
        <f t="shared" si="13"/>
        <v>0</v>
      </c>
      <c r="EV21" s="802" t="str">
        <f t="shared" si="14"/>
        <v/>
      </c>
      <c r="EW21" s="769">
        <f t="shared" ref="EW21:EW50" si="28">+EQ21</f>
        <v>45993</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333"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49</v>
      </c>
      <c r="GA21" s="129">
        <f t="shared" ref="GA21:GA50" si="38">+$X$4</f>
        <v>2025</v>
      </c>
      <c r="GB21" s="129" t="str">
        <f t="shared" ref="GB21:GB48" si="39">+FZ21&amp;GA21</f>
        <v>492025</v>
      </c>
      <c r="GC21" s="225">
        <f t="shared" ref="GC21:GC48" si="40">IF(BH21="",0,BH21)</f>
        <v>0</v>
      </c>
      <c r="GF21" s="225" t="str">
        <f t="shared" ref="GF21:GF48" si="41">IF(FP21=1,GG21,AM21)</f>
        <v/>
      </c>
      <c r="GG21" s="1469" t="str">
        <f>+'Retenue Déc'!D19</f>
        <v/>
      </c>
      <c r="GH21" s="1469">
        <f>+'Retenue Déc'!BF19</f>
        <v>0</v>
      </c>
      <c r="GJ21" s="1530" t="str">
        <f t="shared" ref="GJ21:GJ50" si="42">+AM21</f>
        <v/>
      </c>
      <c r="GK21" s="225" t="str">
        <f t="shared" ref="GK21:GK50" si="43">+AG21</f>
        <v/>
      </c>
      <c r="GL21" s="225" t="str">
        <f t="shared" ref="GL21:GL50" si="44">+AJ21</f>
        <v/>
      </c>
      <c r="GM21" s="1529">
        <f t="shared" ref="GM21:GM50" si="45">+IF(AND(OR(ISNUMBER(GK21),ISNUMBER(GL21)),OR(GJ21="",GJ21=0,ISTEXT(GJ21))),1,0)</f>
        <v>0</v>
      </c>
      <c r="GO21" s="129">
        <f t="shared" si="19"/>
        <v>0</v>
      </c>
      <c r="GP21" s="129" t="str">
        <f t="shared" ref="GP21:GP50" si="46">IF(GO21=1,GG21,"")</f>
        <v/>
      </c>
      <c r="GQ21" s="1469" t="str">
        <f t="shared" ref="GQ21:GQ50" si="47">+GG21</f>
        <v/>
      </c>
    </row>
    <row r="22" spans="1:199" x14ac:dyDescent="0.2">
      <c r="A22" s="1827" t="s">
        <v>1514</v>
      </c>
      <c r="B22" s="1828"/>
      <c r="C22" s="1828"/>
      <c r="D22" s="1828"/>
      <c r="E22" s="1828"/>
      <c r="F22" s="1828"/>
      <c r="G22" s="1828"/>
      <c r="H22" s="1828"/>
      <c r="I22" s="1828"/>
      <c r="J22" s="1828"/>
      <c r="K22" s="1829"/>
      <c r="L22" s="1810">
        <f>+AJ51</f>
        <v>0</v>
      </c>
      <c r="M22" s="1811"/>
      <c r="N22" s="1811"/>
      <c r="O22" s="1812"/>
      <c r="P22" s="1807">
        <f>+AL14*(1+N15)</f>
        <v>0</v>
      </c>
      <c r="Q22" s="1808"/>
      <c r="R22" s="1808"/>
      <c r="S22" s="1809"/>
      <c r="T22" s="1816">
        <f>+ROUND(P22*L22,2)</f>
        <v>0</v>
      </c>
      <c r="U22" s="1817"/>
      <c r="V22" s="1817"/>
      <c r="W22" s="1818"/>
      <c r="X22" s="223"/>
      <c r="Y22" s="223"/>
      <c r="Z22" s="223"/>
      <c r="AA22" s="903" t="str">
        <f>IF(AND(BE22="OUI",$AR$13=S.CAL!$CU$2),"►",IF(AND(EV22="OUI",$AR$13=S.CAL!$CU$3),"►",""))</f>
        <v/>
      </c>
      <c r="AB22" s="1877">
        <f>+$X$3+2</f>
        <v>45994</v>
      </c>
      <c r="AC22" s="1878">
        <f>+$D$6+2</f>
        <v>2</v>
      </c>
      <c r="AD22" s="1875" t="str">
        <f>+IF(AND($AR$13=S.CAL!$CU$2,EX22&lt;&gt;0),EX22,IF(AND($AR$13=S.CAL!$CU$3,ER22&lt;&gt;0),ER22,0))</f>
        <v/>
      </c>
      <c r="AE22" s="1875"/>
      <c r="AF22" s="1875"/>
      <c r="AG22" s="1875" t="str">
        <f>+IF(AND($AR$13=S.CAL!$CU$2,EY22&lt;&gt;0),EY22,IF(AND($AR$13=S.CAL!$CU$3,ES22&lt;&gt;0),ES22,""))</f>
        <v/>
      </c>
      <c r="AH22" s="1875"/>
      <c r="AI22" s="1875"/>
      <c r="AJ22" s="1875" t="str">
        <f>+IF(AND($AR$13=S.CAL!$CU$2,EZ22&lt;&gt;0),EZ22,IF(AND($AR$13=S.CAL!$CU$3,ET22&lt;&gt;0),ET22,""))</f>
        <v/>
      </c>
      <c r="AK22" s="1875"/>
      <c r="AL22" s="1875"/>
      <c r="AM22" s="1875" t="str">
        <f>+IF(AND($AR$13=S.CAL!$CU$2,FA22&lt;&gt;0),FA22,IF(AND($AR$13=S.CAL!$CU$3,EU22&lt;&gt;0),EU22,""))</f>
        <v/>
      </c>
      <c r="AN22" s="1875"/>
      <c r="AO22" s="1876"/>
      <c r="AP22" s="217" t="str">
        <f t="shared" ref="AP22:AP50" si="48">IFERROR(IF(WEEKDAY(AB22,11)=1,WEEKNUM(AB22,21),""),"")</f>
        <v/>
      </c>
      <c r="AQ22" s="340"/>
      <c r="AR22" s="1126"/>
      <c r="AS22" s="332">
        <f t="shared" si="3"/>
        <v>0</v>
      </c>
      <c r="AT22" s="1147"/>
      <c r="AU22" s="1147"/>
      <c r="AV22" s="332"/>
      <c r="AW22" s="2017">
        <f t="shared" si="21"/>
        <v>45994</v>
      </c>
      <c r="AX22" s="1878"/>
      <c r="AY22" s="332"/>
      <c r="AZ22" s="1126"/>
      <c r="BA22" s="993"/>
      <c r="BB22" s="561"/>
      <c r="BC22" s="566">
        <f t="shared" si="22"/>
        <v>0</v>
      </c>
      <c r="BD22" s="1126"/>
      <c r="BE22" s="825">
        <f t="shared" si="23"/>
        <v>0</v>
      </c>
      <c r="BF22" s="1150"/>
      <c r="BG22" s="224"/>
      <c r="BH22" s="566" t="str">
        <f t="shared" si="24"/>
        <v/>
      </c>
      <c r="BI22" s="1150"/>
      <c r="BJ22" s="129" t="str">
        <f t="shared" si="25"/>
        <v>Fiche infoA3</v>
      </c>
      <c r="BK22" s="129">
        <f t="shared" ref="BK22:BK50" si="49">IFERROR(WEEKNUM(AB22,21),"")</f>
        <v>49</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2143"/>
      <c r="BW22" s="2143"/>
      <c r="BX22" s="2143"/>
      <c r="BY22" s="2143"/>
      <c r="BZ22" s="214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1129</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543</v>
      </c>
      <c r="EI22" s="755">
        <f>+EOMONTH(X3,0)</f>
        <v>46022</v>
      </c>
      <c r="EJ22" s="755"/>
      <c r="EK22" s="755"/>
      <c r="EQ22" s="801">
        <f t="shared" ref="EQ22:EQ50" si="53">+AB22</f>
        <v>45994</v>
      </c>
      <c r="ER22" s="802">
        <f t="shared" si="10"/>
        <v>0</v>
      </c>
      <c r="ES22" s="803">
        <f t="shared" si="11"/>
        <v>0</v>
      </c>
      <c r="ET22" s="802">
        <f t="shared" si="12"/>
        <v>0</v>
      </c>
      <c r="EU22" s="803">
        <f t="shared" si="13"/>
        <v>0</v>
      </c>
      <c r="EV22" s="802" t="str">
        <f t="shared" si="14"/>
        <v/>
      </c>
      <c r="EW22" s="769">
        <f t="shared" si="28"/>
        <v>45994</v>
      </c>
      <c r="EX22" s="777" t="str">
        <f>IFERROR(IF(AND(AZ22="",AR22&lt;&gt;S.CAL!$BJ$3,AR22&lt;&gt;S.CAL!$BJ$4),FS22-BC22,IF(AZ22&lt;&gt;0,AZ22,IF(OR(AR22=S.CAL!$BJ$3,AR22=S.CAL!$BJ$4),AR22,0))),"")</f>
        <v/>
      </c>
      <c r="EY22" s="771">
        <f t="shared" ref="EY22:EY50" si="54">+AT22</f>
        <v>0</v>
      </c>
      <c r="EZ22" s="754">
        <f t="shared" ref="EZ22:EZ50" si="55">+AU22</f>
        <v>0</v>
      </c>
      <c r="FA22" s="777" t="str">
        <f t="shared" si="31"/>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5"/>
        <v>1</v>
      </c>
      <c r="FN22" s="129">
        <f>+IF(AND($DP$8&lt;&gt;52,AR22=S.CAL!$BJ$4),10,1)</f>
        <v>1</v>
      </c>
      <c r="FP22" s="129">
        <f t="shared" si="18"/>
        <v>0</v>
      </c>
      <c r="FS22" s="225" t="str">
        <f t="shared" si="36"/>
        <v/>
      </c>
      <c r="FZ22" s="129">
        <f t="shared" si="37"/>
        <v>49</v>
      </c>
      <c r="GA22" s="129">
        <f t="shared" si="38"/>
        <v>2025</v>
      </c>
      <c r="GB22" s="129" t="str">
        <f t="shared" si="39"/>
        <v>492025</v>
      </c>
      <c r="GC22" s="225">
        <f t="shared" si="40"/>
        <v>0</v>
      </c>
      <c r="GF22" s="225" t="str">
        <f t="shared" si="41"/>
        <v/>
      </c>
      <c r="GG22" s="1469" t="str">
        <f>+'Retenue Déc'!D20</f>
        <v/>
      </c>
      <c r="GH22" s="1469">
        <f>+'Retenue Déc'!BF20</f>
        <v>0</v>
      </c>
      <c r="GJ22" s="1530" t="str">
        <f t="shared" si="42"/>
        <v/>
      </c>
      <c r="GK22" s="225" t="str">
        <f t="shared" si="43"/>
        <v/>
      </c>
      <c r="GL22" s="225" t="str">
        <f t="shared" si="44"/>
        <v/>
      </c>
      <c r="GM22" s="1529">
        <f t="shared" si="45"/>
        <v>0</v>
      </c>
      <c r="GO22" s="129">
        <f t="shared" si="19"/>
        <v>0</v>
      </c>
      <c r="GP22" s="129" t="str">
        <f t="shared" si="46"/>
        <v/>
      </c>
      <c r="GQ22" s="1469" t="str">
        <f t="shared" si="47"/>
        <v/>
      </c>
    </row>
    <row r="23" spans="1:199" ht="13.5" customHeight="1" x14ac:dyDescent="0.2">
      <c r="A23" s="1909" t="s">
        <v>53</v>
      </c>
      <c r="B23" s="1755" t="s">
        <v>1439</v>
      </c>
      <c r="C23" s="1756"/>
      <c r="D23" s="1756"/>
      <c r="E23" s="1756"/>
      <c r="F23" s="1756"/>
      <c r="G23" s="1756"/>
      <c r="H23" s="1756"/>
      <c r="I23" s="1756"/>
      <c r="J23" s="1756"/>
      <c r="K23" s="1757"/>
      <c r="L23" s="1871"/>
      <c r="M23" s="1872"/>
      <c r="N23" s="1872"/>
      <c r="O23" s="1873"/>
      <c r="P23" s="1822"/>
      <c r="Q23" s="1823"/>
      <c r="R23" s="1823"/>
      <c r="S23" s="1824"/>
      <c r="T23" s="1816">
        <f t="shared" ref="T23:T24" si="59">+ROUND(P23*L23,2)</f>
        <v>0</v>
      </c>
      <c r="U23" s="1817"/>
      <c r="V23" s="1817"/>
      <c r="W23" s="1818"/>
      <c r="X23" s="223"/>
      <c r="Y23" s="223"/>
      <c r="Z23" s="223"/>
      <c r="AA23" s="903" t="str">
        <f>IF(AND(BE23="OUI",$AR$13=S.CAL!$CU$2),"►",IF(AND(EV23="OUI",$AR$13=S.CAL!$CU$3),"►",""))</f>
        <v/>
      </c>
      <c r="AB23" s="1877">
        <f>+$X$3+3</f>
        <v>45995</v>
      </c>
      <c r="AC23" s="1878">
        <f>+$D$6+3</f>
        <v>3</v>
      </c>
      <c r="AD23" s="1875" t="str">
        <f>+IF(AND($AR$13=S.CAL!$CU$2,EX23&lt;&gt;0),EX23,IF(AND($AR$13=S.CAL!$CU$3,ER23&lt;&gt;0),ER23,0))</f>
        <v/>
      </c>
      <c r="AE23" s="1875"/>
      <c r="AF23" s="1875"/>
      <c r="AG23" s="1875" t="str">
        <f>+IF(AND($AR$13=S.CAL!$CU$2,EY23&lt;&gt;0),EY23,IF(AND($AR$13=S.CAL!$CU$3,ES23&lt;&gt;0),ES23,""))</f>
        <v/>
      </c>
      <c r="AH23" s="1875"/>
      <c r="AI23" s="1875"/>
      <c r="AJ23" s="1875" t="str">
        <f>+IF(AND($AR$13=S.CAL!$CU$2,EZ23&lt;&gt;0),EZ23,IF(AND($AR$13=S.CAL!$CU$3,ET23&lt;&gt;0),ET23,""))</f>
        <v/>
      </c>
      <c r="AK23" s="1875"/>
      <c r="AL23" s="1875"/>
      <c r="AM23" s="1875" t="str">
        <f>+IF(AND($AR$13=S.CAL!$CU$2,FA23&lt;&gt;0),FA23,IF(AND($AR$13=S.CAL!$CU$3,EU23&lt;&gt;0),EU23,""))</f>
        <v/>
      </c>
      <c r="AN23" s="1875"/>
      <c r="AO23" s="1876"/>
      <c r="AP23" s="217" t="str">
        <f t="shared" si="48"/>
        <v/>
      </c>
      <c r="AQ23" s="340"/>
      <c r="AR23" s="1126"/>
      <c r="AS23" s="332">
        <f t="shared" si="3"/>
        <v>0</v>
      </c>
      <c r="AT23" s="1147"/>
      <c r="AU23" s="1147"/>
      <c r="AV23" s="332"/>
      <c r="AW23" s="2017">
        <f t="shared" si="21"/>
        <v>45995</v>
      </c>
      <c r="AX23" s="1878"/>
      <c r="AY23" s="332"/>
      <c r="AZ23" s="1126"/>
      <c r="BA23" s="993"/>
      <c r="BB23" s="561"/>
      <c r="BC23" s="566">
        <f t="shared" si="22"/>
        <v>0</v>
      </c>
      <c r="BD23" s="1126"/>
      <c r="BE23" s="825">
        <f t="shared" si="23"/>
        <v>0</v>
      </c>
      <c r="BF23" s="1150"/>
      <c r="BG23" s="224"/>
      <c r="BH23" s="566" t="str">
        <f t="shared" si="24"/>
        <v/>
      </c>
      <c r="BI23" s="1150"/>
      <c r="BJ23" s="129" t="str">
        <f t="shared" si="25"/>
        <v>Fiche infoA4</v>
      </c>
      <c r="BK23" s="129">
        <f t="shared" si="49"/>
        <v>49</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2143"/>
      <c r="BW23" s="2143"/>
      <c r="BX23" s="2143"/>
      <c r="BY23" s="2143"/>
      <c r="BZ23" s="2143"/>
      <c r="CJ23" s="465"/>
      <c r="CK23" s="465"/>
      <c r="CL23" s="465"/>
      <c r="CM23" s="465"/>
      <c r="CN23" s="465"/>
      <c r="CO23" s="465"/>
      <c r="CP23" s="465"/>
      <c r="CQ23" s="465"/>
      <c r="CR23" s="465"/>
      <c r="CS23" s="465"/>
      <c r="CT23" s="465"/>
      <c r="CU23" s="465"/>
      <c r="CV23" s="465"/>
      <c r="CW23" s="465"/>
      <c r="CX23" s="465"/>
      <c r="CY23" s="465"/>
      <c r="CZ23" s="465"/>
      <c r="DA23" s="465"/>
      <c r="DB23" s="465"/>
      <c r="DC23" s="465"/>
      <c r="DD23" s="465"/>
      <c r="DJ23" s="333" t="s">
        <v>163</v>
      </c>
      <c r="DO23" s="420" t="s">
        <v>1377</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544</v>
      </c>
      <c r="EI23" s="333">
        <f>+EI19/EI20</f>
        <v>0</v>
      </c>
      <c r="EQ23" s="801">
        <f t="shared" si="53"/>
        <v>45995</v>
      </c>
      <c r="ER23" s="802">
        <f t="shared" si="10"/>
        <v>0</v>
      </c>
      <c r="ES23" s="803">
        <f t="shared" si="11"/>
        <v>0</v>
      </c>
      <c r="ET23" s="802">
        <f t="shared" si="12"/>
        <v>0</v>
      </c>
      <c r="EU23" s="803">
        <f t="shared" si="13"/>
        <v>0</v>
      </c>
      <c r="EV23" s="802" t="str">
        <f t="shared" si="14"/>
        <v/>
      </c>
      <c r="EW23" s="769">
        <f t="shared" si="28"/>
        <v>45995</v>
      </c>
      <c r="EX23" s="777" t="str">
        <f>IFERROR(IF(AND(AZ23="",AR23&lt;&gt;S.CAL!$BJ$3,AR23&lt;&gt;S.CAL!$BJ$4),FS23-BC23,IF(AZ23&lt;&gt;0,AZ23,IF(OR(AR23=S.CAL!$BJ$3,AR23=S.CAL!$BJ$4),AR23,0))),"")</f>
        <v/>
      </c>
      <c r="EY23" s="771">
        <f t="shared" si="54"/>
        <v>0</v>
      </c>
      <c r="EZ23" s="754">
        <f t="shared" si="55"/>
        <v>0</v>
      </c>
      <c r="FA23" s="777" t="str">
        <f t="shared" si="31"/>
        <v/>
      </c>
      <c r="FB23" s="772" t="str">
        <f t="shared" si="15"/>
        <v/>
      </c>
      <c r="FC23" s="333" t="str">
        <f t="shared" si="56"/>
        <v>non</v>
      </c>
      <c r="FD23" s="778">
        <f t="shared" si="16"/>
        <v>0</v>
      </c>
      <c r="FG23" s="333" t="str">
        <f t="shared" si="57"/>
        <v/>
      </c>
      <c r="FJ23" s="333">
        <f t="shared" si="58"/>
        <v>1</v>
      </c>
      <c r="FK23" s="129">
        <f t="shared" si="17"/>
        <v>10</v>
      </c>
      <c r="FL23" s="129">
        <f t="shared" si="35"/>
        <v>1</v>
      </c>
      <c r="FN23" s="129">
        <f>+IF(AND($DP$8&lt;&gt;52,AR23=S.CAL!$BJ$4),10,1)</f>
        <v>1</v>
      </c>
      <c r="FP23" s="129">
        <f t="shared" si="18"/>
        <v>0</v>
      </c>
      <c r="FS23" s="225" t="str">
        <f t="shared" si="36"/>
        <v/>
      </c>
      <c r="FZ23" s="129">
        <f t="shared" si="37"/>
        <v>49</v>
      </c>
      <c r="GA23" s="129">
        <f t="shared" si="38"/>
        <v>2025</v>
      </c>
      <c r="GB23" s="129" t="str">
        <f t="shared" si="39"/>
        <v>492025</v>
      </c>
      <c r="GC23" s="225">
        <f t="shared" si="40"/>
        <v>0</v>
      </c>
      <c r="GF23" s="225" t="str">
        <f t="shared" si="41"/>
        <v/>
      </c>
      <c r="GG23" s="1469" t="str">
        <f>+'Retenue Déc'!D21</f>
        <v/>
      </c>
      <c r="GH23" s="1469">
        <f>+'Retenue Déc'!BF21</f>
        <v>0</v>
      </c>
      <c r="GJ23" s="1530" t="str">
        <f t="shared" si="42"/>
        <v/>
      </c>
      <c r="GK23" s="225" t="str">
        <f t="shared" si="43"/>
        <v/>
      </c>
      <c r="GL23" s="225" t="str">
        <f t="shared" si="44"/>
        <v/>
      </c>
      <c r="GM23" s="1529">
        <f t="shared" si="45"/>
        <v>0</v>
      </c>
      <c r="GO23" s="129">
        <f t="shared" si="19"/>
        <v>0</v>
      </c>
      <c r="GP23" s="129" t="str">
        <f t="shared" si="46"/>
        <v/>
      </c>
      <c r="GQ23" s="1469" t="str">
        <f t="shared" si="47"/>
        <v/>
      </c>
    </row>
    <row r="24" spans="1:199" ht="12.75" customHeight="1" x14ac:dyDescent="0.2">
      <c r="A24" s="1910"/>
      <c r="B24" s="1827" t="s">
        <v>1440</v>
      </c>
      <c r="C24" s="1828"/>
      <c r="D24" s="1828"/>
      <c r="E24" s="1828"/>
      <c r="F24" s="1828"/>
      <c r="G24" s="1828"/>
      <c r="H24" s="1828"/>
      <c r="I24" s="1828"/>
      <c r="J24" s="1828"/>
      <c r="K24" s="1829"/>
      <c r="L24" s="1871"/>
      <c r="M24" s="1872"/>
      <c r="N24" s="1872"/>
      <c r="O24" s="1873"/>
      <c r="P24" s="1822"/>
      <c r="Q24" s="1823"/>
      <c r="R24" s="1823"/>
      <c r="S24" s="1824"/>
      <c r="T24" s="1816">
        <f t="shared" si="59"/>
        <v>0</v>
      </c>
      <c r="U24" s="1817"/>
      <c r="V24" s="1817"/>
      <c r="W24" s="1818"/>
      <c r="X24" s="223"/>
      <c r="Y24" s="223"/>
      <c r="Z24" s="223"/>
      <c r="AA24" s="903" t="str">
        <f>IF(AND(BE24="OUI",$AR$13=S.CAL!$CU$2),"►",IF(AND(EV24="OUI",$AR$13=S.CAL!$CU$3),"►",""))</f>
        <v/>
      </c>
      <c r="AB24" s="1877">
        <f>+$X$3+4</f>
        <v>45996</v>
      </c>
      <c r="AC24" s="1878">
        <f>+$D$6+4</f>
        <v>4</v>
      </c>
      <c r="AD24" s="1875" t="str">
        <f>+IF(AND($AR$13=S.CAL!$CU$2,EX24&lt;&gt;0),EX24,IF(AND($AR$13=S.CAL!$CU$3,ER24&lt;&gt;0),ER24,0))</f>
        <v/>
      </c>
      <c r="AE24" s="1875"/>
      <c r="AF24" s="1875"/>
      <c r="AG24" s="1875" t="str">
        <f>+IF(AND($AR$13=S.CAL!$CU$2,EY24&lt;&gt;0),EY24,IF(AND($AR$13=S.CAL!$CU$3,ES24&lt;&gt;0),ES24,""))</f>
        <v/>
      </c>
      <c r="AH24" s="1875"/>
      <c r="AI24" s="1875"/>
      <c r="AJ24" s="1875" t="str">
        <f>+IF(AND($AR$13=S.CAL!$CU$2,EZ24&lt;&gt;0),EZ24,IF(AND($AR$13=S.CAL!$CU$3,ET24&lt;&gt;0),ET24,""))</f>
        <v/>
      </c>
      <c r="AK24" s="1875"/>
      <c r="AL24" s="1875"/>
      <c r="AM24" s="1875" t="str">
        <f>+IF(AND($AR$13=S.CAL!$CU$2,FA24&lt;&gt;0),FA24,IF(AND($AR$13=S.CAL!$CU$3,EU24&lt;&gt;0),EU24,""))</f>
        <v/>
      </c>
      <c r="AN24" s="1875"/>
      <c r="AO24" s="1876"/>
      <c r="AP24" s="217" t="str">
        <f t="shared" si="48"/>
        <v/>
      </c>
      <c r="AQ24" s="340"/>
      <c r="AR24" s="1126"/>
      <c r="AS24" s="332">
        <f t="shared" si="3"/>
        <v>0</v>
      </c>
      <c r="AT24" s="1147"/>
      <c r="AU24" s="1147"/>
      <c r="AV24" s="332"/>
      <c r="AW24" s="2017">
        <f t="shared" si="21"/>
        <v>45996</v>
      </c>
      <c r="AX24" s="1878"/>
      <c r="AY24" s="332"/>
      <c r="AZ24" s="1126"/>
      <c r="BA24" s="993"/>
      <c r="BB24" s="561"/>
      <c r="BC24" s="566">
        <f t="shared" si="22"/>
        <v>0</v>
      </c>
      <c r="BD24" s="1126"/>
      <c r="BE24" s="825">
        <f t="shared" si="23"/>
        <v>0</v>
      </c>
      <c r="BF24" s="1150"/>
      <c r="BG24" s="224"/>
      <c r="BH24" s="566" t="str">
        <f t="shared" si="24"/>
        <v/>
      </c>
      <c r="BI24" s="1150"/>
      <c r="BJ24" s="129" t="str">
        <f t="shared" si="25"/>
        <v>Fiche infoA5</v>
      </c>
      <c r="BK24" s="129">
        <f t="shared" si="49"/>
        <v>49</v>
      </c>
      <c r="BL24" s="129" t="str">
        <f t="shared" si="4"/>
        <v>A</v>
      </c>
      <c r="BM24" s="129">
        <f t="shared" si="50"/>
        <v>5</v>
      </c>
      <c r="BN24" s="225" t="str">
        <f t="shared" si="60"/>
        <v>Fiche info</v>
      </c>
      <c r="BO24" s="332" t="str">
        <f t="shared" si="51"/>
        <v/>
      </c>
      <c r="BP24" s="198" t="str">
        <f t="shared" si="52"/>
        <v/>
      </c>
      <c r="BQ24" s="227"/>
      <c r="BV24" s="219" t="s">
        <v>448</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1432</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801">
        <f t="shared" si="53"/>
        <v>45996</v>
      </c>
      <c r="ER24" s="802">
        <f t="shared" si="10"/>
        <v>0</v>
      </c>
      <c r="ES24" s="803">
        <f t="shared" si="11"/>
        <v>0</v>
      </c>
      <c r="ET24" s="802">
        <f t="shared" si="12"/>
        <v>0</v>
      </c>
      <c r="EU24" s="803">
        <f t="shared" si="13"/>
        <v>0</v>
      </c>
      <c r="EV24" s="802" t="str">
        <f t="shared" si="14"/>
        <v/>
      </c>
      <c r="EW24" s="769">
        <f t="shared" si="28"/>
        <v>45996</v>
      </c>
      <c r="EX24" s="777" t="str">
        <f>IFERROR(IF(AND(AZ24="",AR24&lt;&gt;S.CAL!$BJ$3,AR24&lt;&gt;S.CAL!$BJ$4),FS24-BC24,IF(AZ24&lt;&gt;0,AZ24,IF(OR(AR24=S.CAL!$BJ$3,AR24=S.CAL!$BJ$4),AR24,0))),"")</f>
        <v/>
      </c>
      <c r="EY24" s="771">
        <f t="shared" si="54"/>
        <v>0</v>
      </c>
      <c r="EZ24" s="754">
        <f t="shared" si="55"/>
        <v>0</v>
      </c>
      <c r="FA24" s="777" t="str">
        <f t="shared" si="31"/>
        <v/>
      </c>
      <c r="FB24" s="772" t="str">
        <f t="shared" si="15"/>
        <v/>
      </c>
      <c r="FC24" s="333" t="str">
        <f t="shared" si="56"/>
        <v>non</v>
      </c>
      <c r="FD24" s="778">
        <f t="shared" si="16"/>
        <v>0</v>
      </c>
      <c r="FG24" s="333" t="str">
        <f t="shared" si="57"/>
        <v/>
      </c>
      <c r="FJ24" s="333">
        <f t="shared" si="58"/>
        <v>1</v>
      </c>
      <c r="FK24" s="129">
        <f t="shared" si="17"/>
        <v>10</v>
      </c>
      <c r="FL24" s="129">
        <f t="shared" si="35"/>
        <v>1</v>
      </c>
      <c r="FN24" s="129">
        <f>+IF(AND($DP$8&lt;&gt;52,AR24=S.CAL!$BJ$4),10,1)</f>
        <v>1</v>
      </c>
      <c r="FP24" s="129">
        <f t="shared" si="18"/>
        <v>0</v>
      </c>
      <c r="FS24" s="225" t="str">
        <f t="shared" si="36"/>
        <v/>
      </c>
      <c r="FZ24" s="129">
        <f t="shared" si="37"/>
        <v>49</v>
      </c>
      <c r="GA24" s="129">
        <f t="shared" si="38"/>
        <v>2025</v>
      </c>
      <c r="GB24" s="129" t="str">
        <f t="shared" si="39"/>
        <v>492025</v>
      </c>
      <c r="GC24" s="225">
        <f t="shared" si="40"/>
        <v>0</v>
      </c>
      <c r="GF24" s="225" t="str">
        <f t="shared" si="41"/>
        <v/>
      </c>
      <c r="GG24" s="1469" t="str">
        <f>+'Retenue Déc'!D22</f>
        <v/>
      </c>
      <c r="GH24" s="1469">
        <f>+'Retenue Déc'!BF22</f>
        <v>0</v>
      </c>
      <c r="GJ24" s="1530" t="str">
        <f t="shared" si="42"/>
        <v/>
      </c>
      <c r="GK24" s="225" t="str">
        <f t="shared" si="43"/>
        <v/>
      </c>
      <c r="GL24" s="225" t="str">
        <f t="shared" si="44"/>
        <v/>
      </c>
      <c r="GM24" s="1529">
        <f t="shared" si="45"/>
        <v>0</v>
      </c>
      <c r="GO24" s="129">
        <f t="shared" si="19"/>
        <v>0</v>
      </c>
      <c r="GP24" s="129" t="str">
        <f t="shared" si="46"/>
        <v/>
      </c>
      <c r="GQ24" s="1469" t="str">
        <f t="shared" si="47"/>
        <v/>
      </c>
    </row>
    <row r="25" spans="1:199" ht="12.75" customHeight="1" x14ac:dyDescent="0.2">
      <c r="A25" s="1850" t="s">
        <v>52</v>
      </c>
      <c r="B25" s="1865" t="s">
        <v>1253</v>
      </c>
      <c r="C25" s="1866"/>
      <c r="D25" s="1866"/>
      <c r="E25" s="1866"/>
      <c r="F25" s="1866"/>
      <c r="G25" s="1866"/>
      <c r="H25" s="1866"/>
      <c r="I25" s="1866"/>
      <c r="J25" s="1866"/>
      <c r="K25" s="1867"/>
      <c r="L25" s="1810" t="e">
        <f>IF(A18="Salaire heures normales réelles",0,'Retenue Déc'!R48*-1)</f>
        <v>#DIV/0!</v>
      </c>
      <c r="M25" s="1811"/>
      <c r="N25" s="1811"/>
      <c r="O25" s="1812"/>
      <c r="P25" s="1816" t="e">
        <f>+IF(L25,T25/L25,0)</f>
        <v>#DIV/0!</v>
      </c>
      <c r="Q25" s="1817"/>
      <c r="R25" s="1817"/>
      <c r="S25" s="1818"/>
      <c r="T25" s="1913">
        <f>IF(A18="Salaire heures normales réelles",0,'Retenue Déc'!R52*-1)</f>
        <v>0</v>
      </c>
      <c r="U25" s="1914"/>
      <c r="V25" s="1914"/>
      <c r="W25" s="1915"/>
      <c r="X25" s="226"/>
      <c r="Y25" s="226"/>
      <c r="Z25" s="226"/>
      <c r="AA25" s="903" t="str">
        <f>IF(AND(BE25="OUI",$AR$13=S.CAL!$CU$2),"►",IF(AND(EV25="OUI",$AR$13=S.CAL!$CU$3),"►",""))</f>
        <v/>
      </c>
      <c r="AB25" s="1877">
        <f>+$X$3+5</f>
        <v>45997</v>
      </c>
      <c r="AC25" s="1878">
        <f>+$D$6+5</f>
        <v>5</v>
      </c>
      <c r="AD25" s="1875" t="str">
        <f>+IF(AND($AR$13=S.CAL!$CU$2,EX25&lt;&gt;0),EX25,IF(AND($AR$13=S.CAL!$CU$3,ER25&lt;&gt;0),ER25,0))</f>
        <v/>
      </c>
      <c r="AE25" s="1875"/>
      <c r="AF25" s="1875"/>
      <c r="AG25" s="1875" t="str">
        <f>+IF(AND($AR$13=S.CAL!$CU$2,EY25&lt;&gt;0),EY25,IF(AND($AR$13=S.CAL!$CU$3,ES25&lt;&gt;0),ES25,""))</f>
        <v/>
      </c>
      <c r="AH25" s="1875"/>
      <c r="AI25" s="1875"/>
      <c r="AJ25" s="1875" t="str">
        <f>+IF(AND($AR$13=S.CAL!$CU$2,EZ25&lt;&gt;0),EZ25,IF(AND($AR$13=S.CAL!$CU$3,ET25&lt;&gt;0),ET25,""))</f>
        <v/>
      </c>
      <c r="AK25" s="1875"/>
      <c r="AL25" s="1875"/>
      <c r="AM25" s="1875" t="str">
        <f>+IF(AND($AR$13=S.CAL!$CU$2,FA25&lt;&gt;0),FA25,IF(AND($AR$13=S.CAL!$CU$3,EU25&lt;&gt;0),EU25,""))</f>
        <v/>
      </c>
      <c r="AN25" s="1875"/>
      <c r="AO25" s="1876"/>
      <c r="AP25" s="217" t="str">
        <f t="shared" si="48"/>
        <v/>
      </c>
      <c r="AQ25" s="340"/>
      <c r="AR25" s="1126"/>
      <c r="AS25" s="332">
        <f t="shared" si="3"/>
        <v>0</v>
      </c>
      <c r="AT25" s="1147"/>
      <c r="AU25" s="1147"/>
      <c r="AV25" s="332"/>
      <c r="AW25" s="2017">
        <f t="shared" si="21"/>
        <v>45997</v>
      </c>
      <c r="AX25" s="1878"/>
      <c r="AY25" s="332"/>
      <c r="AZ25" s="1126"/>
      <c r="BA25" s="993"/>
      <c r="BB25" s="561"/>
      <c r="BC25" s="566">
        <f t="shared" si="22"/>
        <v>0</v>
      </c>
      <c r="BD25" s="1126"/>
      <c r="BE25" s="825">
        <f t="shared" si="23"/>
        <v>0</v>
      </c>
      <c r="BF25" s="1150"/>
      <c r="BG25" s="224"/>
      <c r="BH25" s="566" t="str">
        <f t="shared" si="24"/>
        <v/>
      </c>
      <c r="BI25" s="1150"/>
      <c r="BJ25" s="129" t="str">
        <f t="shared" si="25"/>
        <v>Fiche infoA6</v>
      </c>
      <c r="BK25" s="129">
        <f t="shared" si="49"/>
        <v>49</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C25" s="1595"/>
      <c r="CD25" s="1595"/>
      <c r="CE25" s="1595"/>
      <c r="CF25" s="1595"/>
      <c r="CG25" s="1595"/>
      <c r="CH25" s="1595"/>
      <c r="CI25" s="1595"/>
      <c r="CJ25" s="1595"/>
      <c r="CK25" s="1595"/>
      <c r="CL25" s="1595"/>
      <c r="CM25" s="592"/>
      <c r="CN25" s="592"/>
      <c r="CO25" s="592"/>
      <c r="CP25" s="592"/>
      <c r="CQ25" s="592"/>
      <c r="CR25" s="592"/>
      <c r="CS25" s="592"/>
      <c r="CT25" s="592"/>
      <c r="CU25" s="592"/>
      <c r="CV25" s="592"/>
      <c r="CW25" s="592"/>
      <c r="CX25" s="592"/>
      <c r="CY25" s="592"/>
      <c r="CZ25" s="592"/>
      <c r="DA25" s="592"/>
      <c r="DB25" s="592"/>
      <c r="DC25" s="592"/>
      <c r="DD25" s="208"/>
      <c r="DE25" s="758"/>
      <c r="DF25" s="758"/>
      <c r="DJ25" s="779" t="s">
        <v>1371</v>
      </c>
      <c r="DK25" s="756">
        <f>IF(Identification!B126="Net",(IF(H59&gt;0,(((N62*BY4)-((T32+T33+T34)*BY4*BY4))+(K59*(DK29)*DK26))/(BY4+K59),(N62-((T32+T33+T34)*BY4)))),IF(Identification!B126="Brut",(IF(H59&gt;0,(T35-(T32+T33+T34)),(T35-((T32+T33+T34))))),"erreur"))</f>
        <v>0</v>
      </c>
      <c r="DO25" s="420" t="s">
        <v>1598</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1672</v>
      </c>
      <c r="EI25" s="333">
        <f>+ROUND(BE149/4*2,2)</f>
        <v>0</v>
      </c>
      <c r="EQ25" s="801">
        <f t="shared" si="53"/>
        <v>45997</v>
      </c>
      <c r="ER25" s="802">
        <f t="shared" si="10"/>
        <v>0</v>
      </c>
      <c r="ES25" s="803">
        <f t="shared" si="11"/>
        <v>0</v>
      </c>
      <c r="ET25" s="802">
        <f t="shared" si="12"/>
        <v>0</v>
      </c>
      <c r="EU25" s="803">
        <f t="shared" si="13"/>
        <v>0</v>
      </c>
      <c r="EV25" s="802" t="str">
        <f t="shared" si="14"/>
        <v/>
      </c>
      <c r="EW25" s="769">
        <f t="shared" si="28"/>
        <v>45997</v>
      </c>
      <c r="EX25" s="777" t="str">
        <f>IFERROR(IF(AND(AZ25="",AR25&lt;&gt;S.CAL!$BJ$3,AR25&lt;&gt;S.CAL!$BJ$4),FS25-BC25,IF(AZ25&lt;&gt;0,AZ25,IF(OR(AR25=S.CAL!$BJ$3,AR25=S.CAL!$BJ$4),AR25,0))),"")</f>
        <v/>
      </c>
      <c r="EY25" s="771">
        <f t="shared" si="54"/>
        <v>0</v>
      </c>
      <c r="EZ25" s="754">
        <f t="shared" si="55"/>
        <v>0</v>
      </c>
      <c r="FA25" s="777" t="str">
        <f t="shared" si="31"/>
        <v/>
      </c>
      <c r="FB25" s="772" t="str">
        <f t="shared" si="15"/>
        <v/>
      </c>
      <c r="FC25" s="333" t="str">
        <f t="shared" si="56"/>
        <v>non</v>
      </c>
      <c r="FD25" s="778">
        <f t="shared" si="16"/>
        <v>0</v>
      </c>
      <c r="FG25" s="333" t="str">
        <f t="shared" si="57"/>
        <v/>
      </c>
      <c r="FJ25" s="333">
        <f t="shared" si="58"/>
        <v>1</v>
      </c>
      <c r="FK25" s="129">
        <f t="shared" si="17"/>
        <v>10</v>
      </c>
      <c r="FL25" s="129">
        <f t="shared" si="35"/>
        <v>1</v>
      </c>
      <c r="FN25" s="129">
        <f>+IF(AND($DP$8&lt;&gt;52,AR25=S.CAL!$BJ$4),10,1)</f>
        <v>1</v>
      </c>
      <c r="FP25" s="129">
        <f t="shared" si="18"/>
        <v>0</v>
      </c>
      <c r="FS25" s="225" t="str">
        <f t="shared" si="36"/>
        <v/>
      </c>
      <c r="FZ25" s="129">
        <f t="shared" si="37"/>
        <v>49</v>
      </c>
      <c r="GA25" s="129">
        <f t="shared" si="38"/>
        <v>2025</v>
      </c>
      <c r="GB25" s="129" t="str">
        <f t="shared" si="39"/>
        <v>492025</v>
      </c>
      <c r="GC25" s="225">
        <f t="shared" si="40"/>
        <v>0</v>
      </c>
      <c r="GF25" s="225" t="str">
        <f t="shared" si="41"/>
        <v/>
      </c>
      <c r="GG25" s="1469" t="str">
        <f>+'Retenue Déc'!D23</f>
        <v/>
      </c>
      <c r="GH25" s="1469">
        <f>+'Retenue Déc'!BF23</f>
        <v>0</v>
      </c>
      <c r="GJ25" s="1530" t="str">
        <f t="shared" si="42"/>
        <v/>
      </c>
      <c r="GK25" s="225" t="str">
        <f t="shared" si="43"/>
        <v/>
      </c>
      <c r="GL25" s="225" t="str">
        <f t="shared" si="44"/>
        <v/>
      </c>
      <c r="GM25" s="1529">
        <f t="shared" si="45"/>
        <v>0</v>
      </c>
      <c r="GO25" s="129">
        <f t="shared" si="19"/>
        <v>0</v>
      </c>
      <c r="GP25" s="129" t="str">
        <f t="shared" si="46"/>
        <v/>
      </c>
      <c r="GQ25" s="1469" t="str">
        <f t="shared" si="47"/>
        <v/>
      </c>
    </row>
    <row r="26" spans="1:199" ht="12.75" customHeight="1" x14ac:dyDescent="0.2">
      <c r="A26" s="1851"/>
      <c r="B26" s="1868" t="s">
        <v>844</v>
      </c>
      <c r="C26" s="1869"/>
      <c r="D26" s="1869"/>
      <c r="E26" s="1869"/>
      <c r="F26" s="1869"/>
      <c r="G26" s="1869"/>
      <c r="H26" s="1869"/>
      <c r="I26" s="1869"/>
      <c r="J26" s="1869"/>
      <c r="K26" s="1870"/>
      <c r="L26" s="1810" t="e">
        <f>IF(A18="Salaire heures normales réelles",0,'Retenue Déc'!R50*-1)</f>
        <v>#DIV/0!</v>
      </c>
      <c r="M26" s="1811"/>
      <c r="N26" s="1811"/>
      <c r="O26" s="1812"/>
      <c r="P26" s="1816" t="e">
        <f>+IF(L26,T26/L26,0)</f>
        <v>#DIV/0!</v>
      </c>
      <c r="Q26" s="1817"/>
      <c r="R26" s="1817"/>
      <c r="S26" s="1818"/>
      <c r="T26" s="1913">
        <f>IF(A18="Salaire heures normales réelles",0,'Retenue Déc'!R54*-1)</f>
        <v>0</v>
      </c>
      <c r="U26" s="1914"/>
      <c r="V26" s="1914"/>
      <c r="W26" s="1915"/>
      <c r="X26" s="223"/>
      <c r="Y26" s="223"/>
      <c r="Z26" s="223"/>
      <c r="AA26" s="903" t="str">
        <f>IF(AND(BE26="OUI",$AR$13=S.CAL!$CU$2),"►",IF(AND(EV26="OUI",$AR$13=S.CAL!$CU$3),"►",""))</f>
        <v/>
      </c>
      <c r="AB26" s="1877">
        <f>+$X$3+6</f>
        <v>45998</v>
      </c>
      <c r="AC26" s="1878">
        <f>+$D$6+6</f>
        <v>6</v>
      </c>
      <c r="AD26" s="1875" t="str">
        <f>+IF(AND($AR$13=S.CAL!$CU$2,EX26&lt;&gt;0),EX26,IF(AND($AR$13=S.CAL!$CU$3,ER26&lt;&gt;0),ER26,0))</f>
        <v/>
      </c>
      <c r="AE26" s="1875"/>
      <c r="AF26" s="1875"/>
      <c r="AG26" s="1875" t="str">
        <f>+IF(AND($AR$13=S.CAL!$CU$2,EY26&lt;&gt;0),EY26,IF(AND($AR$13=S.CAL!$CU$3,ES26&lt;&gt;0),ES26,""))</f>
        <v/>
      </c>
      <c r="AH26" s="1875"/>
      <c r="AI26" s="1875"/>
      <c r="AJ26" s="1875" t="str">
        <f>+IF(AND($AR$13=S.CAL!$CU$2,EZ26&lt;&gt;0),EZ26,IF(AND($AR$13=S.CAL!$CU$3,ET26&lt;&gt;0),ET26,""))</f>
        <v/>
      </c>
      <c r="AK26" s="1875"/>
      <c r="AL26" s="1875"/>
      <c r="AM26" s="1875" t="str">
        <f>+IF(AND($AR$13=S.CAL!$CU$2,FA26&lt;&gt;0),FA26,IF(AND($AR$13=S.CAL!$CU$3,EU26&lt;&gt;0),EU26,""))</f>
        <v/>
      </c>
      <c r="AN26" s="1875"/>
      <c r="AO26" s="1876"/>
      <c r="AP26" s="217" t="str">
        <f t="shared" si="48"/>
        <v/>
      </c>
      <c r="AQ26" s="340"/>
      <c r="AR26" s="1126"/>
      <c r="AS26" s="332">
        <f t="shared" si="3"/>
        <v>0</v>
      </c>
      <c r="AT26" s="1147"/>
      <c r="AU26" s="1147"/>
      <c r="AV26" s="332"/>
      <c r="AW26" s="2017">
        <f t="shared" si="21"/>
        <v>45998</v>
      </c>
      <c r="AX26" s="1878"/>
      <c r="AY26" s="332"/>
      <c r="AZ26" s="1126"/>
      <c r="BA26" s="993"/>
      <c r="BB26" s="561"/>
      <c r="BC26" s="566">
        <f t="shared" si="22"/>
        <v>0</v>
      </c>
      <c r="BD26" s="1126"/>
      <c r="BE26" s="825">
        <f t="shared" si="23"/>
        <v>0</v>
      </c>
      <c r="BF26" s="1150"/>
      <c r="BG26" s="224"/>
      <c r="BH26" s="566" t="str">
        <f t="shared" si="24"/>
        <v/>
      </c>
      <c r="BI26" s="1150"/>
      <c r="BJ26" s="129" t="str">
        <f t="shared" si="25"/>
        <v>Fiche infoA7</v>
      </c>
      <c r="BK26" s="129">
        <f t="shared" si="49"/>
        <v>49</v>
      </c>
      <c r="BL26" s="129" t="str">
        <f t="shared" si="4"/>
        <v>A</v>
      </c>
      <c r="BM26" s="129">
        <f t="shared" si="50"/>
        <v>7</v>
      </c>
      <c r="BN26" s="225" t="str">
        <f t="shared" si="60"/>
        <v>Fiche info</v>
      </c>
      <c r="BO26" s="332" t="str">
        <f t="shared" si="51"/>
        <v/>
      </c>
      <c r="BP26" s="198" t="str">
        <f t="shared" si="52"/>
        <v/>
      </c>
      <c r="BQ26" s="208"/>
      <c r="BX26" s="595"/>
      <c r="BY26" s="2085" t="s">
        <v>1114</v>
      </c>
      <c r="BZ26" s="2085" t="s">
        <v>449</v>
      </c>
      <c r="CA26" s="2083" t="s">
        <v>1115</v>
      </c>
      <c r="CB26" s="465"/>
      <c r="CC26" s="1595"/>
      <c r="CD26" s="1595"/>
      <c r="CE26" s="1595"/>
      <c r="CF26" s="1595"/>
      <c r="CG26" s="1595"/>
      <c r="CH26" s="1595"/>
      <c r="CI26" s="1595"/>
      <c r="CJ26" s="1596"/>
      <c r="CK26" s="1596"/>
      <c r="CL26" s="1596"/>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1370</v>
      </c>
      <c r="DK26" s="780">
        <f>IF(Identification!B125="Net",ROUND(+AL15,Identification!B124),IF(Identification!B125="Brut",ROUND(+AL14,Identification!B124),"erreur"))</f>
        <v>0</v>
      </c>
      <c r="DN26" s="781"/>
      <c r="DO26" s="781" t="s">
        <v>1641</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801">
        <f t="shared" si="53"/>
        <v>45998</v>
      </c>
      <c r="ER26" s="802">
        <f t="shared" si="10"/>
        <v>0</v>
      </c>
      <c r="ES26" s="803">
        <f t="shared" si="11"/>
        <v>0</v>
      </c>
      <c r="ET26" s="802">
        <f t="shared" si="12"/>
        <v>0</v>
      </c>
      <c r="EU26" s="803">
        <f t="shared" si="13"/>
        <v>0</v>
      </c>
      <c r="EV26" s="802" t="str">
        <f t="shared" si="14"/>
        <v/>
      </c>
      <c r="EW26" s="769">
        <f t="shared" si="28"/>
        <v>45998</v>
      </c>
      <c r="EX26" s="777" t="str">
        <f>IFERROR(IF(AND(AZ26="",AR26&lt;&gt;S.CAL!$BJ$3,AR26&lt;&gt;S.CAL!$BJ$4),FS26-BC26,IF(AZ26&lt;&gt;0,AZ26,IF(OR(AR26=S.CAL!$BJ$3,AR26=S.CAL!$BJ$4),AR26,0))),"")</f>
        <v/>
      </c>
      <c r="EY26" s="771">
        <f t="shared" si="54"/>
        <v>0</v>
      </c>
      <c r="EZ26" s="754">
        <f t="shared" si="55"/>
        <v>0</v>
      </c>
      <c r="FA26" s="777" t="str">
        <f t="shared" si="31"/>
        <v/>
      </c>
      <c r="FB26" s="772" t="str">
        <f t="shared" si="15"/>
        <v/>
      </c>
      <c r="FC26" s="333" t="str">
        <f t="shared" si="56"/>
        <v>non</v>
      </c>
      <c r="FD26" s="778">
        <f t="shared" si="16"/>
        <v>0</v>
      </c>
      <c r="FG26" s="333" t="str">
        <f t="shared" si="57"/>
        <v/>
      </c>
      <c r="FJ26" s="333">
        <f t="shared" si="58"/>
        <v>1</v>
      </c>
      <c r="FK26" s="129">
        <f t="shared" si="17"/>
        <v>10</v>
      </c>
      <c r="FL26" s="129">
        <f t="shared" si="35"/>
        <v>1</v>
      </c>
      <c r="FN26" s="129">
        <f>+IF(AND($DP$8&lt;&gt;52,AR26=S.CAL!$BJ$4),10,1)</f>
        <v>1</v>
      </c>
      <c r="FP26" s="129">
        <f t="shared" si="18"/>
        <v>0</v>
      </c>
      <c r="FS26" s="225" t="str">
        <f t="shared" si="36"/>
        <v/>
      </c>
      <c r="FZ26" s="129">
        <f t="shared" si="37"/>
        <v>49</v>
      </c>
      <c r="GA26" s="129">
        <f t="shared" si="38"/>
        <v>2025</v>
      </c>
      <c r="GB26" s="129" t="str">
        <f t="shared" si="39"/>
        <v>492025</v>
      </c>
      <c r="GC26" s="225">
        <f t="shared" si="40"/>
        <v>0</v>
      </c>
      <c r="GF26" s="225" t="str">
        <f t="shared" si="41"/>
        <v/>
      </c>
      <c r="GG26" s="1469" t="str">
        <f>+'Retenue Déc'!D24</f>
        <v/>
      </c>
      <c r="GH26" s="1469">
        <f>+'Retenue Déc'!BF24</f>
        <v>0</v>
      </c>
      <c r="GJ26" s="1530" t="str">
        <f t="shared" si="42"/>
        <v/>
      </c>
      <c r="GK26" s="225" t="str">
        <f t="shared" si="43"/>
        <v/>
      </c>
      <c r="GL26" s="225" t="str">
        <f t="shared" si="44"/>
        <v/>
      </c>
      <c r="GM26" s="1529">
        <f t="shared" si="45"/>
        <v>0</v>
      </c>
      <c r="GO26" s="129">
        <f t="shared" si="19"/>
        <v>0</v>
      </c>
      <c r="GP26" s="129" t="str">
        <f t="shared" si="46"/>
        <v/>
      </c>
      <c r="GQ26" s="1469" t="str">
        <f t="shared" si="47"/>
        <v/>
      </c>
    </row>
    <row r="27" spans="1:199" ht="14.25" customHeight="1" x14ac:dyDescent="0.2">
      <c r="A27" s="1825"/>
      <c r="B27" s="1865" t="s">
        <v>694</v>
      </c>
      <c r="C27" s="1866"/>
      <c r="D27" s="1866"/>
      <c r="E27" s="1866"/>
      <c r="F27" s="1866"/>
      <c r="G27" s="1866"/>
      <c r="H27" s="1866"/>
      <c r="I27" s="1866"/>
      <c r="J27" s="1866"/>
      <c r="K27" s="1867"/>
      <c r="L27" s="1830"/>
      <c r="M27" s="1831"/>
      <c r="N27" s="1831"/>
      <c r="O27" s="1832"/>
      <c r="P27" s="1816"/>
      <c r="Q27" s="1817"/>
      <c r="R27" s="1817"/>
      <c r="S27" s="1818"/>
      <c r="T27" s="1913">
        <f>ROUND(IF(L27="",IF(DP8=52,VLOOKUP($X$3,base_retenue,6,FALSE)*-1,0),L27),2)</f>
        <v>0</v>
      </c>
      <c r="U27" s="1914"/>
      <c r="V27" s="1914"/>
      <c r="W27" s="1915"/>
      <c r="X27" s="223"/>
      <c r="Y27" s="223"/>
      <c r="Z27" s="223"/>
      <c r="AA27" s="903" t="str">
        <f>IF(AND(BE27="OUI",$AR$13=S.CAL!$CU$2),"►",IF(AND(EV27="OUI",$AR$13=S.CAL!$CU$3),"►",""))</f>
        <v/>
      </c>
      <c r="AB27" s="1877">
        <f>+$X$3+7</f>
        <v>45999</v>
      </c>
      <c r="AC27" s="1878">
        <f>+$D$6+7</f>
        <v>7</v>
      </c>
      <c r="AD27" s="1875" t="str">
        <f>+IF(AND($AR$13=S.CAL!$CU$2,EX27&lt;&gt;0),EX27,IF(AND($AR$13=S.CAL!$CU$3,ER27&lt;&gt;0),ER27,0))</f>
        <v/>
      </c>
      <c r="AE27" s="1875"/>
      <c r="AF27" s="1875"/>
      <c r="AG27" s="1875" t="str">
        <f>+IF(AND($AR$13=S.CAL!$CU$2,EY27&lt;&gt;0),EY27,IF(AND($AR$13=S.CAL!$CU$3,ES27&lt;&gt;0),ES27,""))</f>
        <v/>
      </c>
      <c r="AH27" s="1875"/>
      <c r="AI27" s="1875"/>
      <c r="AJ27" s="1875" t="str">
        <f>+IF(AND($AR$13=S.CAL!$CU$2,EZ27&lt;&gt;0),EZ27,IF(AND($AR$13=S.CAL!$CU$3,ET27&lt;&gt;0),ET27,""))</f>
        <v/>
      </c>
      <c r="AK27" s="1875"/>
      <c r="AL27" s="1875"/>
      <c r="AM27" s="1875" t="str">
        <f>+IF(AND($AR$13=S.CAL!$CU$2,FA27&lt;&gt;0),FA27,IF(AND($AR$13=S.CAL!$CU$3,EU27&lt;&gt;0),EU27,""))</f>
        <v/>
      </c>
      <c r="AN27" s="1875"/>
      <c r="AO27" s="1876"/>
      <c r="AP27" s="217">
        <f t="shared" si="48"/>
        <v>50</v>
      </c>
      <c r="AQ27" s="340"/>
      <c r="AR27" s="1126"/>
      <c r="AS27" s="332">
        <f t="shared" si="3"/>
        <v>0</v>
      </c>
      <c r="AT27" s="1147"/>
      <c r="AU27" s="1147"/>
      <c r="AV27" s="332"/>
      <c r="AW27" s="2017">
        <f t="shared" si="21"/>
        <v>45999</v>
      </c>
      <c r="AX27" s="1878"/>
      <c r="AY27" s="332"/>
      <c r="AZ27" s="1126"/>
      <c r="BA27" s="993"/>
      <c r="BB27" s="561"/>
      <c r="BC27" s="566">
        <f t="shared" si="22"/>
        <v>0</v>
      </c>
      <c r="BD27" s="1126"/>
      <c r="BE27" s="825">
        <f t="shared" si="23"/>
        <v>0</v>
      </c>
      <c r="BF27" s="1150"/>
      <c r="BG27" s="224"/>
      <c r="BH27" s="566" t="str">
        <f t="shared" si="24"/>
        <v/>
      </c>
      <c r="BI27" s="1150"/>
      <c r="BJ27" s="129" t="str">
        <f t="shared" si="25"/>
        <v>Fiche infoA1</v>
      </c>
      <c r="BK27" s="129">
        <f t="shared" si="49"/>
        <v>50</v>
      </c>
      <c r="BL27" s="129" t="str">
        <f t="shared" si="4"/>
        <v>A</v>
      </c>
      <c r="BM27" s="129">
        <f t="shared" si="50"/>
        <v>1</v>
      </c>
      <c r="BN27" s="225" t="str">
        <f t="shared" si="60"/>
        <v>Fiche info</v>
      </c>
      <c r="BO27" s="332" t="str">
        <f t="shared" si="51"/>
        <v/>
      </c>
      <c r="BP27" s="198" t="str">
        <f t="shared" si="52"/>
        <v/>
      </c>
      <c r="BQ27" s="208"/>
      <c r="BX27" s="595"/>
      <c r="BY27" s="2086"/>
      <c r="BZ27" s="2145"/>
      <c r="CA27" s="2084"/>
      <c r="CB27" s="198" t="s">
        <v>1111</v>
      </c>
      <c r="CC27" s="592" t="s">
        <v>1112</v>
      </c>
      <c r="CD27" s="592" t="s">
        <v>1113</v>
      </c>
      <c r="CE27" s="592" t="s">
        <v>1243</v>
      </c>
      <c r="CF27" s="592"/>
      <c r="CG27" s="592"/>
      <c r="CH27" s="592" t="s">
        <v>1244</v>
      </c>
      <c r="CI27" s="592"/>
      <c r="CJ27" s="1598" t="s">
        <v>1702</v>
      </c>
      <c r="CK27" s="1596"/>
      <c r="CL27" s="1596"/>
      <c r="CM27" s="218"/>
      <c r="CN27" s="218"/>
      <c r="CO27" s="218"/>
      <c r="CP27" s="218"/>
      <c r="CQ27" s="218"/>
      <c r="CR27" s="218"/>
      <c r="CS27" s="218"/>
      <c r="CT27" s="218"/>
      <c r="CU27" s="218"/>
      <c r="CV27" s="218"/>
      <c r="CW27" s="218"/>
      <c r="CX27" s="218"/>
      <c r="CY27" s="218"/>
      <c r="CZ27" s="218"/>
      <c r="DA27" s="218"/>
      <c r="DB27" s="218"/>
      <c r="DC27" s="218"/>
      <c r="DD27" s="208"/>
      <c r="DE27" s="758"/>
      <c r="DF27" s="758"/>
      <c r="DJ27" s="779" t="s">
        <v>160</v>
      </c>
      <c r="DK27" s="782" t="e">
        <f>ROUNDDOWN((T18+T25)/AL14,Identification!B121)</f>
        <v>#DIV/0!</v>
      </c>
      <c r="DL27" s="783"/>
      <c r="DN27" s="781"/>
      <c r="DO27" s="775" t="s">
        <v>1642</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801">
        <f t="shared" si="53"/>
        <v>45999</v>
      </c>
      <c r="ER27" s="802">
        <f t="shared" si="10"/>
        <v>0</v>
      </c>
      <c r="ES27" s="803">
        <f t="shared" si="11"/>
        <v>0</v>
      </c>
      <c r="ET27" s="802">
        <f t="shared" si="12"/>
        <v>0</v>
      </c>
      <c r="EU27" s="803">
        <f t="shared" si="13"/>
        <v>0</v>
      </c>
      <c r="EV27" s="802" t="str">
        <f t="shared" si="14"/>
        <v/>
      </c>
      <c r="EW27" s="769">
        <f t="shared" si="28"/>
        <v>45999</v>
      </c>
      <c r="EX27" s="777" t="str">
        <f>IFERROR(IF(AND(AZ27="",AR27&lt;&gt;S.CAL!$BJ$3,AR27&lt;&gt;S.CAL!$BJ$4),FS27-BC27,IF(AZ27&lt;&gt;0,AZ27,IF(OR(AR27=S.CAL!$BJ$3,AR27=S.CAL!$BJ$4),AR27,0))),"")</f>
        <v/>
      </c>
      <c r="EY27" s="771">
        <f t="shared" si="54"/>
        <v>0</v>
      </c>
      <c r="EZ27" s="754">
        <f t="shared" si="55"/>
        <v>0</v>
      </c>
      <c r="FA27" s="777" t="str">
        <f t="shared" si="31"/>
        <v/>
      </c>
      <c r="FB27" s="772" t="str">
        <f t="shared" si="15"/>
        <v/>
      </c>
      <c r="FC27" s="333" t="str">
        <f t="shared" si="56"/>
        <v>non</v>
      </c>
      <c r="FD27" s="778">
        <f t="shared" si="16"/>
        <v>0</v>
      </c>
      <c r="FG27" s="333" t="str">
        <f t="shared" si="57"/>
        <v/>
      </c>
      <c r="FJ27" s="333">
        <f t="shared" si="58"/>
        <v>1</v>
      </c>
      <c r="FK27" s="129">
        <f t="shared" si="17"/>
        <v>10</v>
      </c>
      <c r="FL27" s="129">
        <f t="shared" si="35"/>
        <v>1</v>
      </c>
      <c r="FN27" s="129">
        <f>+IF(AND($DP$8&lt;&gt;52,AR27=S.CAL!$BJ$4),10,1)</f>
        <v>1</v>
      </c>
      <c r="FP27" s="129">
        <f t="shared" si="18"/>
        <v>0</v>
      </c>
      <c r="FS27" s="225" t="str">
        <f t="shared" ref="FS27:FS50" si="61">+BH27</f>
        <v/>
      </c>
      <c r="FZ27" s="129">
        <f t="shared" si="37"/>
        <v>50</v>
      </c>
      <c r="GA27" s="129">
        <f t="shared" si="38"/>
        <v>2025</v>
      </c>
      <c r="GB27" s="129" t="str">
        <f t="shared" si="39"/>
        <v>502025</v>
      </c>
      <c r="GC27" s="225">
        <f t="shared" si="40"/>
        <v>0</v>
      </c>
      <c r="GF27" s="225" t="str">
        <f t="shared" si="41"/>
        <v/>
      </c>
      <c r="GG27" s="1469" t="str">
        <f>+'Retenue Déc'!D25</f>
        <v/>
      </c>
      <c r="GH27" s="1469">
        <f>+'Retenue Déc'!BF25</f>
        <v>0</v>
      </c>
      <c r="GJ27" s="1530" t="str">
        <f t="shared" si="42"/>
        <v/>
      </c>
      <c r="GK27" s="225" t="str">
        <f t="shared" si="43"/>
        <v/>
      </c>
      <c r="GL27" s="225" t="str">
        <f t="shared" si="44"/>
        <v/>
      </c>
      <c r="GM27" s="1529">
        <f t="shared" si="45"/>
        <v>0</v>
      </c>
      <c r="GO27" s="129">
        <f t="shared" si="19"/>
        <v>0</v>
      </c>
      <c r="GP27" s="129" t="str">
        <f t="shared" si="46"/>
        <v/>
      </c>
      <c r="GQ27" s="1469" t="str">
        <f t="shared" si="47"/>
        <v/>
      </c>
    </row>
    <row r="28" spans="1:199" ht="12.75" customHeight="1" x14ac:dyDescent="0.2">
      <c r="A28" s="1826"/>
      <c r="B28" s="1827" t="s">
        <v>695</v>
      </c>
      <c r="C28" s="1828"/>
      <c r="D28" s="1828"/>
      <c r="E28" s="1828"/>
      <c r="F28" s="1828"/>
      <c r="G28" s="1828"/>
      <c r="H28" s="1828"/>
      <c r="I28" s="1828"/>
      <c r="J28" s="1828"/>
      <c r="K28" s="1829"/>
      <c r="L28" s="1830"/>
      <c r="M28" s="1831"/>
      <c r="N28" s="1831"/>
      <c r="O28" s="1832"/>
      <c r="P28" s="1819"/>
      <c r="Q28" s="1820"/>
      <c r="R28" s="1820"/>
      <c r="S28" s="1821"/>
      <c r="T28" s="1913">
        <f>ROUND(IF(L28="",IF(AND(DP8=52,VLOOKUP($X$3,base_retenue,11,FALSE)&gt;IF(G100,(G99*DK51/G100),0)),(VLOOKUP($X$3,base_retenue,11,FALSE)+VLOOKUP($X$3,base_retenue,9,FALSE)),IF(AND(DP8=52,(VLOOKUP($X$3,base_retenue,11,FALSE))&lt;=IF(G100,(G99*DK51/G100),0)),IF(G100,(G99*DK51/G100),0)+VLOOKUP($X$3,base_retenue,9,FALSE),0)),L28),2)</f>
        <v>0</v>
      </c>
      <c r="U28" s="1914"/>
      <c r="V28" s="1914"/>
      <c r="W28" s="1915"/>
      <c r="X28" s="223"/>
      <c r="Y28" s="223"/>
      <c r="Z28" s="223"/>
      <c r="AA28" s="903" t="str">
        <f>IF(AND(BE28="OUI",$AR$13=S.CAL!$CU$2),"►",IF(AND(EV28="OUI",$AR$13=S.CAL!$CU$3),"►",""))</f>
        <v/>
      </c>
      <c r="AB28" s="1877">
        <f>+$X$3+8</f>
        <v>46000</v>
      </c>
      <c r="AC28" s="1878">
        <f>+$D$6+8</f>
        <v>8</v>
      </c>
      <c r="AD28" s="1875" t="str">
        <f>+IF(AND($AR$13=S.CAL!$CU$2,EX28&lt;&gt;0),EX28,IF(AND($AR$13=S.CAL!$CU$3,ER28&lt;&gt;0),ER28,0))</f>
        <v/>
      </c>
      <c r="AE28" s="1875"/>
      <c r="AF28" s="1875"/>
      <c r="AG28" s="1875" t="str">
        <f>+IF(AND($AR$13=S.CAL!$CU$2,EY28&lt;&gt;0),EY28,IF(AND($AR$13=S.CAL!$CU$3,ES28&lt;&gt;0),ES28,""))</f>
        <v/>
      </c>
      <c r="AH28" s="1875"/>
      <c r="AI28" s="1875"/>
      <c r="AJ28" s="1875" t="str">
        <f>+IF(AND($AR$13=S.CAL!$CU$2,EZ28&lt;&gt;0),EZ28,IF(AND($AR$13=S.CAL!$CU$3,ET28&lt;&gt;0),ET28,""))</f>
        <v/>
      </c>
      <c r="AK28" s="1875"/>
      <c r="AL28" s="1875"/>
      <c r="AM28" s="1875" t="str">
        <f>+IF(AND($AR$13=S.CAL!$CU$2,FA28&lt;&gt;0),FA28,IF(AND($AR$13=S.CAL!$CU$3,EU28&lt;&gt;0),EU28,""))</f>
        <v/>
      </c>
      <c r="AN28" s="1875"/>
      <c r="AO28" s="1876"/>
      <c r="AP28" s="217" t="str">
        <f t="shared" si="48"/>
        <v/>
      </c>
      <c r="AQ28" s="340"/>
      <c r="AR28" s="1126"/>
      <c r="AS28" s="332">
        <f t="shared" si="3"/>
        <v>0</v>
      </c>
      <c r="AT28" s="1147"/>
      <c r="AU28" s="1147"/>
      <c r="AV28" s="332"/>
      <c r="AW28" s="2017">
        <f t="shared" si="21"/>
        <v>46000</v>
      </c>
      <c r="AX28" s="1878"/>
      <c r="AY28" s="332"/>
      <c r="AZ28" s="1126"/>
      <c r="BA28" s="993"/>
      <c r="BB28" s="561"/>
      <c r="BC28" s="566">
        <f t="shared" si="22"/>
        <v>0</v>
      </c>
      <c r="BD28" s="1126"/>
      <c r="BE28" s="825">
        <f t="shared" si="23"/>
        <v>0</v>
      </c>
      <c r="BF28" s="1150"/>
      <c r="BG28" s="224"/>
      <c r="BH28" s="566" t="str">
        <f t="shared" si="24"/>
        <v/>
      </c>
      <c r="BI28" s="1150"/>
      <c r="BJ28" s="129" t="str">
        <f t="shared" si="25"/>
        <v>Fiche infoA2</v>
      </c>
      <c r="BK28" s="129">
        <f t="shared" si="49"/>
        <v>50</v>
      </c>
      <c r="BL28" s="129" t="str">
        <f t="shared" si="4"/>
        <v>A</v>
      </c>
      <c r="BM28" s="129">
        <f t="shared" si="50"/>
        <v>2</v>
      </c>
      <c r="BN28" s="225" t="str">
        <f t="shared" si="60"/>
        <v>Fiche info</v>
      </c>
      <c r="BO28" s="332" t="str">
        <f t="shared" si="51"/>
        <v/>
      </c>
      <c r="BP28" s="198" t="str">
        <f t="shared" si="52"/>
        <v/>
      </c>
      <c r="BQ28" s="198"/>
      <c r="BS28" s="2012" t="str">
        <f>+"Semaine numéro : "&amp;AT4</f>
        <v>Semaine numéro : 49</v>
      </c>
      <c r="BT28" s="2013"/>
      <c r="BU28" s="2013"/>
      <c r="BV28" s="2013"/>
      <c r="BW28" s="2013"/>
      <c r="BX28" s="2014"/>
      <c r="BY28" s="1600"/>
      <c r="BZ28" s="674">
        <f>+IF(BY28="",IF(AND(CC28&gt;0,CB28&gt;0),CC28+CB28,IF(CD28&gt;0,0,CB28)),BY28)</f>
        <v>0</v>
      </c>
      <c r="CA28" s="673">
        <f t="shared" ref="CA28:CA33" si="62">IF(BZ28&gt;45,BZ28-45,0)</f>
        <v>0</v>
      </c>
      <c r="CB28" s="198">
        <f t="shared" ref="CB28:CB33" si="63">+SUMIF($BK$20:$BK$50,AT4,$AM$20:$AO$50)</f>
        <v>0</v>
      </c>
      <c r="CC28" s="592">
        <f>+SUMIF(Novembre!$BK$20:$BK$50,AT4,Novembre!$AM$20:$AO$50)</f>
        <v>0</v>
      </c>
      <c r="CD28" s="592"/>
      <c r="CE28" s="592" t="str">
        <f>+$BY$2&amp;AU4</f>
        <v>Fiche infoA</v>
      </c>
      <c r="CF28" s="592">
        <f ca="1">+SUMIF(S.CAL!$ED$1:$EI$897,Décembre!CE28,S.CAL!$EI$1:$EI$897)-(SUMIF($BK$20:$BK$50,AT4,$BC$20:$BC$50))</f>
        <v>0</v>
      </c>
      <c r="CG28" s="592">
        <f>+SUMIF($BK$20:$BK$50,CH28,$GG$20:$GG$52)</f>
        <v>0</v>
      </c>
      <c r="CH28" s="592">
        <f>+AT4</f>
        <v>49</v>
      </c>
      <c r="CI28" s="592">
        <f ca="1">+CF28-CG28</f>
        <v>0</v>
      </c>
      <c r="CJ28" s="1599" t="b">
        <f>+IF(AND(CG28&gt;0,CH29=""),TRUE,FALSE)</f>
        <v>0</v>
      </c>
      <c r="CK28" s="1597"/>
      <c r="CL28" s="1597"/>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1441</v>
      </c>
      <c r="DK28" s="782">
        <f>IF(AL14,+(T31+T23+T24+T29+T27+T28)/AL14,0)</f>
        <v>0</v>
      </c>
      <c r="DL28" s="783" t="s">
        <v>1191</v>
      </c>
      <c r="DM28" s="333">
        <f>IF(AL14,+(HO16+T30)/AL14,0)</f>
        <v>0</v>
      </c>
      <c r="DN28" s="754"/>
      <c r="DO28" s="754" t="s">
        <v>1643</v>
      </c>
      <c r="DP28" s="1536">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1673</v>
      </c>
      <c r="EI28" s="333">
        <f>+GO57</f>
        <v>0</v>
      </c>
      <c r="EQ28" s="801">
        <f t="shared" si="53"/>
        <v>46000</v>
      </c>
      <c r="ER28" s="802">
        <f t="shared" si="10"/>
        <v>0</v>
      </c>
      <c r="ES28" s="803">
        <f t="shared" si="11"/>
        <v>0</v>
      </c>
      <c r="ET28" s="802">
        <f t="shared" si="12"/>
        <v>0</v>
      </c>
      <c r="EU28" s="803">
        <f t="shared" si="13"/>
        <v>0</v>
      </c>
      <c r="EV28" s="802" t="str">
        <f t="shared" si="14"/>
        <v/>
      </c>
      <c r="EW28" s="769">
        <f t="shared" si="28"/>
        <v>46000</v>
      </c>
      <c r="EX28" s="777" t="str">
        <f>IFERROR(IF(AND(AZ28="",AR28&lt;&gt;S.CAL!$BJ$3,AR28&lt;&gt;S.CAL!$BJ$4),FS28-BC28,IF(AZ28&lt;&gt;0,AZ28,IF(OR(AR28=S.CAL!$BJ$3,AR28=S.CAL!$BJ$4),AR28,0))),"")</f>
        <v/>
      </c>
      <c r="EY28" s="771">
        <f t="shared" si="54"/>
        <v>0</v>
      </c>
      <c r="EZ28" s="754">
        <f t="shared" si="55"/>
        <v>0</v>
      </c>
      <c r="FA28" s="777" t="str">
        <f t="shared" si="31"/>
        <v/>
      </c>
      <c r="FB28" s="772" t="str">
        <f t="shared" si="15"/>
        <v/>
      </c>
      <c r="FC28" s="333" t="str">
        <f t="shared" si="56"/>
        <v>non</v>
      </c>
      <c r="FD28" s="778">
        <f t="shared" si="16"/>
        <v>0</v>
      </c>
      <c r="FG28" s="333" t="str">
        <f t="shared" si="57"/>
        <v/>
      </c>
      <c r="FJ28" s="333">
        <f t="shared" si="58"/>
        <v>1</v>
      </c>
      <c r="FK28" s="129">
        <f t="shared" si="17"/>
        <v>10</v>
      </c>
      <c r="FL28" s="129">
        <f t="shared" si="35"/>
        <v>1</v>
      </c>
      <c r="FN28" s="129">
        <f>+IF(AND($DP$8&lt;&gt;52,AR28=S.CAL!$BJ$4),10,1)</f>
        <v>1</v>
      </c>
      <c r="FP28" s="129">
        <f t="shared" si="18"/>
        <v>0</v>
      </c>
      <c r="FS28" s="225" t="str">
        <f t="shared" si="61"/>
        <v/>
      </c>
      <c r="FZ28" s="129">
        <f t="shared" si="37"/>
        <v>50</v>
      </c>
      <c r="GA28" s="129">
        <f t="shared" si="38"/>
        <v>2025</v>
      </c>
      <c r="GB28" s="129" t="str">
        <f t="shared" si="39"/>
        <v>502025</v>
      </c>
      <c r="GC28" s="225">
        <f t="shared" si="40"/>
        <v>0</v>
      </c>
      <c r="GF28" s="225" t="str">
        <f t="shared" si="41"/>
        <v/>
      </c>
      <c r="GG28" s="1469" t="str">
        <f>+'Retenue Déc'!D26</f>
        <v/>
      </c>
      <c r="GH28" s="1469">
        <f>+'Retenue Déc'!BF26</f>
        <v>0</v>
      </c>
      <c r="GJ28" s="1530" t="str">
        <f t="shared" si="42"/>
        <v/>
      </c>
      <c r="GK28" s="225" t="str">
        <f t="shared" si="43"/>
        <v/>
      </c>
      <c r="GL28" s="225" t="str">
        <f t="shared" si="44"/>
        <v/>
      </c>
      <c r="GM28" s="1529">
        <f t="shared" si="45"/>
        <v>0</v>
      </c>
      <c r="GO28" s="129">
        <f t="shared" si="19"/>
        <v>0</v>
      </c>
      <c r="GP28" s="129" t="str">
        <f t="shared" si="46"/>
        <v/>
      </c>
      <c r="GQ28" s="1469" t="str">
        <f t="shared" si="47"/>
        <v/>
      </c>
    </row>
    <row r="29" spans="1:199" ht="12.75" customHeight="1" x14ac:dyDescent="0.2">
      <c r="A29" s="1852" t="s">
        <v>53</v>
      </c>
      <c r="B29" s="1833"/>
      <c r="C29" s="1834"/>
      <c r="D29" s="1834"/>
      <c r="E29" s="1834"/>
      <c r="F29" s="1834"/>
      <c r="G29" s="1834"/>
      <c r="H29" s="1834"/>
      <c r="I29" s="1834"/>
      <c r="J29" s="1834"/>
      <c r="K29" s="1835"/>
      <c r="L29" s="1813"/>
      <c r="M29" s="1980"/>
      <c r="N29" s="1980"/>
      <c r="O29" s="1981"/>
      <c r="P29" s="1813"/>
      <c r="Q29" s="1980"/>
      <c r="R29" s="1980"/>
      <c r="S29" s="1981"/>
      <c r="T29" s="1830"/>
      <c r="U29" s="1831"/>
      <c r="V29" s="1831"/>
      <c r="W29" s="1832"/>
      <c r="AA29" s="903" t="str">
        <f>IF(AND(BE29="OUI",$AR$13=S.CAL!$CU$2),"►",IF(AND(EV29="OUI",$AR$13=S.CAL!$CU$3),"►",""))</f>
        <v/>
      </c>
      <c r="AB29" s="1877">
        <f>+$X$3+9</f>
        <v>46001</v>
      </c>
      <c r="AC29" s="1878">
        <f>+$D$6+9</f>
        <v>9</v>
      </c>
      <c r="AD29" s="1875" t="str">
        <f>+IF(AND($AR$13=S.CAL!$CU$2,EX29&lt;&gt;0),EX29,IF(AND($AR$13=S.CAL!$CU$3,ER29&lt;&gt;0),ER29,0))</f>
        <v/>
      </c>
      <c r="AE29" s="1875"/>
      <c r="AF29" s="1875"/>
      <c r="AG29" s="1875" t="str">
        <f>+IF(AND($AR$13=S.CAL!$CU$2,EY29&lt;&gt;0),EY29,IF(AND($AR$13=S.CAL!$CU$3,ES29&lt;&gt;0),ES29,""))</f>
        <v/>
      </c>
      <c r="AH29" s="1875"/>
      <c r="AI29" s="1875"/>
      <c r="AJ29" s="1875" t="str">
        <f>+IF(AND($AR$13=S.CAL!$CU$2,EZ29&lt;&gt;0),EZ29,IF(AND($AR$13=S.CAL!$CU$3,ET29&lt;&gt;0),ET29,""))</f>
        <v/>
      </c>
      <c r="AK29" s="1875"/>
      <c r="AL29" s="1875"/>
      <c r="AM29" s="1875" t="str">
        <f>+IF(AND($AR$13=S.CAL!$CU$2,FA29&lt;&gt;0),FA29,IF(AND($AR$13=S.CAL!$CU$3,EU29&lt;&gt;0),EU29,""))</f>
        <v/>
      </c>
      <c r="AN29" s="1875"/>
      <c r="AO29" s="1876"/>
      <c r="AP29" s="217" t="str">
        <f t="shared" si="48"/>
        <v/>
      </c>
      <c r="AQ29" s="340"/>
      <c r="AR29" s="1126"/>
      <c r="AS29" s="332">
        <f t="shared" si="3"/>
        <v>0</v>
      </c>
      <c r="AT29" s="1147"/>
      <c r="AU29" s="1147"/>
      <c r="AV29" s="332"/>
      <c r="AW29" s="2017">
        <f t="shared" si="21"/>
        <v>46001</v>
      </c>
      <c r="AX29" s="1878"/>
      <c r="AY29" s="332"/>
      <c r="AZ29" s="1126"/>
      <c r="BA29" s="993"/>
      <c r="BB29" s="561"/>
      <c r="BC29" s="566">
        <f t="shared" si="22"/>
        <v>0</v>
      </c>
      <c r="BD29" s="1126"/>
      <c r="BE29" s="825">
        <f t="shared" si="23"/>
        <v>0</v>
      </c>
      <c r="BF29" s="1150"/>
      <c r="BG29" s="224"/>
      <c r="BH29" s="566" t="str">
        <f t="shared" si="24"/>
        <v/>
      </c>
      <c r="BI29" s="1150"/>
      <c r="BJ29" s="129" t="str">
        <f t="shared" si="25"/>
        <v>Fiche infoA3</v>
      </c>
      <c r="BK29" s="129">
        <f t="shared" si="49"/>
        <v>50</v>
      </c>
      <c r="BL29" s="129" t="str">
        <f t="shared" si="4"/>
        <v>A</v>
      </c>
      <c r="BM29" s="129">
        <f t="shared" si="50"/>
        <v>3</v>
      </c>
      <c r="BN29" s="225" t="str">
        <f t="shared" si="60"/>
        <v>Fiche info</v>
      </c>
      <c r="BO29" s="332" t="str">
        <f t="shared" si="51"/>
        <v/>
      </c>
      <c r="BP29" s="198" t="str">
        <f t="shared" si="52"/>
        <v/>
      </c>
      <c r="BQ29" s="198"/>
      <c r="BS29" s="2012" t="str">
        <f t="shared" ref="BS29:BS33" si="64">+"Semaine numéro : "&amp;AT5</f>
        <v>Semaine numéro : 50</v>
      </c>
      <c r="BT29" s="2013"/>
      <c r="BU29" s="2013"/>
      <c r="BV29" s="2013"/>
      <c r="BW29" s="2013"/>
      <c r="BX29" s="2014"/>
      <c r="BY29" s="1137"/>
      <c r="BZ29" s="674">
        <f t="shared" ref="BZ29:BZ33" si="65">+IF(BY29="",IF(AND(CC29&gt;0,CB29&gt;0),CC29+CB29,IF(CD29&gt;0,0,CB29)),BY29)</f>
        <v>0</v>
      </c>
      <c r="CA29" s="673">
        <f t="shared" si="62"/>
        <v>0</v>
      </c>
      <c r="CB29" s="198">
        <f t="shared" si="63"/>
        <v>0</v>
      </c>
      <c r="CC29" s="592">
        <f>+SUMIF(Novembre!$BK$20:$BK$50,AT5,Novembre!$AM$20:$AO$50)</f>
        <v>0</v>
      </c>
      <c r="CD29" s="592"/>
      <c r="CE29" s="592" t="str">
        <f t="shared" ref="CE29:CE33" si="66">+$BY$2&amp;AU5</f>
        <v>Fiche infoA</v>
      </c>
      <c r="CF29" s="592">
        <f ca="1">+SUMIF(S.CAL!$ED$1:$EI$897,Décembre!CE29,S.CAL!$EI$1:$EI$897)-(SUMIF($BK$20:$BK$50,AT5,$BC$20:$BC$50))</f>
        <v>0</v>
      </c>
      <c r="CG29" s="592">
        <f t="shared" ref="CG29:CG33" si="67">+SUMIF($BK$20:$BK$50,CH29,$GG$20:$GG$52)</f>
        <v>0</v>
      </c>
      <c r="CH29" s="592">
        <f t="shared" ref="CH29:CH33" si="68">+AT5</f>
        <v>50</v>
      </c>
      <c r="CI29" s="592">
        <f t="shared" ref="CI29:CI33" ca="1" si="69">+CF29-CG29</f>
        <v>0</v>
      </c>
      <c r="CJ29" s="1599" t="b">
        <f t="shared" ref="CJ29:CJ33" si="70">+IF(AND(CG29&gt;0,CH30=""),TRUE,FALSE)</f>
        <v>0</v>
      </c>
      <c r="CK29" s="1597"/>
      <c r="CL29" s="1597"/>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1047</v>
      </c>
      <c r="DK29" s="784" t="e">
        <f>+ROUNDDOWN(DK27+DK28+DM28,Identification!B121)</f>
        <v>#DIV/0!</v>
      </c>
      <c r="DL29" s="754" t="s">
        <v>1004</v>
      </c>
      <c r="DM29" s="333">
        <f>+IF(AL14,T32/AL14,0)</f>
        <v>0</v>
      </c>
      <c r="DN29" s="754"/>
      <c r="DO29" s="1537" t="s">
        <v>1626</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1674</v>
      </c>
      <c r="EI29" s="333" t="e">
        <f>+EI28/EI19*2</f>
        <v>#DIV/0!</v>
      </c>
      <c r="EQ29" s="801">
        <f t="shared" si="53"/>
        <v>46001</v>
      </c>
      <c r="ER29" s="802">
        <f t="shared" si="10"/>
        <v>0</v>
      </c>
      <c r="ES29" s="803">
        <f t="shared" si="11"/>
        <v>0</v>
      </c>
      <c r="ET29" s="802">
        <f t="shared" si="12"/>
        <v>0</v>
      </c>
      <c r="EU29" s="803">
        <f t="shared" si="13"/>
        <v>0</v>
      </c>
      <c r="EV29" s="802" t="str">
        <f t="shared" si="14"/>
        <v/>
      </c>
      <c r="EW29" s="769">
        <f t="shared" si="28"/>
        <v>46001</v>
      </c>
      <c r="EX29" s="777" t="str">
        <f>IFERROR(IF(AND(AZ29="",AR29&lt;&gt;S.CAL!$BJ$3,AR29&lt;&gt;S.CAL!$BJ$4),FS29-BC29,IF(AZ29&lt;&gt;0,AZ29,IF(OR(AR29=S.CAL!$BJ$3,AR29=S.CAL!$BJ$4),AR29,0))),"")</f>
        <v/>
      </c>
      <c r="EY29" s="771">
        <f t="shared" si="54"/>
        <v>0</v>
      </c>
      <c r="EZ29" s="754">
        <f t="shared" si="55"/>
        <v>0</v>
      </c>
      <c r="FA29" s="777" t="str">
        <f t="shared" si="31"/>
        <v/>
      </c>
      <c r="FB29" s="772" t="str">
        <f t="shared" si="15"/>
        <v/>
      </c>
      <c r="FC29" s="333" t="str">
        <f t="shared" si="56"/>
        <v>non</v>
      </c>
      <c r="FD29" s="778">
        <f t="shared" si="16"/>
        <v>0</v>
      </c>
      <c r="FG29" s="333" t="str">
        <f t="shared" si="57"/>
        <v/>
      </c>
      <c r="FJ29" s="333">
        <f t="shared" si="58"/>
        <v>1</v>
      </c>
      <c r="FK29" s="129">
        <f t="shared" si="17"/>
        <v>10</v>
      </c>
      <c r="FL29" s="129">
        <f t="shared" si="35"/>
        <v>1</v>
      </c>
      <c r="FN29" s="129">
        <f>+IF(AND($DP$8&lt;&gt;52,AR29=S.CAL!$BJ$4),10,1)</f>
        <v>1</v>
      </c>
      <c r="FP29" s="129">
        <f t="shared" si="18"/>
        <v>0</v>
      </c>
      <c r="FS29" s="225" t="str">
        <f t="shared" si="61"/>
        <v/>
      </c>
      <c r="FZ29" s="129">
        <f t="shared" si="37"/>
        <v>50</v>
      </c>
      <c r="GA29" s="129">
        <f t="shared" si="38"/>
        <v>2025</v>
      </c>
      <c r="GB29" s="129" t="str">
        <f t="shared" si="39"/>
        <v>502025</v>
      </c>
      <c r="GC29" s="225">
        <f t="shared" si="40"/>
        <v>0</v>
      </c>
      <c r="GF29" s="225" t="str">
        <f t="shared" si="41"/>
        <v/>
      </c>
      <c r="GG29" s="1469" t="str">
        <f>+'Retenue Déc'!D27</f>
        <v/>
      </c>
      <c r="GH29" s="1469">
        <f>+'Retenue Déc'!BF27</f>
        <v>0</v>
      </c>
      <c r="GJ29" s="1530" t="str">
        <f t="shared" si="42"/>
        <v/>
      </c>
      <c r="GK29" s="225" t="str">
        <f t="shared" si="43"/>
        <v/>
      </c>
      <c r="GL29" s="225" t="str">
        <f t="shared" si="44"/>
        <v/>
      </c>
      <c r="GM29" s="1529">
        <f t="shared" si="45"/>
        <v>0</v>
      </c>
      <c r="GO29" s="129">
        <f t="shared" si="19"/>
        <v>0</v>
      </c>
      <c r="GP29" s="129" t="str">
        <f t="shared" si="46"/>
        <v/>
      </c>
      <c r="GQ29" s="1469" t="str">
        <f t="shared" si="47"/>
        <v/>
      </c>
    </row>
    <row r="30" spans="1:199" x14ac:dyDescent="0.2">
      <c r="A30" s="1853"/>
      <c r="B30" s="1844" t="s">
        <v>1498</v>
      </c>
      <c r="C30" s="1855"/>
      <c r="D30" s="1855"/>
      <c r="E30" s="1855"/>
      <c r="F30" s="1855"/>
      <c r="G30" s="1855"/>
      <c r="H30" s="1855"/>
      <c r="I30" s="1855"/>
      <c r="J30" s="1855"/>
      <c r="K30" s="1856"/>
      <c r="L30" s="1847"/>
      <c r="M30" s="1848"/>
      <c r="N30" s="1848"/>
      <c r="O30" s="1849"/>
      <c r="P30" s="1813"/>
      <c r="Q30" s="1814"/>
      <c r="R30" s="1814"/>
      <c r="S30" s="1815"/>
      <c r="T30" s="1816">
        <f>ROUND(+IF(AND(L30="",DP8&lt;&gt;52,BY8="NON"),IFERROR(VLOOKUP(X3,Bddconge,4,FALSE),0),IF(AND(L30="",DP8=52,BY8="NON"),IFERROR(VLOOKUP(X3,Bddconge,3,FALSE),0),L30)),2)</f>
        <v>0</v>
      </c>
      <c r="U30" s="1814"/>
      <c r="V30" s="1814"/>
      <c r="W30" s="1815"/>
      <c r="X30" s="223"/>
      <c r="Y30" s="223"/>
      <c r="Z30" s="223"/>
      <c r="AA30" s="903" t="str">
        <f>IF(AND(BE30="OUI",$AR$13=S.CAL!$CU$2),"►",IF(AND(EV30="OUI",$AR$13=S.CAL!$CU$3),"►",""))</f>
        <v/>
      </c>
      <c r="AB30" s="1877">
        <f>+$X$3+10</f>
        <v>46002</v>
      </c>
      <c r="AC30" s="1878">
        <f>+$D$6+10</f>
        <v>10</v>
      </c>
      <c r="AD30" s="1875" t="str">
        <f>+IF(AND($AR$13=S.CAL!$CU$2,EX30&lt;&gt;0),EX30,IF(AND($AR$13=S.CAL!$CU$3,ER30&lt;&gt;0),ER30,0))</f>
        <v/>
      </c>
      <c r="AE30" s="1875"/>
      <c r="AF30" s="1875"/>
      <c r="AG30" s="1875" t="str">
        <f>+IF(AND($AR$13=S.CAL!$CU$2,EY30&lt;&gt;0),EY30,IF(AND($AR$13=S.CAL!$CU$3,ES30&lt;&gt;0),ES30,""))</f>
        <v/>
      </c>
      <c r="AH30" s="1875"/>
      <c r="AI30" s="1875"/>
      <c r="AJ30" s="1875" t="str">
        <f>+IF(AND($AR$13=S.CAL!$CU$2,EZ30&lt;&gt;0),EZ30,IF(AND($AR$13=S.CAL!$CU$3,ET30&lt;&gt;0),ET30,""))</f>
        <v/>
      </c>
      <c r="AK30" s="1875"/>
      <c r="AL30" s="1875"/>
      <c r="AM30" s="1875" t="str">
        <f>+IF(AND($AR$13=S.CAL!$CU$2,FA30&lt;&gt;0),FA30,IF(AND($AR$13=S.CAL!$CU$3,EU30&lt;&gt;0),EU30,""))</f>
        <v/>
      </c>
      <c r="AN30" s="1875"/>
      <c r="AO30" s="1876"/>
      <c r="AP30" s="217" t="str">
        <f t="shared" si="48"/>
        <v/>
      </c>
      <c r="AQ30" s="340"/>
      <c r="AR30" s="1126"/>
      <c r="AS30" s="332">
        <f t="shared" si="3"/>
        <v>0</v>
      </c>
      <c r="AT30" s="1147"/>
      <c r="AU30" s="1147"/>
      <c r="AV30" s="332"/>
      <c r="AW30" s="2017">
        <f t="shared" si="21"/>
        <v>46002</v>
      </c>
      <c r="AX30" s="1878"/>
      <c r="AY30" s="332"/>
      <c r="AZ30" s="1126"/>
      <c r="BA30" s="993"/>
      <c r="BB30" s="561"/>
      <c r="BC30" s="566">
        <f t="shared" si="22"/>
        <v>0</v>
      </c>
      <c r="BD30" s="1126"/>
      <c r="BE30" s="825">
        <f t="shared" si="23"/>
        <v>0</v>
      </c>
      <c r="BF30" s="1150"/>
      <c r="BG30" s="224"/>
      <c r="BH30" s="566" t="str">
        <f t="shared" si="24"/>
        <v/>
      </c>
      <c r="BI30" s="1150"/>
      <c r="BJ30" s="129" t="str">
        <f t="shared" si="25"/>
        <v>Fiche infoA4</v>
      </c>
      <c r="BK30" s="129">
        <f t="shared" si="49"/>
        <v>50</v>
      </c>
      <c r="BL30" s="129" t="str">
        <f t="shared" si="4"/>
        <v>A</v>
      </c>
      <c r="BM30" s="129">
        <f t="shared" si="50"/>
        <v>4</v>
      </c>
      <c r="BN30" s="225" t="str">
        <f t="shared" si="60"/>
        <v>Fiche info</v>
      </c>
      <c r="BO30" s="332" t="str">
        <f t="shared" si="51"/>
        <v/>
      </c>
      <c r="BP30" s="198" t="str">
        <f t="shared" si="52"/>
        <v/>
      </c>
      <c r="BQ30" s="198"/>
      <c r="BS30" s="2012" t="str">
        <f t="shared" si="64"/>
        <v>Semaine numéro : 51</v>
      </c>
      <c r="BT30" s="2013"/>
      <c r="BU30" s="2013"/>
      <c r="BV30" s="2013"/>
      <c r="BW30" s="2013"/>
      <c r="BX30" s="2014"/>
      <c r="BY30" s="1137"/>
      <c r="BZ30" s="674">
        <f t="shared" si="65"/>
        <v>0</v>
      </c>
      <c r="CA30" s="673">
        <f t="shared" si="62"/>
        <v>0</v>
      </c>
      <c r="CB30" s="198">
        <f t="shared" si="63"/>
        <v>0</v>
      </c>
      <c r="CC30" s="592">
        <f>+SUMIF(Novembre!$BK$20:$BK$50,AT6,Novembre!$AM$20:$AO$50)</f>
        <v>0</v>
      </c>
      <c r="CD30" s="592"/>
      <c r="CE30" s="592" t="str">
        <f t="shared" si="66"/>
        <v>Fiche infoA</v>
      </c>
      <c r="CF30" s="592">
        <f ca="1">+SUMIF(S.CAL!$ED$1:$EI$897,Décembre!CE30,S.CAL!$EI$1:$EI$897)-(SUMIF($BK$20:$BK$50,AT6,$BC$20:$BC$50))</f>
        <v>0</v>
      </c>
      <c r="CG30" s="592">
        <f t="shared" si="67"/>
        <v>0</v>
      </c>
      <c r="CH30" s="592">
        <f t="shared" si="68"/>
        <v>51</v>
      </c>
      <c r="CI30" s="592">
        <f t="shared" ca="1" si="69"/>
        <v>0</v>
      </c>
      <c r="CJ30" s="1599" t="b">
        <f t="shared" si="70"/>
        <v>0</v>
      </c>
      <c r="CK30" s="1597"/>
      <c r="CL30" s="1597"/>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159</v>
      </c>
      <c r="DK30" s="756">
        <f>IF(Identification!B126="Net",+DK25/BY4,IF(Identification!B126="Brut",+DK25,"erreur"))</f>
        <v>0</v>
      </c>
      <c r="DL30" s="754"/>
      <c r="DN30" s="754"/>
      <c r="DO30" s="1537" t="s">
        <v>1725</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801">
        <f t="shared" si="53"/>
        <v>46002</v>
      </c>
      <c r="ER30" s="802">
        <f t="shared" si="10"/>
        <v>0</v>
      </c>
      <c r="ES30" s="803">
        <f t="shared" si="11"/>
        <v>0</v>
      </c>
      <c r="ET30" s="802">
        <f t="shared" si="12"/>
        <v>0</v>
      </c>
      <c r="EU30" s="803">
        <f t="shared" si="13"/>
        <v>0</v>
      </c>
      <c r="EV30" s="802" t="str">
        <f t="shared" si="14"/>
        <v/>
      </c>
      <c r="EW30" s="769">
        <f t="shared" si="28"/>
        <v>46002</v>
      </c>
      <c r="EX30" s="777" t="str">
        <f>IFERROR(IF(AND(AZ30="",AR30&lt;&gt;S.CAL!$BJ$3,AR30&lt;&gt;S.CAL!$BJ$4),FS30-BC30,IF(AZ30&lt;&gt;0,AZ30,IF(OR(AR30=S.CAL!$BJ$3,AR30=S.CAL!$BJ$4),AR30,0))),"")</f>
        <v/>
      </c>
      <c r="EY30" s="771">
        <f t="shared" si="54"/>
        <v>0</v>
      </c>
      <c r="EZ30" s="754">
        <f t="shared" si="55"/>
        <v>0</v>
      </c>
      <c r="FA30" s="777" t="str">
        <f t="shared" si="31"/>
        <v/>
      </c>
      <c r="FB30" s="772" t="str">
        <f t="shared" si="15"/>
        <v/>
      </c>
      <c r="FC30" s="333" t="str">
        <f t="shared" si="56"/>
        <v>non</v>
      </c>
      <c r="FD30" s="778">
        <f t="shared" si="16"/>
        <v>0</v>
      </c>
      <c r="FG30" s="333" t="str">
        <f t="shared" si="57"/>
        <v/>
      </c>
      <c r="FJ30" s="333">
        <f t="shared" si="58"/>
        <v>1</v>
      </c>
      <c r="FK30" s="129">
        <f t="shared" si="17"/>
        <v>10</v>
      </c>
      <c r="FL30" s="129">
        <f t="shared" si="35"/>
        <v>1</v>
      </c>
      <c r="FN30" s="129">
        <f>+IF(AND($DP$8&lt;&gt;52,AR30=S.CAL!$BJ$4),10,1)</f>
        <v>1</v>
      </c>
      <c r="FP30" s="129">
        <f t="shared" si="18"/>
        <v>0</v>
      </c>
      <c r="FS30" s="225" t="str">
        <f t="shared" si="61"/>
        <v/>
      </c>
      <c r="FZ30" s="129">
        <f t="shared" si="37"/>
        <v>50</v>
      </c>
      <c r="GA30" s="129">
        <f t="shared" si="38"/>
        <v>2025</v>
      </c>
      <c r="GB30" s="129" t="str">
        <f t="shared" si="39"/>
        <v>502025</v>
      </c>
      <c r="GC30" s="225">
        <f t="shared" si="40"/>
        <v>0</v>
      </c>
      <c r="GF30" s="225" t="str">
        <f t="shared" si="41"/>
        <v/>
      </c>
      <c r="GG30" s="1469" t="str">
        <f>+'Retenue Déc'!D28</f>
        <v/>
      </c>
      <c r="GH30" s="1469">
        <f>+'Retenue Déc'!BF28</f>
        <v>0</v>
      </c>
      <c r="GJ30" s="1530" t="str">
        <f t="shared" si="42"/>
        <v/>
      </c>
      <c r="GK30" s="225" t="str">
        <f t="shared" si="43"/>
        <v/>
      </c>
      <c r="GL30" s="225" t="str">
        <f t="shared" si="44"/>
        <v/>
      </c>
      <c r="GM30" s="1529">
        <f t="shared" si="45"/>
        <v>0</v>
      </c>
      <c r="GO30" s="129">
        <f t="shared" si="19"/>
        <v>0</v>
      </c>
      <c r="GP30" s="129" t="str">
        <f t="shared" si="46"/>
        <v/>
      </c>
      <c r="GQ30" s="1469" t="str">
        <f t="shared" si="47"/>
        <v/>
      </c>
    </row>
    <row r="31" spans="1:199" x14ac:dyDescent="0.2">
      <c r="A31" s="1853"/>
      <c r="B31" s="1844" t="s">
        <v>54</v>
      </c>
      <c r="C31" s="1845"/>
      <c r="D31" s="1845"/>
      <c r="E31" s="1845"/>
      <c r="F31" s="1845"/>
      <c r="G31" s="1845"/>
      <c r="H31" s="1845"/>
      <c r="I31" s="1845"/>
      <c r="J31" s="1845"/>
      <c r="K31" s="1846"/>
      <c r="L31" s="1830"/>
      <c r="M31" s="1848"/>
      <c r="N31" s="1848"/>
      <c r="O31" s="1849"/>
      <c r="P31" s="1810"/>
      <c r="Q31" s="1814"/>
      <c r="R31" s="1814"/>
      <c r="S31" s="1815"/>
      <c r="T31" s="1816">
        <f>ROUND(IF(OR(AND(DP8&lt;&gt;52,L31=""),AND(AD135="OUI",L31="")),+VLOOKUP(X3,tab_regularisation,2,FALSE),L31),2)</f>
        <v>0</v>
      </c>
      <c r="U31" s="1814"/>
      <c r="V31" s="1814"/>
      <c r="W31" s="1815"/>
      <c r="X31" s="223"/>
      <c r="Y31" s="223"/>
      <c r="Z31" s="223"/>
      <c r="AA31" s="903" t="str">
        <f>IF(AND(BE31="OUI",$AR$13=S.CAL!$CU$2),"►",IF(AND(EV31="OUI",$AR$13=S.CAL!$CU$3),"►",""))</f>
        <v/>
      </c>
      <c r="AB31" s="1877">
        <f>+$X$3+11</f>
        <v>46003</v>
      </c>
      <c r="AC31" s="1878">
        <f>+$D$6+11</f>
        <v>11</v>
      </c>
      <c r="AD31" s="1875" t="str">
        <f>+IF(AND($AR$13=S.CAL!$CU$2,EX31&lt;&gt;0),EX31,IF(AND($AR$13=S.CAL!$CU$3,ER31&lt;&gt;0),ER31,0))</f>
        <v/>
      </c>
      <c r="AE31" s="1875"/>
      <c r="AF31" s="1875"/>
      <c r="AG31" s="1875" t="str">
        <f>+IF(AND($AR$13=S.CAL!$CU$2,EY31&lt;&gt;0),EY31,IF(AND($AR$13=S.CAL!$CU$3,ES31&lt;&gt;0),ES31,""))</f>
        <v/>
      </c>
      <c r="AH31" s="1875"/>
      <c r="AI31" s="1875"/>
      <c r="AJ31" s="1875" t="str">
        <f>+IF(AND($AR$13=S.CAL!$CU$2,EZ31&lt;&gt;0),EZ31,IF(AND($AR$13=S.CAL!$CU$3,ET31&lt;&gt;0),ET31,""))</f>
        <v/>
      </c>
      <c r="AK31" s="1875"/>
      <c r="AL31" s="1875"/>
      <c r="AM31" s="1875" t="str">
        <f>+IF(AND($AR$13=S.CAL!$CU$2,FA31&lt;&gt;0),FA31,IF(AND($AR$13=S.CAL!$CU$3,EU31&lt;&gt;0),EU31,""))</f>
        <v/>
      </c>
      <c r="AN31" s="1875"/>
      <c r="AO31" s="1876"/>
      <c r="AP31" s="217" t="str">
        <f t="shared" si="48"/>
        <v/>
      </c>
      <c r="AQ31" s="340"/>
      <c r="AR31" s="1126"/>
      <c r="AS31" s="332">
        <f t="shared" si="3"/>
        <v>0</v>
      </c>
      <c r="AT31" s="1147"/>
      <c r="AU31" s="1147"/>
      <c r="AV31" s="332"/>
      <c r="AW31" s="2017">
        <f t="shared" si="21"/>
        <v>46003</v>
      </c>
      <c r="AX31" s="1878"/>
      <c r="AY31" s="332"/>
      <c r="AZ31" s="1126"/>
      <c r="BA31" s="993"/>
      <c r="BB31" s="561"/>
      <c r="BC31" s="566">
        <f t="shared" si="22"/>
        <v>0</v>
      </c>
      <c r="BD31" s="1126"/>
      <c r="BE31" s="825">
        <f t="shared" si="23"/>
        <v>0</v>
      </c>
      <c r="BF31" s="1150"/>
      <c r="BG31" s="224"/>
      <c r="BH31" s="566" t="str">
        <f t="shared" si="24"/>
        <v/>
      </c>
      <c r="BI31" s="1150"/>
      <c r="BJ31" s="129" t="str">
        <f t="shared" si="25"/>
        <v>Fiche infoA5</v>
      </c>
      <c r="BK31" s="129">
        <f t="shared" si="49"/>
        <v>50</v>
      </c>
      <c r="BL31" s="129" t="str">
        <f t="shared" si="4"/>
        <v>A</v>
      </c>
      <c r="BM31" s="129">
        <f t="shared" si="50"/>
        <v>5</v>
      </c>
      <c r="BN31" s="225" t="str">
        <f t="shared" si="60"/>
        <v>Fiche info</v>
      </c>
      <c r="BO31" s="332" t="str">
        <f t="shared" si="51"/>
        <v/>
      </c>
      <c r="BP31" s="198" t="str">
        <f t="shared" si="52"/>
        <v/>
      </c>
      <c r="BQ31" s="198"/>
      <c r="BS31" s="2012" t="str">
        <f t="shared" si="64"/>
        <v>Semaine numéro : 52</v>
      </c>
      <c r="BT31" s="2013"/>
      <c r="BU31" s="2013"/>
      <c r="BV31" s="2013"/>
      <c r="BW31" s="2013"/>
      <c r="BX31" s="2014"/>
      <c r="BY31" s="1137"/>
      <c r="BZ31" s="674">
        <f t="shared" si="65"/>
        <v>0</v>
      </c>
      <c r="CA31" s="673">
        <f t="shared" si="62"/>
        <v>0</v>
      </c>
      <c r="CB31" s="198">
        <f t="shared" si="63"/>
        <v>0</v>
      </c>
      <c r="CC31" s="592">
        <f>+SUMIF(Novembre!$BK$20:$BK$50,AT7,Novembre!$AM$20:$AO$50)</f>
        <v>0</v>
      </c>
      <c r="CD31" s="592"/>
      <c r="CE31" s="592" t="str">
        <f t="shared" si="66"/>
        <v>Fiche infoA</v>
      </c>
      <c r="CF31" s="592">
        <f ca="1">+SUMIF(S.CAL!$ED$1:$EI$897,Décembre!CE31,S.CAL!$EI$1:$EI$897)-(SUMIF($BK$20:$BK$50,AT7,$BC$20:$BC$50))</f>
        <v>0</v>
      </c>
      <c r="CG31" s="592">
        <f t="shared" si="67"/>
        <v>0</v>
      </c>
      <c r="CH31" s="592">
        <f t="shared" si="68"/>
        <v>52</v>
      </c>
      <c r="CI31" s="592">
        <f t="shared" ca="1" si="69"/>
        <v>0</v>
      </c>
      <c r="CJ31" s="1599" t="b">
        <f t="shared" si="70"/>
        <v>0</v>
      </c>
      <c r="CK31" s="1597"/>
      <c r="CL31" s="1597"/>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1048</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801">
        <f t="shared" si="53"/>
        <v>46003</v>
      </c>
      <c r="ER31" s="802">
        <f t="shared" si="10"/>
        <v>0</v>
      </c>
      <c r="ES31" s="803">
        <f t="shared" si="11"/>
        <v>0</v>
      </c>
      <c r="ET31" s="802">
        <f t="shared" si="12"/>
        <v>0</v>
      </c>
      <c r="EU31" s="803">
        <f t="shared" si="13"/>
        <v>0</v>
      </c>
      <c r="EV31" s="802" t="str">
        <f t="shared" si="14"/>
        <v/>
      </c>
      <c r="EW31" s="769">
        <f t="shared" si="28"/>
        <v>46003</v>
      </c>
      <c r="EX31" s="777" t="str">
        <f>IFERROR(IF(AND(AZ31="",AR31&lt;&gt;S.CAL!$BJ$3,AR31&lt;&gt;S.CAL!$BJ$4),FS31-BC31,IF(AZ31&lt;&gt;0,AZ31,IF(OR(AR31=S.CAL!$BJ$3,AR31=S.CAL!$BJ$4),AR31,0))),"")</f>
        <v/>
      </c>
      <c r="EY31" s="771">
        <f t="shared" si="54"/>
        <v>0</v>
      </c>
      <c r="EZ31" s="754">
        <f t="shared" si="55"/>
        <v>0</v>
      </c>
      <c r="FA31" s="777" t="str">
        <f t="shared" si="31"/>
        <v/>
      </c>
      <c r="FB31" s="772" t="str">
        <f t="shared" si="15"/>
        <v/>
      </c>
      <c r="FC31" s="333" t="str">
        <f t="shared" si="56"/>
        <v>non</v>
      </c>
      <c r="FD31" s="778">
        <f t="shared" si="16"/>
        <v>0</v>
      </c>
      <c r="FG31" s="333" t="str">
        <f t="shared" si="57"/>
        <v/>
      </c>
      <c r="FJ31" s="333">
        <f t="shared" si="58"/>
        <v>1</v>
      </c>
      <c r="FK31" s="129">
        <f t="shared" si="17"/>
        <v>10</v>
      </c>
      <c r="FL31" s="129">
        <f t="shared" si="35"/>
        <v>1</v>
      </c>
      <c r="FN31" s="129">
        <f>+IF(AND($DP$8&lt;&gt;52,AR31=S.CAL!$BJ$4),10,1)</f>
        <v>1</v>
      </c>
      <c r="FP31" s="129">
        <f t="shared" si="18"/>
        <v>0</v>
      </c>
      <c r="FS31" s="225" t="str">
        <f t="shared" si="61"/>
        <v/>
      </c>
      <c r="FZ31" s="129">
        <f t="shared" si="37"/>
        <v>50</v>
      </c>
      <c r="GA31" s="129">
        <f t="shared" si="38"/>
        <v>2025</v>
      </c>
      <c r="GB31" s="129" t="str">
        <f t="shared" si="39"/>
        <v>502025</v>
      </c>
      <c r="GC31" s="225">
        <f t="shared" si="40"/>
        <v>0</v>
      </c>
      <c r="GF31" s="225" t="str">
        <f t="shared" si="41"/>
        <v/>
      </c>
      <c r="GG31" s="1469" t="str">
        <f>+'Retenue Déc'!D29</f>
        <v/>
      </c>
      <c r="GH31" s="1469">
        <f>+'Retenue Déc'!BF29</f>
        <v>0</v>
      </c>
      <c r="GJ31" s="1530" t="str">
        <f t="shared" si="42"/>
        <v/>
      </c>
      <c r="GK31" s="225" t="str">
        <f t="shared" si="43"/>
        <v/>
      </c>
      <c r="GL31" s="225" t="str">
        <f t="shared" si="44"/>
        <v/>
      </c>
      <c r="GM31" s="1529">
        <f t="shared" si="45"/>
        <v>0</v>
      </c>
      <c r="GO31" s="129">
        <f t="shared" si="19"/>
        <v>0</v>
      </c>
      <c r="GP31" s="129" t="str">
        <f t="shared" si="46"/>
        <v/>
      </c>
      <c r="GQ31" s="1469" t="str">
        <f t="shared" si="47"/>
        <v/>
      </c>
    </row>
    <row r="32" spans="1:199" x14ac:dyDescent="0.2">
      <c r="A32" s="1853"/>
      <c r="B32" s="1844" t="s">
        <v>473</v>
      </c>
      <c r="C32" s="1845"/>
      <c r="D32" s="1845"/>
      <c r="E32" s="1845"/>
      <c r="F32" s="1845"/>
      <c r="G32" s="1845"/>
      <c r="H32" s="1845"/>
      <c r="I32" s="1845"/>
      <c r="J32" s="1845"/>
      <c r="K32" s="1846"/>
      <c r="L32" s="1830"/>
      <c r="M32" s="1848"/>
      <c r="N32" s="1848"/>
      <c r="O32" s="1849"/>
      <c r="P32" s="1810"/>
      <c r="Q32" s="1814"/>
      <c r="R32" s="1814"/>
      <c r="S32" s="1815"/>
      <c r="T32" s="1816">
        <f>ROUND(+IF(AND(L32="",DP8&lt;&gt;52,BY8="OUI",BY9="O",OR(DP29="NON",DP29=0)),IFERROR(VLOOKUP(X3,Bddconge,6,FALSE),0),IF(AND(L32="",DP8=52,BY8="OUI",BY9="O",OR(DP29="NON",DP29=0)),IFERROR(VLOOKUP(X3,Bddconge,5,FALSE),0),IF(AND(DP29="OUI",BY8="OUI",BY9="O"),IFERROR(VLOOKUP(X3,Bddconge,5,FALSE),0),IF(AND(BY9="FIN",BY8="OUI"),0,L32)))),2)</f>
        <v>0</v>
      </c>
      <c r="U32" s="1814"/>
      <c r="V32" s="1814"/>
      <c r="W32" s="1815"/>
      <c r="X32" s="223"/>
      <c r="Y32" s="223"/>
      <c r="Z32" s="223"/>
      <c r="AA32" s="903" t="str">
        <f>IF(AND(BE32="OUI",$AR$13=S.CAL!$CU$2),"►",IF(AND(EV32="OUI",$AR$13=S.CAL!$CU$3),"►",""))</f>
        <v/>
      </c>
      <c r="AB32" s="1877">
        <f>+$X$3+12</f>
        <v>46004</v>
      </c>
      <c r="AC32" s="1878">
        <f>+$D$6+12</f>
        <v>12</v>
      </c>
      <c r="AD32" s="1875" t="str">
        <f>+IF(AND($AR$13=S.CAL!$CU$2,EX32&lt;&gt;0),EX32,IF(AND($AR$13=S.CAL!$CU$3,ER32&lt;&gt;0),ER32,0))</f>
        <v/>
      </c>
      <c r="AE32" s="1875"/>
      <c r="AF32" s="1875"/>
      <c r="AG32" s="1875" t="str">
        <f>+IF(AND($AR$13=S.CAL!$CU$2,EY32&lt;&gt;0),EY32,IF(AND($AR$13=S.CAL!$CU$3,ES32&lt;&gt;0),ES32,""))</f>
        <v/>
      </c>
      <c r="AH32" s="1875"/>
      <c r="AI32" s="1875"/>
      <c r="AJ32" s="1875" t="str">
        <f>+IF(AND($AR$13=S.CAL!$CU$2,EZ32&lt;&gt;0),EZ32,IF(AND($AR$13=S.CAL!$CU$3,ET32&lt;&gt;0),ET32,""))</f>
        <v/>
      </c>
      <c r="AK32" s="1875"/>
      <c r="AL32" s="1875"/>
      <c r="AM32" s="1875" t="str">
        <f>+IF(AND($AR$13=S.CAL!$CU$2,FA32&lt;&gt;0),FA32,IF(AND($AR$13=S.CAL!$CU$3,EU32&lt;&gt;0),EU32,""))</f>
        <v/>
      </c>
      <c r="AN32" s="1875"/>
      <c r="AO32" s="1876"/>
      <c r="AP32" s="217" t="str">
        <f t="shared" si="48"/>
        <v/>
      </c>
      <c r="AQ32" s="340"/>
      <c r="AR32" s="1126"/>
      <c r="AS32" s="332">
        <f t="shared" si="3"/>
        <v>0</v>
      </c>
      <c r="AT32" s="1147"/>
      <c r="AU32" s="1147"/>
      <c r="AV32" s="332"/>
      <c r="AW32" s="2017">
        <f t="shared" si="21"/>
        <v>46004</v>
      </c>
      <c r="AX32" s="1878"/>
      <c r="AY32" s="332"/>
      <c r="AZ32" s="1126"/>
      <c r="BA32" s="993"/>
      <c r="BB32" s="561"/>
      <c r="BC32" s="566">
        <f t="shared" si="22"/>
        <v>0</v>
      </c>
      <c r="BD32" s="1126"/>
      <c r="BE32" s="825">
        <f t="shared" si="23"/>
        <v>0</v>
      </c>
      <c r="BF32" s="1150"/>
      <c r="BG32" s="224"/>
      <c r="BH32" s="566" t="str">
        <f t="shared" si="24"/>
        <v/>
      </c>
      <c r="BI32" s="1150"/>
      <c r="BJ32" s="129" t="str">
        <f t="shared" si="25"/>
        <v>Fiche infoA6</v>
      </c>
      <c r="BK32" s="129">
        <f t="shared" si="49"/>
        <v>50</v>
      </c>
      <c r="BL32" s="129" t="str">
        <f t="shared" si="4"/>
        <v>A</v>
      </c>
      <c r="BM32" s="129">
        <f t="shared" si="50"/>
        <v>6</v>
      </c>
      <c r="BN32" s="225" t="str">
        <f t="shared" si="60"/>
        <v>Fiche info</v>
      </c>
      <c r="BO32" s="332" t="str">
        <f t="shared" si="51"/>
        <v/>
      </c>
      <c r="BP32" s="198" t="str">
        <f t="shared" si="52"/>
        <v/>
      </c>
      <c r="BQ32" s="198"/>
      <c r="BS32" s="2012" t="str">
        <f t="shared" si="64"/>
        <v>Semaine numéro : 1</v>
      </c>
      <c r="BT32" s="2013"/>
      <c r="BU32" s="2013"/>
      <c r="BV32" s="2013"/>
      <c r="BW32" s="2013"/>
      <c r="BX32" s="2014"/>
      <c r="BY32" s="1137"/>
      <c r="BZ32" s="674">
        <f t="shared" si="65"/>
        <v>0</v>
      </c>
      <c r="CA32" s="673">
        <f t="shared" si="62"/>
        <v>0</v>
      </c>
      <c r="CB32" s="198">
        <f t="shared" si="63"/>
        <v>0</v>
      </c>
      <c r="CC32" s="592">
        <f>+SUMIF(Novembre!$BK$20:$BK$50,AT8,Novembre!$AM$20:$AO$50)</f>
        <v>0</v>
      </c>
      <c r="CD32" s="592"/>
      <c r="CE32" s="592" t="str">
        <f t="shared" si="66"/>
        <v>Fiche infoA</v>
      </c>
      <c r="CF32" s="592">
        <f ca="1">+SUMIF(S.CAL!$ED$1:$EI$897,Décembre!CE32,S.CAL!$EI$1:$EI$897)-(SUMIF($BK$20:$BK$50,AT8,$BC$20:$BC$50))</f>
        <v>0</v>
      </c>
      <c r="CG32" s="592">
        <f t="shared" si="67"/>
        <v>0</v>
      </c>
      <c r="CH32" s="592">
        <f t="shared" si="68"/>
        <v>1</v>
      </c>
      <c r="CI32" s="592">
        <f t="shared" ca="1" si="69"/>
        <v>0</v>
      </c>
      <c r="CJ32" s="1599" t="b">
        <f t="shared" si="70"/>
        <v>0</v>
      </c>
      <c r="CK32" s="1597"/>
      <c r="CL32" s="1597"/>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161</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801">
        <f t="shared" si="53"/>
        <v>46004</v>
      </c>
      <c r="ER32" s="802">
        <f t="shared" si="10"/>
        <v>0</v>
      </c>
      <c r="ES32" s="803">
        <f t="shared" si="11"/>
        <v>0</v>
      </c>
      <c r="ET32" s="802">
        <f t="shared" si="12"/>
        <v>0</v>
      </c>
      <c r="EU32" s="803">
        <f t="shared" si="13"/>
        <v>0</v>
      </c>
      <c r="EV32" s="802" t="str">
        <f t="shared" si="14"/>
        <v/>
      </c>
      <c r="EW32" s="769">
        <f t="shared" si="28"/>
        <v>46004</v>
      </c>
      <c r="EX32" s="777" t="str">
        <f>IFERROR(IF(AND(AZ32="",AR32&lt;&gt;S.CAL!$BJ$3,AR32&lt;&gt;S.CAL!$BJ$4),FS32-BC32,IF(AZ32&lt;&gt;0,AZ32,IF(OR(AR32=S.CAL!$BJ$3,AR32=S.CAL!$BJ$4),AR32,0))),"")</f>
        <v/>
      </c>
      <c r="EY32" s="771">
        <f t="shared" si="54"/>
        <v>0</v>
      </c>
      <c r="EZ32" s="754">
        <f t="shared" si="55"/>
        <v>0</v>
      </c>
      <c r="FA32" s="777" t="str">
        <f t="shared" si="31"/>
        <v/>
      </c>
      <c r="FB32" s="772" t="str">
        <f t="shared" si="15"/>
        <v/>
      </c>
      <c r="FC32" s="333" t="str">
        <f t="shared" si="56"/>
        <v>non</v>
      </c>
      <c r="FD32" s="778">
        <f t="shared" si="16"/>
        <v>0</v>
      </c>
      <c r="FG32" s="333" t="str">
        <f t="shared" si="57"/>
        <v/>
      </c>
      <c r="FJ32" s="333">
        <f t="shared" si="58"/>
        <v>1</v>
      </c>
      <c r="FK32" s="129">
        <f t="shared" si="17"/>
        <v>10</v>
      </c>
      <c r="FL32" s="129">
        <f t="shared" si="35"/>
        <v>1</v>
      </c>
      <c r="FN32" s="129">
        <f>+IF(AND($DP$8&lt;&gt;52,AR32=S.CAL!$BJ$4),10,1)</f>
        <v>1</v>
      </c>
      <c r="FP32" s="129">
        <f t="shared" si="18"/>
        <v>0</v>
      </c>
      <c r="FS32" s="225" t="str">
        <f t="shared" si="61"/>
        <v/>
      </c>
      <c r="FZ32" s="129">
        <f t="shared" si="37"/>
        <v>50</v>
      </c>
      <c r="GA32" s="129">
        <f t="shared" si="38"/>
        <v>2025</v>
      </c>
      <c r="GB32" s="129" t="str">
        <f t="shared" si="39"/>
        <v>502025</v>
      </c>
      <c r="GC32" s="225">
        <f t="shared" si="40"/>
        <v>0</v>
      </c>
      <c r="GF32" s="225" t="str">
        <f t="shared" si="41"/>
        <v/>
      </c>
      <c r="GG32" s="1469" t="str">
        <f>+'Retenue Déc'!D30</f>
        <v/>
      </c>
      <c r="GH32" s="1469">
        <f>+'Retenue Déc'!BF30</f>
        <v>0</v>
      </c>
      <c r="GJ32" s="1530" t="str">
        <f t="shared" si="42"/>
        <v/>
      </c>
      <c r="GK32" s="225" t="str">
        <f t="shared" si="43"/>
        <v/>
      </c>
      <c r="GL32" s="225" t="str">
        <f t="shared" si="44"/>
        <v/>
      </c>
      <c r="GM32" s="1529">
        <f t="shared" si="45"/>
        <v>0</v>
      </c>
      <c r="GO32" s="129">
        <f t="shared" si="19"/>
        <v>0</v>
      </c>
      <c r="GP32" s="129" t="str">
        <f t="shared" si="46"/>
        <v/>
      </c>
      <c r="GQ32" s="1469" t="str">
        <f t="shared" si="47"/>
        <v/>
      </c>
    </row>
    <row r="33" spans="1:199" x14ac:dyDescent="0.2">
      <c r="A33" s="1853"/>
      <c r="B33" s="1844" t="s">
        <v>472</v>
      </c>
      <c r="C33" s="1845"/>
      <c r="D33" s="1845"/>
      <c r="E33" s="1845"/>
      <c r="F33" s="1845"/>
      <c r="G33" s="1845"/>
      <c r="H33" s="1845"/>
      <c r="I33" s="1845"/>
      <c r="J33" s="1845"/>
      <c r="K33" s="1846"/>
      <c r="L33" s="1810"/>
      <c r="M33" s="1814"/>
      <c r="N33" s="1814"/>
      <c r="O33" s="1815"/>
      <c r="P33" s="1810"/>
      <c r="Q33" s="1814"/>
      <c r="R33" s="1814"/>
      <c r="S33" s="1815"/>
      <c r="T33" s="1830"/>
      <c r="U33" s="1848"/>
      <c r="V33" s="1848"/>
      <c r="W33" s="1849"/>
      <c r="X33" s="223"/>
      <c r="Y33" s="223"/>
      <c r="Z33" s="223"/>
      <c r="AA33" s="903" t="str">
        <f>IF(AND(BE33="OUI",$AR$13=S.CAL!$CU$2),"►",IF(AND(EV33="OUI",$AR$13=S.CAL!$CU$3),"►",""))</f>
        <v/>
      </c>
      <c r="AB33" s="1877">
        <f>+$X$3+13</f>
        <v>46005</v>
      </c>
      <c r="AC33" s="1878">
        <f>+$D$6+13</f>
        <v>13</v>
      </c>
      <c r="AD33" s="1875" t="str">
        <f>+IF(AND($AR$13=S.CAL!$CU$2,EX33&lt;&gt;0),EX33,IF(AND($AR$13=S.CAL!$CU$3,ER33&lt;&gt;0),ER33,0))</f>
        <v/>
      </c>
      <c r="AE33" s="1875"/>
      <c r="AF33" s="1875"/>
      <c r="AG33" s="1875" t="str">
        <f>+IF(AND($AR$13=S.CAL!$CU$2,EY33&lt;&gt;0),EY33,IF(AND($AR$13=S.CAL!$CU$3,ES33&lt;&gt;0),ES33,""))</f>
        <v/>
      </c>
      <c r="AH33" s="1875"/>
      <c r="AI33" s="1875"/>
      <c r="AJ33" s="1875" t="str">
        <f>+IF(AND($AR$13=S.CAL!$CU$2,EZ33&lt;&gt;0),EZ33,IF(AND($AR$13=S.CAL!$CU$3,ET33&lt;&gt;0),ET33,""))</f>
        <v/>
      </c>
      <c r="AK33" s="1875"/>
      <c r="AL33" s="1875"/>
      <c r="AM33" s="1875" t="str">
        <f>+IF(AND($AR$13=S.CAL!$CU$2,FA33&lt;&gt;0),FA33,IF(AND($AR$13=S.CAL!$CU$3,EU33&lt;&gt;0),EU33,""))</f>
        <v/>
      </c>
      <c r="AN33" s="1875"/>
      <c r="AO33" s="1876"/>
      <c r="AP33" s="217" t="str">
        <f t="shared" si="48"/>
        <v/>
      </c>
      <c r="AQ33" s="340"/>
      <c r="AR33" s="1126"/>
      <c r="AS33" s="332">
        <f t="shared" si="3"/>
        <v>0</v>
      </c>
      <c r="AT33" s="1147"/>
      <c r="AU33" s="1147"/>
      <c r="AV33" s="332"/>
      <c r="AW33" s="2017">
        <f t="shared" si="21"/>
        <v>46005</v>
      </c>
      <c r="AX33" s="1878"/>
      <c r="AY33" s="332"/>
      <c r="AZ33" s="1126"/>
      <c r="BA33" s="993"/>
      <c r="BB33" s="561"/>
      <c r="BC33" s="566">
        <f t="shared" si="22"/>
        <v>0</v>
      </c>
      <c r="BD33" s="1126"/>
      <c r="BE33" s="825">
        <f t="shared" si="23"/>
        <v>0</v>
      </c>
      <c r="BF33" s="1150"/>
      <c r="BG33" s="224"/>
      <c r="BH33" s="566" t="str">
        <f t="shared" si="24"/>
        <v/>
      </c>
      <c r="BI33" s="1150"/>
      <c r="BJ33" s="129" t="str">
        <f t="shared" si="25"/>
        <v>Fiche infoA7</v>
      </c>
      <c r="BK33" s="129">
        <f t="shared" si="49"/>
        <v>50</v>
      </c>
      <c r="BL33" s="129" t="str">
        <f t="shared" si="4"/>
        <v>A</v>
      </c>
      <c r="BM33" s="129">
        <f t="shared" si="50"/>
        <v>7</v>
      </c>
      <c r="BN33" s="225" t="str">
        <f t="shared" si="60"/>
        <v>Fiche info</v>
      </c>
      <c r="BO33" s="332" t="str">
        <f t="shared" si="51"/>
        <v/>
      </c>
      <c r="BP33" s="198" t="str">
        <f t="shared" si="52"/>
        <v/>
      </c>
      <c r="BQ33" s="198"/>
      <c r="BS33" s="2012" t="str">
        <f t="shared" si="64"/>
        <v xml:space="preserve">Semaine numéro : </v>
      </c>
      <c r="BT33" s="2013"/>
      <c r="BU33" s="2013"/>
      <c r="BV33" s="2013"/>
      <c r="BW33" s="2013"/>
      <c r="BX33" s="2014"/>
      <c r="BY33" s="1137"/>
      <c r="BZ33" s="674">
        <f t="shared" si="65"/>
        <v>0</v>
      </c>
      <c r="CA33" s="673">
        <f t="shared" si="62"/>
        <v>0</v>
      </c>
      <c r="CB33" s="198">
        <f t="shared" si="63"/>
        <v>0</v>
      </c>
      <c r="CC33" s="592">
        <f>+SUMIF(Novembre!$BK$20:$BK$50,AT9,Novembre!$AM$20:$AO$50)</f>
        <v>0</v>
      </c>
      <c r="CD33" s="592"/>
      <c r="CE33" s="592" t="str">
        <f t="shared" si="66"/>
        <v>Fiche infoA</v>
      </c>
      <c r="CF33" s="592">
        <f ca="1">+SUMIF(S.CAL!$ED$1:$EI$897,Décembre!CE33,S.CAL!$EI$1:$EI$897)-(SUMIF($BK$20:$BK$50,AT9,$BC$20:$BC$50))</f>
        <v>0</v>
      </c>
      <c r="CG33" s="592">
        <f t="shared" si="67"/>
        <v>0</v>
      </c>
      <c r="CH33" s="592" t="str">
        <f t="shared" si="68"/>
        <v/>
      </c>
      <c r="CI33" s="592">
        <f t="shared" ca="1" si="69"/>
        <v>0</v>
      </c>
      <c r="CJ33" s="1599" t="b">
        <f t="shared" si="70"/>
        <v>0</v>
      </c>
      <c r="CK33" s="1597"/>
      <c r="CL33" s="1597"/>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162</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801">
        <f t="shared" si="53"/>
        <v>46005</v>
      </c>
      <c r="ER33" s="802">
        <f t="shared" si="10"/>
        <v>0</v>
      </c>
      <c r="ES33" s="803">
        <f t="shared" si="11"/>
        <v>0</v>
      </c>
      <c r="ET33" s="802">
        <f t="shared" si="12"/>
        <v>0</v>
      </c>
      <c r="EU33" s="803">
        <f t="shared" si="13"/>
        <v>0</v>
      </c>
      <c r="EV33" s="802" t="str">
        <f t="shared" si="14"/>
        <v/>
      </c>
      <c r="EW33" s="769">
        <f t="shared" si="28"/>
        <v>46005</v>
      </c>
      <c r="EX33" s="777" t="str">
        <f>IFERROR(IF(AND(AZ33="",AR33&lt;&gt;S.CAL!$BJ$3,AR33&lt;&gt;S.CAL!$BJ$4),FS33-BC33,IF(AZ33&lt;&gt;0,AZ33,IF(OR(AR33=S.CAL!$BJ$3,AR33=S.CAL!$BJ$4),AR33,0))),"")</f>
        <v/>
      </c>
      <c r="EY33" s="771">
        <f t="shared" si="54"/>
        <v>0</v>
      </c>
      <c r="EZ33" s="754">
        <f t="shared" si="55"/>
        <v>0</v>
      </c>
      <c r="FA33" s="777" t="str">
        <f t="shared" si="31"/>
        <v/>
      </c>
      <c r="FB33" s="772" t="str">
        <f t="shared" si="15"/>
        <v/>
      </c>
      <c r="FC33" s="333" t="str">
        <f t="shared" si="56"/>
        <v>non</v>
      </c>
      <c r="FD33" s="778">
        <f t="shared" si="16"/>
        <v>0</v>
      </c>
      <c r="FG33" s="333" t="str">
        <f t="shared" si="57"/>
        <v/>
      </c>
      <c r="FJ33" s="333">
        <f t="shared" si="58"/>
        <v>1</v>
      </c>
      <c r="FK33" s="129">
        <f t="shared" si="17"/>
        <v>10</v>
      </c>
      <c r="FL33" s="129">
        <f t="shared" si="35"/>
        <v>1</v>
      </c>
      <c r="FN33" s="129">
        <f>+IF(AND($DP$8&lt;&gt;52,AR33=S.CAL!$BJ$4),10,1)</f>
        <v>1</v>
      </c>
      <c r="FP33" s="129">
        <f t="shared" si="18"/>
        <v>0</v>
      </c>
      <c r="FS33" s="225" t="str">
        <f t="shared" si="61"/>
        <v/>
      </c>
      <c r="FZ33" s="129">
        <f t="shared" si="37"/>
        <v>50</v>
      </c>
      <c r="GA33" s="129">
        <f t="shared" si="38"/>
        <v>2025</v>
      </c>
      <c r="GB33" s="129" t="str">
        <f t="shared" si="39"/>
        <v>502025</v>
      </c>
      <c r="GC33" s="225">
        <f t="shared" si="40"/>
        <v>0</v>
      </c>
      <c r="GF33" s="225" t="str">
        <f t="shared" si="41"/>
        <v/>
      </c>
      <c r="GG33" s="1469" t="str">
        <f>+'Retenue Déc'!D31</f>
        <v/>
      </c>
      <c r="GH33" s="1469">
        <f>+'Retenue Déc'!BF31</f>
        <v>0</v>
      </c>
      <c r="GJ33" s="1530" t="str">
        <f t="shared" si="42"/>
        <v/>
      </c>
      <c r="GK33" s="225" t="str">
        <f t="shared" si="43"/>
        <v/>
      </c>
      <c r="GL33" s="225" t="str">
        <f t="shared" si="44"/>
        <v/>
      </c>
      <c r="GM33" s="1529">
        <f t="shared" si="45"/>
        <v>0</v>
      </c>
      <c r="GO33" s="129">
        <f t="shared" si="19"/>
        <v>0</v>
      </c>
      <c r="GP33" s="129" t="str">
        <f t="shared" si="46"/>
        <v/>
      </c>
      <c r="GQ33" s="1469" t="str">
        <f t="shared" si="47"/>
        <v/>
      </c>
    </row>
    <row r="34" spans="1:199" x14ac:dyDescent="0.2">
      <c r="A34" s="1854"/>
      <c r="B34" s="1862" t="str">
        <f>IF(AND(BZ8="OUI",DP23="oui"),S.CAL!FT3,"")</f>
        <v/>
      </c>
      <c r="C34" s="1863"/>
      <c r="D34" s="1863"/>
      <c r="E34" s="1863"/>
      <c r="F34" s="1863"/>
      <c r="G34" s="1863"/>
      <c r="H34" s="1863"/>
      <c r="I34" s="1863"/>
      <c r="J34" s="1863"/>
      <c r="K34" s="1864"/>
      <c r="L34" s="2009"/>
      <c r="M34" s="2010"/>
      <c r="N34" s="2010"/>
      <c r="O34" s="2011"/>
      <c r="P34" s="1995"/>
      <c r="Q34" s="1996"/>
      <c r="R34" s="1996"/>
      <c r="S34" s="1997"/>
      <c r="T34" s="1816">
        <f>IF(AND(L34="",BZ8="OUI",B34=S.CAL!FT3),IFERROR(VLOOKUP(X3,bddrupture,3,FALSE),0),ROUND(L34,2))</f>
        <v>0</v>
      </c>
      <c r="U34" s="1817"/>
      <c r="V34" s="1817"/>
      <c r="W34" s="1933"/>
      <c r="X34" s="223"/>
      <c r="Y34" s="223"/>
      <c r="Z34" s="223"/>
      <c r="AA34" s="903" t="str">
        <f>IF(AND(BE34="OUI",$AR$13=S.CAL!$CU$2),"►",IF(AND(EV34="OUI",$AR$13=S.CAL!$CU$3),"►",""))</f>
        <v/>
      </c>
      <c r="AB34" s="1877">
        <f>+$X$3+14</f>
        <v>46006</v>
      </c>
      <c r="AC34" s="1878">
        <f>+$D$6+13</f>
        <v>13</v>
      </c>
      <c r="AD34" s="1875" t="str">
        <f>+IF(AND($AR$13=S.CAL!$CU$2,EX34&lt;&gt;0),EX34,IF(AND($AR$13=S.CAL!$CU$3,ER34&lt;&gt;0),ER34,0))</f>
        <v/>
      </c>
      <c r="AE34" s="1875"/>
      <c r="AF34" s="1875"/>
      <c r="AG34" s="1875" t="str">
        <f>+IF(AND($AR$13=S.CAL!$CU$2,EY34&lt;&gt;0),EY34,IF(AND($AR$13=S.CAL!$CU$3,ES34&lt;&gt;0),ES34,""))</f>
        <v/>
      </c>
      <c r="AH34" s="1875"/>
      <c r="AI34" s="1875"/>
      <c r="AJ34" s="1875" t="str">
        <f>+IF(AND($AR$13=S.CAL!$CU$2,EZ34&lt;&gt;0),EZ34,IF(AND($AR$13=S.CAL!$CU$3,ET34&lt;&gt;0),ET34,""))</f>
        <v/>
      </c>
      <c r="AK34" s="1875"/>
      <c r="AL34" s="1875"/>
      <c r="AM34" s="1875" t="str">
        <f>+IF(AND($AR$13=S.CAL!$CU$2,FA34&lt;&gt;0),FA34,IF(AND($AR$13=S.CAL!$CU$3,EU34&lt;&gt;0),EU34,""))</f>
        <v/>
      </c>
      <c r="AN34" s="1875"/>
      <c r="AO34" s="1876"/>
      <c r="AP34" s="217">
        <f t="shared" si="48"/>
        <v>51</v>
      </c>
      <c r="AQ34" s="340"/>
      <c r="AR34" s="1126"/>
      <c r="AS34" s="332">
        <f t="shared" si="3"/>
        <v>0</v>
      </c>
      <c r="AT34" s="1147"/>
      <c r="AU34" s="1147"/>
      <c r="AV34" s="332"/>
      <c r="AW34" s="2017">
        <f t="shared" si="21"/>
        <v>46006</v>
      </c>
      <c r="AX34" s="1878"/>
      <c r="AY34" s="332"/>
      <c r="AZ34" s="1126"/>
      <c r="BA34" s="993"/>
      <c r="BB34" s="561"/>
      <c r="BC34" s="566">
        <f t="shared" si="22"/>
        <v>0</v>
      </c>
      <c r="BD34" s="1126"/>
      <c r="BE34" s="825">
        <f t="shared" si="23"/>
        <v>0</v>
      </c>
      <c r="BF34" s="1150"/>
      <c r="BG34" s="224"/>
      <c r="BH34" s="566" t="str">
        <f t="shared" si="24"/>
        <v/>
      </c>
      <c r="BI34" s="1150"/>
      <c r="BJ34" s="129" t="str">
        <f t="shared" si="25"/>
        <v>Fiche infoA1</v>
      </c>
      <c r="BK34" s="129">
        <f t="shared" si="49"/>
        <v>51</v>
      </c>
      <c r="BL34" s="129" t="str">
        <f t="shared" si="4"/>
        <v>A</v>
      </c>
      <c r="BM34" s="129">
        <f t="shared" si="50"/>
        <v>1</v>
      </c>
      <c r="BN34" s="225" t="str">
        <f t="shared" si="60"/>
        <v>Fiche info</v>
      </c>
      <c r="BO34" s="332" t="str">
        <f t="shared" si="51"/>
        <v/>
      </c>
      <c r="BP34" s="198" t="str">
        <f t="shared" si="52"/>
        <v/>
      </c>
      <c r="BQ34" s="198"/>
      <c r="BZ34" s="676" t="s">
        <v>450</v>
      </c>
      <c r="CA34" s="677">
        <f>+IF(AND(DP14=1,OR(DP29="NON",DP29=0)),0,SUM(CA28:CA33))</f>
        <v>0</v>
      </c>
      <c r="CB34" s="677">
        <f ca="1">+SUMIFS(CG30:CG33,CI30:CI33,"&gt;0,05",CH30:CH33,CB35)</f>
        <v>0</v>
      </c>
      <c r="CC34" s="129" t="s">
        <v>1245</v>
      </c>
      <c r="CF34" s="465"/>
      <c r="CG34" s="465"/>
      <c r="CH34" s="465"/>
      <c r="CI34" s="465"/>
      <c r="DD34" s="198"/>
      <c r="DJ34" s="420" t="s">
        <v>165</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801">
        <f t="shared" si="53"/>
        <v>46006</v>
      </c>
      <c r="ER34" s="802">
        <f t="shared" si="10"/>
        <v>0</v>
      </c>
      <c r="ES34" s="803">
        <f t="shared" si="11"/>
        <v>0</v>
      </c>
      <c r="ET34" s="802">
        <f t="shared" si="12"/>
        <v>0</v>
      </c>
      <c r="EU34" s="803">
        <f t="shared" si="13"/>
        <v>0</v>
      </c>
      <c r="EV34" s="802" t="str">
        <f t="shared" si="14"/>
        <v/>
      </c>
      <c r="EW34" s="769">
        <f t="shared" si="28"/>
        <v>46006</v>
      </c>
      <c r="EX34" s="777" t="str">
        <f>IFERROR(IF(AND(AZ34="",AR34&lt;&gt;S.CAL!$BJ$3,AR34&lt;&gt;S.CAL!$BJ$4),FS34-BC34,IF(AZ34&lt;&gt;0,AZ34,IF(OR(AR34=S.CAL!$BJ$3,AR34=S.CAL!$BJ$4),AR34,0))),"")</f>
        <v/>
      </c>
      <c r="EY34" s="771">
        <f t="shared" si="54"/>
        <v>0</v>
      </c>
      <c r="EZ34" s="754">
        <f t="shared" si="55"/>
        <v>0</v>
      </c>
      <c r="FA34" s="777" t="str">
        <f t="shared" si="31"/>
        <v/>
      </c>
      <c r="FB34" s="772" t="str">
        <f t="shared" si="15"/>
        <v/>
      </c>
      <c r="FC34" s="333" t="str">
        <f t="shared" si="56"/>
        <v>non</v>
      </c>
      <c r="FD34" s="778">
        <f t="shared" si="16"/>
        <v>0</v>
      </c>
      <c r="FG34" s="333" t="str">
        <f t="shared" si="57"/>
        <v/>
      </c>
      <c r="FJ34" s="333">
        <f t="shared" si="58"/>
        <v>1</v>
      </c>
      <c r="FK34" s="129">
        <f t="shared" si="17"/>
        <v>10</v>
      </c>
      <c r="FL34" s="129">
        <f t="shared" si="35"/>
        <v>1</v>
      </c>
      <c r="FN34" s="129">
        <f>+IF(AND($DP$8&lt;&gt;52,AR34=S.CAL!$BJ$4),10,1)</f>
        <v>1</v>
      </c>
      <c r="FP34" s="129">
        <f t="shared" si="18"/>
        <v>0</v>
      </c>
      <c r="FS34" s="225" t="str">
        <f t="shared" si="61"/>
        <v/>
      </c>
      <c r="FZ34" s="129">
        <f t="shared" si="37"/>
        <v>51</v>
      </c>
      <c r="GA34" s="129">
        <f t="shared" si="38"/>
        <v>2025</v>
      </c>
      <c r="GB34" s="129" t="str">
        <f t="shared" si="39"/>
        <v>512025</v>
      </c>
      <c r="GC34" s="225">
        <f t="shared" si="40"/>
        <v>0</v>
      </c>
      <c r="GF34" s="225" t="str">
        <f t="shared" si="41"/>
        <v/>
      </c>
      <c r="GG34" s="1469" t="str">
        <f>+'Retenue Déc'!D32</f>
        <v/>
      </c>
      <c r="GH34" s="1469">
        <f>+'Retenue Déc'!BF32</f>
        <v>0</v>
      </c>
      <c r="GJ34" s="1530" t="str">
        <f t="shared" si="42"/>
        <v/>
      </c>
      <c r="GK34" s="225" t="str">
        <f t="shared" si="43"/>
        <v/>
      </c>
      <c r="GL34" s="225" t="str">
        <f t="shared" si="44"/>
        <v/>
      </c>
      <c r="GM34" s="1529">
        <f t="shared" si="45"/>
        <v>0</v>
      </c>
      <c r="GO34" s="129">
        <f t="shared" si="19"/>
        <v>0</v>
      </c>
      <c r="GP34" s="129" t="str">
        <f t="shared" si="46"/>
        <v/>
      </c>
      <c r="GQ34" s="1469" t="str">
        <f t="shared" si="47"/>
        <v/>
      </c>
    </row>
    <row r="35" spans="1:199" x14ac:dyDescent="0.2">
      <c r="L35" s="2006" t="s">
        <v>55</v>
      </c>
      <c r="M35" s="2007"/>
      <c r="N35" s="2007"/>
      <c r="O35" s="2007"/>
      <c r="P35" s="2007"/>
      <c r="Q35" s="2007"/>
      <c r="R35" s="2007"/>
      <c r="S35" s="2008"/>
      <c r="T35" s="1992">
        <f>+ROUND(SUM(T18:W34),2)</f>
        <v>0</v>
      </c>
      <c r="U35" s="1993"/>
      <c r="V35" s="1993"/>
      <c r="W35" s="1994"/>
      <c r="X35" s="223"/>
      <c r="Y35" s="223"/>
      <c r="Z35" s="223"/>
      <c r="AA35" s="903" t="str">
        <f>IF(AND(BE35="OUI",$AR$13=S.CAL!$CU$2),"►",IF(AND(EV35="OUI",$AR$13=S.CAL!$CU$3),"►",""))</f>
        <v/>
      </c>
      <c r="AB35" s="1877">
        <f>+$X$3+15</f>
        <v>46007</v>
      </c>
      <c r="AC35" s="1878">
        <f>+$D$6+15</f>
        <v>15</v>
      </c>
      <c r="AD35" s="1875" t="str">
        <f>+IF(AND($AR$13=S.CAL!$CU$2,EX35&lt;&gt;0),EX35,IF(AND($AR$13=S.CAL!$CU$3,ER35&lt;&gt;0),ER35,0))</f>
        <v/>
      </c>
      <c r="AE35" s="1875"/>
      <c r="AF35" s="1875"/>
      <c r="AG35" s="1875" t="str">
        <f>+IF(AND($AR$13=S.CAL!$CU$2,EY35&lt;&gt;0),EY35,IF(AND($AR$13=S.CAL!$CU$3,ES35&lt;&gt;0),ES35,""))</f>
        <v/>
      </c>
      <c r="AH35" s="1875"/>
      <c r="AI35" s="1875"/>
      <c r="AJ35" s="1875" t="str">
        <f>+IF(AND($AR$13=S.CAL!$CU$2,EZ35&lt;&gt;0),EZ35,IF(AND($AR$13=S.CAL!$CU$3,ET35&lt;&gt;0),ET35,""))</f>
        <v/>
      </c>
      <c r="AK35" s="1875"/>
      <c r="AL35" s="1875"/>
      <c r="AM35" s="1875" t="str">
        <f>+IF(AND($AR$13=S.CAL!$CU$2,FA35&lt;&gt;0),FA35,IF(AND($AR$13=S.CAL!$CU$3,EU35&lt;&gt;0),EU35,""))</f>
        <v/>
      </c>
      <c r="AN35" s="1875"/>
      <c r="AO35" s="1876"/>
      <c r="AP35" s="217" t="str">
        <f t="shared" si="48"/>
        <v/>
      </c>
      <c r="AQ35" s="340"/>
      <c r="AR35" s="1126"/>
      <c r="AS35" s="332">
        <f t="shared" si="3"/>
        <v>0</v>
      </c>
      <c r="AT35" s="1147"/>
      <c r="AU35" s="1147"/>
      <c r="AV35" s="332"/>
      <c r="AW35" s="2017">
        <f t="shared" si="21"/>
        <v>46007</v>
      </c>
      <c r="AX35" s="1878"/>
      <c r="AY35" s="332"/>
      <c r="AZ35" s="1126"/>
      <c r="BA35" s="993"/>
      <c r="BB35" s="561"/>
      <c r="BC35" s="566">
        <f t="shared" si="22"/>
        <v>0</v>
      </c>
      <c r="BD35" s="1126"/>
      <c r="BE35" s="825">
        <f t="shared" si="23"/>
        <v>0</v>
      </c>
      <c r="BF35" s="1150"/>
      <c r="BG35" s="224"/>
      <c r="BH35" s="566" t="str">
        <f t="shared" si="24"/>
        <v/>
      </c>
      <c r="BI35" s="1150"/>
      <c r="BJ35" s="129" t="str">
        <f t="shared" si="25"/>
        <v>Fiche infoA2</v>
      </c>
      <c r="BK35" s="129">
        <f t="shared" si="49"/>
        <v>51</v>
      </c>
      <c r="BL35" s="129" t="str">
        <f t="shared" si="4"/>
        <v>A</v>
      </c>
      <c r="BM35" s="129">
        <f t="shared" si="50"/>
        <v>2</v>
      </c>
      <c r="BN35" s="225" t="str">
        <f t="shared" si="60"/>
        <v>Fiche info</v>
      </c>
      <c r="BO35" s="332" t="str">
        <f t="shared" si="51"/>
        <v/>
      </c>
      <c r="BP35" s="198" t="str">
        <f t="shared" si="52"/>
        <v/>
      </c>
      <c r="BQ35" s="198"/>
      <c r="CB35" s="901">
        <f>SUMIFS(CH30:CH33,CJ30:CJ33,TRUE)</f>
        <v>0</v>
      </c>
      <c r="CF35" s="465"/>
      <c r="CG35" s="465"/>
      <c r="CH35" s="465"/>
      <c r="CI35" s="465"/>
      <c r="DD35" s="198"/>
      <c r="DJ35" s="420" t="s">
        <v>166</v>
      </c>
      <c r="DK35" s="756">
        <f>+ROUND(DK32/K59*BY4,2)</f>
        <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801">
        <f t="shared" si="53"/>
        <v>46007</v>
      </c>
      <c r="ER35" s="802">
        <f t="shared" si="10"/>
        <v>0</v>
      </c>
      <c r="ES35" s="803">
        <f t="shared" si="11"/>
        <v>0</v>
      </c>
      <c r="ET35" s="802">
        <f t="shared" si="12"/>
        <v>0</v>
      </c>
      <c r="EU35" s="803">
        <f t="shared" si="13"/>
        <v>0</v>
      </c>
      <c r="EV35" s="802" t="str">
        <f t="shared" si="14"/>
        <v/>
      </c>
      <c r="EW35" s="769">
        <f t="shared" si="28"/>
        <v>46007</v>
      </c>
      <c r="EX35" s="777" t="str">
        <f>IFERROR(IF(AND(AZ35="",AR35&lt;&gt;S.CAL!$BJ$3,AR35&lt;&gt;S.CAL!$BJ$4),FS35-BC35,IF(AZ35&lt;&gt;0,AZ35,IF(OR(AR35=S.CAL!$BJ$3,AR35=S.CAL!$BJ$4),AR35,0))),"")</f>
        <v/>
      </c>
      <c r="EY35" s="771">
        <f t="shared" si="54"/>
        <v>0</v>
      </c>
      <c r="EZ35" s="754">
        <f t="shared" si="55"/>
        <v>0</v>
      </c>
      <c r="FA35" s="777" t="str">
        <f t="shared" si="31"/>
        <v/>
      </c>
      <c r="FB35" s="772" t="str">
        <f t="shared" si="15"/>
        <v/>
      </c>
      <c r="FC35" s="333" t="str">
        <f t="shared" si="56"/>
        <v>non</v>
      </c>
      <c r="FD35" s="778">
        <f t="shared" si="16"/>
        <v>0</v>
      </c>
      <c r="FG35" s="333" t="str">
        <f t="shared" si="57"/>
        <v/>
      </c>
      <c r="FJ35" s="333">
        <f t="shared" si="58"/>
        <v>1</v>
      </c>
      <c r="FK35" s="129">
        <f t="shared" si="17"/>
        <v>10</v>
      </c>
      <c r="FL35" s="129">
        <f t="shared" si="35"/>
        <v>1</v>
      </c>
      <c r="FN35" s="129">
        <f>+IF(AND($DP$8&lt;&gt;52,AR35=S.CAL!$BJ$4),10,1)</f>
        <v>1</v>
      </c>
      <c r="FP35" s="129">
        <f t="shared" si="18"/>
        <v>0</v>
      </c>
      <c r="FS35" s="225" t="str">
        <f t="shared" si="61"/>
        <v/>
      </c>
      <c r="FZ35" s="129">
        <f t="shared" si="37"/>
        <v>51</v>
      </c>
      <c r="GA35" s="129">
        <f t="shared" si="38"/>
        <v>2025</v>
      </c>
      <c r="GB35" s="129" t="str">
        <f t="shared" si="39"/>
        <v>512025</v>
      </c>
      <c r="GC35" s="225">
        <f t="shared" si="40"/>
        <v>0</v>
      </c>
      <c r="GF35" s="225" t="str">
        <f t="shared" si="41"/>
        <v/>
      </c>
      <c r="GG35" s="1469" t="str">
        <f>+'Retenue Déc'!D33</f>
        <v/>
      </c>
      <c r="GH35" s="1469">
        <f>+'Retenue Déc'!BF33</f>
        <v>0</v>
      </c>
      <c r="GJ35" s="1530" t="str">
        <f t="shared" si="42"/>
        <v/>
      </c>
      <c r="GK35" s="225" t="str">
        <f t="shared" si="43"/>
        <v/>
      </c>
      <c r="GL35" s="225" t="str">
        <f t="shared" si="44"/>
        <v/>
      </c>
      <c r="GM35" s="1529">
        <f t="shared" si="45"/>
        <v>0</v>
      </c>
      <c r="GO35" s="129">
        <f t="shared" si="19"/>
        <v>0</v>
      </c>
      <c r="GP35" s="129" t="str">
        <f t="shared" si="46"/>
        <v/>
      </c>
      <c r="GQ35" s="1469" t="str">
        <f t="shared" si="47"/>
        <v/>
      </c>
    </row>
    <row r="36" spans="1:199" x14ac:dyDescent="0.2">
      <c r="X36" s="228"/>
      <c r="Y36" s="228"/>
      <c r="Z36" s="228"/>
      <c r="AA36" s="903" t="str">
        <f>IF(AND(BE36="OUI",$AR$13=S.CAL!$CU$2),"►",IF(AND(EV36="OUI",$AR$13=S.CAL!$CU$3),"►",""))</f>
        <v/>
      </c>
      <c r="AB36" s="1877">
        <f>+$X$3+16</f>
        <v>46008</v>
      </c>
      <c r="AC36" s="1878">
        <f>+$D$6+16</f>
        <v>16</v>
      </c>
      <c r="AD36" s="1875" t="str">
        <f>+IF(AND($AR$13=S.CAL!$CU$2,EX36&lt;&gt;0),EX36,IF(AND($AR$13=S.CAL!$CU$3,ER36&lt;&gt;0),ER36,0))</f>
        <v/>
      </c>
      <c r="AE36" s="1875"/>
      <c r="AF36" s="1875"/>
      <c r="AG36" s="1875" t="str">
        <f>+IF(AND($AR$13=S.CAL!$CU$2,EY36&lt;&gt;0),EY36,IF(AND($AR$13=S.CAL!$CU$3,ES36&lt;&gt;0),ES36,""))</f>
        <v/>
      </c>
      <c r="AH36" s="1875"/>
      <c r="AI36" s="1875"/>
      <c r="AJ36" s="1875" t="str">
        <f>+IF(AND($AR$13=S.CAL!$CU$2,EZ36&lt;&gt;0),EZ36,IF(AND($AR$13=S.CAL!$CU$3,ET36&lt;&gt;0),ET36,""))</f>
        <v/>
      </c>
      <c r="AK36" s="1875"/>
      <c r="AL36" s="1875"/>
      <c r="AM36" s="1875" t="str">
        <f>+IF(AND($AR$13=S.CAL!$CU$2,FA36&lt;&gt;0),FA36,IF(AND($AR$13=S.CAL!$CU$3,EU36&lt;&gt;0),EU36,""))</f>
        <v/>
      </c>
      <c r="AN36" s="1875"/>
      <c r="AO36" s="1876"/>
      <c r="AP36" s="217" t="str">
        <f t="shared" si="48"/>
        <v/>
      </c>
      <c r="AQ36" s="340"/>
      <c r="AR36" s="1126"/>
      <c r="AS36" s="332">
        <f t="shared" si="3"/>
        <v>0</v>
      </c>
      <c r="AT36" s="1147"/>
      <c r="AU36" s="1147"/>
      <c r="AV36" s="332"/>
      <c r="AW36" s="2017">
        <f t="shared" si="21"/>
        <v>46008</v>
      </c>
      <c r="AX36" s="1878"/>
      <c r="AY36" s="332"/>
      <c r="AZ36" s="1126"/>
      <c r="BA36" s="993"/>
      <c r="BB36" s="561"/>
      <c r="BC36" s="566">
        <f t="shared" si="22"/>
        <v>0</v>
      </c>
      <c r="BD36" s="1126"/>
      <c r="BE36" s="825">
        <f t="shared" si="23"/>
        <v>0</v>
      </c>
      <c r="BF36" s="1150"/>
      <c r="BG36" s="224"/>
      <c r="BH36" s="566" t="str">
        <f t="shared" si="24"/>
        <v/>
      </c>
      <c r="BI36" s="1150"/>
      <c r="BJ36" s="129" t="str">
        <f t="shared" si="25"/>
        <v>Fiche infoA3</v>
      </c>
      <c r="BK36" s="129">
        <f t="shared" si="49"/>
        <v>51</v>
      </c>
      <c r="BL36" s="129" t="str">
        <f t="shared" si="4"/>
        <v>A</v>
      </c>
      <c r="BM36" s="129">
        <f t="shared" si="50"/>
        <v>3</v>
      </c>
      <c r="BN36" s="225" t="str">
        <f t="shared" si="60"/>
        <v>Fiche info</v>
      </c>
      <c r="BO36" s="332" t="str">
        <f t="shared" si="51"/>
        <v/>
      </c>
      <c r="BP36" s="198" t="str">
        <f t="shared" si="52"/>
        <v/>
      </c>
      <c r="BQ36" s="2018" t="s">
        <v>1067</v>
      </c>
      <c r="BR36" s="2018"/>
      <c r="BS36" s="2018"/>
      <c r="BT36" s="2018"/>
      <c r="BU36" s="2018"/>
      <c r="BV36" s="2018"/>
      <c r="BW36" s="2018"/>
      <c r="BX36" s="2018"/>
      <c r="BY36" s="2018"/>
      <c r="BZ36" s="2018"/>
      <c r="CA36" s="2018"/>
      <c r="DD36" s="198"/>
      <c r="DJ36" s="420" t="s">
        <v>167</v>
      </c>
      <c r="DK36" s="756">
        <f>ROUND(+DK25+DK34-DK35+DK37+DK38+DK39,2)</f>
        <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801">
        <f t="shared" si="53"/>
        <v>46008</v>
      </c>
      <c r="ER36" s="802">
        <f t="shared" si="10"/>
        <v>0</v>
      </c>
      <c r="ES36" s="803">
        <f t="shared" si="11"/>
        <v>0</v>
      </c>
      <c r="ET36" s="802">
        <f t="shared" si="12"/>
        <v>0</v>
      </c>
      <c r="EU36" s="803">
        <f t="shared" si="13"/>
        <v>0</v>
      </c>
      <c r="EV36" s="802" t="str">
        <f t="shared" si="14"/>
        <v/>
      </c>
      <c r="EW36" s="769">
        <f t="shared" si="28"/>
        <v>46008</v>
      </c>
      <c r="EX36" s="777" t="str">
        <f>IFERROR(IF(AND(AZ36="",AR36&lt;&gt;S.CAL!$BJ$3,AR36&lt;&gt;S.CAL!$BJ$4),FS36-BC36,IF(AZ36&lt;&gt;0,AZ36,IF(OR(AR36=S.CAL!$BJ$3,AR36=S.CAL!$BJ$4),AR36,0))),"")</f>
        <v/>
      </c>
      <c r="EY36" s="771">
        <f t="shared" si="54"/>
        <v>0</v>
      </c>
      <c r="EZ36" s="754">
        <f t="shared" si="55"/>
        <v>0</v>
      </c>
      <c r="FA36" s="777" t="str">
        <f t="shared" si="31"/>
        <v/>
      </c>
      <c r="FB36" s="772" t="str">
        <f t="shared" si="15"/>
        <v/>
      </c>
      <c r="FC36" s="333" t="str">
        <f t="shared" si="56"/>
        <v>non</v>
      </c>
      <c r="FD36" s="778">
        <f t="shared" si="16"/>
        <v>0</v>
      </c>
      <c r="FG36" s="333" t="str">
        <f t="shared" si="57"/>
        <v/>
      </c>
      <c r="FJ36" s="333">
        <f t="shared" si="58"/>
        <v>1</v>
      </c>
      <c r="FK36" s="129">
        <f t="shared" si="17"/>
        <v>10</v>
      </c>
      <c r="FL36" s="129">
        <f t="shared" si="35"/>
        <v>1</v>
      </c>
      <c r="FN36" s="129">
        <f>+IF(AND($DP$8&lt;&gt;52,AR36=S.CAL!$BJ$4),10,1)</f>
        <v>1</v>
      </c>
      <c r="FP36" s="129">
        <f t="shared" si="18"/>
        <v>0</v>
      </c>
      <c r="FS36" s="225" t="str">
        <f t="shared" si="61"/>
        <v/>
      </c>
      <c r="FZ36" s="129">
        <f t="shared" si="37"/>
        <v>51</v>
      </c>
      <c r="GA36" s="129">
        <f t="shared" si="38"/>
        <v>2025</v>
      </c>
      <c r="GB36" s="129" t="str">
        <f t="shared" si="39"/>
        <v>512025</v>
      </c>
      <c r="GC36" s="225">
        <f t="shared" si="40"/>
        <v>0</v>
      </c>
      <c r="GF36" s="225" t="str">
        <f t="shared" si="41"/>
        <v/>
      </c>
      <c r="GG36" s="1469" t="str">
        <f>+'Retenue Déc'!D34</f>
        <v/>
      </c>
      <c r="GH36" s="1469">
        <f>+'Retenue Déc'!BF34</f>
        <v>0</v>
      </c>
      <c r="GJ36" s="1530" t="str">
        <f t="shared" si="42"/>
        <v/>
      </c>
      <c r="GK36" s="225" t="str">
        <f t="shared" si="43"/>
        <v/>
      </c>
      <c r="GL36" s="225" t="str">
        <f t="shared" si="44"/>
        <v/>
      </c>
      <c r="GM36" s="1529">
        <f t="shared" si="45"/>
        <v>0</v>
      </c>
      <c r="GO36" s="129">
        <f t="shared" si="19"/>
        <v>0</v>
      </c>
      <c r="GP36" s="129" t="str">
        <f t="shared" si="46"/>
        <v/>
      </c>
      <c r="GQ36" s="1469"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877">
        <f>+$X$3+17</f>
        <v>46009</v>
      </c>
      <c r="AC37" s="1878">
        <f>+$D$6+17</f>
        <v>17</v>
      </c>
      <c r="AD37" s="1875" t="str">
        <f>+IF(AND($AR$13=S.CAL!$CU$2,EX37&lt;&gt;0),EX37,IF(AND($AR$13=S.CAL!$CU$3,ER37&lt;&gt;0),ER37,0))</f>
        <v/>
      </c>
      <c r="AE37" s="1875"/>
      <c r="AF37" s="1875"/>
      <c r="AG37" s="1875" t="str">
        <f>+IF(AND($AR$13=S.CAL!$CU$2,EY37&lt;&gt;0),EY37,IF(AND($AR$13=S.CAL!$CU$3,ES37&lt;&gt;0),ES37,""))</f>
        <v/>
      </c>
      <c r="AH37" s="1875"/>
      <c r="AI37" s="1875"/>
      <c r="AJ37" s="1875" t="str">
        <f>+IF(AND($AR$13=S.CAL!$CU$2,EZ37&lt;&gt;0),EZ37,IF(AND($AR$13=S.CAL!$CU$3,ET37&lt;&gt;0),ET37,""))</f>
        <v/>
      </c>
      <c r="AK37" s="1875"/>
      <c r="AL37" s="1875"/>
      <c r="AM37" s="1875" t="str">
        <f>+IF(AND($AR$13=S.CAL!$CU$2,FA37&lt;&gt;0),FA37,IF(AND($AR$13=S.CAL!$CU$3,EU37&lt;&gt;0),EU37,""))</f>
        <v/>
      </c>
      <c r="AN37" s="1875"/>
      <c r="AO37" s="1876"/>
      <c r="AP37" s="217" t="str">
        <f t="shared" si="48"/>
        <v/>
      </c>
      <c r="AQ37" s="340"/>
      <c r="AR37" s="1126"/>
      <c r="AS37" s="332">
        <f t="shared" si="3"/>
        <v>0</v>
      </c>
      <c r="AT37" s="1147"/>
      <c r="AU37" s="1147"/>
      <c r="AV37" s="332"/>
      <c r="AW37" s="2017">
        <f t="shared" si="21"/>
        <v>46009</v>
      </c>
      <c r="AX37" s="1878"/>
      <c r="AY37" s="332"/>
      <c r="AZ37" s="1126"/>
      <c r="BA37" s="993"/>
      <c r="BB37" s="561"/>
      <c r="BC37" s="566">
        <f t="shared" si="22"/>
        <v>0</v>
      </c>
      <c r="BD37" s="1126"/>
      <c r="BE37" s="825">
        <f t="shared" si="23"/>
        <v>0</v>
      </c>
      <c r="BF37" s="1150"/>
      <c r="BG37" s="224"/>
      <c r="BH37" s="566" t="str">
        <f t="shared" si="24"/>
        <v/>
      </c>
      <c r="BI37" s="1150"/>
      <c r="BJ37" s="129" t="str">
        <f t="shared" si="25"/>
        <v>Fiche infoA4</v>
      </c>
      <c r="BK37" s="129">
        <f t="shared" si="49"/>
        <v>51</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485</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801">
        <f t="shared" si="53"/>
        <v>46009</v>
      </c>
      <c r="ER37" s="802">
        <f t="shared" si="10"/>
        <v>0</v>
      </c>
      <c r="ES37" s="803">
        <f t="shared" si="11"/>
        <v>0</v>
      </c>
      <c r="ET37" s="802">
        <f t="shared" si="12"/>
        <v>0</v>
      </c>
      <c r="EU37" s="803">
        <f t="shared" si="13"/>
        <v>0</v>
      </c>
      <c r="EV37" s="802" t="str">
        <f t="shared" si="14"/>
        <v/>
      </c>
      <c r="EW37" s="769">
        <f t="shared" si="28"/>
        <v>46009</v>
      </c>
      <c r="EX37" s="777" t="str">
        <f>IFERROR(IF(AND(AZ37="",AR37&lt;&gt;S.CAL!$BJ$3,AR37&lt;&gt;S.CAL!$BJ$4),FS37-BC37,IF(AZ37&lt;&gt;0,AZ37,IF(OR(AR37=S.CAL!$BJ$3,AR37=S.CAL!$BJ$4),AR37,0))),"")</f>
        <v/>
      </c>
      <c r="EY37" s="771">
        <f t="shared" si="54"/>
        <v>0</v>
      </c>
      <c r="EZ37" s="754">
        <f t="shared" si="55"/>
        <v>0</v>
      </c>
      <c r="FA37" s="777" t="str">
        <f t="shared" si="31"/>
        <v/>
      </c>
      <c r="FB37" s="772" t="str">
        <f t="shared" si="15"/>
        <v/>
      </c>
      <c r="FC37" s="333" t="str">
        <f t="shared" si="56"/>
        <v>non</v>
      </c>
      <c r="FD37" s="778">
        <f t="shared" si="16"/>
        <v>0</v>
      </c>
      <c r="FG37" s="333" t="str">
        <f t="shared" si="57"/>
        <v/>
      </c>
      <c r="FJ37" s="333">
        <f t="shared" si="58"/>
        <v>1</v>
      </c>
      <c r="FK37" s="129">
        <f t="shared" si="17"/>
        <v>10</v>
      </c>
      <c r="FL37" s="129">
        <f t="shared" si="35"/>
        <v>1</v>
      </c>
      <c r="FN37" s="129">
        <f>+IF(AND($DP$8&lt;&gt;52,AR37=S.CAL!$BJ$4),10,1)</f>
        <v>1</v>
      </c>
      <c r="FP37" s="129">
        <f t="shared" si="18"/>
        <v>0</v>
      </c>
      <c r="FS37" s="225" t="str">
        <f t="shared" si="61"/>
        <v/>
      </c>
      <c r="FZ37" s="129">
        <f t="shared" si="37"/>
        <v>51</v>
      </c>
      <c r="GA37" s="129">
        <f t="shared" si="38"/>
        <v>2025</v>
      </c>
      <c r="GB37" s="129" t="str">
        <f t="shared" si="39"/>
        <v>512025</v>
      </c>
      <c r="GC37" s="225">
        <f t="shared" si="40"/>
        <v>0</v>
      </c>
      <c r="GF37" s="225" t="str">
        <f t="shared" si="41"/>
        <v/>
      </c>
      <c r="GG37" s="1469" t="str">
        <f>+'Retenue Déc'!D35</f>
        <v/>
      </c>
      <c r="GH37" s="1469">
        <f>+'Retenue Déc'!BF35</f>
        <v>0</v>
      </c>
      <c r="GJ37" s="1530" t="str">
        <f t="shared" si="42"/>
        <v/>
      </c>
      <c r="GK37" s="225" t="str">
        <f t="shared" si="43"/>
        <v/>
      </c>
      <c r="GL37" s="225" t="str">
        <f t="shared" si="44"/>
        <v/>
      </c>
      <c r="GM37" s="1529">
        <f t="shared" si="45"/>
        <v>0</v>
      </c>
      <c r="GO37" s="129">
        <f t="shared" si="19"/>
        <v>0</v>
      </c>
      <c r="GP37" s="129" t="str">
        <f t="shared" si="46"/>
        <v/>
      </c>
      <c r="GQ37" s="1469" t="str">
        <f t="shared" si="47"/>
        <v/>
      </c>
    </row>
    <row r="38" spans="1:199" x14ac:dyDescent="0.2">
      <c r="H38" s="2003" t="s">
        <v>111</v>
      </c>
      <c r="I38" s="2004"/>
      <c r="J38" s="2004"/>
      <c r="K38" s="2004"/>
      <c r="L38" s="2004"/>
      <c r="M38" s="2004"/>
      <c r="N38" s="2004"/>
      <c r="O38" s="2004"/>
      <c r="P38" s="2005"/>
      <c r="R38" s="2290" t="s">
        <v>112</v>
      </c>
      <c r="S38" s="1953"/>
      <c r="T38" s="1953"/>
      <c r="U38" s="1953"/>
      <c r="V38" s="1953"/>
      <c r="W38" s="1953"/>
      <c r="X38" s="1953"/>
      <c r="Y38" s="1953"/>
      <c r="Z38" s="2291"/>
      <c r="AA38" s="903" t="str">
        <f>IF(AND(BE38="OUI",$AR$13=S.CAL!$CU$2),"►",IF(AND(EV38="OUI",$AR$13=S.CAL!$CU$3),"►",""))</f>
        <v/>
      </c>
      <c r="AB38" s="1877">
        <f>+$X$3+18</f>
        <v>46010</v>
      </c>
      <c r="AC38" s="1878">
        <f>+$D$6+18</f>
        <v>18</v>
      </c>
      <c r="AD38" s="1875" t="str">
        <f>+IF(AND($AR$13=S.CAL!$CU$2,EX38&lt;&gt;0),EX38,IF(AND($AR$13=S.CAL!$CU$3,ER38&lt;&gt;0),ER38,0))</f>
        <v/>
      </c>
      <c r="AE38" s="1875"/>
      <c r="AF38" s="1875"/>
      <c r="AG38" s="1875" t="str">
        <f>+IF(AND($AR$13=S.CAL!$CU$2,EY38&lt;&gt;0),EY38,IF(AND($AR$13=S.CAL!$CU$3,ES38&lt;&gt;0),ES38,""))</f>
        <v/>
      </c>
      <c r="AH38" s="1875"/>
      <c r="AI38" s="1875"/>
      <c r="AJ38" s="1875" t="str">
        <f>+IF(AND($AR$13=S.CAL!$CU$2,EZ38&lt;&gt;0),EZ38,IF(AND($AR$13=S.CAL!$CU$3,ET38&lt;&gt;0),ET38,""))</f>
        <v/>
      </c>
      <c r="AK38" s="1875"/>
      <c r="AL38" s="1875"/>
      <c r="AM38" s="1875" t="str">
        <f>+IF(AND($AR$13=S.CAL!$CU$2,FA38&lt;&gt;0),FA38,IF(AND($AR$13=S.CAL!$CU$3,EU38&lt;&gt;0),EU38,""))</f>
        <v/>
      </c>
      <c r="AN38" s="1875"/>
      <c r="AO38" s="1876"/>
      <c r="AP38" s="217" t="str">
        <f t="shared" si="48"/>
        <v/>
      </c>
      <c r="AQ38" s="340"/>
      <c r="AR38" s="1126"/>
      <c r="AS38" s="332">
        <f t="shared" si="3"/>
        <v>0</v>
      </c>
      <c r="AT38" s="1147"/>
      <c r="AU38" s="1147"/>
      <c r="AV38" s="332"/>
      <c r="AW38" s="2017">
        <f t="shared" si="21"/>
        <v>46010</v>
      </c>
      <c r="AX38" s="1878"/>
      <c r="AY38" s="332"/>
      <c r="AZ38" s="1126"/>
      <c r="BA38" s="993"/>
      <c r="BB38" s="561"/>
      <c r="BC38" s="566">
        <f t="shared" si="22"/>
        <v>0</v>
      </c>
      <c r="BD38" s="1126"/>
      <c r="BE38" s="825">
        <f t="shared" si="23"/>
        <v>0</v>
      </c>
      <c r="BF38" s="1150"/>
      <c r="BG38" s="224"/>
      <c r="BH38" s="566" t="str">
        <f t="shared" si="24"/>
        <v/>
      </c>
      <c r="BI38" s="1150"/>
      <c r="BJ38" s="129" t="str">
        <f t="shared" si="25"/>
        <v>Fiche infoA5</v>
      </c>
      <c r="BK38" s="129">
        <f t="shared" si="49"/>
        <v>51</v>
      </c>
      <c r="BL38" s="129" t="str">
        <f t="shared" si="4"/>
        <v>A</v>
      </c>
      <c r="BM38" s="129">
        <f t="shared" si="50"/>
        <v>5</v>
      </c>
      <c r="BN38" s="225" t="str">
        <f t="shared" si="60"/>
        <v>Fiche info</v>
      </c>
      <c r="BO38" s="332" t="str">
        <f t="shared" si="51"/>
        <v/>
      </c>
      <c r="BP38" s="198" t="str">
        <f t="shared" si="52"/>
        <v/>
      </c>
      <c r="BQ38" s="601" t="s">
        <v>1060</v>
      </c>
      <c r="BR38" s="601"/>
      <c r="BS38" s="601"/>
      <c r="BT38" s="601"/>
      <c r="BU38" s="601"/>
      <c r="BV38" s="601"/>
      <c r="BW38" s="601"/>
      <c r="BX38" s="601"/>
      <c r="BY38" s="601"/>
      <c r="BZ38" s="601"/>
      <c r="CA38" s="601"/>
      <c r="DD38" s="198"/>
      <c r="DJ38" s="420" t="s">
        <v>486</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801">
        <f t="shared" si="53"/>
        <v>46010</v>
      </c>
      <c r="ER38" s="802">
        <f t="shared" si="10"/>
        <v>0</v>
      </c>
      <c r="ES38" s="803">
        <f t="shared" si="11"/>
        <v>0</v>
      </c>
      <c r="ET38" s="802">
        <f t="shared" si="12"/>
        <v>0</v>
      </c>
      <c r="EU38" s="803">
        <f t="shared" si="13"/>
        <v>0</v>
      </c>
      <c r="EV38" s="802" t="str">
        <f t="shared" si="14"/>
        <v/>
      </c>
      <c r="EW38" s="769">
        <f t="shared" si="28"/>
        <v>46010</v>
      </c>
      <c r="EX38" s="777" t="str">
        <f>IFERROR(IF(AND(AZ38="",AR38&lt;&gt;S.CAL!$BJ$3,AR38&lt;&gt;S.CAL!$BJ$4),FS38-BC38,IF(AZ38&lt;&gt;0,AZ38,IF(OR(AR38=S.CAL!$BJ$3,AR38=S.CAL!$BJ$4),AR38,0))),"")</f>
        <v/>
      </c>
      <c r="EY38" s="771">
        <f t="shared" si="54"/>
        <v>0</v>
      </c>
      <c r="EZ38" s="754">
        <f t="shared" si="55"/>
        <v>0</v>
      </c>
      <c r="FA38" s="777" t="str">
        <f t="shared" si="31"/>
        <v/>
      </c>
      <c r="FB38" s="772" t="str">
        <f t="shared" si="15"/>
        <v/>
      </c>
      <c r="FC38" s="333" t="str">
        <f t="shared" si="56"/>
        <v>non</v>
      </c>
      <c r="FD38" s="778">
        <f t="shared" si="16"/>
        <v>0</v>
      </c>
      <c r="FG38" s="333" t="str">
        <f t="shared" si="57"/>
        <v/>
      </c>
      <c r="FJ38" s="333">
        <f t="shared" si="58"/>
        <v>1</v>
      </c>
      <c r="FK38" s="129">
        <f t="shared" si="17"/>
        <v>10</v>
      </c>
      <c r="FL38" s="129">
        <f t="shared" si="35"/>
        <v>1</v>
      </c>
      <c r="FN38" s="129">
        <f>+IF(AND($DP$8&lt;&gt;52,AR38=S.CAL!$BJ$4),10,1)</f>
        <v>1</v>
      </c>
      <c r="FP38" s="129">
        <f t="shared" si="18"/>
        <v>0</v>
      </c>
      <c r="FS38" s="225" t="str">
        <f t="shared" si="61"/>
        <v/>
      </c>
      <c r="FZ38" s="129">
        <f t="shared" si="37"/>
        <v>51</v>
      </c>
      <c r="GA38" s="129">
        <f t="shared" si="38"/>
        <v>2025</v>
      </c>
      <c r="GB38" s="129" t="str">
        <f t="shared" si="39"/>
        <v>512025</v>
      </c>
      <c r="GC38" s="225">
        <f t="shared" si="40"/>
        <v>0</v>
      </c>
      <c r="GF38" s="225" t="str">
        <f t="shared" si="41"/>
        <v/>
      </c>
      <c r="GG38" s="1469" t="str">
        <f>+'Retenue Déc'!D36</f>
        <v/>
      </c>
      <c r="GH38" s="1469">
        <f>+'Retenue Déc'!BF36</f>
        <v>0</v>
      </c>
      <c r="GJ38" s="1530" t="str">
        <f t="shared" si="42"/>
        <v/>
      </c>
      <c r="GK38" s="225" t="str">
        <f t="shared" si="43"/>
        <v/>
      </c>
      <c r="GL38" s="225" t="str">
        <f t="shared" si="44"/>
        <v/>
      </c>
      <c r="GM38" s="1529">
        <f t="shared" si="45"/>
        <v>0</v>
      </c>
      <c r="GO38" s="129">
        <f t="shared" si="19"/>
        <v>0</v>
      </c>
      <c r="GP38" s="129" t="str">
        <f t="shared" si="46"/>
        <v/>
      </c>
      <c r="GQ38" s="1469" t="str">
        <f t="shared" si="47"/>
        <v/>
      </c>
    </row>
    <row r="39" spans="1:199" x14ac:dyDescent="0.2">
      <c r="A39" s="1842" t="s">
        <v>110</v>
      </c>
      <c r="B39" s="1842"/>
      <c r="C39" s="1842"/>
      <c r="D39" s="1842"/>
      <c r="E39" s="1842"/>
      <c r="F39" s="1842"/>
      <c r="G39" s="1843"/>
      <c r="H39" s="2001" t="s">
        <v>44</v>
      </c>
      <c r="I39" s="1859"/>
      <c r="J39" s="2002"/>
      <c r="K39" s="1859" t="s">
        <v>45</v>
      </c>
      <c r="L39" s="1860"/>
      <c r="M39" s="1861"/>
      <c r="N39" s="1908" t="s">
        <v>46</v>
      </c>
      <c r="O39" s="1860"/>
      <c r="P39" s="1861"/>
      <c r="Q39" s="206"/>
      <c r="R39" s="1908" t="s">
        <v>44</v>
      </c>
      <c r="S39" s="1860"/>
      <c r="T39" s="1861"/>
      <c r="U39" s="1908" t="s">
        <v>45</v>
      </c>
      <c r="V39" s="1860"/>
      <c r="W39" s="1861"/>
      <c r="X39" s="1908" t="s">
        <v>46</v>
      </c>
      <c r="Y39" s="1860"/>
      <c r="Z39" s="1861"/>
      <c r="AA39" s="903" t="str">
        <f>IF(AND(BE39="OUI",$AR$13=S.CAL!$CU$2),"►",IF(AND(EV39="OUI",$AR$13=S.CAL!$CU$3),"►",""))</f>
        <v/>
      </c>
      <c r="AB39" s="1877">
        <f>+$X$3+19</f>
        <v>46011</v>
      </c>
      <c r="AC39" s="1878">
        <f>+$D$6+19</f>
        <v>19</v>
      </c>
      <c r="AD39" s="1875" t="str">
        <f>+IF(AND($AR$13=S.CAL!$CU$2,EX39&lt;&gt;0),EX39,IF(AND($AR$13=S.CAL!$CU$3,ER39&lt;&gt;0),ER39,0))</f>
        <v/>
      </c>
      <c r="AE39" s="1875"/>
      <c r="AF39" s="1875"/>
      <c r="AG39" s="1875" t="str">
        <f>+IF(AND($AR$13=S.CAL!$CU$2,EY39&lt;&gt;0),EY39,IF(AND($AR$13=S.CAL!$CU$3,ES39&lt;&gt;0),ES39,""))</f>
        <v/>
      </c>
      <c r="AH39" s="1875"/>
      <c r="AI39" s="1875"/>
      <c r="AJ39" s="1875" t="str">
        <f>+IF(AND($AR$13=S.CAL!$CU$2,EZ39&lt;&gt;0),EZ39,IF(AND($AR$13=S.CAL!$CU$3,ET39&lt;&gt;0),ET39,""))</f>
        <v/>
      </c>
      <c r="AK39" s="1875"/>
      <c r="AL39" s="1875"/>
      <c r="AM39" s="1875" t="str">
        <f>+IF(AND($AR$13=S.CAL!$CU$2,FA39&lt;&gt;0),FA39,IF(AND($AR$13=S.CAL!$CU$3,EU39&lt;&gt;0),EU39,""))</f>
        <v/>
      </c>
      <c r="AN39" s="1875"/>
      <c r="AO39" s="1876"/>
      <c r="AP39" s="217" t="str">
        <f t="shared" si="48"/>
        <v/>
      </c>
      <c r="AQ39" s="340"/>
      <c r="AR39" s="1126"/>
      <c r="AS39" s="332">
        <f t="shared" si="3"/>
        <v>0</v>
      </c>
      <c r="AT39" s="1147"/>
      <c r="AU39" s="1147"/>
      <c r="AV39" s="332"/>
      <c r="AW39" s="2017">
        <f t="shared" si="21"/>
        <v>46011</v>
      </c>
      <c r="AX39" s="1878"/>
      <c r="AY39" s="332"/>
      <c r="AZ39" s="1126"/>
      <c r="BA39" s="993"/>
      <c r="BB39" s="561"/>
      <c r="BC39" s="566">
        <f t="shared" si="22"/>
        <v>0</v>
      </c>
      <c r="BD39" s="1126"/>
      <c r="BE39" s="825">
        <f t="shared" si="23"/>
        <v>0</v>
      </c>
      <c r="BF39" s="1150"/>
      <c r="BG39" s="224"/>
      <c r="BH39" s="566" t="str">
        <f t="shared" si="24"/>
        <v/>
      </c>
      <c r="BI39" s="1150"/>
      <c r="BJ39" s="129" t="str">
        <f t="shared" si="25"/>
        <v>Fiche infoA6</v>
      </c>
      <c r="BK39" s="129">
        <f t="shared" si="49"/>
        <v>51</v>
      </c>
      <c r="BL39" s="129" t="str">
        <f t="shared" si="4"/>
        <v>A</v>
      </c>
      <c r="BM39" s="129">
        <f t="shared" si="50"/>
        <v>6</v>
      </c>
      <c r="BN39" s="225" t="str">
        <f t="shared" si="60"/>
        <v>Fiche info</v>
      </c>
      <c r="BO39" s="332" t="str">
        <f t="shared" si="51"/>
        <v/>
      </c>
      <c r="BP39" s="198" t="str">
        <f t="shared" si="52"/>
        <v/>
      </c>
      <c r="BQ39" s="601" t="s">
        <v>1061</v>
      </c>
      <c r="BR39" s="600"/>
      <c r="BS39" s="600"/>
      <c r="BT39" s="600"/>
      <c r="BU39" s="600"/>
      <c r="BV39" s="601"/>
      <c r="BW39" s="601"/>
      <c r="BX39" s="601"/>
      <c r="BY39" s="601"/>
      <c r="BZ39" s="601"/>
      <c r="CA39" s="601"/>
      <c r="DD39" s="198"/>
      <c r="DJ39" s="420" t="s">
        <v>490</v>
      </c>
      <c r="DK39" s="756">
        <f>+(SUM(T32:W34)*BY4)+SUM(T32:W34)*0.9825*K57</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801">
        <f t="shared" si="53"/>
        <v>46011</v>
      </c>
      <c r="ER39" s="802">
        <f t="shared" si="10"/>
        <v>0</v>
      </c>
      <c r="ES39" s="803">
        <f t="shared" si="11"/>
        <v>0</v>
      </c>
      <c r="ET39" s="802">
        <f t="shared" si="12"/>
        <v>0</v>
      </c>
      <c r="EU39" s="803">
        <f t="shared" si="13"/>
        <v>0</v>
      </c>
      <c r="EV39" s="802" t="str">
        <f t="shared" si="14"/>
        <v/>
      </c>
      <c r="EW39" s="769">
        <f t="shared" si="28"/>
        <v>46011</v>
      </c>
      <c r="EX39" s="777" t="str">
        <f>IFERROR(IF(AND(AZ39="",AR39&lt;&gt;S.CAL!$BJ$3,AR39&lt;&gt;S.CAL!$BJ$4),FS39-BC39,IF(AZ39&lt;&gt;0,AZ39,IF(OR(AR39=S.CAL!$BJ$3,AR39=S.CAL!$BJ$4),AR39,0))),"")</f>
        <v/>
      </c>
      <c r="EY39" s="771">
        <f t="shared" si="54"/>
        <v>0</v>
      </c>
      <c r="EZ39" s="754">
        <f t="shared" si="55"/>
        <v>0</v>
      </c>
      <c r="FA39" s="777" t="str">
        <f t="shared" si="31"/>
        <v/>
      </c>
      <c r="FB39" s="772" t="str">
        <f t="shared" si="15"/>
        <v/>
      </c>
      <c r="FC39" s="333" t="str">
        <f t="shared" si="56"/>
        <v>non</v>
      </c>
      <c r="FD39" s="778">
        <f t="shared" si="16"/>
        <v>0</v>
      </c>
      <c r="FG39" s="333" t="str">
        <f t="shared" si="57"/>
        <v/>
      </c>
      <c r="FJ39" s="333">
        <f t="shared" si="58"/>
        <v>1</v>
      </c>
      <c r="FK39" s="129">
        <f t="shared" si="17"/>
        <v>10</v>
      </c>
      <c r="FL39" s="129">
        <f t="shared" si="35"/>
        <v>1</v>
      </c>
      <c r="FN39" s="129">
        <f>+IF(AND($DP$8&lt;&gt;52,AR39=S.CAL!$BJ$4),10,1)</f>
        <v>1</v>
      </c>
      <c r="FP39" s="129">
        <f t="shared" si="18"/>
        <v>0</v>
      </c>
      <c r="FS39" s="225" t="str">
        <f t="shared" si="61"/>
        <v/>
      </c>
      <c r="FZ39" s="129">
        <f t="shared" si="37"/>
        <v>51</v>
      </c>
      <c r="GA39" s="129">
        <f t="shared" si="38"/>
        <v>2025</v>
      </c>
      <c r="GB39" s="129" t="str">
        <f t="shared" si="39"/>
        <v>512025</v>
      </c>
      <c r="GC39" s="225">
        <f t="shared" si="40"/>
        <v>0</v>
      </c>
      <c r="GF39" s="225" t="str">
        <f t="shared" si="41"/>
        <v/>
      </c>
      <c r="GG39" s="1469" t="str">
        <f>+'Retenue Déc'!D37</f>
        <v/>
      </c>
      <c r="GH39" s="1469">
        <f>+'Retenue Déc'!BF37</f>
        <v>0</v>
      </c>
      <c r="GJ39" s="1530" t="str">
        <f t="shared" si="42"/>
        <v/>
      </c>
      <c r="GK39" s="225" t="str">
        <f t="shared" si="43"/>
        <v/>
      </c>
      <c r="GL39" s="225" t="str">
        <f t="shared" si="44"/>
        <v/>
      </c>
      <c r="GM39" s="1529">
        <f t="shared" si="45"/>
        <v>0</v>
      </c>
      <c r="GO39" s="129">
        <f t="shared" si="19"/>
        <v>0</v>
      </c>
      <c r="GP39" s="129" t="str">
        <f t="shared" si="46"/>
        <v/>
      </c>
      <c r="GQ39" s="1469" t="str">
        <f t="shared" si="47"/>
        <v/>
      </c>
    </row>
    <row r="40" spans="1:199" x14ac:dyDescent="0.2">
      <c r="A40" s="1998" t="str">
        <f>Taux_cotisations!A9</f>
        <v>Santé :</v>
      </c>
      <c r="B40" s="1999"/>
      <c r="C40" s="1999"/>
      <c r="D40" s="1999"/>
      <c r="E40" s="1999"/>
      <c r="F40" s="1999"/>
      <c r="G40" s="2000"/>
      <c r="H40" s="1793"/>
      <c r="I40" s="1794"/>
      <c r="J40" s="1795"/>
      <c r="K40" s="1802"/>
      <c r="L40" s="1803"/>
      <c r="M40" s="1803"/>
      <c r="N40" s="1780"/>
      <c r="O40" s="1780"/>
      <c r="P40" s="1780"/>
      <c r="Q40" s="206"/>
      <c r="R40" s="1906"/>
      <c r="S40" s="1906"/>
      <c r="T40" s="1906"/>
      <c r="U40" s="1907"/>
      <c r="V40" s="1907"/>
      <c r="W40" s="1907"/>
      <c r="X40" s="1900"/>
      <c r="Y40" s="1900"/>
      <c r="Z40" s="1900"/>
      <c r="AA40" s="903" t="str">
        <f>IF(AND(BE40="OUI",$AR$13=S.CAL!$CU$2),"►",IF(AND(EV40="OUI",$AR$13=S.CAL!$CU$3),"►",""))</f>
        <v/>
      </c>
      <c r="AB40" s="1877">
        <f>+$X$3+20</f>
        <v>46012</v>
      </c>
      <c r="AC40" s="1878">
        <f>+$D$6+20</f>
        <v>20</v>
      </c>
      <c r="AD40" s="1875" t="str">
        <f>+IF(AND($AR$13=S.CAL!$CU$2,EX40&lt;&gt;0),EX40,IF(AND($AR$13=S.CAL!$CU$3,ER40&lt;&gt;0),ER40,0))</f>
        <v/>
      </c>
      <c r="AE40" s="1875"/>
      <c r="AF40" s="1875"/>
      <c r="AG40" s="1875" t="str">
        <f>+IF(AND($AR$13=S.CAL!$CU$2,EY40&lt;&gt;0),EY40,IF(AND($AR$13=S.CAL!$CU$3,ES40&lt;&gt;0),ES40,""))</f>
        <v/>
      </c>
      <c r="AH40" s="1875"/>
      <c r="AI40" s="1875"/>
      <c r="AJ40" s="1875" t="str">
        <f>+IF(AND($AR$13=S.CAL!$CU$2,EZ40&lt;&gt;0),EZ40,IF(AND($AR$13=S.CAL!$CU$3,ET40&lt;&gt;0),ET40,""))</f>
        <v/>
      </c>
      <c r="AK40" s="1875"/>
      <c r="AL40" s="1875"/>
      <c r="AM40" s="1875" t="str">
        <f>+IF(AND($AR$13=S.CAL!$CU$2,FA40&lt;&gt;0),FA40,IF(AND($AR$13=S.CAL!$CU$3,EU40&lt;&gt;0),EU40,""))</f>
        <v/>
      </c>
      <c r="AN40" s="1875"/>
      <c r="AO40" s="1876"/>
      <c r="AP40" s="217" t="str">
        <f t="shared" si="48"/>
        <v/>
      </c>
      <c r="AQ40" s="340"/>
      <c r="AR40" s="1126"/>
      <c r="AS40" s="332">
        <f t="shared" si="3"/>
        <v>0</v>
      </c>
      <c r="AT40" s="1147"/>
      <c r="AU40" s="1147"/>
      <c r="AV40" s="332"/>
      <c r="AW40" s="2017">
        <f t="shared" si="21"/>
        <v>46012</v>
      </c>
      <c r="AX40" s="1878"/>
      <c r="AY40" s="332"/>
      <c r="AZ40" s="1126"/>
      <c r="BA40" s="993"/>
      <c r="BB40" s="561"/>
      <c r="BC40" s="566">
        <f t="shared" si="22"/>
        <v>0</v>
      </c>
      <c r="BD40" s="1126"/>
      <c r="BE40" s="825">
        <f t="shared" si="23"/>
        <v>0</v>
      </c>
      <c r="BF40" s="1150"/>
      <c r="BG40" s="224"/>
      <c r="BH40" s="566" t="str">
        <f t="shared" si="24"/>
        <v/>
      </c>
      <c r="BI40" s="1150"/>
      <c r="BJ40" s="129" t="str">
        <f t="shared" si="25"/>
        <v>Fiche infoA7</v>
      </c>
      <c r="BK40" s="129">
        <f t="shared" si="49"/>
        <v>51</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1192</v>
      </c>
      <c r="DK40" s="759">
        <f>+'Retenue Déc'!P27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801">
        <f t="shared" si="53"/>
        <v>46012</v>
      </c>
      <c r="ER40" s="802">
        <f t="shared" si="10"/>
        <v>0</v>
      </c>
      <c r="ES40" s="803">
        <f t="shared" si="11"/>
        <v>0</v>
      </c>
      <c r="ET40" s="802">
        <f t="shared" si="12"/>
        <v>0</v>
      </c>
      <c r="EU40" s="803">
        <f t="shared" si="13"/>
        <v>0</v>
      </c>
      <c r="EV40" s="802" t="str">
        <f t="shared" si="14"/>
        <v/>
      </c>
      <c r="EW40" s="769">
        <f t="shared" si="28"/>
        <v>46012</v>
      </c>
      <c r="EX40" s="777" t="str">
        <f>IFERROR(IF(AND(AZ40="",AR40&lt;&gt;S.CAL!$BJ$3,AR40&lt;&gt;S.CAL!$BJ$4),FS40-BC40,IF(AZ40&lt;&gt;0,AZ40,IF(OR(AR40=S.CAL!$BJ$3,AR40=S.CAL!$BJ$4),AR40,0))),"")</f>
        <v/>
      </c>
      <c r="EY40" s="771">
        <f t="shared" si="54"/>
        <v>0</v>
      </c>
      <c r="EZ40" s="754">
        <f t="shared" si="55"/>
        <v>0</v>
      </c>
      <c r="FA40" s="777" t="str">
        <f t="shared" si="31"/>
        <v/>
      </c>
      <c r="FB40" s="772" t="str">
        <f t="shared" si="15"/>
        <v/>
      </c>
      <c r="FC40" s="333" t="str">
        <f t="shared" si="56"/>
        <v>non</v>
      </c>
      <c r="FD40" s="778">
        <f t="shared" si="16"/>
        <v>0</v>
      </c>
      <c r="FG40" s="333" t="str">
        <f t="shared" si="57"/>
        <v/>
      </c>
      <c r="FJ40" s="333">
        <f t="shared" si="58"/>
        <v>1</v>
      </c>
      <c r="FK40" s="129">
        <f t="shared" si="17"/>
        <v>10</v>
      </c>
      <c r="FL40" s="129">
        <f t="shared" si="35"/>
        <v>1</v>
      </c>
      <c r="FN40" s="129">
        <f>+IF(AND($DP$8&lt;&gt;52,AR40=S.CAL!$BJ$4),10,1)</f>
        <v>1</v>
      </c>
      <c r="FP40" s="129">
        <f t="shared" si="18"/>
        <v>0</v>
      </c>
      <c r="FS40" s="225" t="str">
        <f t="shared" si="61"/>
        <v/>
      </c>
      <c r="FZ40" s="129">
        <f t="shared" si="37"/>
        <v>51</v>
      </c>
      <c r="GA40" s="129">
        <f t="shared" si="38"/>
        <v>2025</v>
      </c>
      <c r="GB40" s="129" t="str">
        <f t="shared" si="39"/>
        <v>512025</v>
      </c>
      <c r="GC40" s="225">
        <f t="shared" si="40"/>
        <v>0</v>
      </c>
      <c r="GF40" s="225" t="str">
        <f t="shared" si="41"/>
        <v/>
      </c>
      <c r="GG40" s="1469" t="str">
        <f>+'Retenue Déc'!D38</f>
        <v/>
      </c>
      <c r="GH40" s="1469">
        <f>+'Retenue Déc'!BF38</f>
        <v>0</v>
      </c>
      <c r="GJ40" s="1530" t="str">
        <f t="shared" si="42"/>
        <v/>
      </c>
      <c r="GK40" s="225" t="str">
        <f t="shared" si="43"/>
        <v/>
      </c>
      <c r="GL40" s="225" t="str">
        <f t="shared" si="44"/>
        <v/>
      </c>
      <c r="GM40" s="1529">
        <f t="shared" si="45"/>
        <v>0</v>
      </c>
      <c r="GO40" s="129">
        <f t="shared" si="19"/>
        <v>0</v>
      </c>
      <c r="GP40" s="129" t="str">
        <f t="shared" si="46"/>
        <v/>
      </c>
      <c r="GQ40" s="1469" t="str">
        <f t="shared" si="47"/>
        <v/>
      </c>
    </row>
    <row r="41" spans="1:199" x14ac:dyDescent="0.2">
      <c r="A41" s="1799" t="str">
        <f>Taux_cotisations!A10</f>
        <v>Séc. Soc. Maladie invalidité</v>
      </c>
      <c r="B41" s="1800"/>
      <c r="C41" s="1800"/>
      <c r="D41" s="1800"/>
      <c r="E41" s="1800"/>
      <c r="F41" s="1800"/>
      <c r="G41" s="1801"/>
      <c r="H41" s="1793">
        <f>IF(K41=0,0,+T35*INDEX(table_base_coef_salariale,MATCH(A41,Taux_cotisations!$A$75:$A$101,0),MATCH($X$3,Taux_cotisations!$A$75:$M$75,0)))</f>
        <v>0</v>
      </c>
      <c r="I41" s="1794"/>
      <c r="J41" s="1795"/>
      <c r="K41" s="1802">
        <f>+IF(Identification!B66="OUI",VLOOKUP(AB20,Identification!A84:B87,2,TRUE),0)</f>
        <v>0</v>
      </c>
      <c r="L41" s="1803"/>
      <c r="M41" s="1803"/>
      <c r="N41" s="1780">
        <f>ROUND(K41*H41,4)</f>
        <v>0</v>
      </c>
      <c r="O41" s="1780"/>
      <c r="P41" s="1780"/>
      <c r="Q41" s="223"/>
      <c r="R41" s="1906">
        <f>+T35*INDEX(table_base_coef_patronale,MATCH(A41,Taux_cotisations!$A$110:$A$136,0),MATCH($X$3,Taux_cotisations!$A$110:$M$110,0))</f>
        <v>0</v>
      </c>
      <c r="S41" s="1906"/>
      <c r="T41" s="1906"/>
      <c r="U41" s="1907">
        <f>INDEX(table_taux_patronales,MATCH(A41,Taux_cotisations!$A$39:$A$65,0),MATCH($X$3,Taux_cotisations!$A$39:$M$39,0))</f>
        <v>0.13</v>
      </c>
      <c r="V41" s="1907"/>
      <c r="W41" s="1907"/>
      <c r="X41" s="1900">
        <f>ROUND(U41*R41,2)</f>
        <v>0</v>
      </c>
      <c r="Y41" s="1900"/>
      <c r="Z41" s="1900"/>
      <c r="AA41" s="903" t="str">
        <f>IF(AND(BE41="OUI",$AR$13=S.CAL!$CU$2),"►",IF(AND(EV41="OUI",$AR$13=S.CAL!$CU$3),"►",""))</f>
        <v/>
      </c>
      <c r="AB41" s="1877">
        <f>+$X$3+21</f>
        <v>46013</v>
      </c>
      <c r="AC41" s="1878">
        <f>+$D$6+21</f>
        <v>21</v>
      </c>
      <c r="AD41" s="1875" t="str">
        <f>+IF(AND($AR$13=S.CAL!$CU$2,EX41&lt;&gt;0),EX41,IF(AND($AR$13=S.CAL!$CU$3,ER41&lt;&gt;0),ER41,0))</f>
        <v/>
      </c>
      <c r="AE41" s="1875"/>
      <c r="AF41" s="1875"/>
      <c r="AG41" s="1875" t="str">
        <f>+IF(AND($AR$13=S.CAL!$CU$2,EY41&lt;&gt;0),EY41,IF(AND($AR$13=S.CAL!$CU$3,ES41&lt;&gt;0),ES41,""))</f>
        <v/>
      </c>
      <c r="AH41" s="1875"/>
      <c r="AI41" s="1875"/>
      <c r="AJ41" s="1875" t="str">
        <f>+IF(AND($AR$13=S.CAL!$CU$2,EZ41&lt;&gt;0),EZ41,IF(AND($AR$13=S.CAL!$CU$3,ET41&lt;&gt;0),ET41,""))</f>
        <v/>
      </c>
      <c r="AK41" s="1875"/>
      <c r="AL41" s="1875"/>
      <c r="AM41" s="1875" t="str">
        <f>+IF(AND($AR$13=S.CAL!$CU$2,FA41&lt;&gt;0),FA41,IF(AND($AR$13=S.CAL!$CU$3,EU41&lt;&gt;0),EU41,""))</f>
        <v/>
      </c>
      <c r="AN41" s="1875"/>
      <c r="AO41" s="1876"/>
      <c r="AP41" s="217">
        <f t="shared" si="48"/>
        <v>52</v>
      </c>
      <c r="AQ41" s="340"/>
      <c r="AR41" s="1126"/>
      <c r="AS41" s="332">
        <f t="shared" si="3"/>
        <v>0</v>
      </c>
      <c r="AT41" s="1147"/>
      <c r="AU41" s="1147"/>
      <c r="AV41" s="332"/>
      <c r="AW41" s="2017">
        <f t="shared" si="21"/>
        <v>46013</v>
      </c>
      <c r="AX41" s="1878"/>
      <c r="AY41" s="332"/>
      <c r="AZ41" s="1126"/>
      <c r="BA41" s="993"/>
      <c r="BB41" s="561"/>
      <c r="BC41" s="566">
        <f t="shared" si="22"/>
        <v>0</v>
      </c>
      <c r="BD41" s="1126"/>
      <c r="BE41" s="825">
        <f t="shared" si="23"/>
        <v>0</v>
      </c>
      <c r="BF41" s="1150"/>
      <c r="BG41" s="224"/>
      <c r="BH41" s="566" t="str">
        <f t="shared" si="24"/>
        <v/>
      </c>
      <c r="BI41" s="1150"/>
      <c r="BJ41" s="129" t="str">
        <f t="shared" si="25"/>
        <v>Fiche infoA1</v>
      </c>
      <c r="BK41" s="129">
        <f t="shared" si="49"/>
        <v>52</v>
      </c>
      <c r="BL41" s="129" t="str">
        <f t="shared" si="4"/>
        <v>A</v>
      </c>
      <c r="BM41" s="129">
        <f t="shared" si="50"/>
        <v>1</v>
      </c>
      <c r="BN41" s="225" t="str">
        <f t="shared" si="60"/>
        <v>Fiche info</v>
      </c>
      <c r="BO41" s="332" t="str">
        <f t="shared" si="51"/>
        <v/>
      </c>
      <c r="BP41" s="198" t="str">
        <f t="shared" si="52"/>
        <v/>
      </c>
      <c r="BQ41" s="2142" t="s">
        <v>1063</v>
      </c>
      <c r="BR41" s="2142"/>
      <c r="BS41" s="2142"/>
      <c r="BT41" s="2142"/>
      <c r="BU41" s="2142"/>
      <c r="BV41" s="2142"/>
      <c r="BW41" s="601" t="str">
        <f>+IF(BX41="",Novembre!BW41,BX41)</f>
        <v>Non</v>
      </c>
      <c r="BX41" s="1138"/>
      <c r="BY41" s="601" t="s">
        <v>1064</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801">
        <f t="shared" si="53"/>
        <v>46013</v>
      </c>
      <c r="ER41" s="802">
        <f t="shared" si="10"/>
        <v>0</v>
      </c>
      <c r="ES41" s="803">
        <f t="shared" si="11"/>
        <v>0</v>
      </c>
      <c r="ET41" s="802">
        <f t="shared" si="12"/>
        <v>0</v>
      </c>
      <c r="EU41" s="803">
        <f t="shared" si="13"/>
        <v>0</v>
      </c>
      <c r="EV41" s="802" t="str">
        <f t="shared" si="14"/>
        <v/>
      </c>
      <c r="EW41" s="769">
        <f t="shared" si="28"/>
        <v>46013</v>
      </c>
      <c r="EX41" s="777" t="str">
        <f>IFERROR(IF(AND(AZ41="",AR41&lt;&gt;S.CAL!$BJ$3,AR41&lt;&gt;S.CAL!$BJ$4),FS41-BC41,IF(AZ41&lt;&gt;0,AZ41,IF(OR(AR41=S.CAL!$BJ$3,AR41=S.CAL!$BJ$4),AR41,0))),"")</f>
        <v/>
      </c>
      <c r="EY41" s="771">
        <f t="shared" si="54"/>
        <v>0</v>
      </c>
      <c r="EZ41" s="754">
        <f t="shared" si="55"/>
        <v>0</v>
      </c>
      <c r="FA41" s="777" t="str">
        <f t="shared" si="31"/>
        <v/>
      </c>
      <c r="FB41" s="772" t="str">
        <f t="shared" si="15"/>
        <v/>
      </c>
      <c r="FC41" s="333" t="str">
        <f t="shared" si="56"/>
        <v>non</v>
      </c>
      <c r="FD41" s="778">
        <f t="shared" si="16"/>
        <v>0</v>
      </c>
      <c r="FG41" s="333" t="str">
        <f t="shared" si="57"/>
        <v/>
      </c>
      <c r="FJ41" s="333">
        <f t="shared" si="58"/>
        <v>1</v>
      </c>
      <c r="FK41" s="129">
        <f t="shared" si="17"/>
        <v>10</v>
      </c>
      <c r="FL41" s="129">
        <f t="shared" si="35"/>
        <v>1</v>
      </c>
      <c r="FN41" s="129">
        <f>+IF(AND($DP$8&lt;&gt;52,AR41=S.CAL!$BJ$4),10,1)</f>
        <v>1</v>
      </c>
      <c r="FP41" s="129">
        <f t="shared" si="18"/>
        <v>0</v>
      </c>
      <c r="FS41" s="225" t="str">
        <f t="shared" si="61"/>
        <v/>
      </c>
      <c r="FZ41" s="129">
        <f t="shared" si="37"/>
        <v>52</v>
      </c>
      <c r="GA41" s="129">
        <f t="shared" si="38"/>
        <v>2025</v>
      </c>
      <c r="GB41" s="129" t="str">
        <f t="shared" si="39"/>
        <v>522025</v>
      </c>
      <c r="GC41" s="225">
        <f t="shared" si="40"/>
        <v>0</v>
      </c>
      <c r="GF41" s="225" t="str">
        <f t="shared" si="41"/>
        <v/>
      </c>
      <c r="GG41" s="1469" t="str">
        <f>+'Retenue Déc'!D39</f>
        <v/>
      </c>
      <c r="GH41" s="1469">
        <f>+'Retenue Déc'!BF39</f>
        <v>0</v>
      </c>
      <c r="GJ41" s="1530" t="str">
        <f t="shared" si="42"/>
        <v/>
      </c>
      <c r="GK41" s="225" t="str">
        <f t="shared" si="43"/>
        <v/>
      </c>
      <c r="GL41" s="225" t="str">
        <f t="shared" si="44"/>
        <v/>
      </c>
      <c r="GM41" s="1529">
        <f t="shared" si="45"/>
        <v>0</v>
      </c>
      <c r="GO41" s="129">
        <f t="shared" si="19"/>
        <v>0</v>
      </c>
      <c r="GP41" s="129" t="str">
        <f t="shared" si="46"/>
        <v/>
      </c>
      <c r="GQ41" s="1469" t="str">
        <f t="shared" si="47"/>
        <v/>
      </c>
    </row>
    <row r="42" spans="1:199" x14ac:dyDescent="0.2">
      <c r="A42" s="1799" t="str">
        <f>Taux_cotisations!A11</f>
        <v>Prévoyance T1</v>
      </c>
      <c r="B42" s="1800"/>
      <c r="C42" s="1800"/>
      <c r="D42" s="1800"/>
      <c r="E42" s="1800"/>
      <c r="F42" s="1800"/>
      <c r="G42" s="1801"/>
      <c r="H42" s="1857">
        <f>IF(AND(T35&gt;=EG6,T35&gt;0),EG6*INDEX(table_base_coef_salariale,MATCH(A42,Taux_cotisations!$A$75:$A$101,0),MATCH($X$3,Taux_cotisations!$A$75:$M$75,0)),+T35*INDEX(table_base_coef_salariale,MATCH(A42,Taux_cotisations!$A$75:$A$101,0),MATCH($X$3,Taux_cotisations!$A$75:$M$75,0)))</f>
        <v>0</v>
      </c>
      <c r="I42" s="1780"/>
      <c r="J42" s="1858"/>
      <c r="K42" s="1802">
        <f>INDEX(table_taux_salariales,MATCH(A42,Taux_cotisations!$A$6:$A$32,0),MATCH($X$3,Taux_cotisations!$A$6:$M$6,0))</f>
        <v>1.04E-2</v>
      </c>
      <c r="L42" s="1803"/>
      <c r="M42" s="1803"/>
      <c r="N42" s="1780">
        <f>ROUND(K42*H42,4)</f>
        <v>0</v>
      </c>
      <c r="O42" s="1780"/>
      <c r="P42" s="1780"/>
      <c r="Q42" s="223"/>
      <c r="R42" s="1906">
        <f>IF(AND(T35&gt;=EG6,T35&gt;0),EG6*INDEX(table_base_coef_patronale,MATCH(A42,Taux_cotisations!$A$110:$A$136,0),MATCH($X$3,Taux_cotisations!$A$110:$M$110,0)),+T35*INDEX(table_base_coef_patronale,MATCH(A42,Taux_cotisations!$A$110:$A$136,0),MATCH($X$3,Taux_cotisations!$A$110:$M$110,0)))</f>
        <v>0</v>
      </c>
      <c r="S42" s="1906"/>
      <c r="T42" s="1906"/>
      <c r="U42" s="1907">
        <f>INDEX(table_taux_patronales,MATCH(A42,Taux_cotisations!$A$39:$A$65,0),MATCH($X$3,Taux_cotisations!$A$39:$M$39,0))</f>
        <v>2.4500000000000001E-2</v>
      </c>
      <c r="V42" s="1907"/>
      <c r="W42" s="1907"/>
      <c r="X42" s="1900">
        <f>ROUND(U42*R42,2)</f>
        <v>0</v>
      </c>
      <c r="Y42" s="1900"/>
      <c r="Z42" s="1900"/>
      <c r="AA42" s="903" t="str">
        <f>IF(AND(BE42="OUI",$AR$13=S.CAL!$CU$2),"►",IF(AND(EV42="OUI",$AR$13=S.CAL!$CU$3),"►",""))</f>
        <v/>
      </c>
      <c r="AB42" s="1877">
        <f>+$X$3+22</f>
        <v>46014</v>
      </c>
      <c r="AC42" s="1878">
        <f>+$D$6+22</f>
        <v>22</v>
      </c>
      <c r="AD42" s="1875" t="str">
        <f>+IF(AND($AR$13=S.CAL!$CU$2,EX42&lt;&gt;0),EX42,IF(AND($AR$13=S.CAL!$CU$3,ER42&lt;&gt;0),ER42,0))</f>
        <v/>
      </c>
      <c r="AE42" s="1875"/>
      <c r="AF42" s="1875"/>
      <c r="AG42" s="1875" t="str">
        <f>+IF(AND($AR$13=S.CAL!$CU$2,EY42&lt;&gt;0),EY42,IF(AND($AR$13=S.CAL!$CU$3,ES42&lt;&gt;0),ES42,""))</f>
        <v/>
      </c>
      <c r="AH42" s="1875"/>
      <c r="AI42" s="1875"/>
      <c r="AJ42" s="1875" t="str">
        <f>+IF(AND($AR$13=S.CAL!$CU$2,EZ42&lt;&gt;0),EZ42,IF(AND($AR$13=S.CAL!$CU$3,ET42&lt;&gt;0),ET42,""))</f>
        <v/>
      </c>
      <c r="AK42" s="1875"/>
      <c r="AL42" s="1875"/>
      <c r="AM42" s="1875" t="str">
        <f>+IF(AND($AR$13=S.CAL!$CU$2,FA42&lt;&gt;0),FA42,IF(AND($AR$13=S.CAL!$CU$3,EU42&lt;&gt;0),EU42,""))</f>
        <v/>
      </c>
      <c r="AN42" s="1875"/>
      <c r="AO42" s="1876"/>
      <c r="AP42" s="217" t="str">
        <f t="shared" si="48"/>
        <v/>
      </c>
      <c r="AQ42" s="340"/>
      <c r="AR42" s="1126"/>
      <c r="AS42" s="332">
        <f t="shared" si="3"/>
        <v>0</v>
      </c>
      <c r="AT42" s="1147"/>
      <c r="AU42" s="1147"/>
      <c r="AV42" s="332"/>
      <c r="AW42" s="2017">
        <f t="shared" si="21"/>
        <v>46014</v>
      </c>
      <c r="AX42" s="1878"/>
      <c r="AY42" s="332"/>
      <c r="AZ42" s="1126"/>
      <c r="BA42" s="993"/>
      <c r="BB42" s="561"/>
      <c r="BC42" s="566">
        <f t="shared" si="22"/>
        <v>0</v>
      </c>
      <c r="BD42" s="1126"/>
      <c r="BE42" s="825">
        <f t="shared" si="23"/>
        <v>0</v>
      </c>
      <c r="BF42" s="1150"/>
      <c r="BG42" s="224"/>
      <c r="BH42" s="566" t="str">
        <f t="shared" si="24"/>
        <v/>
      </c>
      <c r="BI42" s="1150"/>
      <c r="BJ42" s="129" t="str">
        <f t="shared" si="25"/>
        <v>Fiche infoA2</v>
      </c>
      <c r="BK42" s="129">
        <f t="shared" si="49"/>
        <v>52</v>
      </c>
      <c r="BL42" s="129" t="str">
        <f t="shared" si="4"/>
        <v>A</v>
      </c>
      <c r="BM42" s="129">
        <f t="shared" si="50"/>
        <v>2</v>
      </c>
      <c r="BN42" s="225" t="str">
        <f t="shared" si="60"/>
        <v>Fiche info</v>
      </c>
      <c r="BO42" s="332" t="str">
        <f t="shared" si="51"/>
        <v/>
      </c>
      <c r="BP42" s="198" t="str">
        <f t="shared" si="52"/>
        <v/>
      </c>
      <c r="BQ42" s="2015" t="s">
        <v>1103</v>
      </c>
      <c r="BR42" s="2015"/>
      <c r="BS42" s="2015"/>
      <c r="BT42" s="2015"/>
      <c r="BU42" s="2015"/>
      <c r="BV42" s="2015"/>
      <c r="BW42" s="2015"/>
      <c r="BX42" s="601"/>
      <c r="BY42" s="601"/>
      <c r="BZ42" s="601"/>
      <c r="CA42" s="601"/>
      <c r="CB42" s="622"/>
      <c r="CC42" s="622" t="s">
        <v>1062</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801">
        <f t="shared" si="53"/>
        <v>46014</v>
      </c>
      <c r="ER42" s="802">
        <f t="shared" si="10"/>
        <v>0</v>
      </c>
      <c r="ES42" s="803">
        <f t="shared" si="11"/>
        <v>0</v>
      </c>
      <c r="ET42" s="802">
        <f t="shared" si="12"/>
        <v>0</v>
      </c>
      <c r="EU42" s="803">
        <f t="shared" si="13"/>
        <v>0</v>
      </c>
      <c r="EV42" s="802" t="str">
        <f t="shared" si="14"/>
        <v/>
      </c>
      <c r="EW42" s="769">
        <f t="shared" si="28"/>
        <v>46014</v>
      </c>
      <c r="EX42" s="777" t="str">
        <f>IFERROR(IF(AND(AZ42="",AR42&lt;&gt;S.CAL!$BJ$3,AR42&lt;&gt;S.CAL!$BJ$4),FS42-BC42,IF(AZ42&lt;&gt;0,AZ42,IF(OR(AR42=S.CAL!$BJ$3,AR42=S.CAL!$BJ$4),AR42,0))),"")</f>
        <v/>
      </c>
      <c r="EY42" s="771">
        <f t="shared" si="54"/>
        <v>0</v>
      </c>
      <c r="EZ42" s="754">
        <f t="shared" si="55"/>
        <v>0</v>
      </c>
      <c r="FA42" s="777" t="str">
        <f t="shared" si="31"/>
        <v/>
      </c>
      <c r="FB42" s="772" t="str">
        <f t="shared" si="15"/>
        <v/>
      </c>
      <c r="FC42" s="333" t="str">
        <f t="shared" si="56"/>
        <v>non</v>
      </c>
      <c r="FD42" s="778">
        <f t="shared" si="16"/>
        <v>0</v>
      </c>
      <c r="FG42" s="333" t="str">
        <f t="shared" si="57"/>
        <v/>
      </c>
      <c r="FJ42" s="333">
        <f t="shared" si="58"/>
        <v>1</v>
      </c>
      <c r="FK42" s="129">
        <f t="shared" si="17"/>
        <v>10</v>
      </c>
      <c r="FL42" s="129">
        <f t="shared" si="35"/>
        <v>1</v>
      </c>
      <c r="FN42" s="129">
        <f>+IF(AND($DP$8&lt;&gt;52,AR42=S.CAL!$BJ$4),10,1)</f>
        <v>1</v>
      </c>
      <c r="FP42" s="129">
        <f t="shared" si="18"/>
        <v>0</v>
      </c>
      <c r="FS42" s="225" t="str">
        <f t="shared" si="61"/>
        <v/>
      </c>
      <c r="FZ42" s="129">
        <f t="shared" si="37"/>
        <v>52</v>
      </c>
      <c r="GA42" s="129">
        <f t="shared" si="38"/>
        <v>2025</v>
      </c>
      <c r="GB42" s="129" t="str">
        <f t="shared" si="39"/>
        <v>522025</v>
      </c>
      <c r="GC42" s="225">
        <f t="shared" si="40"/>
        <v>0</v>
      </c>
      <c r="GF42" s="225" t="str">
        <f t="shared" si="41"/>
        <v/>
      </c>
      <c r="GG42" s="1469" t="str">
        <f>+'Retenue Déc'!D40</f>
        <v/>
      </c>
      <c r="GH42" s="1469">
        <f>+'Retenue Déc'!BF40</f>
        <v>0</v>
      </c>
      <c r="GJ42" s="1530" t="str">
        <f t="shared" si="42"/>
        <v/>
      </c>
      <c r="GK42" s="225" t="str">
        <f t="shared" si="43"/>
        <v/>
      </c>
      <c r="GL42" s="225" t="str">
        <f t="shared" si="44"/>
        <v/>
      </c>
      <c r="GM42" s="1529">
        <f t="shared" si="45"/>
        <v>0</v>
      </c>
      <c r="GO42" s="129">
        <f t="shared" si="19"/>
        <v>0</v>
      </c>
      <c r="GP42" s="129" t="str">
        <f t="shared" si="46"/>
        <v/>
      </c>
      <c r="GQ42" s="1469" t="str">
        <f t="shared" si="47"/>
        <v/>
      </c>
    </row>
    <row r="43" spans="1:199" x14ac:dyDescent="0.2">
      <c r="A43" s="1799" t="str">
        <f>Taux_cotisations!A12</f>
        <v>Prévoyance T2</v>
      </c>
      <c r="B43" s="1800"/>
      <c r="C43" s="1800"/>
      <c r="D43" s="1800"/>
      <c r="E43" s="1800"/>
      <c r="F43" s="1800"/>
      <c r="G43" s="1801"/>
      <c r="H43" s="1793"/>
      <c r="I43" s="1794"/>
      <c r="J43" s="1795"/>
      <c r="K43" s="1802"/>
      <c r="L43" s="1803"/>
      <c r="M43" s="1803"/>
      <c r="N43" s="1780"/>
      <c r="O43" s="1780"/>
      <c r="P43" s="1780"/>
      <c r="Q43" s="223"/>
      <c r="R43" s="1906">
        <f>+IF(AND(T35&gt;0,T35&gt;EG6),(T35-EG6)*INDEX(table_base_coef_patronale,MATCH(A43,Taux_cotisations!$A$110:$A$136,0),MATCH($X$3,Taux_cotisations!$A$110:$M$110,0)),0)</f>
        <v>0</v>
      </c>
      <c r="S43" s="1906"/>
      <c r="T43" s="1906"/>
      <c r="U43" s="1907">
        <f>IF(R43=0,0,INDEX(table_taux_patronales,MATCH(A43,Taux_cotisations!$A$39:$A$65,0),MATCH($X$3,Taux_cotisations!$A$39:$M$39,0)))</f>
        <v>0</v>
      </c>
      <c r="V43" s="1907"/>
      <c r="W43" s="1907"/>
      <c r="X43" s="1900">
        <f>ROUND(U43*R43,2)</f>
        <v>0</v>
      </c>
      <c r="Y43" s="1900"/>
      <c r="Z43" s="1900"/>
      <c r="AA43" s="903" t="str">
        <f>IF(AND(BE43="OUI",$AR$13=S.CAL!$CU$2),"►",IF(AND(EV43="OUI",$AR$13=S.CAL!$CU$3),"►",""))</f>
        <v/>
      </c>
      <c r="AB43" s="1877">
        <f>+$X$3+23</f>
        <v>46015</v>
      </c>
      <c r="AC43" s="1878">
        <f>+$D$6+23</f>
        <v>23</v>
      </c>
      <c r="AD43" s="1875" t="str">
        <f>+IF(AND($AR$13=S.CAL!$CU$2,EX43&lt;&gt;0),EX43,IF(AND($AR$13=S.CAL!$CU$3,ER43&lt;&gt;0),ER43,0))</f>
        <v/>
      </c>
      <c r="AE43" s="1875"/>
      <c r="AF43" s="1875"/>
      <c r="AG43" s="1875" t="str">
        <f>+IF(AND($AR$13=S.CAL!$CU$2,EY43&lt;&gt;0),EY43,IF(AND($AR$13=S.CAL!$CU$3,ES43&lt;&gt;0),ES43,""))</f>
        <v/>
      </c>
      <c r="AH43" s="1875"/>
      <c r="AI43" s="1875"/>
      <c r="AJ43" s="1875" t="str">
        <f>+IF(AND($AR$13=S.CAL!$CU$2,EZ43&lt;&gt;0),EZ43,IF(AND($AR$13=S.CAL!$CU$3,ET43&lt;&gt;0),ET43,""))</f>
        <v/>
      </c>
      <c r="AK43" s="1875"/>
      <c r="AL43" s="1875"/>
      <c r="AM43" s="1875" t="str">
        <f>+IF(AND($AR$13=S.CAL!$CU$2,FA43&lt;&gt;0),FA43,IF(AND($AR$13=S.CAL!$CU$3,EU43&lt;&gt;0),EU43,""))</f>
        <v/>
      </c>
      <c r="AN43" s="1875"/>
      <c r="AO43" s="1876"/>
      <c r="AP43" s="217" t="str">
        <f t="shared" si="48"/>
        <v/>
      </c>
      <c r="AQ43" s="340"/>
      <c r="AR43" s="1126"/>
      <c r="AS43" s="332">
        <f t="shared" si="3"/>
        <v>0</v>
      </c>
      <c r="AT43" s="1147"/>
      <c r="AU43" s="1147"/>
      <c r="AV43" s="332"/>
      <c r="AW43" s="2017">
        <f t="shared" si="21"/>
        <v>46015</v>
      </c>
      <c r="AX43" s="1878"/>
      <c r="AY43" s="332"/>
      <c r="AZ43" s="1126"/>
      <c r="BA43" s="993"/>
      <c r="BB43" s="561"/>
      <c r="BC43" s="566">
        <f t="shared" si="22"/>
        <v>0</v>
      </c>
      <c r="BD43" s="1126"/>
      <c r="BE43" s="825">
        <f t="shared" si="23"/>
        <v>0</v>
      </c>
      <c r="BF43" s="1150"/>
      <c r="BG43" s="224"/>
      <c r="BH43" s="566" t="str">
        <f t="shared" si="24"/>
        <v/>
      </c>
      <c r="BI43" s="1150"/>
      <c r="BJ43" s="129" t="str">
        <f t="shared" si="25"/>
        <v>Fiche infoA3</v>
      </c>
      <c r="BK43" s="129">
        <f t="shared" si="49"/>
        <v>52</v>
      </c>
      <c r="BL43" s="129" t="str">
        <f t="shared" si="4"/>
        <v>A</v>
      </c>
      <c r="BM43" s="129">
        <f t="shared" si="50"/>
        <v>3</v>
      </c>
      <c r="BN43" s="225" t="str">
        <f t="shared" si="60"/>
        <v>Fiche info</v>
      </c>
      <c r="BO43" s="332" t="str">
        <f t="shared" si="51"/>
        <v/>
      </c>
      <c r="BP43" s="198" t="str">
        <f t="shared" si="52"/>
        <v/>
      </c>
      <c r="BQ43" s="2016"/>
      <c r="BR43" s="2016"/>
      <c r="BS43" s="2016"/>
      <c r="BT43" s="2016"/>
      <c r="BU43" s="2016"/>
      <c r="BV43" s="2016"/>
      <c r="BW43" s="2016"/>
      <c r="BX43" s="601"/>
      <c r="BY43" s="602" t="s">
        <v>44</v>
      </c>
      <c r="BZ43" s="602" t="s">
        <v>45</v>
      </c>
      <c r="CA43" s="603" t="s">
        <v>46</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801">
        <f t="shared" si="53"/>
        <v>46015</v>
      </c>
      <c r="ER43" s="802">
        <f t="shared" si="10"/>
        <v>0</v>
      </c>
      <c r="ES43" s="803">
        <f t="shared" si="11"/>
        <v>0</v>
      </c>
      <c r="ET43" s="802">
        <f t="shared" si="12"/>
        <v>0</v>
      </c>
      <c r="EU43" s="803">
        <f t="shared" si="13"/>
        <v>0</v>
      </c>
      <c r="EV43" s="802" t="str">
        <f t="shared" si="14"/>
        <v/>
      </c>
      <c r="EW43" s="769">
        <f t="shared" si="28"/>
        <v>46015</v>
      </c>
      <c r="EX43" s="777" t="str">
        <f>IFERROR(IF(AND(AZ43="",AR43&lt;&gt;S.CAL!$BJ$3,AR43&lt;&gt;S.CAL!$BJ$4),FS43-BC43,IF(AZ43&lt;&gt;0,AZ43,IF(OR(AR43=S.CAL!$BJ$3,AR43=S.CAL!$BJ$4),AR43,0))),"")</f>
        <v/>
      </c>
      <c r="EY43" s="771">
        <f t="shared" si="54"/>
        <v>0</v>
      </c>
      <c r="EZ43" s="754">
        <f t="shared" si="55"/>
        <v>0</v>
      </c>
      <c r="FA43" s="777" t="str">
        <f t="shared" si="31"/>
        <v/>
      </c>
      <c r="FB43" s="772" t="str">
        <f t="shared" si="15"/>
        <v/>
      </c>
      <c r="FC43" s="333" t="str">
        <f t="shared" si="56"/>
        <v>non</v>
      </c>
      <c r="FD43" s="778">
        <f t="shared" si="16"/>
        <v>0</v>
      </c>
      <c r="FG43" s="333" t="str">
        <f t="shared" si="57"/>
        <v/>
      </c>
      <c r="FJ43" s="333">
        <f t="shared" si="58"/>
        <v>1</v>
      </c>
      <c r="FK43" s="129">
        <f t="shared" si="17"/>
        <v>10</v>
      </c>
      <c r="FL43" s="129">
        <f t="shared" si="35"/>
        <v>1</v>
      </c>
      <c r="FN43" s="129">
        <f>+IF(AND($DP$8&lt;&gt;52,AR43=S.CAL!$BJ$4),10,1)</f>
        <v>1</v>
      </c>
      <c r="FP43" s="129">
        <f t="shared" si="18"/>
        <v>0</v>
      </c>
      <c r="FS43" s="225" t="str">
        <f t="shared" si="61"/>
        <v/>
      </c>
      <c r="FZ43" s="129">
        <f t="shared" si="37"/>
        <v>52</v>
      </c>
      <c r="GA43" s="129">
        <f t="shared" si="38"/>
        <v>2025</v>
      </c>
      <c r="GB43" s="129" t="str">
        <f t="shared" si="39"/>
        <v>522025</v>
      </c>
      <c r="GC43" s="225">
        <f t="shared" si="40"/>
        <v>0</v>
      </c>
      <c r="GF43" s="225" t="str">
        <f t="shared" si="41"/>
        <v/>
      </c>
      <c r="GG43" s="1469" t="str">
        <f>+'Retenue Déc'!D41</f>
        <v/>
      </c>
      <c r="GH43" s="1469">
        <f>+'Retenue Déc'!BF41</f>
        <v>0</v>
      </c>
      <c r="GJ43" s="1530" t="str">
        <f t="shared" si="42"/>
        <v/>
      </c>
      <c r="GK43" s="225" t="str">
        <f t="shared" si="43"/>
        <v/>
      </c>
      <c r="GL43" s="225" t="str">
        <f t="shared" si="44"/>
        <v/>
      </c>
      <c r="GM43" s="1529">
        <f t="shared" si="45"/>
        <v>0</v>
      </c>
      <c r="GO43" s="129">
        <f t="shared" si="19"/>
        <v>0</v>
      </c>
      <c r="GP43" s="129" t="str">
        <f t="shared" si="46"/>
        <v/>
      </c>
      <c r="GQ43" s="1469" t="str">
        <f t="shared" si="47"/>
        <v/>
      </c>
    </row>
    <row r="44" spans="1:199" x14ac:dyDescent="0.2">
      <c r="A44" s="1796" t="str">
        <f>Taux_cotisations!A13</f>
        <v>Accident du travail :</v>
      </c>
      <c r="B44" s="1797"/>
      <c r="C44" s="1797"/>
      <c r="D44" s="1797"/>
      <c r="E44" s="1797"/>
      <c r="F44" s="1797"/>
      <c r="G44" s="1798"/>
      <c r="H44" s="1793"/>
      <c r="I44" s="1794"/>
      <c r="J44" s="1795"/>
      <c r="K44" s="1802"/>
      <c r="L44" s="1803"/>
      <c r="M44" s="1803"/>
      <c r="N44" s="1780"/>
      <c r="O44" s="1780"/>
      <c r="P44" s="1780"/>
      <c r="R44" s="1906">
        <f>+T35*INDEX(table_base_coef_patronale,MATCH(A44,Taux_cotisations!$A$110:$A$136,0),MATCH($X$3,Taux_cotisations!$A$110:$M$110,0))</f>
        <v>0</v>
      </c>
      <c r="S44" s="1906"/>
      <c r="T44" s="1906"/>
      <c r="U44" s="1907">
        <f>INDEX(table_taux_patronales,MATCH(A44,Taux_cotisations!$A$39:$A$65,0),MATCH($X$3,Taux_cotisations!$A$39:$M$39,0))</f>
        <v>7.9000000000000008E-3</v>
      </c>
      <c r="V44" s="1907"/>
      <c r="W44" s="1907"/>
      <c r="X44" s="1900">
        <f>ROUND(U44*R44,2)</f>
        <v>0</v>
      </c>
      <c r="Y44" s="1900"/>
      <c r="Z44" s="1900"/>
      <c r="AA44" s="903" t="str">
        <f>IF(AND(BE44="OUI",$AR$13=S.CAL!$CU$2),"►",IF(AND(EV44="OUI",$AR$13=S.CAL!$CU$3),"►",""))</f>
        <v/>
      </c>
      <c r="AB44" s="1877">
        <f>+$X$3+24</f>
        <v>46016</v>
      </c>
      <c r="AC44" s="1878">
        <f>+$D$6+24</f>
        <v>24</v>
      </c>
      <c r="AD44" s="1875" t="str">
        <f>+IF(AND($AR$13=S.CAL!$CU$2,EX44&lt;&gt;0),EX44,IF(AND($AR$13=S.CAL!$CU$3,ER44&lt;&gt;0),ER44,0))</f>
        <v/>
      </c>
      <c r="AE44" s="1875"/>
      <c r="AF44" s="1875"/>
      <c r="AG44" s="1875" t="str">
        <f>+IF(AND($AR$13=S.CAL!$CU$2,EY44&lt;&gt;0),EY44,IF(AND($AR$13=S.CAL!$CU$3,ES44&lt;&gt;0),ES44,""))</f>
        <v/>
      </c>
      <c r="AH44" s="1875"/>
      <c r="AI44" s="1875"/>
      <c r="AJ44" s="1875" t="str">
        <f>+IF(AND($AR$13=S.CAL!$CU$2,EZ44&lt;&gt;0),EZ44,IF(AND($AR$13=S.CAL!$CU$3,ET44&lt;&gt;0),ET44,""))</f>
        <v/>
      </c>
      <c r="AK44" s="1875"/>
      <c r="AL44" s="1875"/>
      <c r="AM44" s="1875" t="str">
        <f>+IF(AND($AR$13=S.CAL!$CU$2,FA44&lt;&gt;0),FA44,IF(AND($AR$13=S.CAL!$CU$3,EU44&lt;&gt;0),EU44,""))</f>
        <v/>
      </c>
      <c r="AN44" s="1875"/>
      <c r="AO44" s="1876"/>
      <c r="AP44" s="217" t="str">
        <f t="shared" si="48"/>
        <v/>
      </c>
      <c r="AQ44" s="340"/>
      <c r="AR44" s="1126"/>
      <c r="AS44" s="332">
        <f t="shared" si="3"/>
        <v>0</v>
      </c>
      <c r="AT44" s="1147"/>
      <c r="AU44" s="1147"/>
      <c r="AV44" s="332"/>
      <c r="AW44" s="2017">
        <f t="shared" si="21"/>
        <v>46016</v>
      </c>
      <c r="AX44" s="1878"/>
      <c r="AY44" s="332"/>
      <c r="AZ44" s="1126"/>
      <c r="BA44" s="993"/>
      <c r="BB44" s="561"/>
      <c r="BC44" s="566">
        <f t="shared" si="22"/>
        <v>0</v>
      </c>
      <c r="BD44" s="1126"/>
      <c r="BE44" s="825">
        <f t="shared" si="23"/>
        <v>0</v>
      </c>
      <c r="BF44" s="1150"/>
      <c r="BG44" s="224"/>
      <c r="BH44" s="566" t="str">
        <f t="shared" si="24"/>
        <v/>
      </c>
      <c r="BI44" s="1150"/>
      <c r="BJ44" s="129" t="str">
        <f t="shared" si="25"/>
        <v>Fiche infoA4</v>
      </c>
      <c r="BK44" s="129">
        <f t="shared" si="49"/>
        <v>52</v>
      </c>
      <c r="BL44" s="129" t="str">
        <f t="shared" si="4"/>
        <v>A</v>
      </c>
      <c r="BM44" s="129">
        <f t="shared" si="50"/>
        <v>4</v>
      </c>
      <c r="BN44" s="225" t="str">
        <f t="shared" si="60"/>
        <v>Fiche info</v>
      </c>
      <c r="BO44" s="332" t="str">
        <f t="shared" si="51"/>
        <v/>
      </c>
      <c r="BP44" s="198" t="str">
        <f t="shared" si="52"/>
        <v/>
      </c>
      <c r="BQ44" s="604" t="s">
        <v>56</v>
      </c>
      <c r="BR44" s="605"/>
      <c r="BS44" s="605"/>
      <c r="BT44" s="605"/>
      <c r="BU44" s="605"/>
      <c r="BV44" s="605"/>
      <c r="BW44" s="605"/>
      <c r="BX44" s="606"/>
      <c r="BY44" s="2028">
        <f>+IF(DW51&gt;=1,DW51,DU51)</f>
        <v>0</v>
      </c>
      <c r="BZ44" s="2031">
        <f>IF(CC44=S.CAL!$BC$3,CE47,IF(CC44=S.CAL!$BC$4,CE53,IF(CC44=S.CAL!$BC$5,CE47,0)))</f>
        <v>2.65</v>
      </c>
      <c r="CA44" s="2022">
        <f>BY44*BZ44</f>
        <v>0</v>
      </c>
      <c r="CB44" s="622"/>
      <c r="CC44" s="2313" t="str">
        <f>+IF(CC45="",Novembre!CC44,CC45)</f>
        <v>Indemnité mini. obligatoire</v>
      </c>
      <c r="CD44" s="231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801">
        <f t="shared" si="53"/>
        <v>46016</v>
      </c>
      <c r="ER44" s="802">
        <f t="shared" si="10"/>
        <v>0</v>
      </c>
      <c r="ES44" s="803">
        <f t="shared" si="11"/>
        <v>0</v>
      </c>
      <c r="ET44" s="802">
        <f t="shared" si="12"/>
        <v>0</v>
      </c>
      <c r="EU44" s="803">
        <f t="shared" si="13"/>
        <v>0</v>
      </c>
      <c r="EV44" s="802" t="str">
        <f t="shared" si="14"/>
        <v/>
      </c>
      <c r="EW44" s="769">
        <f t="shared" si="28"/>
        <v>46016</v>
      </c>
      <c r="EX44" s="777" t="str">
        <f>IFERROR(IF(AND(AZ44="",AR44&lt;&gt;S.CAL!$BJ$3,AR44&lt;&gt;S.CAL!$BJ$4),FS44-BC44,IF(AZ44&lt;&gt;0,AZ44,IF(OR(AR44=S.CAL!$BJ$3,AR44=S.CAL!$BJ$4),AR44,0))),"")</f>
        <v/>
      </c>
      <c r="EY44" s="771">
        <f t="shared" si="54"/>
        <v>0</v>
      </c>
      <c r="EZ44" s="754">
        <f t="shared" si="55"/>
        <v>0</v>
      </c>
      <c r="FA44" s="777" t="str">
        <f t="shared" si="31"/>
        <v/>
      </c>
      <c r="FB44" s="772" t="str">
        <f t="shared" si="15"/>
        <v/>
      </c>
      <c r="FC44" s="333" t="str">
        <f t="shared" si="56"/>
        <v>non</v>
      </c>
      <c r="FD44" s="778">
        <f t="shared" si="16"/>
        <v>0</v>
      </c>
      <c r="FG44" s="333" t="str">
        <f t="shared" si="57"/>
        <v/>
      </c>
      <c r="FJ44" s="333">
        <f t="shared" si="58"/>
        <v>1</v>
      </c>
      <c r="FK44" s="129">
        <f t="shared" si="17"/>
        <v>10</v>
      </c>
      <c r="FL44" s="129">
        <f t="shared" si="35"/>
        <v>1</v>
      </c>
      <c r="FN44" s="129">
        <f>+IF(AND($DP$8&lt;&gt;52,AR44=S.CAL!$BJ$4),10,1)</f>
        <v>1</v>
      </c>
      <c r="FP44" s="129">
        <f t="shared" si="18"/>
        <v>0</v>
      </c>
      <c r="FS44" s="225" t="str">
        <f t="shared" si="61"/>
        <v/>
      </c>
      <c r="FZ44" s="129">
        <f t="shared" si="37"/>
        <v>52</v>
      </c>
      <c r="GA44" s="129">
        <f t="shared" si="38"/>
        <v>2025</v>
      </c>
      <c r="GB44" s="129" t="str">
        <f t="shared" si="39"/>
        <v>522025</v>
      </c>
      <c r="GC44" s="225">
        <f t="shared" si="40"/>
        <v>0</v>
      </c>
      <c r="GF44" s="225" t="str">
        <f t="shared" si="41"/>
        <v/>
      </c>
      <c r="GG44" s="1469" t="str">
        <f>+'Retenue Déc'!D42</f>
        <v/>
      </c>
      <c r="GH44" s="1469">
        <f>+'Retenue Déc'!BF42</f>
        <v>0</v>
      </c>
      <c r="GJ44" s="1530" t="str">
        <f t="shared" si="42"/>
        <v/>
      </c>
      <c r="GK44" s="225" t="str">
        <f t="shared" si="43"/>
        <v/>
      </c>
      <c r="GL44" s="225" t="str">
        <f t="shared" si="44"/>
        <v/>
      </c>
      <c r="GM44" s="1529">
        <f t="shared" si="45"/>
        <v>0</v>
      </c>
      <c r="GO44" s="129">
        <f t="shared" si="19"/>
        <v>0</v>
      </c>
      <c r="GP44" s="129" t="str">
        <f t="shared" si="46"/>
        <v/>
      </c>
      <c r="GQ44" s="1469" t="str">
        <f t="shared" si="47"/>
        <v/>
      </c>
    </row>
    <row r="45" spans="1:199" x14ac:dyDescent="0.2">
      <c r="A45" s="1796" t="str">
        <f>Taux_cotisations!A14</f>
        <v>Retraite :</v>
      </c>
      <c r="B45" s="1797"/>
      <c r="C45" s="1797"/>
      <c r="D45" s="1797"/>
      <c r="E45" s="1797"/>
      <c r="F45" s="1797"/>
      <c r="G45" s="1798"/>
      <c r="H45" s="1793"/>
      <c r="I45" s="1794"/>
      <c r="J45" s="1795"/>
      <c r="K45" s="1802"/>
      <c r="L45" s="1803"/>
      <c r="M45" s="1803"/>
      <c r="N45" s="1780"/>
      <c r="O45" s="1780"/>
      <c r="P45" s="1780"/>
      <c r="Q45" s="223"/>
      <c r="R45" s="1906"/>
      <c r="S45" s="1906"/>
      <c r="T45" s="1906"/>
      <c r="U45" s="1907"/>
      <c r="V45" s="1907"/>
      <c r="W45" s="1907"/>
      <c r="X45" s="1900"/>
      <c r="Y45" s="1900"/>
      <c r="Z45" s="1900"/>
      <c r="AA45" s="903" t="str">
        <f>IF(AND(BE45="OUI",$AR$13=S.CAL!$CU$2),"►",IF(AND(EV45="OUI",$AR$13=S.CAL!$CU$3),"►",""))</f>
        <v/>
      </c>
      <c r="AB45" s="1877">
        <f>+$X$3+25</f>
        <v>46017</v>
      </c>
      <c r="AC45" s="1878">
        <f>+$D$6+25</f>
        <v>25</v>
      </c>
      <c r="AD45" s="1875" t="str">
        <f>+IF(AND($AR$13=S.CAL!$CU$2,EX45&lt;&gt;0),EX45,IF(AND($AR$13=S.CAL!$CU$3,ER45&lt;&gt;0),ER45,0))</f>
        <v/>
      </c>
      <c r="AE45" s="1875"/>
      <c r="AF45" s="1875"/>
      <c r="AG45" s="1875" t="str">
        <f>+IF(AND($AR$13=S.CAL!$CU$2,EY45&lt;&gt;0),EY45,IF(AND($AR$13=S.CAL!$CU$3,ES45&lt;&gt;0),ES45,""))</f>
        <v/>
      </c>
      <c r="AH45" s="1875"/>
      <c r="AI45" s="1875"/>
      <c r="AJ45" s="1875" t="str">
        <f>+IF(AND($AR$13=S.CAL!$CU$2,EZ45&lt;&gt;0),EZ45,IF(AND($AR$13=S.CAL!$CU$3,ET45&lt;&gt;0),ET45,""))</f>
        <v/>
      </c>
      <c r="AK45" s="1875"/>
      <c r="AL45" s="1875"/>
      <c r="AM45" s="1875" t="str">
        <f>+IF(AND($AR$13=S.CAL!$CU$2,FA45&lt;&gt;0),FA45,IF(AND($AR$13=S.CAL!$CU$3,EU45&lt;&gt;0),EU45,""))</f>
        <v/>
      </c>
      <c r="AN45" s="1875"/>
      <c r="AO45" s="1876"/>
      <c r="AP45" s="217" t="str">
        <f t="shared" si="48"/>
        <v/>
      </c>
      <c r="AQ45" s="340"/>
      <c r="AR45" s="1126"/>
      <c r="AS45" s="332">
        <f t="shared" si="3"/>
        <v>0</v>
      </c>
      <c r="AT45" s="1147"/>
      <c r="AU45" s="1147"/>
      <c r="AV45" s="332"/>
      <c r="AW45" s="2017">
        <f t="shared" si="21"/>
        <v>46017</v>
      </c>
      <c r="AX45" s="1878"/>
      <c r="AY45" s="332"/>
      <c r="AZ45" s="1126"/>
      <c r="BA45" s="993"/>
      <c r="BB45" s="561"/>
      <c r="BC45" s="566">
        <f t="shared" si="22"/>
        <v>0</v>
      </c>
      <c r="BD45" s="1126"/>
      <c r="BE45" s="825">
        <f t="shared" si="23"/>
        <v>0</v>
      </c>
      <c r="BF45" s="1150"/>
      <c r="BG45" s="224"/>
      <c r="BH45" s="566" t="str">
        <f t="shared" si="24"/>
        <v/>
      </c>
      <c r="BI45" s="1150"/>
      <c r="BJ45" s="129" t="str">
        <f t="shared" si="25"/>
        <v>Fiche infoA5</v>
      </c>
      <c r="BK45" s="129">
        <f t="shared" si="49"/>
        <v>52</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029"/>
      <c r="BZ45" s="2035"/>
      <c r="CA45" s="2030"/>
      <c r="CB45" s="623" t="s">
        <v>503</v>
      </c>
      <c r="CC45" s="1882"/>
      <c r="CD45" s="1883"/>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801">
        <f t="shared" si="53"/>
        <v>46017</v>
      </c>
      <c r="ER45" s="802">
        <f t="shared" si="10"/>
        <v>0</v>
      </c>
      <c r="ES45" s="803">
        <f t="shared" si="11"/>
        <v>0</v>
      </c>
      <c r="ET45" s="802">
        <f t="shared" si="12"/>
        <v>0</v>
      </c>
      <c r="EU45" s="803">
        <f t="shared" si="13"/>
        <v>0</v>
      </c>
      <c r="EV45" s="802" t="str">
        <f t="shared" si="14"/>
        <v/>
      </c>
      <c r="EW45" s="769">
        <f t="shared" si="28"/>
        <v>46017</v>
      </c>
      <c r="EX45" s="777" t="str">
        <f>IFERROR(IF(AND(AZ45="",AR45&lt;&gt;S.CAL!$BJ$3,AR45&lt;&gt;S.CAL!$BJ$4),FS45-BC45,IF(AZ45&lt;&gt;0,AZ45,IF(OR(AR45=S.CAL!$BJ$3,AR45=S.CAL!$BJ$4),AR45,0))),"")</f>
        <v/>
      </c>
      <c r="EY45" s="771">
        <f t="shared" si="54"/>
        <v>0</v>
      </c>
      <c r="EZ45" s="754">
        <f t="shared" si="55"/>
        <v>0</v>
      </c>
      <c r="FA45" s="777" t="str">
        <f t="shared" si="31"/>
        <v/>
      </c>
      <c r="FB45" s="772" t="str">
        <f t="shared" si="15"/>
        <v/>
      </c>
      <c r="FC45" s="333" t="str">
        <f t="shared" si="56"/>
        <v>non</v>
      </c>
      <c r="FD45" s="778">
        <f t="shared" si="16"/>
        <v>0</v>
      </c>
      <c r="FG45" s="333" t="str">
        <f t="shared" si="57"/>
        <v/>
      </c>
      <c r="FJ45" s="333">
        <f t="shared" si="58"/>
        <v>1</v>
      </c>
      <c r="FK45" s="129">
        <f t="shared" si="17"/>
        <v>10</v>
      </c>
      <c r="FL45" s="129">
        <f t="shared" si="35"/>
        <v>1</v>
      </c>
      <c r="FN45" s="129">
        <f>+IF(AND($DP$8&lt;&gt;52,AR45=S.CAL!$BJ$4),10,1)</f>
        <v>1</v>
      </c>
      <c r="FP45" s="129">
        <f t="shared" si="18"/>
        <v>0</v>
      </c>
      <c r="FS45" s="225" t="str">
        <f t="shared" si="61"/>
        <v/>
      </c>
      <c r="FZ45" s="129">
        <f t="shared" si="37"/>
        <v>52</v>
      </c>
      <c r="GA45" s="129">
        <f t="shared" si="38"/>
        <v>2025</v>
      </c>
      <c r="GB45" s="129" t="str">
        <f t="shared" si="39"/>
        <v>522025</v>
      </c>
      <c r="GC45" s="225">
        <f t="shared" si="40"/>
        <v>0</v>
      </c>
      <c r="GF45" s="225" t="str">
        <f t="shared" si="41"/>
        <v/>
      </c>
      <c r="GG45" s="1469" t="str">
        <f>+'Retenue Déc'!D43</f>
        <v/>
      </c>
      <c r="GH45" s="1469">
        <f>+'Retenue Déc'!BF43</f>
        <v>0</v>
      </c>
      <c r="GJ45" s="1530" t="str">
        <f t="shared" si="42"/>
        <v/>
      </c>
      <c r="GK45" s="225" t="str">
        <f t="shared" si="43"/>
        <v/>
      </c>
      <c r="GL45" s="225" t="str">
        <f t="shared" si="44"/>
        <v/>
      </c>
      <c r="GM45" s="1529">
        <f t="shared" si="45"/>
        <v>0</v>
      </c>
      <c r="GO45" s="129">
        <f t="shared" si="19"/>
        <v>0</v>
      </c>
      <c r="GP45" s="129" t="str">
        <f t="shared" si="46"/>
        <v/>
      </c>
      <c r="GQ45" s="1469" t="str">
        <f t="shared" si="47"/>
        <v/>
      </c>
    </row>
    <row r="46" spans="1:199" x14ac:dyDescent="0.2">
      <c r="A46" s="1799" t="str">
        <f>Taux_cotisations!A15</f>
        <v>Retraite SS T1</v>
      </c>
      <c r="B46" s="1800"/>
      <c r="C46" s="1800"/>
      <c r="D46" s="1800"/>
      <c r="E46" s="1800"/>
      <c r="F46" s="1800"/>
      <c r="G46" s="1801"/>
      <c r="H46" s="1793">
        <f>IF(AND(T35&gt;=EG6,T35&gt;0),EG6*INDEX(table_base_coef_salariale,MATCH(A46,Taux_cotisations!$A$75:$A$101,0),MATCH($X$3,Taux_cotisations!$A$75:$M$75,0)),+T35*INDEX(table_base_coef_salariale,MATCH(A46,Taux_cotisations!$A$75:$A$101,0),MATCH($X$3,Taux_cotisations!$A$75:$M$75,0)))</f>
        <v>0</v>
      </c>
      <c r="I46" s="1794"/>
      <c r="J46" s="1795"/>
      <c r="K46" s="1802">
        <f>INDEX(table_taux_salariales,MATCH(A46,Taux_cotisations!$A$6:$A$32,0),MATCH($X$3,Taux_cotisations!$A$6:$M$6,0))</f>
        <v>6.9000000000000006E-2</v>
      </c>
      <c r="L46" s="1803"/>
      <c r="M46" s="1803"/>
      <c r="N46" s="1780">
        <f>ROUND(K46*H46,4)</f>
        <v>0</v>
      </c>
      <c r="O46" s="1780"/>
      <c r="P46" s="1780"/>
      <c r="Q46" s="223"/>
      <c r="R46" s="1906">
        <f>IF(AND(T35&gt;=EG6,T35&gt;0),EG6*INDEX(table_base_coef_patronale,MATCH(A46,Taux_cotisations!$A$110:$A$136,0),MATCH($X$3,Taux_cotisations!$A$110:$M$110,0)),+T35*INDEX(table_base_coef_patronale,MATCH(A46,Taux_cotisations!$A$110:$A$136,0),MATCH($X$3,Taux_cotisations!$A$110:$M$110,0)))</f>
        <v>0</v>
      </c>
      <c r="S46" s="1906"/>
      <c r="T46" s="1906"/>
      <c r="U46" s="1907">
        <f>INDEX(table_taux_patronales,MATCH(A46,Taux_cotisations!$A$39:$A$65,0),MATCH($X$3,Taux_cotisations!$A$39:$M$39,0))</f>
        <v>8.5500000000000007E-2</v>
      </c>
      <c r="V46" s="1907"/>
      <c r="W46" s="1907"/>
      <c r="X46" s="1900">
        <f>ROUND(U46*R46,2)</f>
        <v>0</v>
      </c>
      <c r="Y46" s="1900"/>
      <c r="Z46" s="1900"/>
      <c r="AA46" s="903" t="str">
        <f>IF(AND(BE46="OUI",$AR$13=S.CAL!$CU$2),"►",IF(AND(EV46="OUI",$AR$13=S.CAL!$CU$3),"►",""))</f>
        <v/>
      </c>
      <c r="AB46" s="1877">
        <f>+$X$3+26</f>
        <v>46018</v>
      </c>
      <c r="AC46" s="1878">
        <f>+$D$6+26</f>
        <v>26</v>
      </c>
      <c r="AD46" s="1875" t="str">
        <f>+IF(AND($AR$13=S.CAL!$CU$2,EX46&lt;&gt;0),EX46,IF(AND($AR$13=S.CAL!$CU$3,ER46&lt;&gt;0),ER46,0))</f>
        <v/>
      </c>
      <c r="AE46" s="1875"/>
      <c r="AF46" s="1875"/>
      <c r="AG46" s="1875" t="str">
        <f>+IF(AND($AR$13=S.CAL!$CU$2,EY46&lt;&gt;0),EY46,IF(AND($AR$13=S.CAL!$CU$3,ES46&lt;&gt;0),ES46,""))</f>
        <v/>
      </c>
      <c r="AH46" s="1875"/>
      <c r="AI46" s="1875"/>
      <c r="AJ46" s="1875" t="str">
        <f>+IF(AND($AR$13=S.CAL!$CU$2,EZ46&lt;&gt;0),EZ46,IF(AND($AR$13=S.CAL!$CU$3,ET46&lt;&gt;0),ET46,""))</f>
        <v/>
      </c>
      <c r="AK46" s="1875"/>
      <c r="AL46" s="1875"/>
      <c r="AM46" s="1875" t="str">
        <f>+IF(AND($AR$13=S.CAL!$CU$2,FA46&lt;&gt;0),FA46,IF(AND($AR$13=S.CAL!$CU$3,EU46&lt;&gt;0),EU46,""))</f>
        <v/>
      </c>
      <c r="AN46" s="1875"/>
      <c r="AO46" s="1876"/>
      <c r="AP46" s="217" t="str">
        <f t="shared" si="48"/>
        <v/>
      </c>
      <c r="AQ46" s="340"/>
      <c r="AR46" s="1126"/>
      <c r="AS46" s="332">
        <f t="shared" si="3"/>
        <v>0</v>
      </c>
      <c r="AT46" s="1147"/>
      <c r="AU46" s="1147"/>
      <c r="AV46" s="332"/>
      <c r="AW46" s="2017">
        <f t="shared" si="21"/>
        <v>46018</v>
      </c>
      <c r="AX46" s="1878"/>
      <c r="AY46" s="332"/>
      <c r="AZ46" s="1126"/>
      <c r="BA46" s="993"/>
      <c r="BB46" s="561"/>
      <c r="BC46" s="566">
        <f t="shared" si="22"/>
        <v>0</v>
      </c>
      <c r="BD46" s="1126"/>
      <c r="BE46" s="825">
        <f t="shared" si="23"/>
        <v>0</v>
      </c>
      <c r="BF46" s="1150"/>
      <c r="BG46" s="224"/>
      <c r="BH46" s="566" t="str">
        <f t="shared" si="24"/>
        <v/>
      </c>
      <c r="BI46" s="1150"/>
      <c r="BJ46" s="129" t="str">
        <f t="shared" si="25"/>
        <v>Fiche infoA6</v>
      </c>
      <c r="BK46" s="129">
        <f t="shared" si="49"/>
        <v>52</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503</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801">
        <f t="shared" si="53"/>
        <v>46018</v>
      </c>
      <c r="ER46" s="802">
        <f t="shared" si="10"/>
        <v>0</v>
      </c>
      <c r="ES46" s="803">
        <f t="shared" si="11"/>
        <v>0</v>
      </c>
      <c r="ET46" s="802">
        <f t="shared" si="12"/>
        <v>0</v>
      </c>
      <c r="EU46" s="803">
        <f t="shared" si="13"/>
        <v>0</v>
      </c>
      <c r="EV46" s="802" t="str">
        <f t="shared" si="14"/>
        <v/>
      </c>
      <c r="EW46" s="769">
        <f t="shared" si="28"/>
        <v>46018</v>
      </c>
      <c r="EX46" s="777" t="str">
        <f>IFERROR(IF(AND(AZ46="",AR46&lt;&gt;S.CAL!$BJ$3,AR46&lt;&gt;S.CAL!$BJ$4),FS46-BC46,IF(AZ46&lt;&gt;0,AZ46,IF(OR(AR46=S.CAL!$BJ$3,AR46=S.CAL!$BJ$4),AR46,0))),"")</f>
        <v/>
      </c>
      <c r="EY46" s="771">
        <f t="shared" si="54"/>
        <v>0</v>
      </c>
      <c r="EZ46" s="754">
        <f t="shared" si="55"/>
        <v>0</v>
      </c>
      <c r="FA46" s="777" t="str">
        <f t="shared" si="31"/>
        <v/>
      </c>
      <c r="FB46" s="772" t="str">
        <f t="shared" si="15"/>
        <v/>
      </c>
      <c r="FC46" s="333" t="str">
        <f t="shared" si="56"/>
        <v>non</v>
      </c>
      <c r="FD46" s="778">
        <f t="shared" si="16"/>
        <v>0</v>
      </c>
      <c r="FG46" s="333" t="str">
        <f t="shared" si="57"/>
        <v/>
      </c>
      <c r="FJ46" s="333">
        <f t="shared" si="58"/>
        <v>1</v>
      </c>
      <c r="FK46" s="129">
        <f t="shared" si="17"/>
        <v>10</v>
      </c>
      <c r="FL46" s="129">
        <f t="shared" si="35"/>
        <v>1</v>
      </c>
      <c r="FN46" s="129">
        <f>+IF(AND($DP$8&lt;&gt;52,AR46=S.CAL!$BJ$4),10,1)</f>
        <v>1</v>
      </c>
      <c r="FP46" s="129">
        <f t="shared" si="18"/>
        <v>0</v>
      </c>
      <c r="FS46" s="225" t="str">
        <f t="shared" si="61"/>
        <v/>
      </c>
      <c r="FZ46" s="129">
        <f t="shared" si="37"/>
        <v>52</v>
      </c>
      <c r="GA46" s="129">
        <f t="shared" si="38"/>
        <v>2025</v>
      </c>
      <c r="GB46" s="129" t="str">
        <f t="shared" si="39"/>
        <v>522025</v>
      </c>
      <c r="GC46" s="225">
        <f t="shared" si="40"/>
        <v>0</v>
      </c>
      <c r="GF46" s="225" t="str">
        <f t="shared" si="41"/>
        <v/>
      </c>
      <c r="GG46" s="1469" t="str">
        <f>+'Retenue Déc'!D44</f>
        <v/>
      </c>
      <c r="GH46" s="1469">
        <f>+'Retenue Déc'!BF44</f>
        <v>0</v>
      </c>
      <c r="GJ46" s="1530" t="str">
        <f t="shared" si="42"/>
        <v/>
      </c>
      <c r="GK46" s="225" t="str">
        <f t="shared" si="43"/>
        <v/>
      </c>
      <c r="GL46" s="225" t="str">
        <f t="shared" si="44"/>
        <v/>
      </c>
      <c r="GM46" s="1529">
        <f t="shared" si="45"/>
        <v>0</v>
      </c>
      <c r="GO46" s="129">
        <f t="shared" si="19"/>
        <v>0</v>
      </c>
      <c r="GP46" s="129" t="str">
        <f t="shared" si="46"/>
        <v/>
      </c>
      <c r="GQ46" s="1469" t="str">
        <f t="shared" si="47"/>
        <v/>
      </c>
    </row>
    <row r="47" spans="1:199" x14ac:dyDescent="0.2">
      <c r="A47" s="1799" t="str">
        <f>Taux_cotisations!A16</f>
        <v>Retraite SS Totalité</v>
      </c>
      <c r="B47" s="1800"/>
      <c r="C47" s="1800"/>
      <c r="D47" s="1800"/>
      <c r="E47" s="1800"/>
      <c r="F47" s="1800"/>
      <c r="G47" s="1801"/>
      <c r="H47" s="1793">
        <f>+T35*INDEX(table_base_coef_salariale,MATCH(A47,Taux_cotisations!$A$75:$A$101,0),MATCH($X$3,Taux_cotisations!$A$75:$M$75,0))</f>
        <v>0</v>
      </c>
      <c r="I47" s="1794"/>
      <c r="J47" s="1795"/>
      <c r="K47" s="1802">
        <f>INDEX(table_taux_salariales,MATCH(A47,Taux_cotisations!$A$6:$A$32,0),MATCH($X$3,Taux_cotisations!$A$6:$M$6,0))</f>
        <v>4.0000000000000001E-3</v>
      </c>
      <c r="L47" s="1803"/>
      <c r="M47" s="1803"/>
      <c r="N47" s="1780">
        <f t="shared" ref="N47:N50" si="71">ROUND(K47*H47,4)</f>
        <v>0</v>
      </c>
      <c r="O47" s="1780"/>
      <c r="P47" s="1780"/>
      <c r="Q47" s="223"/>
      <c r="R47" s="1906">
        <f>+T35*INDEX(table_base_coef_patronale,MATCH(A47,Taux_cotisations!$A$110:$A$136,0),MATCH($X$3,Taux_cotisations!$A$110:$M$110,0))</f>
        <v>0</v>
      </c>
      <c r="S47" s="1906"/>
      <c r="T47" s="1906"/>
      <c r="U47" s="1907">
        <f>INDEX(table_taux_patronales,MATCH(A47,Taux_cotisations!$A$39:$A$65,0),MATCH($X$3,Taux_cotisations!$A$39:$M$39,0))</f>
        <v>2.0199999999999999E-2</v>
      </c>
      <c r="V47" s="1907"/>
      <c r="W47" s="1907"/>
      <c r="X47" s="1900">
        <f t="shared" ref="X47:X48" si="72">ROUND(U47*R47,2)</f>
        <v>0</v>
      </c>
      <c r="Y47" s="1900"/>
      <c r="Z47" s="1900"/>
      <c r="AA47" s="903" t="str">
        <f>IF(AND(BE47="OUI",$AR$13=S.CAL!$CU$2),"►",IF(AND(EV47="OUI",$AR$13=S.CAL!$CU$3),"►",""))</f>
        <v/>
      </c>
      <c r="AB47" s="1877">
        <f>+$X$3+27</f>
        <v>46019</v>
      </c>
      <c r="AC47" s="1878">
        <f>+$D$6+26</f>
        <v>26</v>
      </c>
      <c r="AD47" s="1875" t="str">
        <f>+IF(AND($AR$13=S.CAL!$CU$2,EX47&lt;&gt;0),EX47,IF(AND($AR$13=S.CAL!$CU$3,ER47&lt;&gt;0),ER47,0))</f>
        <v/>
      </c>
      <c r="AE47" s="1875"/>
      <c r="AF47" s="1875"/>
      <c r="AG47" s="1875" t="str">
        <f>+IF(AND($AR$13=S.CAL!$CU$2,EY47&lt;&gt;0),EY47,IF(AND($AR$13=S.CAL!$CU$3,ES47&lt;&gt;0),ES47,""))</f>
        <v/>
      </c>
      <c r="AH47" s="1875"/>
      <c r="AI47" s="1875"/>
      <c r="AJ47" s="1875" t="str">
        <f>+IF(AND($AR$13=S.CAL!$CU$2,EZ47&lt;&gt;0),EZ47,IF(AND($AR$13=S.CAL!$CU$3,ET47&lt;&gt;0),ET47,""))</f>
        <v/>
      </c>
      <c r="AK47" s="1875"/>
      <c r="AL47" s="1875"/>
      <c r="AM47" s="1875" t="str">
        <f>+IF(AND($AR$13=S.CAL!$CU$2,FA47&lt;&gt;0),FA47,IF(AND($AR$13=S.CAL!$CU$3,EU47&lt;&gt;0),EU47,""))</f>
        <v/>
      </c>
      <c r="AN47" s="1875"/>
      <c r="AO47" s="1876"/>
      <c r="AP47" s="217" t="str">
        <f t="shared" si="48"/>
        <v/>
      </c>
      <c r="AQ47" s="340"/>
      <c r="AR47" s="1126"/>
      <c r="AS47" s="332">
        <f t="shared" si="3"/>
        <v>0</v>
      </c>
      <c r="AT47" s="1147"/>
      <c r="AU47" s="1147"/>
      <c r="AV47" s="332"/>
      <c r="AW47" s="2017">
        <f t="shared" si="21"/>
        <v>46019</v>
      </c>
      <c r="AX47" s="1878"/>
      <c r="AY47" s="332"/>
      <c r="AZ47" s="1126"/>
      <c r="BA47" s="993"/>
      <c r="BB47" s="561"/>
      <c r="BC47" s="566">
        <f t="shared" si="22"/>
        <v>0</v>
      </c>
      <c r="BD47" s="1126"/>
      <c r="BE47" s="825">
        <f t="shared" si="23"/>
        <v>0</v>
      </c>
      <c r="BF47" s="1150"/>
      <c r="BG47" s="224"/>
      <c r="BH47" s="566" t="str">
        <f t="shared" si="24"/>
        <v/>
      </c>
      <c r="BI47" s="1150"/>
      <c r="BJ47" s="129" t="str">
        <f t="shared" si="25"/>
        <v>Fiche infoA7</v>
      </c>
      <c r="BK47" s="129">
        <f t="shared" si="49"/>
        <v>52</v>
      </c>
      <c r="BL47" s="129" t="str">
        <f t="shared" si="4"/>
        <v>A</v>
      </c>
      <c r="BM47" s="129">
        <f t="shared" si="50"/>
        <v>7</v>
      </c>
      <c r="BN47" s="225" t="str">
        <f t="shared" si="60"/>
        <v>Fiche info</v>
      </c>
      <c r="BO47" s="332" t="str">
        <f t="shared" si="51"/>
        <v/>
      </c>
      <c r="BP47" s="198" t="str">
        <f t="shared" si="52"/>
        <v/>
      </c>
      <c r="BQ47" s="612" t="s">
        <v>58</v>
      </c>
      <c r="BR47" s="613"/>
      <c r="BS47" s="613"/>
      <c r="BT47" s="613"/>
      <c r="BU47" s="613"/>
      <c r="BV47" s="613"/>
      <c r="BW47" s="613"/>
      <c r="BX47" s="614"/>
      <c r="BY47" s="2033">
        <f>DV51</f>
        <v>0</v>
      </c>
      <c r="BZ47" s="2031">
        <f>IF(CC44=S.CAL!$BC$3,CE47/DL3,IF(CC44=S.CAL!$BC$4,CE55,IF(CC44=S.CAL!$BC$5,CE59,0)))</f>
        <v>0.42222222222222222</v>
      </c>
      <c r="CA47" s="2022">
        <f>BZ47*BY47</f>
        <v>0</v>
      </c>
      <c r="CB47" s="622"/>
      <c r="CC47" s="622"/>
      <c r="CD47" s="1373" t="s">
        <v>462</v>
      </c>
      <c r="CE47" s="1063">
        <f>IF(CF47="",Novembre!CE47,CF47)</f>
        <v>2.65</v>
      </c>
      <c r="CF47" s="1139"/>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801">
        <f t="shared" si="53"/>
        <v>46019</v>
      </c>
      <c r="ER47" s="802">
        <f t="shared" si="10"/>
        <v>0</v>
      </c>
      <c r="ES47" s="803">
        <f t="shared" si="11"/>
        <v>0</v>
      </c>
      <c r="ET47" s="802">
        <f t="shared" si="12"/>
        <v>0</v>
      </c>
      <c r="EU47" s="803">
        <f t="shared" si="13"/>
        <v>0</v>
      </c>
      <c r="EV47" s="802" t="str">
        <f t="shared" si="14"/>
        <v/>
      </c>
      <c r="EW47" s="769">
        <f t="shared" si="28"/>
        <v>46019</v>
      </c>
      <c r="EX47" s="777" t="str">
        <f>IFERROR(IF(AND(AZ47="",AR47&lt;&gt;S.CAL!$BJ$3,AR47&lt;&gt;S.CAL!$BJ$4),FS47-BC47,IF(AZ47&lt;&gt;0,AZ47,IF(OR(AR47=S.CAL!$BJ$3,AR47=S.CAL!$BJ$4),AR47,0))),"")</f>
        <v/>
      </c>
      <c r="EY47" s="771">
        <f t="shared" si="54"/>
        <v>0</v>
      </c>
      <c r="EZ47" s="754">
        <f t="shared" si="55"/>
        <v>0</v>
      </c>
      <c r="FA47" s="777" t="str">
        <f t="shared" si="31"/>
        <v/>
      </c>
      <c r="FB47" s="772" t="str">
        <f t="shared" si="15"/>
        <v/>
      </c>
      <c r="FC47" s="333" t="str">
        <f t="shared" si="56"/>
        <v>non</v>
      </c>
      <c r="FD47" s="778">
        <f t="shared" si="16"/>
        <v>0</v>
      </c>
      <c r="FG47" s="333" t="str">
        <f t="shared" si="57"/>
        <v/>
      </c>
      <c r="FJ47" s="333">
        <f t="shared" si="58"/>
        <v>1</v>
      </c>
      <c r="FK47" s="129">
        <f t="shared" si="17"/>
        <v>10</v>
      </c>
      <c r="FL47" s="129">
        <f t="shared" si="35"/>
        <v>1</v>
      </c>
      <c r="FN47" s="129">
        <f>+IF(AND($DP$8&lt;&gt;52,AR47=S.CAL!$BJ$4),10,1)</f>
        <v>1</v>
      </c>
      <c r="FP47" s="129">
        <f t="shared" si="18"/>
        <v>0</v>
      </c>
      <c r="FS47" s="225" t="str">
        <f t="shared" si="61"/>
        <v/>
      </c>
      <c r="FZ47" s="129">
        <f t="shared" si="37"/>
        <v>52</v>
      </c>
      <c r="GA47" s="129">
        <f t="shared" si="38"/>
        <v>2025</v>
      </c>
      <c r="GB47" s="129" t="str">
        <f t="shared" si="39"/>
        <v>522025</v>
      </c>
      <c r="GC47" s="225">
        <f t="shared" si="40"/>
        <v>0</v>
      </c>
      <c r="GF47" s="225" t="str">
        <f t="shared" si="41"/>
        <v/>
      </c>
      <c r="GG47" s="1469" t="str">
        <f>+'Retenue Déc'!D45</f>
        <v/>
      </c>
      <c r="GH47" s="1469">
        <f>+'Retenue Déc'!BF45</f>
        <v>0</v>
      </c>
      <c r="GJ47" s="1530" t="str">
        <f t="shared" si="42"/>
        <v/>
      </c>
      <c r="GK47" s="225" t="str">
        <f t="shared" si="43"/>
        <v/>
      </c>
      <c r="GL47" s="225" t="str">
        <f t="shared" si="44"/>
        <v/>
      </c>
      <c r="GM47" s="1529">
        <f t="shared" si="45"/>
        <v>0</v>
      </c>
      <c r="GO47" s="129">
        <f t="shared" si="19"/>
        <v>0</v>
      </c>
      <c r="GP47" s="129" t="str">
        <f t="shared" si="46"/>
        <v/>
      </c>
      <c r="GQ47" s="1469" t="str">
        <f t="shared" si="47"/>
        <v/>
      </c>
    </row>
    <row r="48" spans="1:199" x14ac:dyDescent="0.2">
      <c r="A48" s="1799" t="str">
        <f>Taux_cotisations!A19</f>
        <v>Retraite IRCEM T1 - CEG T1</v>
      </c>
      <c r="B48" s="1800"/>
      <c r="C48" s="1800"/>
      <c r="D48" s="1800"/>
      <c r="E48" s="1800"/>
      <c r="F48" s="1800"/>
      <c r="G48" s="1801"/>
      <c r="H48" s="1793">
        <f>IF(AND(T35&gt;=EG6,T35&gt;0),EG6*INDEX(table_base_coef_salariale,MATCH(A48,Taux_cotisations!$A$75:$A$101,0),MATCH($X$3,Taux_cotisations!$A$75:$M$75,0)),+T35*INDEX(table_base_coef_salariale,MATCH(A48,Taux_cotisations!$A$75:$A$101,0),MATCH($X$3,Taux_cotisations!$A$75:$M$75,0)))</f>
        <v>0</v>
      </c>
      <c r="I48" s="1794"/>
      <c r="J48" s="1795"/>
      <c r="K48" s="1802">
        <f>INDEX(table_taux_salariales,MATCH(A48,Taux_cotisations!$A$6:$A$32,0),MATCH($X$3,Taux_cotisations!$A$6:$M$6,0))</f>
        <v>4.0099999999999997E-2</v>
      </c>
      <c r="L48" s="1803"/>
      <c r="M48" s="1803"/>
      <c r="N48" s="1780">
        <f t="shared" si="71"/>
        <v>0</v>
      </c>
      <c r="O48" s="1780"/>
      <c r="P48" s="1780"/>
      <c r="Q48" s="223"/>
      <c r="R48" s="1906">
        <f>IF(AND(T35&gt;=EG6,T35&gt;0),EG6*INDEX(table_base_coef_patronale,MATCH(A48,Taux_cotisations!$A$110:$A$136,0),MATCH($X$3,Taux_cotisations!$A$110:$M$110,0)),+T35*INDEX(table_base_coef_patronale,MATCH(A48,Taux_cotisations!$A$110:$A$136,0),MATCH($X$3,Taux_cotisations!$A$110:$M$110,0)))</f>
        <v>0</v>
      </c>
      <c r="S48" s="1906"/>
      <c r="T48" s="1906"/>
      <c r="U48" s="1907">
        <f>INDEX(table_taux_patronales,MATCH(A48,Taux_cotisations!$A$39:$A$65,0),MATCH($X$3,Taux_cotisations!$A$39:$M$39,0))</f>
        <v>6.0100000000000001E-2</v>
      </c>
      <c r="V48" s="1907"/>
      <c r="W48" s="1907"/>
      <c r="X48" s="1900">
        <f t="shared" si="72"/>
        <v>0</v>
      </c>
      <c r="Y48" s="1900"/>
      <c r="Z48" s="1900"/>
      <c r="AA48" s="903" t="str">
        <f>IF(AND(BE48="OUI",$AR$13=S.CAL!$CU$2),"►",IF(AND(EV48="OUI",$AR$13=S.CAL!$CU$3),"►",""))</f>
        <v/>
      </c>
      <c r="AB48" s="1877">
        <f>IF(AB20+28&lt;DATE(YEAR(AB20),MONTH(AB20)+1,DAY(AB20)),AB20+28,"")</f>
        <v>46020</v>
      </c>
      <c r="AC48" s="1878">
        <f>+$D$6+26</f>
        <v>26</v>
      </c>
      <c r="AD48" s="1875" t="str">
        <f>+IF(AND($AR$13=S.CAL!$CU$2,EX48&lt;&gt;0),EX48,IF(AND($AR$13=S.CAL!$CU$3,ER48&lt;&gt;0),ER48,0))</f>
        <v/>
      </c>
      <c r="AE48" s="1875"/>
      <c r="AF48" s="1875"/>
      <c r="AG48" s="1875" t="str">
        <f>+IF(AND($AR$13=S.CAL!$CU$2,EY48&lt;&gt;0),EY48,IF(AND($AR$13=S.CAL!$CU$3,ES48&lt;&gt;0),ES48,""))</f>
        <v/>
      </c>
      <c r="AH48" s="1875"/>
      <c r="AI48" s="1875"/>
      <c r="AJ48" s="1875" t="str">
        <f>+IF(AND($AR$13=S.CAL!$CU$2,EZ48&lt;&gt;0),EZ48,IF(AND($AR$13=S.CAL!$CU$3,ET48&lt;&gt;0),ET48,""))</f>
        <v/>
      </c>
      <c r="AK48" s="1875"/>
      <c r="AL48" s="1875"/>
      <c r="AM48" s="1875" t="str">
        <f>+IF(AND($AR$13=S.CAL!$CU$2,FA48&lt;&gt;0),FA48,IF(AND($AR$13=S.CAL!$CU$3,EU48&lt;&gt;0),EU48,""))</f>
        <v/>
      </c>
      <c r="AN48" s="1875"/>
      <c r="AO48" s="1876"/>
      <c r="AP48" s="217">
        <f t="shared" si="48"/>
        <v>1</v>
      </c>
      <c r="AQ48" s="340"/>
      <c r="AR48" s="1126"/>
      <c r="AS48" s="332">
        <f t="shared" si="3"/>
        <v>0</v>
      </c>
      <c r="AT48" s="1147"/>
      <c r="AU48" s="1147"/>
      <c r="AV48" s="332"/>
      <c r="AW48" s="2017">
        <f t="shared" si="21"/>
        <v>46020</v>
      </c>
      <c r="AX48" s="1878"/>
      <c r="AY48" s="332"/>
      <c r="AZ48" s="1126"/>
      <c r="BA48" s="993"/>
      <c r="BB48" s="561"/>
      <c r="BC48" s="566">
        <f t="shared" si="22"/>
        <v>0</v>
      </c>
      <c r="BD48" s="1126"/>
      <c r="BE48" s="825">
        <f t="shared" si="23"/>
        <v>0</v>
      </c>
      <c r="BF48" s="1150"/>
      <c r="BG48" s="224"/>
      <c r="BH48" s="566" t="str">
        <f t="shared" si="24"/>
        <v/>
      </c>
      <c r="BI48" s="1150"/>
      <c r="BJ48" s="129" t="str">
        <f>IFERROR(+BN48&amp;BL48&amp;BM48,0)</f>
        <v>Fiche infoA1</v>
      </c>
      <c r="BK48" s="129">
        <f t="shared" si="49"/>
        <v>1</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034"/>
      <c r="BZ48" s="2032"/>
      <c r="CA48" s="2030"/>
      <c r="CB48" s="622"/>
      <c r="CC48" s="624"/>
      <c r="CD48" s="1374"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801">
        <f t="shared" si="53"/>
        <v>46020</v>
      </c>
      <c r="ER48" s="802">
        <f t="shared" si="10"/>
        <v>0</v>
      </c>
      <c r="ES48" s="803">
        <f t="shared" si="11"/>
        <v>0</v>
      </c>
      <c r="ET48" s="802">
        <f t="shared" si="12"/>
        <v>0</v>
      </c>
      <c r="EU48" s="803">
        <f t="shared" si="13"/>
        <v>0</v>
      </c>
      <c r="EV48" s="802" t="str">
        <f t="shared" si="14"/>
        <v/>
      </c>
      <c r="EW48" s="769">
        <f t="shared" si="28"/>
        <v>46020</v>
      </c>
      <c r="EX48" s="777" t="str">
        <f>IFERROR(IF(AND(AZ48="",AR48&lt;&gt;S.CAL!$BJ$3,AR48&lt;&gt;S.CAL!$BJ$4),FS48-BC48,IF(AZ48&lt;&gt;0,AZ48,IF(OR(AR48=S.CAL!$BJ$3,AR48=S.CAL!$BJ$4),AR48,0))),"")</f>
        <v/>
      </c>
      <c r="EY48" s="771">
        <f t="shared" si="54"/>
        <v>0</v>
      </c>
      <c r="EZ48" s="754">
        <f t="shared" si="55"/>
        <v>0</v>
      </c>
      <c r="FA48" s="777" t="str">
        <f t="shared" si="31"/>
        <v/>
      </c>
      <c r="FB48" s="772" t="str">
        <f t="shared" si="15"/>
        <v/>
      </c>
      <c r="FC48" s="333" t="str">
        <f t="shared" si="56"/>
        <v>non</v>
      </c>
      <c r="FD48" s="778">
        <f t="shared" si="16"/>
        <v>0</v>
      </c>
      <c r="FG48" s="333" t="str">
        <f t="shared" si="57"/>
        <v/>
      </c>
      <c r="FJ48" s="333">
        <f t="shared" si="58"/>
        <v>1</v>
      </c>
      <c r="FK48" s="129">
        <f t="shared" si="17"/>
        <v>10</v>
      </c>
      <c r="FL48" s="129">
        <f t="shared" si="35"/>
        <v>1</v>
      </c>
      <c r="FN48" s="129">
        <f>+IF(AND($DP$8&lt;&gt;52,AR48=S.CAL!$BJ$4),10,1)</f>
        <v>1</v>
      </c>
      <c r="FP48" s="129">
        <f t="shared" si="18"/>
        <v>0</v>
      </c>
      <c r="FS48" s="225" t="str">
        <f t="shared" si="61"/>
        <v/>
      </c>
      <c r="FZ48" s="129">
        <f t="shared" si="37"/>
        <v>1</v>
      </c>
      <c r="GA48" s="129">
        <f t="shared" si="38"/>
        <v>2025</v>
      </c>
      <c r="GB48" s="129" t="str">
        <f t="shared" si="39"/>
        <v>12025</v>
      </c>
      <c r="GC48" s="225">
        <f t="shared" si="40"/>
        <v>0</v>
      </c>
      <c r="GF48" s="225" t="str">
        <f t="shared" si="41"/>
        <v/>
      </c>
      <c r="GG48" s="1469" t="str">
        <f>+'Retenue Déc'!D46</f>
        <v/>
      </c>
      <c r="GH48" s="1469">
        <f>+'Retenue Déc'!BF46</f>
        <v>0</v>
      </c>
      <c r="GJ48" s="1530" t="str">
        <f t="shared" si="42"/>
        <v/>
      </c>
      <c r="GK48" s="225" t="str">
        <f t="shared" si="43"/>
        <v/>
      </c>
      <c r="GL48" s="225" t="str">
        <f t="shared" si="44"/>
        <v/>
      </c>
      <c r="GM48" s="1529">
        <f t="shared" si="45"/>
        <v>0</v>
      </c>
      <c r="GO48" s="129">
        <f t="shared" si="19"/>
        <v>0</v>
      </c>
      <c r="GP48" s="129" t="str">
        <f t="shared" si="46"/>
        <v/>
      </c>
      <c r="GQ48" s="1469" t="str">
        <f t="shared" si="47"/>
        <v/>
      </c>
    </row>
    <row r="49" spans="1:199" x14ac:dyDescent="0.2">
      <c r="A49" s="1799" t="str">
        <f>Taux_cotisations!A20</f>
        <v>CET si plafond SS atteint</v>
      </c>
      <c r="B49" s="1800"/>
      <c r="C49" s="1800"/>
      <c r="D49" s="1800"/>
      <c r="E49" s="1800"/>
      <c r="F49" s="1800"/>
      <c r="G49" s="1801"/>
      <c r="H49" s="1793">
        <f>+IF(AND(T35&gt;=EG6,T35&gt;0),T35*INDEX(table_base_coef_salariale,MATCH(A49,Taux_cotisations!$A$75:$A$101,0),MATCH($X$3,Taux_cotisations!$A$75:$M$75,0)),0)</f>
        <v>0</v>
      </c>
      <c r="I49" s="1794"/>
      <c r="J49" s="1795"/>
      <c r="K49" s="1802">
        <f>IF(AND(T35&gt;=EG6,T35&gt;0),INDEX(table_taux_salariales,MATCH(A49,Taux_cotisations!$A$6:$A$32,0),MATCH($X$3,Taux_cotisations!$A$6:$M$6,0)),0)</f>
        <v>0</v>
      </c>
      <c r="L49" s="1803"/>
      <c r="M49" s="1803"/>
      <c r="N49" s="1780">
        <f t="shared" si="71"/>
        <v>0</v>
      </c>
      <c r="O49" s="1780"/>
      <c r="P49" s="1780"/>
      <c r="Q49" s="223"/>
      <c r="R49" s="1906">
        <f>IF(AND(T35&gt;=EG6,T35&gt;0),T35*INDEX(table_base_coef_patronale,MATCH(A49,Taux_cotisations!$A$110:$A$136,0),MATCH($X$3,Taux_cotisations!$A$110:$M$110,0)),0)</f>
        <v>0</v>
      </c>
      <c r="S49" s="1906"/>
      <c r="T49" s="1906"/>
      <c r="U49" s="1907">
        <f>+IF(AND(T35&gt;=EG6,T35&gt;0),INDEX(table_taux_patronales,MATCH(A49,Taux_cotisations!$A$39:$A$65,0),MATCH($X$3,Taux_cotisations!$A$39:$M$39,0)),0)</f>
        <v>0</v>
      </c>
      <c r="V49" s="1907"/>
      <c r="W49" s="1907"/>
      <c r="X49" s="1900">
        <f>ROUND(U49*R49,2)</f>
        <v>0</v>
      </c>
      <c r="Y49" s="1900"/>
      <c r="Z49" s="1900"/>
      <c r="AA49" s="903" t="str">
        <f>IF(AND(BE49="OUI",$AR$13=S.CAL!$CU$2),"►",IF(AND(EV49="OUI",$AR$13=S.CAL!$CU$3),"►",""))</f>
        <v/>
      </c>
      <c r="AB49" s="1877">
        <f>IF(AB20+29&lt;DATE(YEAR(AB20),MONTH(AB20)+1,DAY(AB20)),AB20+29,"")</f>
        <v>46021</v>
      </c>
      <c r="AC49" s="1878">
        <f>+$D$6+26</f>
        <v>26</v>
      </c>
      <c r="AD49" s="1875" t="str">
        <f>+IF(AND($AR$13=S.CAL!$CU$2,EX49&lt;&gt;0),EX49,IF(AND($AR$13=S.CAL!$CU$3,ER49&lt;&gt;0),ER49,0))</f>
        <v/>
      </c>
      <c r="AE49" s="1875"/>
      <c r="AF49" s="1875"/>
      <c r="AG49" s="1875" t="str">
        <f>+IF(AND($AR$13=S.CAL!$CU$2,EY49&lt;&gt;0),EY49,IF(AND($AR$13=S.CAL!$CU$3,ES49&lt;&gt;0),ES49,""))</f>
        <v/>
      </c>
      <c r="AH49" s="1875"/>
      <c r="AI49" s="1875"/>
      <c r="AJ49" s="1875" t="str">
        <f>+IF(AND($AR$13=S.CAL!$CU$2,EZ49&lt;&gt;0),EZ49,IF(AND($AR$13=S.CAL!$CU$3,ET49&lt;&gt;0),ET49,""))</f>
        <v/>
      </c>
      <c r="AK49" s="1875"/>
      <c r="AL49" s="1875"/>
      <c r="AM49" s="1875" t="str">
        <f>+IF(AND($AR$13=S.CAL!$CU$2,FA49&lt;&gt;0),FA49,IF(AND($AR$13=S.CAL!$CU$3,EU49&lt;&gt;0),EU49,""))</f>
        <v/>
      </c>
      <c r="AN49" s="1875"/>
      <c r="AO49" s="1876"/>
      <c r="AP49" s="217" t="str">
        <f t="shared" si="48"/>
        <v/>
      </c>
      <c r="AQ49" s="340"/>
      <c r="AR49" s="1126"/>
      <c r="AS49" s="332">
        <f t="shared" si="3"/>
        <v>0</v>
      </c>
      <c r="AT49" s="1147"/>
      <c r="AU49" s="1147"/>
      <c r="AV49" s="332"/>
      <c r="AW49" s="2017">
        <f t="shared" si="21"/>
        <v>46021</v>
      </c>
      <c r="AX49" s="1878"/>
      <c r="AY49" s="332"/>
      <c r="AZ49" s="1126"/>
      <c r="BA49" s="993"/>
      <c r="BB49" s="561"/>
      <c r="BC49" s="566">
        <f t="shared" si="22"/>
        <v>0</v>
      </c>
      <c r="BD49" s="1126"/>
      <c r="BE49" s="825">
        <f t="shared" si="23"/>
        <v>0</v>
      </c>
      <c r="BF49" s="1150"/>
      <c r="BG49" s="224"/>
      <c r="BH49" s="566" t="str">
        <f t="shared" si="24"/>
        <v/>
      </c>
      <c r="BI49" s="1150"/>
      <c r="BJ49" s="129" t="str">
        <f t="shared" ref="BJ49:BJ50" si="73">IFERROR(+BN49&amp;BL49&amp;BM49,0)</f>
        <v>Fiche infoA2</v>
      </c>
      <c r="BK49" s="129">
        <f t="shared" si="49"/>
        <v>1</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024" t="s">
        <v>924</v>
      </c>
      <c r="BZ49" s="2025"/>
      <c r="CA49" s="2022">
        <f>+CA47+CA44</f>
        <v>0</v>
      </c>
      <c r="CB49" s="625"/>
      <c r="CC49" s="624"/>
      <c r="CD49" s="1373" t="s">
        <v>463</v>
      </c>
      <c r="CE49" s="1063">
        <f>IF(CF49="",Novembre!CE49,CF49)</f>
        <v>3.8</v>
      </c>
      <c r="CF49" s="1139"/>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801">
        <f t="shared" si="53"/>
        <v>46021</v>
      </c>
      <c r="ER49" s="802">
        <f t="shared" si="10"/>
        <v>0</v>
      </c>
      <c r="ES49" s="803">
        <f t="shared" si="11"/>
        <v>0</v>
      </c>
      <c r="ET49" s="802">
        <f t="shared" si="12"/>
        <v>0</v>
      </c>
      <c r="EU49" s="803">
        <f t="shared" si="13"/>
        <v>0</v>
      </c>
      <c r="EV49" s="802" t="str">
        <f t="shared" si="14"/>
        <v/>
      </c>
      <c r="EW49" s="769">
        <f t="shared" si="28"/>
        <v>46021</v>
      </c>
      <c r="EX49" s="777" t="str">
        <f>IFERROR(IF(AND(AZ49="",AR49&lt;&gt;S.CAL!$BJ$3,AR49&lt;&gt;S.CAL!$BJ$4),FS49-BC49,IF(AZ49&lt;&gt;0,AZ49,IF(OR(AR49=S.CAL!$BJ$3,AR49=S.CAL!$BJ$4),AR49,0))),"")</f>
        <v/>
      </c>
      <c r="EY49" s="771">
        <f t="shared" si="54"/>
        <v>0</v>
      </c>
      <c r="EZ49" s="754">
        <f t="shared" si="55"/>
        <v>0</v>
      </c>
      <c r="FA49" s="777" t="str">
        <f t="shared" si="31"/>
        <v/>
      </c>
      <c r="FB49" s="772" t="str">
        <f t="shared" si="15"/>
        <v/>
      </c>
      <c r="FC49" s="333" t="str">
        <f t="shared" si="56"/>
        <v>non</v>
      </c>
      <c r="FD49" s="778">
        <f t="shared" si="16"/>
        <v>0</v>
      </c>
      <c r="FG49" s="333" t="str">
        <f t="shared" si="57"/>
        <v/>
      </c>
      <c r="FJ49" s="333">
        <f t="shared" si="58"/>
        <v>1</v>
      </c>
      <c r="FK49" s="129">
        <f t="shared" si="17"/>
        <v>10</v>
      </c>
      <c r="FL49" s="129">
        <f t="shared" si="35"/>
        <v>1</v>
      </c>
      <c r="FN49" s="129">
        <f>+IF(AND($DP$8&lt;&gt;52,AR49=S.CAL!$BJ$4),10,1)</f>
        <v>1</v>
      </c>
      <c r="FP49" s="129">
        <f t="shared" si="18"/>
        <v>0</v>
      </c>
      <c r="FS49" s="225" t="str">
        <f t="shared" si="61"/>
        <v/>
      </c>
      <c r="FZ49" s="129">
        <f t="shared" si="37"/>
        <v>1</v>
      </c>
      <c r="GA49" s="129">
        <f t="shared" si="38"/>
        <v>2025</v>
      </c>
      <c r="GB49" s="129" t="str">
        <f t="shared" ref="GB49:GB50" si="74">+FZ49&amp;GA49</f>
        <v>12025</v>
      </c>
      <c r="GC49" s="225">
        <f t="shared" ref="GC49:GC50" si="75">IF(BH49="",0,BH49)</f>
        <v>0</v>
      </c>
      <c r="GF49" s="225" t="str">
        <f t="shared" ref="GF49:GF50" si="76">IF(FP49=1,GG49,AM49)</f>
        <v/>
      </c>
      <c r="GG49" s="1469" t="str">
        <f>+'Retenue Déc'!D47</f>
        <v/>
      </c>
      <c r="GH49" s="1469">
        <f>+'Retenue Déc'!BF47</f>
        <v>0</v>
      </c>
      <c r="GJ49" s="1530" t="str">
        <f t="shared" si="42"/>
        <v/>
      </c>
      <c r="GK49" s="225" t="str">
        <f t="shared" si="43"/>
        <v/>
      </c>
      <c r="GL49" s="225" t="str">
        <f t="shared" si="44"/>
        <v/>
      </c>
      <c r="GM49" s="1529">
        <f t="shared" si="45"/>
        <v>0</v>
      </c>
      <c r="GO49" s="129">
        <f t="shared" si="19"/>
        <v>0</v>
      </c>
      <c r="GP49" s="129" t="str">
        <f t="shared" si="46"/>
        <v/>
      </c>
      <c r="GQ49" s="1469" t="str">
        <f t="shared" si="47"/>
        <v/>
      </c>
    </row>
    <row r="50" spans="1:199" x14ac:dyDescent="0.2">
      <c r="A50" s="1799" t="str">
        <f>Taux_cotisations!A23</f>
        <v>Retraite IRCEM T2 - CEG T2</v>
      </c>
      <c r="B50" s="1800"/>
      <c r="C50" s="1800"/>
      <c r="D50" s="1800"/>
      <c r="E50" s="1800"/>
      <c r="F50" s="1800"/>
      <c r="G50" s="1801"/>
      <c r="H50" s="1793">
        <f>+IF(AND(T35&gt;0,T35&gt;EG6),(T35-EG6)*INDEX(table_base_coef_salariale,MATCH(A50,Taux_cotisations!$A$75:$A$101,0),MATCH($X$3,Taux_cotisations!$A$75:$M$75,0)),0)</f>
        <v>0</v>
      </c>
      <c r="I50" s="1794"/>
      <c r="J50" s="1795"/>
      <c r="K50" s="1802">
        <f>IF(H50=0,0,INDEX(table_taux_salariales,MATCH(A50,Taux_cotisations!$A$6:$A$32,0),MATCH($X$3,Taux_cotisations!$A$6:$M$6,0)))</f>
        <v>0</v>
      </c>
      <c r="L50" s="1803"/>
      <c r="M50" s="1803"/>
      <c r="N50" s="1780">
        <f t="shared" si="71"/>
        <v>0</v>
      </c>
      <c r="O50" s="1780"/>
      <c r="P50" s="1780"/>
      <c r="Q50" s="223"/>
      <c r="R50" s="1900">
        <f>+IF(AND(T35&gt;0,T35&gt;EG6),(T35-EG6)*INDEX(table_base_coef_patronale,MATCH(A50,Taux_cotisations!$A$110:$A$136,0),MATCH($X$3,Taux_cotisations!$A$110:$M$110,0)),0)</f>
        <v>0</v>
      </c>
      <c r="S50" s="1900"/>
      <c r="T50" s="1900"/>
      <c r="U50" s="2244">
        <f>IF(R50=0,0,INDEX(table_taux_patronales,MATCH(A50,Taux_cotisations!$A$39:$A$65,0),MATCH($X$3,Taux_cotisations!$A$39:$M$39,0)))</f>
        <v>0</v>
      </c>
      <c r="V50" s="2244"/>
      <c r="W50" s="2244"/>
      <c r="X50" s="1900">
        <f>ROUND(U50*R50,2)</f>
        <v>0</v>
      </c>
      <c r="Y50" s="1900"/>
      <c r="Z50" s="1900"/>
      <c r="AA50" s="903" t="str">
        <f>IF(AND(BE50="OUI",$AR$13=S.CAL!$CU$2),"►",IF(AND(EV50="OUI",$AR$13=S.CAL!$CU$3),"►",""))</f>
        <v/>
      </c>
      <c r="AB50" s="1877">
        <f>IF(AB20+30&lt;DATE(YEAR(AB20),MONTH(AB20)+1,DAY(AB20)),AB20+30,"")</f>
        <v>46022</v>
      </c>
      <c r="AC50" s="1878">
        <f>+$D$6+26</f>
        <v>26</v>
      </c>
      <c r="AD50" s="1875" t="str">
        <f>+IF(AND($AR$13=S.CAL!$CU$2,EX50&lt;&gt;0),EX50,IF(AND($AR$13=S.CAL!$CU$3,ER50&lt;&gt;0),ER50,0))</f>
        <v/>
      </c>
      <c r="AE50" s="1875"/>
      <c r="AF50" s="1875"/>
      <c r="AG50" s="1875" t="str">
        <f>+IF(AND($AR$13=S.CAL!$CU$2,EY50&lt;&gt;0),EY50,IF(AND($AR$13=S.CAL!$CU$3,ES50&lt;&gt;0),ES50,""))</f>
        <v/>
      </c>
      <c r="AH50" s="1875"/>
      <c r="AI50" s="1875"/>
      <c r="AJ50" s="1875" t="str">
        <f>+IF(AND($AR$13=S.CAL!$CU$2,EZ50&lt;&gt;0),EZ50,IF(AND($AR$13=S.CAL!$CU$3,ET50&lt;&gt;0),ET50,""))</f>
        <v/>
      </c>
      <c r="AK50" s="1875"/>
      <c r="AL50" s="1875"/>
      <c r="AM50" s="1875" t="str">
        <f>+IF(AND($AR$13=S.CAL!$CU$2,FA50&lt;&gt;0),FA50,IF(AND($AR$13=S.CAL!$CU$3,EU50&lt;&gt;0),EU50,""))</f>
        <v/>
      </c>
      <c r="AN50" s="1875"/>
      <c r="AO50" s="1876"/>
      <c r="AP50" s="217" t="str">
        <f t="shared" si="48"/>
        <v/>
      </c>
      <c r="AQ50" s="340"/>
      <c r="AR50" s="1127"/>
      <c r="AS50" s="332">
        <f t="shared" si="3"/>
        <v>0</v>
      </c>
      <c r="AT50" s="1148"/>
      <c r="AU50" s="1148"/>
      <c r="AV50" s="332"/>
      <c r="AW50" s="2096">
        <f t="shared" si="21"/>
        <v>46022</v>
      </c>
      <c r="AX50" s="2097"/>
      <c r="AY50" s="332"/>
      <c r="AZ50" s="1127"/>
      <c r="BA50" s="994"/>
      <c r="BB50" s="561"/>
      <c r="BC50" s="564">
        <f t="shared" si="22"/>
        <v>0</v>
      </c>
      <c r="BD50" s="1127"/>
      <c r="BE50" s="826">
        <f t="shared" si="23"/>
        <v>0</v>
      </c>
      <c r="BF50" s="1151"/>
      <c r="BG50" s="224"/>
      <c r="BH50" s="564" t="str">
        <f t="shared" si="24"/>
        <v/>
      </c>
      <c r="BI50" s="1151"/>
      <c r="BJ50" s="129" t="str">
        <f t="shared" si="73"/>
        <v>Fiche infoA3</v>
      </c>
      <c r="BK50" s="129">
        <f t="shared" si="49"/>
        <v>1</v>
      </c>
      <c r="BL50" s="129" t="str">
        <f t="shared" si="4"/>
        <v>A</v>
      </c>
      <c r="BM50" s="129">
        <f>IFERROR(WEEKDAY(AB50,2),0)</f>
        <v>3</v>
      </c>
      <c r="BN50" s="225" t="str">
        <f t="shared" si="60"/>
        <v>Fiche info</v>
      </c>
      <c r="BO50" s="332" t="str">
        <f t="shared" si="51"/>
        <v/>
      </c>
      <c r="BP50" s="198" t="str">
        <f t="shared" si="52"/>
        <v/>
      </c>
      <c r="BQ50" s="601"/>
      <c r="BR50" s="601"/>
      <c r="BS50" s="601"/>
      <c r="BT50" s="601"/>
      <c r="BU50" s="601"/>
      <c r="BV50" s="601"/>
      <c r="BW50" s="601"/>
      <c r="BX50" s="618"/>
      <c r="BY50" s="2026"/>
      <c r="BZ50" s="2027"/>
      <c r="CA50" s="2023"/>
      <c r="CB50" s="625"/>
      <c r="CC50" s="625"/>
      <c r="CD50" s="1375" t="s">
        <v>1543</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804">
        <f t="shared" si="53"/>
        <v>46022</v>
      </c>
      <c r="ER50" s="805">
        <f t="shared" si="10"/>
        <v>0</v>
      </c>
      <c r="ES50" s="806">
        <f t="shared" si="11"/>
        <v>0</v>
      </c>
      <c r="ET50" s="805">
        <f t="shared" si="12"/>
        <v>0</v>
      </c>
      <c r="EU50" s="806">
        <f t="shared" si="13"/>
        <v>0</v>
      </c>
      <c r="EV50" s="805" t="str">
        <f t="shared" si="14"/>
        <v/>
      </c>
      <c r="EW50" s="789">
        <f t="shared" si="28"/>
        <v>46022</v>
      </c>
      <c r="EX50" s="790" t="str">
        <f>IFERROR(IF(AND(AZ50="",AR50&lt;&gt;S.CAL!$BJ$3,AR50&lt;&gt;S.CAL!$BJ$4),FS50-BC50,IF(AZ50&lt;&gt;0,AZ50,IF(OR(AR50=S.CAL!$BJ$3,AR50=S.CAL!$BJ$4),AR50,0))),"")</f>
        <v/>
      </c>
      <c r="EY50" s="790">
        <f t="shared" si="54"/>
        <v>0</v>
      </c>
      <c r="EZ50" s="791">
        <f t="shared" si="55"/>
        <v>0</v>
      </c>
      <c r="FA50" s="790" t="str">
        <f t="shared" si="31"/>
        <v/>
      </c>
      <c r="FB50" s="792" t="str">
        <f t="shared" si="15"/>
        <v/>
      </c>
      <c r="FC50" s="333" t="str">
        <f t="shared" si="56"/>
        <v>non</v>
      </c>
      <c r="FD50" s="793">
        <f t="shared" si="16"/>
        <v>0</v>
      </c>
      <c r="FG50" s="333" t="str">
        <f t="shared" si="57"/>
        <v/>
      </c>
      <c r="FJ50" s="333">
        <f t="shared" si="58"/>
        <v>1</v>
      </c>
      <c r="FK50" s="129">
        <f t="shared" si="17"/>
        <v>10</v>
      </c>
      <c r="FL50" s="129">
        <f t="shared" si="35"/>
        <v>1</v>
      </c>
      <c r="FN50" s="129">
        <f>+IF(AND($DP$8&lt;&gt;52,AR50=S.CAL!$BJ$4),10,1)</f>
        <v>1</v>
      </c>
      <c r="FP50" s="129">
        <f t="shared" si="18"/>
        <v>0</v>
      </c>
      <c r="FS50" s="225" t="str">
        <f t="shared" si="61"/>
        <v/>
      </c>
      <c r="FZ50" s="129">
        <f t="shared" si="37"/>
        <v>1</v>
      </c>
      <c r="GA50" s="129">
        <f t="shared" si="38"/>
        <v>2025</v>
      </c>
      <c r="GB50" s="129" t="str">
        <f t="shared" si="74"/>
        <v>12025</v>
      </c>
      <c r="GC50" s="225">
        <f t="shared" si="75"/>
        <v>0</v>
      </c>
      <c r="GF50" s="225" t="str">
        <f t="shared" si="76"/>
        <v/>
      </c>
      <c r="GG50" s="1469" t="str">
        <f>+'Retenue Déc'!D48</f>
        <v/>
      </c>
      <c r="GH50" s="1469">
        <f>+'Retenue Déc'!BF48</f>
        <v>0</v>
      </c>
      <c r="GJ50" s="1530" t="str">
        <f t="shared" si="42"/>
        <v/>
      </c>
      <c r="GK50" s="225" t="str">
        <f t="shared" si="43"/>
        <v/>
      </c>
      <c r="GL50" s="225" t="str">
        <f t="shared" si="44"/>
        <v/>
      </c>
      <c r="GM50" s="1529">
        <f t="shared" si="45"/>
        <v>0</v>
      </c>
      <c r="GO50" s="129">
        <f t="shared" si="19"/>
        <v>0</v>
      </c>
      <c r="GP50" s="129" t="str">
        <f t="shared" si="46"/>
        <v/>
      </c>
      <c r="GQ50" s="1469" t="str">
        <f t="shared" si="47"/>
        <v/>
      </c>
    </row>
    <row r="51" spans="1:199" ht="13.5" thickBot="1" x14ac:dyDescent="0.25">
      <c r="A51" s="2199" t="str">
        <f>Taux_cotisations!A24</f>
        <v>Famille</v>
      </c>
      <c r="B51" s="2200"/>
      <c r="C51" s="2200"/>
      <c r="D51" s="2200"/>
      <c r="E51" s="2200"/>
      <c r="F51" s="2200"/>
      <c r="G51" s="2201"/>
      <c r="H51" s="1793"/>
      <c r="I51" s="1794"/>
      <c r="J51" s="1795"/>
      <c r="K51" s="1802"/>
      <c r="L51" s="1803"/>
      <c r="M51" s="1803"/>
      <c r="N51" s="1780"/>
      <c r="O51" s="1780"/>
      <c r="P51" s="1780"/>
      <c r="Q51" s="223"/>
      <c r="R51" s="1906">
        <f>+T35*INDEX(table_base_coef_patronale,MATCH(A51,Taux_cotisations!$A$110:$A$136,0),MATCH($X$3,Taux_cotisations!$A$110:$M$110,0))</f>
        <v>0</v>
      </c>
      <c r="S51" s="1906"/>
      <c r="T51" s="1906"/>
      <c r="U51" s="1907">
        <f>INDEX(table_taux_patronales,MATCH(A51,Taux_cotisations!$A$39:$A$65,0),MATCH($X$3,Taux_cotisations!$A$39:$M$39,0))</f>
        <v>5.2499999999999998E-2</v>
      </c>
      <c r="V51" s="1907"/>
      <c r="W51" s="1907"/>
      <c r="X51" s="1900">
        <f t="shared" ref="X51" si="77">ROUND(U51*R51,2)</f>
        <v>0</v>
      </c>
      <c r="Y51" s="1900"/>
      <c r="Z51" s="1900"/>
      <c r="AA51" s="904"/>
      <c r="AB51" s="1881"/>
      <c r="AC51" s="1881"/>
      <c r="AD51" s="2021">
        <f>SUM(AD20:AF50)</f>
        <v>0</v>
      </c>
      <c r="AE51" s="2021"/>
      <c r="AF51" s="2021"/>
      <c r="AG51" s="2075">
        <f>SUM(AG20:AI50)</f>
        <v>0</v>
      </c>
      <c r="AH51" s="2075"/>
      <c r="AI51" s="2075"/>
      <c r="AJ51" s="2021">
        <f>SUM(AJ20:AL50)</f>
        <v>0</v>
      </c>
      <c r="AK51" s="2021"/>
      <c r="AL51" s="2021"/>
      <c r="AM51" s="2076">
        <f>SUM(AM20:AM50)</f>
        <v>0</v>
      </c>
      <c r="AN51" s="2075"/>
      <c r="AO51" s="2077"/>
      <c r="AP51" s="522"/>
      <c r="AQ51" s="1571" t="str">
        <f>+AQ16</f>
        <v/>
      </c>
      <c r="BC51" s="1437">
        <f>SUM(BC20:BC50)</f>
        <v>0</v>
      </c>
      <c r="BQ51" s="601"/>
      <c r="BR51" s="601"/>
      <c r="BS51" s="601"/>
      <c r="BT51" s="601"/>
      <c r="BU51" s="601"/>
      <c r="BV51" s="601"/>
      <c r="BW51" s="601"/>
      <c r="BX51" s="601"/>
      <c r="BY51" s="601"/>
      <c r="BZ51" s="619" t="s">
        <v>1059</v>
      </c>
      <c r="CA51" s="620">
        <f>+ROUND((DX51*CE47)+(DY51*CE47/DL3),2)</f>
        <v>0</v>
      </c>
      <c r="CB51" s="626"/>
      <c r="CC51" s="625"/>
      <c r="CD51" s="625"/>
      <c r="CE51" s="622"/>
      <c r="CF51" s="683" t="s">
        <v>503</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6" t="s">
        <v>758</v>
      </c>
      <c r="DK51" s="222">
        <f>+IF(AZ90="",+COUNTIF(AR20:AR50,S.CAL!BJ3),AZ90)</f>
        <v>0</v>
      </c>
      <c r="DL51" s="753"/>
      <c r="DM51" s="753"/>
      <c r="DN51" s="753"/>
      <c r="DO51" s="753"/>
      <c r="DP51" s="753"/>
      <c r="DQ51" s="753"/>
      <c r="DR51" s="753"/>
      <c r="DS51" s="753"/>
      <c r="DT51" s="753"/>
      <c r="DU51" s="1370">
        <f>SUM(DU20:DU50)</f>
        <v>0</v>
      </c>
      <c r="DV51" s="1370">
        <f t="shared" ref="DV51:DW51" si="78">SUM(DV20:DV50)</f>
        <v>0</v>
      </c>
      <c r="DW51" s="1370">
        <f t="shared" si="78"/>
        <v>0</v>
      </c>
      <c r="DX51" s="765">
        <f>SUM(DX20:DX50)</f>
        <v>0</v>
      </c>
      <c r="DY51" s="765">
        <f>SUM(DY20:DY50)</f>
        <v>0</v>
      </c>
      <c r="DZ51" s="765"/>
      <c r="EA51" s="765">
        <f>SUM(EA20:EA50)</f>
        <v>0</v>
      </c>
      <c r="EB51" s="765">
        <f>SUM(EB20:EB50)</f>
        <v>0</v>
      </c>
      <c r="EC51" s="765"/>
      <c r="ED51" s="765"/>
      <c r="EE51" s="765"/>
      <c r="EQ51" s="796"/>
      <c r="ER51" s="803"/>
      <c r="ES51" s="803"/>
      <c r="ET51" s="803"/>
      <c r="EU51" s="803"/>
      <c r="EV51" s="803"/>
      <c r="FD51" s="333">
        <f>+COUNTIF(FD20:FD50,S.CAL!BJ3)</f>
        <v>0</v>
      </c>
      <c r="GJ51" s="1530"/>
      <c r="GM51" s="1529"/>
    </row>
    <row r="52" spans="1:199" ht="13.5" thickTop="1" x14ac:dyDescent="0.2">
      <c r="A52" s="2199" t="str">
        <f>Taux_cotisations!A25</f>
        <v>Assurance Chômage</v>
      </c>
      <c r="B52" s="2200"/>
      <c r="C52" s="2200"/>
      <c r="D52" s="2200"/>
      <c r="E52" s="2200"/>
      <c r="F52" s="2200"/>
      <c r="G52" s="2201"/>
      <c r="H52" s="1793"/>
      <c r="I52" s="1794"/>
      <c r="J52" s="1795"/>
      <c r="K52" s="1802"/>
      <c r="L52" s="1803"/>
      <c r="M52" s="1803"/>
      <c r="N52" s="1780"/>
      <c r="O52" s="1780"/>
      <c r="P52" s="1780"/>
      <c r="Q52" s="223"/>
      <c r="R52" s="1906">
        <f>+T35*INDEX(table_base_coef_patronale,MATCH(A52,Taux_cotisations!$A$110:$A$136,0),MATCH($X$3,Taux_cotisations!$A$110:$M$110,0))</f>
        <v>0</v>
      </c>
      <c r="S52" s="1906"/>
      <c r="T52" s="1906"/>
      <c r="U52" s="1907">
        <f>INDEX(table_taux_patronales,MATCH(A52,Taux_cotisations!$A$39:$A$65,0),MATCH($X$3,Taux_cotisations!$A$39:$M$39,0))</f>
        <v>0.04</v>
      </c>
      <c r="V52" s="1907"/>
      <c r="W52" s="1907"/>
      <c r="X52" s="1900">
        <f>ROUND(U52*R52,2)</f>
        <v>0</v>
      </c>
      <c r="Y52" s="1900"/>
      <c r="Z52" s="1900"/>
      <c r="AA52" s="904"/>
      <c r="AB52" s="222"/>
      <c r="AC52" s="222"/>
      <c r="AD52" s="224"/>
      <c r="AE52" s="224"/>
      <c r="AF52" s="224"/>
      <c r="AG52" s="224"/>
      <c r="AH52" s="224"/>
      <c r="AI52" s="224"/>
      <c r="AJ52" s="224"/>
      <c r="AK52" s="224"/>
      <c r="AL52" s="224"/>
      <c r="AM52" s="224"/>
      <c r="AN52" s="224"/>
      <c r="AO52" s="224"/>
      <c r="AP52" s="224"/>
      <c r="AQ52" s="1569"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7" t="s">
        <v>708</v>
      </c>
      <c r="DK52" s="222">
        <f>IF(BA90="",COUNTIF(AR20:AR50,S.CAL!BJ4),BA90)</f>
        <v>0</v>
      </c>
      <c r="DL52" s="753"/>
      <c r="DM52" s="753"/>
      <c r="DN52" s="753"/>
      <c r="DO52" s="753"/>
      <c r="DP52" s="753"/>
      <c r="DQ52" s="753"/>
      <c r="DR52" s="753"/>
      <c r="DS52" s="753"/>
      <c r="DT52" s="753"/>
      <c r="DU52" s="1370"/>
      <c r="DV52" s="1370"/>
      <c r="DW52" s="1370"/>
      <c r="DX52" s="765"/>
      <c r="DY52" s="765"/>
      <c r="DZ52" s="765"/>
      <c r="EA52" s="765"/>
      <c r="EB52" s="765"/>
      <c r="EC52" s="765"/>
      <c r="ED52" s="765"/>
      <c r="EE52" s="765"/>
      <c r="EQ52" s="796"/>
      <c r="ER52" s="803"/>
      <c r="ES52" s="803"/>
      <c r="ET52" s="803"/>
      <c r="EU52" s="803"/>
      <c r="EV52" s="803"/>
      <c r="GJ52" s="1531"/>
      <c r="GK52" s="214"/>
      <c r="GL52" s="214"/>
      <c r="GM52" s="1532">
        <f>SUM(GM20:GM50)</f>
        <v>0</v>
      </c>
    </row>
    <row r="53" spans="1:199" x14ac:dyDescent="0.2">
      <c r="A53" s="2199" t="str">
        <f>+Taux_cotisations!A26</f>
        <v>Contribution Santé au Travail</v>
      </c>
      <c r="B53" s="2200"/>
      <c r="C53" s="2200"/>
      <c r="D53" s="2200"/>
      <c r="E53" s="2200"/>
      <c r="F53" s="2200"/>
      <c r="G53" s="2201"/>
      <c r="H53" s="1793"/>
      <c r="I53" s="1794"/>
      <c r="J53" s="1795"/>
      <c r="K53" s="1802"/>
      <c r="L53" s="1803"/>
      <c r="M53" s="1803"/>
      <c r="N53" s="1780"/>
      <c r="O53" s="1780"/>
      <c r="P53" s="1780"/>
      <c r="Q53" s="223"/>
      <c r="R53" s="1906">
        <f>+T35*INDEX(table_base_coef_patronale,MATCH(A53,Taux_cotisations!$A$110:$A$136,0),MATCH($X$3,Taux_cotisations!$A$110:$M$110,0))</f>
        <v>0</v>
      </c>
      <c r="S53" s="1906"/>
      <c r="T53" s="1906"/>
      <c r="U53" s="1907">
        <f>INDEX(table_taux_patronales,MATCH(A53,Taux_cotisations!$A$39:$A$65,0),MATCH($X$3,Taux_cotisations!$A$39:$M$39,0))</f>
        <v>2.7E-2</v>
      </c>
      <c r="V53" s="1907"/>
      <c r="W53" s="1907"/>
      <c r="X53" s="1900">
        <f>MIN(ROUND(U53*R53,2),5)</f>
        <v>0</v>
      </c>
      <c r="Y53" s="1900"/>
      <c r="Z53" s="1900"/>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71" t="s">
        <v>1537</v>
      </c>
      <c r="CE53" s="1368">
        <f>IF(CF53="",+Novembre!CE53,CF53)</f>
        <v>0</v>
      </c>
      <c r="CF53" s="1319"/>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70"/>
      <c r="DV53" s="1370"/>
      <c r="DW53" s="1370"/>
      <c r="DX53" s="765"/>
      <c r="DY53" s="765"/>
      <c r="DZ53" s="765"/>
      <c r="EA53" s="765"/>
      <c r="EB53" s="765"/>
      <c r="EC53" s="765"/>
      <c r="ED53" s="765"/>
      <c r="EE53" s="765"/>
      <c r="EQ53" s="796"/>
      <c r="ER53" s="803"/>
      <c r="ES53" s="803"/>
      <c r="ET53" s="803"/>
      <c r="EU53" s="803"/>
      <c r="EV53" s="803"/>
    </row>
    <row r="54" spans="1:199" x14ac:dyDescent="0.2">
      <c r="A54" s="2199" t="str">
        <f>Taux_cotisations!A27</f>
        <v>Autres cotisations patronales</v>
      </c>
      <c r="B54" s="2200"/>
      <c r="C54" s="2200"/>
      <c r="D54" s="2200"/>
      <c r="E54" s="2200"/>
      <c r="F54" s="2200"/>
      <c r="G54" s="2201"/>
      <c r="H54" s="1793"/>
      <c r="I54" s="1794"/>
      <c r="J54" s="1795"/>
      <c r="K54" s="1802"/>
      <c r="L54" s="1803"/>
      <c r="M54" s="1803"/>
      <c r="N54" s="1780"/>
      <c r="O54" s="1780"/>
      <c r="P54" s="1780"/>
      <c r="Q54" s="223"/>
      <c r="R54" s="1906">
        <f>+T35*INDEX(table_base_coef_patronale,MATCH(A54,Taux_cotisations!$A$110:$A$136,0),MATCH($X$3,Taux_cotisations!$A$110:$M$110,0))</f>
        <v>0</v>
      </c>
      <c r="S54" s="1906"/>
      <c r="T54" s="1906"/>
      <c r="U54" s="1907">
        <f>INDEX(table_taux_patronales,MATCH(A54,Taux_cotisations!$A$39:$A$65,0),MATCH($X$3,Taux_cotisations!$A$39:$M$39,0))</f>
        <v>1.166E-2</v>
      </c>
      <c r="V54" s="1907"/>
      <c r="W54" s="1907"/>
      <c r="X54" s="1900">
        <f>ROUND(U54*R54,2)</f>
        <v>0</v>
      </c>
      <c r="Y54" s="1900"/>
      <c r="Z54" s="1900"/>
      <c r="AA54" s="904"/>
      <c r="AB54" s="2247" t="s">
        <v>1226</v>
      </c>
      <c r="AC54" s="2247"/>
      <c r="AD54" s="2247"/>
      <c r="AE54" s="2247"/>
      <c r="AF54" s="2247"/>
      <c r="AG54" s="2247"/>
      <c r="AH54" s="2247"/>
      <c r="AI54" s="2247"/>
      <c r="AJ54" s="2247"/>
      <c r="AK54" s="2247"/>
      <c r="AL54" s="2247"/>
      <c r="AM54" s="2247"/>
      <c r="AN54" s="2247"/>
      <c r="AO54" s="2247"/>
      <c r="AP54" s="224"/>
      <c r="AQ54" s="340"/>
      <c r="AR54" s="222"/>
      <c r="AS54" s="129"/>
      <c r="BC54" s="224"/>
      <c r="BQ54" s="2113" t="s">
        <v>1068</v>
      </c>
      <c r="BR54" s="2113"/>
      <c r="BS54" s="2113"/>
      <c r="BT54" s="2113"/>
      <c r="BU54" s="2113"/>
      <c r="BV54" s="2113"/>
      <c r="BW54" s="2113"/>
      <c r="BX54" s="2113"/>
      <c r="BY54" s="2113"/>
      <c r="BZ54" s="2113"/>
      <c r="CA54" s="628"/>
      <c r="CB54" s="622"/>
      <c r="CC54" s="622"/>
      <c r="CD54" s="1367" t="s">
        <v>1053</v>
      </c>
      <c r="CE54" s="1372">
        <f>IF(CF54="",Novembre!CE54,CF54)</f>
        <v>0</v>
      </c>
      <c r="CF54" s="1369"/>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70"/>
      <c r="DV54" s="1370"/>
      <c r="DW54" s="1370"/>
      <c r="DX54" s="765"/>
      <c r="DY54" s="765"/>
      <c r="DZ54" s="765"/>
      <c r="EA54" s="765"/>
      <c r="EB54" s="765"/>
      <c r="EC54" s="765"/>
      <c r="ED54" s="765"/>
      <c r="EE54" s="765"/>
      <c r="EQ54" s="796"/>
      <c r="ER54" s="803"/>
      <c r="ES54" s="803"/>
      <c r="ET54" s="803"/>
      <c r="EU54" s="803"/>
      <c r="EV54" s="803"/>
    </row>
    <row r="55" spans="1:199" x14ac:dyDescent="0.2">
      <c r="A55" s="2199" t="str">
        <f>Taux_cotisations!A28</f>
        <v>Autres cotisations patronales T1</v>
      </c>
      <c r="B55" s="2200"/>
      <c r="C55" s="2200"/>
      <c r="D55" s="2200"/>
      <c r="E55" s="2200"/>
      <c r="F55" s="2200"/>
      <c r="G55" s="2201"/>
      <c r="H55" s="1857"/>
      <c r="I55" s="1780"/>
      <c r="J55" s="1858"/>
      <c r="K55" s="2234"/>
      <c r="L55" s="2235"/>
      <c r="M55" s="2235"/>
      <c r="N55" s="1780"/>
      <c r="O55" s="1780"/>
      <c r="P55" s="1780"/>
      <c r="Q55" s="226"/>
      <c r="R55" s="1900">
        <f>IF(AND(T35&gt;=EG6,T35&gt;0),EG6*INDEX(table_base_coef_patronale,MATCH(A42,Taux_cotisations!$A$110:$A$136,0),MATCH($X$3,Taux_cotisations!$A$110:$M$110,0)),+T35*INDEX(table_base_coef_patronale,MATCH(A55,Taux_cotisations!$A$110:$A$136,0),MATCH($X$3,Taux_cotisations!$A$110:$M$110,0)))</f>
        <v>0</v>
      </c>
      <c r="S55" s="1900"/>
      <c r="T55" s="1900"/>
      <c r="U55" s="1907">
        <f>INDEX(table_taux_patronales,MATCH(A55,Taux_cotisations!$A$39:$A$65,0),MATCH($X$3,Taux_cotisations!$A$39:$M$39,0))</f>
        <v>1E-3</v>
      </c>
      <c r="V55" s="1907"/>
      <c r="W55" s="1907"/>
      <c r="X55" s="1900">
        <f t="shared" ref="X55" si="79">ROUND(U55*R55,2)</f>
        <v>0</v>
      </c>
      <c r="Y55" s="1900"/>
      <c r="Z55" s="1900"/>
      <c r="AA55" s="904"/>
      <c r="AB55" s="1737" t="s">
        <v>1227</v>
      </c>
      <c r="AC55" s="1737"/>
      <c r="AD55" s="1737"/>
      <c r="AE55" s="1737"/>
      <c r="AF55" s="1737"/>
      <c r="AG55" s="1737"/>
      <c r="AH55" s="1737"/>
      <c r="AI55" s="1737"/>
      <c r="AJ55" s="1737"/>
      <c r="AK55" s="1737"/>
      <c r="AL55" s="1737"/>
      <c r="AM55" s="2257" t="e">
        <f>+EG2</f>
        <v>#DIV/0!</v>
      </c>
      <c r="AN55" s="2257"/>
      <c r="AO55" s="2257"/>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8">
        <f>IF(CF55&gt;0,CF55,IF(AND(CE53=Novembre!CE53,CE54=Novembre!CE54),Novembre!CE55,IF(OR(CE53&lt;&gt;Novembre!CE53,CE54&lt;&gt;Novembre!CE54),CE53/CE54)))</f>
        <v>0</v>
      </c>
      <c r="CF55" s="1319"/>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70"/>
      <c r="DV55" s="1370"/>
      <c r="DW55" s="1370"/>
      <c r="DX55" s="765"/>
      <c r="DY55" s="765"/>
      <c r="DZ55" s="765"/>
      <c r="EA55" s="765"/>
      <c r="EB55" s="765"/>
      <c r="EC55" s="765"/>
      <c r="ED55" s="765"/>
      <c r="EE55" s="765"/>
      <c r="EQ55" s="796"/>
      <c r="ER55" s="803"/>
      <c r="ES55" s="803"/>
      <c r="ET55" s="803"/>
      <c r="EU55" s="803"/>
      <c r="EV55" s="803"/>
    </row>
    <row r="56" spans="1:199" x14ac:dyDescent="0.2">
      <c r="A56" s="2241" t="str">
        <f>Taux_cotisations!A29</f>
        <v>CSG déductible de l'IR</v>
      </c>
      <c r="B56" s="2242"/>
      <c r="C56" s="2242"/>
      <c r="D56" s="2242"/>
      <c r="E56" s="2242"/>
      <c r="F56" s="2242"/>
      <c r="G56" s="2243"/>
      <c r="H56" s="2204">
        <f>(+T18+T23+T24+T25+T29+HO16+T30+T27+T28+T31+T32+T33+T34)*INDEX(table_base_coef_salariale,MATCH(A56,Taux_cotisations!$A$75:$A$101,0),MATCH($X$3,Taux_cotisations!$A$75:$M$75,0))</f>
        <v>0</v>
      </c>
      <c r="I56" s="2205"/>
      <c r="J56" s="2206"/>
      <c r="K56" s="2209">
        <f>INDEX(table_taux_salariales,MATCH(A56,Taux_cotisations!$A$6:$A$32,0),MATCH($X$3,Taux_cotisations!$A$6:$M$6,0))</f>
        <v>6.8000000000000005E-2</v>
      </c>
      <c r="L56" s="2209"/>
      <c r="M56" s="1802"/>
      <c r="N56" s="2245">
        <f>ROUND(K56*H56,4)</f>
        <v>0</v>
      </c>
      <c r="O56" s="1776"/>
      <c r="P56" s="2246"/>
      <c r="Q56" s="223"/>
      <c r="R56" s="1900"/>
      <c r="S56" s="1900"/>
      <c r="T56" s="1900"/>
      <c r="U56" s="2244"/>
      <c r="V56" s="2244"/>
      <c r="W56" s="2244"/>
      <c r="X56" s="1900"/>
      <c r="Y56" s="1900"/>
      <c r="Z56" s="1900"/>
      <c r="AA56" s="231"/>
      <c r="AB56" s="1737" t="s">
        <v>1228</v>
      </c>
      <c r="AC56" s="1737"/>
      <c r="AD56" s="1737"/>
      <c r="AE56" s="1737"/>
      <c r="AF56" s="1737"/>
      <c r="AG56" s="1737"/>
      <c r="AH56" s="1737"/>
      <c r="AI56" s="1737"/>
      <c r="AJ56" s="1737"/>
      <c r="AK56" s="1737"/>
      <c r="AL56" s="1737"/>
      <c r="AM56" s="2147">
        <f>'Retenue Déc'!E52</f>
        <v>0</v>
      </c>
      <c r="AN56" s="2148"/>
      <c r="AO56" s="2148"/>
      <c r="AQ56" s="334"/>
      <c r="AS56" s="129"/>
      <c r="BI56" s="2114" t="s">
        <v>1107</v>
      </c>
      <c r="BJ56" s="2114"/>
      <c r="BK56" s="2114"/>
      <c r="BL56" s="2114"/>
      <c r="BM56" s="2114"/>
      <c r="BN56" s="2114"/>
      <c r="BO56" s="2114"/>
      <c r="BP56" s="2114"/>
      <c r="BQ56" s="2114"/>
      <c r="BR56" s="2114"/>
      <c r="BS56" s="2114"/>
      <c r="BT56" s="2114"/>
      <c r="BU56" s="2114"/>
      <c r="BV56" s="2114"/>
      <c r="BW56" s="2114"/>
      <c r="BX56" s="2114"/>
      <c r="BY56" s="630">
        <f>+IF(BY57="",Novembre!BY56,BY57)</f>
        <v>24</v>
      </c>
      <c r="BZ56" s="629" t="s">
        <v>1065</v>
      </c>
      <c r="CA56" s="632">
        <f>+IF(CA57="",Novembre!CA56,CA57)</f>
        <v>0</v>
      </c>
      <c r="CE56" s="584"/>
      <c r="CF56" s="683" t="s">
        <v>503</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2241" t="str">
        <f>Taux_cotisations!A30</f>
        <v>CSG/RDS non déductible de l'IR</v>
      </c>
      <c r="B57" s="2242"/>
      <c r="C57" s="2242"/>
      <c r="D57" s="2242"/>
      <c r="E57" s="2242"/>
      <c r="F57" s="2242"/>
      <c r="G57" s="2243"/>
      <c r="H57" s="2204">
        <f>(+T18+T23+T24+T25+T29+HO16+T30+T27+T28+T31+T32+T33+T34)*INDEX(table_base_coef_salariale,MATCH(A57,Taux_cotisations!$A$75:$A$101,0),MATCH($X$3,Taux_cotisations!$A$75:$M$75,0))</f>
        <v>0</v>
      </c>
      <c r="I57" s="2205"/>
      <c r="J57" s="2206"/>
      <c r="K57" s="2209">
        <f>INDEX(table_taux_salariales,MATCH(A57,Taux_cotisations!$A$6:$A$32,0),MATCH($X$3,Taux_cotisations!$A$6:$M$6,0))</f>
        <v>2.9000000000000005E-2</v>
      </c>
      <c r="L57" s="2209"/>
      <c r="M57" s="1802"/>
      <c r="N57" s="2245">
        <f>ROUND(K57*H57,4)</f>
        <v>0</v>
      </c>
      <c r="O57" s="1776"/>
      <c r="P57" s="2246"/>
      <c r="Q57" s="223"/>
      <c r="R57" s="1900"/>
      <c r="S57" s="1900"/>
      <c r="T57" s="1900"/>
      <c r="U57" s="2233"/>
      <c r="V57" s="2233"/>
      <c r="W57" s="2233"/>
      <c r="X57" s="1900"/>
      <c r="Y57" s="1900"/>
      <c r="Z57" s="1900"/>
      <c r="AA57" s="231"/>
      <c r="AB57" s="1737" t="s">
        <v>1229</v>
      </c>
      <c r="AC57" s="1737"/>
      <c r="AD57" s="1737"/>
      <c r="AE57" s="1737"/>
      <c r="AF57" s="1737"/>
      <c r="AG57" s="1737"/>
      <c r="AH57" s="1737"/>
      <c r="AI57" s="1737"/>
      <c r="AJ57" s="1737"/>
      <c r="AK57" s="1737"/>
      <c r="AL57" s="1737"/>
      <c r="AM57" s="2080">
        <f>+EG1</f>
        <v>0</v>
      </c>
      <c r="AN57" s="2080"/>
      <c r="AO57" s="2080"/>
      <c r="AP57" s="224"/>
      <c r="AQ57" s="340"/>
      <c r="AR57" s="224"/>
      <c r="AS57" s="129"/>
      <c r="BI57" s="129"/>
      <c r="BJ57" s="558"/>
      <c r="BK57" s="558"/>
      <c r="BQ57" s="628"/>
      <c r="BR57" s="628"/>
      <c r="BS57" s="628"/>
      <c r="BT57" s="628"/>
      <c r="BU57" s="628"/>
      <c r="BV57" s="628"/>
      <c r="BW57" s="2115" t="s">
        <v>1066</v>
      </c>
      <c r="BX57" s="2115"/>
      <c r="BY57" s="1140"/>
      <c r="BZ57" s="633" t="s">
        <v>503</v>
      </c>
      <c r="CA57" s="1141"/>
      <c r="CD57" s="1371" t="s">
        <v>1538</v>
      </c>
      <c r="CE57" s="1368">
        <f>IF(CF57="",+Novembre!CE57,CF57)</f>
        <v>0</v>
      </c>
      <c r="CF57" s="1319"/>
      <c r="FP57" s="129">
        <f>SUM(FP20:FP50)</f>
        <v>0</v>
      </c>
      <c r="GO57" s="129">
        <f>SUM(GO20:GO52)</f>
        <v>0</v>
      </c>
    </row>
    <row r="58" spans="1:199" x14ac:dyDescent="0.2">
      <c r="A58" s="2241" t="str">
        <f>Taux_cotisations!A31</f>
        <v>CSG/RDS non déd sur rev non imp</v>
      </c>
      <c r="B58" s="2242"/>
      <c r="C58" s="2242"/>
      <c r="D58" s="2242"/>
      <c r="E58" s="2242"/>
      <c r="F58" s="2242"/>
      <c r="G58" s="2243"/>
      <c r="H58" s="2204">
        <f>(T19+T20+T21+T22+T26)*INDEX(table_base_coef_salariale,MATCH(A58,Taux_cotisations!$A$75:$A$101,0),MATCH($X$3,Taux_cotisations!$A$75:$M$75,0))</f>
        <v>0</v>
      </c>
      <c r="I58" s="2205"/>
      <c r="J58" s="2206"/>
      <c r="K58" s="2209">
        <f>INDEX(table_taux_salariales,MATCH(A58,Taux_cotisations!$A$6:$A$32,0),MATCH($X$3,Taux_cotisations!$A$6:$M$6,0))</f>
        <v>9.7000000000000003E-2</v>
      </c>
      <c r="L58" s="2209"/>
      <c r="M58" s="1802"/>
      <c r="N58" s="2245">
        <f>ROUND(K58*H58,4)</f>
        <v>0</v>
      </c>
      <c r="O58" s="1776"/>
      <c r="P58" s="2246"/>
      <c r="Q58" s="223"/>
      <c r="R58" s="1900"/>
      <c r="S58" s="1900"/>
      <c r="T58" s="1900"/>
      <c r="U58" s="2233"/>
      <c r="V58" s="2233"/>
      <c r="W58" s="2233"/>
      <c r="X58" s="1900"/>
      <c r="Y58" s="1900"/>
      <c r="Z58" s="1900"/>
      <c r="AA58" s="231"/>
      <c r="AP58" s="224"/>
      <c r="AQ58" s="340"/>
      <c r="AR58" s="224"/>
      <c r="AS58" s="129"/>
      <c r="AU58" s="636"/>
      <c r="AV58" s="636"/>
      <c r="AW58" s="636"/>
      <c r="AX58" s="636"/>
      <c r="AY58" s="636"/>
      <c r="AZ58" s="636"/>
      <c r="BA58" s="1154" t="s">
        <v>1451</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7" t="s">
        <v>1532</v>
      </c>
      <c r="CE58" s="1372">
        <f>IF(CF58="",Novembre!CE58,CF58)</f>
        <v>0</v>
      </c>
      <c r="CF58" s="1369"/>
      <c r="FG58" s="333">
        <f t="array" ref="FG58">IFERROR(+INDEX($FG$20:$FG$50,MATCH(0,INDEX(COUNTIF($FG$57:FG57,$FG$20:$FG$50),0,0),0)),0)</f>
        <v>0</v>
      </c>
    </row>
    <row r="59" spans="1:199" x14ac:dyDescent="0.2">
      <c r="A59" s="2168" t="str">
        <f>Taux_cotisations!A32</f>
        <v>Réduction cot. HC et HS</v>
      </c>
      <c r="B59" s="2169"/>
      <c r="C59" s="2169"/>
      <c r="D59" s="2169"/>
      <c r="E59" s="2169"/>
      <c r="F59" s="2169"/>
      <c r="G59" s="2170"/>
      <c r="H59" s="1857">
        <f>(+T19+T20+T21+T22+T26)</f>
        <v>0</v>
      </c>
      <c r="I59" s="1780"/>
      <c r="J59" s="1858"/>
      <c r="K59" s="2209">
        <f>INDEX(table_taux_salariales,MATCH(A59,Taux_cotisations!$A$6:$A$32,0),MATCH($X$3,Taux_cotisations!$A$6:$M$6,0))</f>
        <v>0.11310000000000001</v>
      </c>
      <c r="L59" s="2209"/>
      <c r="M59" s="1802"/>
      <c r="N59" s="1780">
        <f>ROUND(K59*H59*-1,2)</f>
        <v>0</v>
      </c>
      <c r="O59" s="1780"/>
      <c r="P59" s="1780"/>
      <c r="Q59" s="233"/>
      <c r="R59" s="2213"/>
      <c r="S59" s="2213"/>
      <c r="T59" s="2213"/>
      <c r="U59" s="2213"/>
      <c r="V59" s="2213"/>
      <c r="W59" s="2213"/>
      <c r="X59" s="2213"/>
      <c r="Y59" s="2213"/>
      <c r="Z59" s="2213"/>
      <c r="AA59" s="231"/>
      <c r="AP59" s="224"/>
      <c r="AQ59" s="1044"/>
      <c r="AR59" s="1045"/>
      <c r="AS59" s="1046"/>
      <c r="AT59" s="1046"/>
      <c r="AU59" s="1046"/>
      <c r="AV59" s="1046"/>
      <c r="AW59" s="1046"/>
      <c r="AX59" s="1046"/>
      <c r="AY59" s="1046"/>
      <c r="AZ59" s="1046"/>
      <c r="BB59" s="129"/>
      <c r="BC59" s="129"/>
      <c r="BD59" s="129"/>
      <c r="BE59" s="129"/>
      <c r="BF59" s="129"/>
      <c r="BG59" s="129"/>
      <c r="BH59" s="129"/>
      <c r="BI59" s="2114" t="str">
        <f>+"2) Pour une journée supérieure (&gt;) à "</f>
        <v xml:space="preserve">2) Pour une journée supérieure (&gt;) à </v>
      </c>
      <c r="BJ59" s="2114"/>
      <c r="BK59" s="2114"/>
      <c r="BL59" s="2114"/>
      <c r="BM59" s="2114"/>
      <c r="BN59" s="2114"/>
      <c r="BO59" s="2114"/>
      <c r="BP59" s="2114"/>
      <c r="BQ59" s="2114"/>
      <c r="BR59" s="2114"/>
      <c r="BS59" s="2114"/>
      <c r="BT59" s="2114"/>
      <c r="BU59" s="2114"/>
      <c r="BV59" s="2114"/>
      <c r="BW59" s="2114"/>
      <c r="BX59" s="2114"/>
      <c r="BY59" s="634">
        <f>+BY56</f>
        <v>24</v>
      </c>
      <c r="BZ59" s="628"/>
      <c r="CA59" s="628"/>
      <c r="CD59" s="623" t="str">
        <f>+"Soit par heure :"</f>
        <v>Soit par heure :</v>
      </c>
      <c r="CE59" s="1368">
        <f>+IF(CE58,CE57/CE58,0)</f>
        <v>0</v>
      </c>
      <c r="FG59" s="333">
        <f t="array" ref="FG59">IFERROR(+INDEX($FG$20:$FG$50,MATCH(0,INDEX(COUNTIF($FG$57:FG58,$FG$20:$FG$50),0,0),0)),0)</f>
        <v>0</v>
      </c>
    </row>
    <row r="60" spans="1:199" x14ac:dyDescent="0.2">
      <c r="A60" s="2236"/>
      <c r="B60" s="2237"/>
      <c r="C60" s="2237"/>
      <c r="D60" s="2237"/>
      <c r="E60" s="2237"/>
      <c r="F60" s="2237"/>
      <c r="G60" s="2238"/>
      <c r="H60" s="2239"/>
      <c r="I60" s="1792"/>
      <c r="J60" s="2240"/>
      <c r="K60" s="2209"/>
      <c r="L60" s="2209"/>
      <c r="M60" s="1802"/>
      <c r="N60" s="1780"/>
      <c r="O60" s="1780"/>
      <c r="P60" s="1780"/>
      <c r="Q60" s="233"/>
      <c r="R60" s="2220"/>
      <c r="S60" s="2220"/>
      <c r="T60" s="2220"/>
      <c r="U60" s="2220"/>
      <c r="V60" s="2220"/>
      <c r="W60" s="2220"/>
      <c r="X60" s="2220"/>
      <c r="Y60" s="2220"/>
      <c r="Z60" s="2220"/>
      <c r="AA60" s="231"/>
      <c r="AB60" s="913"/>
      <c r="AC60" s="913"/>
      <c r="AD60" s="913"/>
      <c r="AE60" s="913"/>
      <c r="AF60" s="913"/>
      <c r="AG60" s="913"/>
      <c r="AH60" s="913"/>
      <c r="AI60" s="913"/>
      <c r="AJ60" s="913"/>
      <c r="AK60" s="913"/>
      <c r="AL60" s="913"/>
      <c r="AM60" s="1041"/>
      <c r="AN60" s="1041"/>
      <c r="AO60" s="1041"/>
      <c r="AP60" s="224"/>
      <c r="AQ60" s="1155" t="s">
        <v>1703</v>
      </c>
      <c r="AR60" s="1156"/>
      <c r="AS60" s="1157" t="s">
        <v>1448</v>
      </c>
      <c r="AT60" s="1158" t="s">
        <v>36</v>
      </c>
      <c r="AU60" s="2102" t="s">
        <v>1450</v>
      </c>
      <c r="AV60" s="2102"/>
      <c r="AW60" s="2102"/>
      <c r="AX60" s="2101" t="s">
        <v>36</v>
      </c>
      <c r="AY60" s="2101"/>
      <c r="AZ60" s="1159" t="s">
        <v>1449</v>
      </c>
      <c r="BA60" s="1158" t="s">
        <v>36</v>
      </c>
      <c r="BB60" s="129"/>
      <c r="BC60" s="129"/>
      <c r="BD60" s="129"/>
      <c r="BE60" s="129"/>
      <c r="BF60" s="129"/>
      <c r="BG60" s="129"/>
      <c r="BH60" s="129"/>
      <c r="BI60" s="2114" t="s">
        <v>1108</v>
      </c>
      <c r="BJ60" s="2114"/>
      <c r="BK60" s="2114"/>
      <c r="BL60" s="2114"/>
      <c r="BM60" s="2114"/>
      <c r="BN60" s="2114"/>
      <c r="BO60" s="2114"/>
      <c r="BP60" s="2114"/>
      <c r="BQ60" s="2114"/>
      <c r="BR60" s="2114"/>
      <c r="BS60" s="2114"/>
      <c r="BT60" s="2114"/>
      <c r="BU60" s="2114"/>
      <c r="BV60" s="2114"/>
      <c r="BW60" s="2114"/>
      <c r="BX60" s="2114"/>
      <c r="BY60" s="634">
        <v>24.00001</v>
      </c>
      <c r="BZ60" s="631" t="s">
        <v>1065</v>
      </c>
      <c r="CA60" s="632">
        <f>+IF(CA61="",Novembre!CA60,CA61)</f>
        <v>0</v>
      </c>
      <c r="FG60" s="333">
        <f t="array" ref="FG60">IFERROR(+INDEX($FG$20:$FG$50,MATCH(0,INDEX(COUNTIF($FG$57:FG59,$FG$20:$FG$50),0,0),0)),0)</f>
        <v>0</v>
      </c>
    </row>
    <row r="61" spans="1:199" x14ac:dyDescent="0.2">
      <c r="A61" s="234"/>
      <c r="B61" s="234"/>
      <c r="C61" s="234"/>
      <c r="D61" s="234"/>
      <c r="E61" s="234"/>
      <c r="F61" s="234"/>
      <c r="G61" s="234"/>
      <c r="H61" s="2207" t="s">
        <v>133</v>
      </c>
      <c r="I61" s="2208"/>
      <c r="J61" s="2208"/>
      <c r="K61" s="2208"/>
      <c r="L61" s="2208"/>
      <c r="M61" s="2208"/>
      <c r="N61" s="2217">
        <f>ROUND(SUM(N40:P59),2)</f>
        <v>0</v>
      </c>
      <c r="O61" s="2217"/>
      <c r="P61" s="2218"/>
      <c r="Q61" s="235"/>
      <c r="R61" s="2222" t="s">
        <v>134</v>
      </c>
      <c r="S61" s="2223"/>
      <c r="T61" s="2223"/>
      <c r="U61" s="2223"/>
      <c r="V61" s="2223"/>
      <c r="W61" s="2224"/>
      <c r="X61" s="2210">
        <f>ROUND(SUM(X40:Z59),2)</f>
        <v>0</v>
      </c>
      <c r="Y61" s="2211"/>
      <c r="Z61" s="2212"/>
      <c r="AA61" s="231"/>
      <c r="AB61" s="913"/>
      <c r="AC61" s="913"/>
      <c r="AD61" s="913"/>
      <c r="AE61" s="913"/>
      <c r="AF61" s="913"/>
      <c r="AG61" s="913"/>
      <c r="AH61" s="913"/>
      <c r="AI61" s="913"/>
      <c r="AJ61" s="913"/>
      <c r="AK61" s="913"/>
      <c r="AL61" s="913"/>
      <c r="AM61" s="1041"/>
      <c r="AN61" s="1041"/>
      <c r="AO61" s="1041"/>
      <c r="AP61" s="224"/>
      <c r="AQ61" s="1155" t="s">
        <v>1704</v>
      </c>
      <c r="AR61" s="1156"/>
      <c r="AS61" s="1157" t="s">
        <v>1448</v>
      </c>
      <c r="AT61" s="1158" t="s">
        <v>36</v>
      </c>
      <c r="AU61" s="2102" t="s">
        <v>1450</v>
      </c>
      <c r="AV61" s="2102"/>
      <c r="AW61" s="2102"/>
      <c r="AX61" s="2101" t="s">
        <v>36</v>
      </c>
      <c r="AY61" s="2101"/>
      <c r="AZ61" s="1159" t="s">
        <v>1449</v>
      </c>
      <c r="BA61" s="1158" t="s">
        <v>36</v>
      </c>
      <c r="BB61" s="129"/>
      <c r="BC61" s="129"/>
      <c r="BD61" s="129"/>
      <c r="BE61" s="129"/>
      <c r="BF61" s="129"/>
      <c r="BG61" s="129"/>
      <c r="BH61" s="129"/>
      <c r="BI61" s="1435"/>
      <c r="BQ61" s="628"/>
      <c r="BR61" s="628"/>
      <c r="BS61" s="628"/>
      <c r="BT61" s="628"/>
      <c r="BU61" s="628"/>
      <c r="BV61" s="628"/>
      <c r="BW61" s="628"/>
      <c r="BX61" s="671"/>
      <c r="BY61" s="671"/>
      <c r="BZ61" s="633" t="s">
        <v>503</v>
      </c>
      <c r="CA61" s="1141"/>
      <c r="FG61" s="333">
        <f t="array" ref="FG61">IFERROR(+INDEX($FG$20:$FG$50,MATCH(0,INDEX(COUNTIF($FG$57:FG60,$FG$20:$FG$50),0,0),0)),0)</f>
        <v>0</v>
      </c>
    </row>
    <row r="62" spans="1:199" x14ac:dyDescent="0.2">
      <c r="A62" s="234"/>
      <c r="B62" s="234"/>
      <c r="C62" s="234"/>
      <c r="D62" s="234"/>
      <c r="E62" s="234"/>
      <c r="F62" s="234"/>
      <c r="G62" s="234"/>
      <c r="H62" s="2221" t="s">
        <v>59</v>
      </c>
      <c r="I62" s="2221"/>
      <c r="J62" s="2221"/>
      <c r="K62" s="2221"/>
      <c r="L62" s="2221"/>
      <c r="M62" s="2221"/>
      <c r="N62" s="2197">
        <f>ROUND(T35-N61,2)</f>
        <v>0</v>
      </c>
      <c r="O62" s="2197"/>
      <c r="P62" s="2197"/>
      <c r="Q62" s="235"/>
      <c r="R62" s="2196" t="s">
        <v>1288</v>
      </c>
      <c r="S62" s="2196"/>
      <c r="T62" s="2196"/>
      <c r="U62" s="918"/>
      <c r="V62" s="918"/>
      <c r="W62" s="918"/>
      <c r="X62" s="918"/>
      <c r="Y62" s="918"/>
      <c r="Z62" s="918"/>
      <c r="AA62" s="945"/>
      <c r="AB62" s="222"/>
      <c r="AC62" s="222"/>
      <c r="AD62" s="224"/>
      <c r="AE62" s="224"/>
      <c r="AF62" s="224"/>
      <c r="AG62" s="224"/>
      <c r="AH62" s="224"/>
      <c r="AI62" s="224"/>
      <c r="AJ62" s="2091" t="s">
        <v>1282</v>
      </c>
      <c r="AK62" s="2092"/>
      <c r="AL62" s="2092"/>
      <c r="AM62" s="2070" t="s">
        <v>669</v>
      </c>
      <c r="AN62" s="2070"/>
      <c r="AO62" s="2071"/>
      <c r="AP62" s="224"/>
      <c r="AQ62" s="2103"/>
      <c r="AR62" s="2104"/>
      <c r="AS62" s="2104"/>
      <c r="AT62" s="2104"/>
      <c r="AU62" s="2105"/>
      <c r="AV62" s="1047"/>
      <c r="AW62" s="1046"/>
      <c r="AX62" s="2106"/>
      <c r="AY62" s="2107"/>
      <c r="AZ62" s="1603"/>
      <c r="BA62" s="1605"/>
      <c r="BB62" s="558"/>
      <c r="BC62" s="2098" t="str">
        <f>+IF((N65+N66)&lt;CA51,"Attention vos indemnités d'entretien pour le mois sont inférieures au minimum conventionnel","")</f>
        <v/>
      </c>
      <c r="BD62" s="2098"/>
      <c r="BE62" s="2098"/>
      <c r="BF62" s="2098"/>
      <c r="BG62" s="1435"/>
      <c r="BH62" s="1435"/>
      <c r="BI62" s="129"/>
      <c r="BJ62" s="129"/>
      <c r="BK62" s="129"/>
      <c r="BL62" s="129"/>
      <c r="BM62" s="129"/>
      <c r="BN62" s="129"/>
      <c r="BO62" s="129"/>
      <c r="BP62" s="129"/>
      <c r="FG62" s="333">
        <f t="array" ref="FG62">IFERROR(+INDEX($FG$20:$FG$50,MATCH(0,INDEX(COUNTIF($FG$57:FG61,$FG$20:$FG$50),0,0),0)),0)</f>
        <v>0</v>
      </c>
    </row>
    <row r="63" spans="1:199" x14ac:dyDescent="0.2">
      <c r="R63" s="2079" t="str">
        <f>+IF(FG58=0,"",FG58)</f>
        <v/>
      </c>
      <c r="S63" s="2079"/>
      <c r="T63" s="1737" t="str">
        <f>IFERROR(+VLOOKUP(R63,'Liste des Libellés'!$A$5:$B$34,2,FALSE),"")</f>
        <v/>
      </c>
      <c r="U63" s="1737"/>
      <c r="V63" s="1737"/>
      <c r="W63" s="1737"/>
      <c r="X63" s="1737"/>
      <c r="Y63" s="1737"/>
      <c r="Z63" s="1737"/>
      <c r="AA63" s="2072" t="str">
        <f>+AT75</f>
        <v/>
      </c>
      <c r="AB63" s="2073"/>
      <c r="AC63" s="2073"/>
      <c r="AD63" s="2073"/>
      <c r="AE63" s="2073"/>
      <c r="AF63" s="2073"/>
      <c r="AG63" s="2146" t="str">
        <f>+AY75</f>
        <v/>
      </c>
      <c r="AH63" s="2073"/>
      <c r="AI63" s="2073"/>
      <c r="AJ63" s="2081" t="str">
        <f>+BA75</f>
        <v/>
      </c>
      <c r="AK63" s="2081"/>
      <c r="AL63" s="2081"/>
      <c r="AM63" s="2081" t="str">
        <f>+BC75</f>
        <v/>
      </c>
      <c r="AN63" s="2081"/>
      <c r="AO63" s="2082"/>
      <c r="AP63" s="224"/>
      <c r="AQ63" s="2093"/>
      <c r="AR63" s="2094"/>
      <c r="AS63" s="2094"/>
      <c r="AT63" s="2094"/>
      <c r="AU63" s="2095"/>
      <c r="AV63" s="1047"/>
      <c r="AW63" s="1046"/>
      <c r="AX63" s="2099"/>
      <c r="AY63" s="2100"/>
      <c r="AZ63" s="1604"/>
      <c r="BA63" s="1606"/>
      <c r="BB63" s="559"/>
      <c r="BC63" s="2098"/>
      <c r="BD63" s="2098"/>
      <c r="BE63" s="2098"/>
      <c r="BF63" s="2098"/>
      <c r="BG63" s="1435"/>
      <c r="BH63" s="1435"/>
      <c r="BI63" s="129"/>
      <c r="BJ63" s="129"/>
      <c r="BK63" s="129"/>
      <c r="BL63" s="129"/>
      <c r="BM63" s="129"/>
      <c r="BN63" s="129"/>
      <c r="BO63" s="129"/>
      <c r="BP63" s="129"/>
    </row>
    <row r="64" spans="1:199" ht="12.75" customHeight="1" x14ac:dyDescent="0.2">
      <c r="A64" s="2202" t="s">
        <v>60</v>
      </c>
      <c r="B64" s="2203"/>
      <c r="C64" s="2203"/>
      <c r="D64" s="2203"/>
      <c r="E64" s="2203"/>
      <c r="F64" s="2203"/>
      <c r="G64" s="2203"/>
      <c r="H64" s="2198" t="s">
        <v>44</v>
      </c>
      <c r="I64" s="2198"/>
      <c r="J64" s="2198"/>
      <c r="K64" s="2198" t="s">
        <v>45</v>
      </c>
      <c r="L64" s="2198"/>
      <c r="M64" s="2198"/>
      <c r="N64" s="2198" t="s">
        <v>46</v>
      </c>
      <c r="O64" s="2198"/>
      <c r="P64" s="2198"/>
      <c r="Q64" s="206"/>
      <c r="R64" s="2079" t="str">
        <f t="shared" ref="R64:R67" si="80">+IF(FG59=0,"",FG59)</f>
        <v/>
      </c>
      <c r="S64" s="2079"/>
      <c r="T64" s="1737" t="str">
        <f>IFERROR(+VLOOKUP(R64,'Liste des Libellés'!$A$5:$B$34,2,FALSE),"")</f>
        <v/>
      </c>
      <c r="U64" s="1737"/>
      <c r="V64" s="1737"/>
      <c r="W64" s="1737"/>
      <c r="X64" s="1737"/>
      <c r="Y64" s="1737"/>
      <c r="Z64" s="1737"/>
      <c r="AA64" s="2112" t="str">
        <f>+AT78</f>
        <v/>
      </c>
      <c r="AB64" s="2079"/>
      <c r="AC64" s="2079"/>
      <c r="AD64" s="2079"/>
      <c r="AE64" s="2079"/>
      <c r="AF64" s="2079"/>
      <c r="AG64" s="2078" t="str">
        <f>+AY78</f>
        <v/>
      </c>
      <c r="AH64" s="2079"/>
      <c r="AI64" s="2079"/>
      <c r="AJ64" s="2074" t="str">
        <f>+BA78</f>
        <v/>
      </c>
      <c r="AK64" s="2074"/>
      <c r="AL64" s="2074"/>
      <c r="AM64" s="2074" t="str">
        <f>+BC78</f>
        <v/>
      </c>
      <c r="AN64" s="2074"/>
      <c r="AO64" s="2110"/>
      <c r="AP64" s="224"/>
      <c r="AQ64" s="923" t="s">
        <v>1095</v>
      </c>
      <c r="AR64" s="224"/>
      <c r="AZ64" s="129"/>
      <c r="BA64" s="129"/>
      <c r="BB64" s="129"/>
      <c r="BC64" s="2098"/>
      <c r="BD64" s="2098"/>
      <c r="BE64" s="2098"/>
      <c r="BF64" s="2098"/>
      <c r="BG64" s="1435"/>
      <c r="BH64" s="1435"/>
      <c r="BI64" s="129"/>
      <c r="BJ64" s="129"/>
      <c r="BK64" s="129"/>
      <c r="BL64" s="129"/>
      <c r="BM64" s="129"/>
      <c r="BN64" s="129"/>
      <c r="BO64" s="129"/>
      <c r="BP64" s="129"/>
    </row>
    <row r="65" spans="1:83" x14ac:dyDescent="0.2">
      <c r="A65" s="2229" t="s">
        <v>1462</v>
      </c>
      <c r="B65" s="2214"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2215"/>
      <c r="D65" s="2215"/>
      <c r="E65" s="2215"/>
      <c r="F65" s="2215"/>
      <c r="G65" s="2216"/>
      <c r="H65" s="2277">
        <f>IF(AX60="Oui",AX62,IF(AX60="Oui",AX62,+IF(BW41="Oui",BY44,IF(AND(BW41="Non",K65&gt;0),EA51,0))))</f>
        <v>0</v>
      </c>
      <c r="I65" s="2277"/>
      <c r="J65" s="2277"/>
      <c r="K65" s="2227">
        <f>IF(BA60="Oui",BA62,+IF(BW41="Oui",BZ44,IF(BW41="Non",CA56,0)))</f>
        <v>0</v>
      </c>
      <c r="L65" s="2227"/>
      <c r="M65" s="2227"/>
      <c r="N65" s="2219">
        <f>ROUND(K65*H65,2)</f>
        <v>0</v>
      </c>
      <c r="O65" s="2219"/>
      <c r="P65" s="2219"/>
      <c r="Q65" s="231"/>
      <c r="R65" s="2079" t="str">
        <f t="shared" si="80"/>
        <v/>
      </c>
      <c r="S65" s="2079"/>
      <c r="T65" s="1737" t="str">
        <f>IFERROR(+VLOOKUP(R65,'Liste des Libellés'!$A$5:$B$34,2,FALSE),"")</f>
        <v/>
      </c>
      <c r="U65" s="1737"/>
      <c r="V65" s="1737"/>
      <c r="W65" s="1737"/>
      <c r="X65" s="1737"/>
      <c r="Y65" s="1737"/>
      <c r="Z65" s="1737"/>
      <c r="AA65" s="2112" t="str">
        <f>+AT81</f>
        <v/>
      </c>
      <c r="AB65" s="2079"/>
      <c r="AC65" s="2079"/>
      <c r="AD65" s="2079"/>
      <c r="AE65" s="2079"/>
      <c r="AF65" s="2079"/>
      <c r="AG65" s="2078" t="str">
        <f>+AY81</f>
        <v/>
      </c>
      <c r="AH65" s="2079"/>
      <c r="AI65" s="2079"/>
      <c r="AJ65" s="2074" t="str">
        <f>+BA81</f>
        <v/>
      </c>
      <c r="AK65" s="2074"/>
      <c r="AL65" s="2074"/>
      <c r="AM65" s="2074" t="str">
        <f>+BC81</f>
        <v/>
      </c>
      <c r="AN65" s="2074"/>
      <c r="AO65" s="2110"/>
      <c r="AP65" s="224"/>
      <c r="AQ65" s="924" t="s">
        <v>1093</v>
      </c>
      <c r="AR65" s="2126" t="s">
        <v>366</v>
      </c>
      <c r="AS65" s="2126"/>
      <c r="AT65" s="2126"/>
      <c r="AU65" s="2126"/>
      <c r="AV65" s="2126"/>
      <c r="AW65" s="2126"/>
      <c r="AX65" s="2126"/>
      <c r="AY65" s="2126"/>
      <c r="AZ65" s="2126"/>
      <c r="BA65" s="1160"/>
      <c r="BB65" s="560"/>
      <c r="BC65" s="560"/>
      <c r="BD65" s="560"/>
      <c r="BE65" s="560"/>
      <c r="BF65" s="560"/>
      <c r="BG65" s="560"/>
      <c r="BH65" s="560"/>
      <c r="BI65" s="560"/>
    </row>
    <row r="66" spans="1:83" x14ac:dyDescent="0.2">
      <c r="A66" s="2230"/>
      <c r="B66" s="17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768"/>
      <c r="D66" s="1768"/>
      <c r="E66" s="1768"/>
      <c r="F66" s="1768"/>
      <c r="G66" s="1769"/>
      <c r="H66" s="2232">
        <f>+IF(AX61="Oui",AX63,+IF(BW41="Oui",BY47,IF(AND(BW41="Non",K65&gt;0),EB51,0)))</f>
        <v>0</v>
      </c>
      <c r="I66" s="2232"/>
      <c r="J66" s="2232"/>
      <c r="K66" s="2227">
        <f>IF(BA61="Oui",BA63,+IF(BW41="Oui",BZ47,IF(AND(BW41="Non",BY60-BY59&gt;0.01),CA60,0)))</f>
        <v>0</v>
      </c>
      <c r="L66" s="2227"/>
      <c r="M66" s="2227"/>
      <c r="N66" s="1780">
        <f>ROUND(K66*H66,2)</f>
        <v>0</v>
      </c>
      <c r="O66" s="1780"/>
      <c r="P66" s="1780"/>
      <c r="Q66" s="231"/>
      <c r="R66" s="2079" t="str">
        <f t="shared" si="80"/>
        <v/>
      </c>
      <c r="S66" s="2079"/>
      <c r="T66" s="1737" t="str">
        <f>IFERROR(+VLOOKUP(R66,'Liste des Libellés'!$A$5:$B$34,2,FALSE),"")</f>
        <v/>
      </c>
      <c r="U66" s="1737"/>
      <c r="V66" s="1737"/>
      <c r="W66" s="1737"/>
      <c r="X66" s="1737"/>
      <c r="Y66" s="1737"/>
      <c r="Z66" s="1737"/>
      <c r="AA66" s="2108" t="str">
        <f>+AT84</f>
        <v/>
      </c>
      <c r="AB66" s="2109"/>
      <c r="AC66" s="2109"/>
      <c r="AD66" s="2109"/>
      <c r="AE66" s="2109"/>
      <c r="AF66" s="2109"/>
      <c r="AG66" s="2109" t="str">
        <f>+AY84</f>
        <v/>
      </c>
      <c r="AH66" s="2111"/>
      <c r="AI66" s="2111"/>
      <c r="AJ66" s="2165" t="str">
        <f>+BA84</f>
        <v/>
      </c>
      <c r="AK66" s="2165"/>
      <c r="AL66" s="2165"/>
      <c r="AM66" s="2165" t="str">
        <f>+BC84</f>
        <v/>
      </c>
      <c r="AN66" s="2165"/>
      <c r="AO66" s="2166"/>
      <c r="AQ66" s="924" t="s">
        <v>1093</v>
      </c>
      <c r="AR66" s="2127" t="s">
        <v>364</v>
      </c>
      <c r="AS66" s="2127"/>
      <c r="AT66" s="2127"/>
      <c r="AU66" s="2127"/>
      <c r="AV66" s="2127"/>
      <c r="AW66" s="2127"/>
      <c r="AX66" s="2127"/>
      <c r="AY66" s="2127"/>
      <c r="AZ66" s="2127"/>
      <c r="BA66" s="1161"/>
      <c r="BB66" s="559"/>
      <c r="BC66" s="559"/>
      <c r="BD66" s="559"/>
      <c r="BE66" s="559"/>
      <c r="BF66" s="559"/>
      <c r="BG66" s="559"/>
      <c r="BH66" s="559"/>
      <c r="BI66" s="559"/>
      <c r="BQ66" s="668" t="s">
        <v>1058</v>
      </c>
    </row>
    <row r="67" spans="1:83" x14ac:dyDescent="0.2">
      <c r="A67" s="2230"/>
      <c r="B67" s="1770" t="s">
        <v>63</v>
      </c>
      <c r="C67" s="1770"/>
      <c r="D67" s="1770"/>
      <c r="E67" s="1770"/>
      <c r="F67" s="1770"/>
      <c r="G67" s="1771"/>
      <c r="H67" s="1781">
        <f>+IF(AND(BA66="",K67&gt;0),AL69,BA66)</f>
        <v>0</v>
      </c>
      <c r="I67" s="1781"/>
      <c r="J67" s="1781"/>
      <c r="K67" s="1782">
        <f>+IF(BA65="",Novembre!K67,BA65)</f>
        <v>0</v>
      </c>
      <c r="L67" s="1782"/>
      <c r="M67" s="1782"/>
      <c r="N67" s="1780">
        <f>ROUND(K67*H67,2)</f>
        <v>0</v>
      </c>
      <c r="O67" s="1780"/>
      <c r="P67" s="1780"/>
      <c r="Q67" s="248"/>
      <c r="R67" s="2079" t="str">
        <f t="shared" si="80"/>
        <v/>
      </c>
      <c r="S67" s="2079"/>
      <c r="T67" s="1737" t="str">
        <f>IFERROR(+VLOOKUP(R67,'Liste des Libellés'!$A$5:$B$34,2,FALSE),"")</f>
        <v/>
      </c>
      <c r="U67" s="1737"/>
      <c r="V67" s="1737"/>
      <c r="W67" s="1737"/>
      <c r="X67" s="1737"/>
      <c r="Y67" s="1737"/>
      <c r="Z67" s="1737"/>
      <c r="AA67" s="257"/>
      <c r="AB67" s="962"/>
      <c r="AC67" s="257"/>
      <c r="AD67" s="257"/>
      <c r="AE67" s="257"/>
      <c r="AF67" s="257"/>
      <c r="AG67" s="257"/>
      <c r="AH67" s="257"/>
      <c r="AI67" s="257"/>
      <c r="AJ67" s="257"/>
      <c r="AK67" s="257"/>
      <c r="AL67" s="257"/>
      <c r="AM67" s="257"/>
      <c r="AN67" s="257"/>
      <c r="AO67" s="257"/>
      <c r="AP67" s="249"/>
      <c r="AQ67" s="924" t="s">
        <v>1093</v>
      </c>
      <c r="AR67" s="1048"/>
      <c r="AS67" s="1047"/>
      <c r="AT67" s="1047"/>
      <c r="AU67" s="1047"/>
      <c r="AV67" s="1047"/>
      <c r="AW67" s="1047"/>
      <c r="AX67" s="1047"/>
      <c r="AY67" s="1047"/>
      <c r="AZ67" s="1047"/>
      <c r="BA67" s="1046"/>
    </row>
    <row r="68" spans="1:83" ht="12.75" customHeight="1" x14ac:dyDescent="0.2">
      <c r="A68" s="2230"/>
      <c r="B68" s="1770" t="s">
        <v>65</v>
      </c>
      <c r="C68" s="1770"/>
      <c r="D68" s="1770"/>
      <c r="E68" s="1770"/>
      <c r="F68" s="1770"/>
      <c r="G68" s="1771"/>
      <c r="H68" s="1781">
        <f>+IF(AND(BA69="",K68&gt;0),AL69,BA69)</f>
        <v>0</v>
      </c>
      <c r="I68" s="1781"/>
      <c r="J68" s="1781"/>
      <c r="K68" s="1782">
        <f>+IF(BA68="",Novembre!K68,BA68)</f>
        <v>0</v>
      </c>
      <c r="L68" s="1782"/>
      <c r="M68" s="1782"/>
      <c r="N68" s="1780">
        <f>ROUND(K68*H68,2)</f>
        <v>0</v>
      </c>
      <c r="O68" s="1780"/>
      <c r="P68" s="178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1093</v>
      </c>
      <c r="AR68" s="2126" t="s">
        <v>367</v>
      </c>
      <c r="AS68" s="2126"/>
      <c r="AT68" s="2126"/>
      <c r="AU68" s="2126"/>
      <c r="AV68" s="2126"/>
      <c r="AW68" s="2126"/>
      <c r="AX68" s="2126"/>
      <c r="AY68" s="2126"/>
      <c r="AZ68" s="2126"/>
      <c r="BA68" s="1160"/>
      <c r="BB68" s="560"/>
      <c r="BC68" s="560"/>
      <c r="BD68" s="560"/>
      <c r="BE68" s="560"/>
      <c r="BF68" s="560"/>
      <c r="BG68" s="560"/>
      <c r="BH68" s="560"/>
      <c r="BI68" s="560"/>
      <c r="BJ68" s="256"/>
      <c r="BK68" s="256"/>
      <c r="BL68" s="256"/>
      <c r="BM68" s="256"/>
      <c r="BN68" s="256"/>
      <c r="BO68" s="256"/>
      <c r="BQ68" s="129" t="s">
        <v>61</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2230"/>
      <c r="B69" s="1768" t="s">
        <v>1461</v>
      </c>
      <c r="C69" s="1768"/>
      <c r="D69" s="1768"/>
      <c r="E69" s="1768"/>
      <c r="F69" s="1768"/>
      <c r="G69" s="1769"/>
      <c r="H69" s="1786"/>
      <c r="I69" s="1786"/>
      <c r="J69" s="1786"/>
      <c r="K69" s="2228"/>
      <c r="L69" s="2228"/>
      <c r="M69" s="2228"/>
      <c r="N69" s="1780">
        <f>ROUND(K69*H69,2)</f>
        <v>0</v>
      </c>
      <c r="O69" s="1780"/>
      <c r="P69" s="1780"/>
      <c r="Q69" s="213"/>
      <c r="R69" s="2120" t="s">
        <v>114</v>
      </c>
      <c r="S69" s="2120"/>
      <c r="T69" s="2120"/>
      <c r="U69" s="2120"/>
      <c r="V69" s="2120"/>
      <c r="W69" s="2120"/>
      <c r="X69" s="2120"/>
      <c r="Y69" s="2120"/>
      <c r="Z69" s="2120"/>
      <c r="AA69" s="2120"/>
      <c r="AB69" s="2120"/>
      <c r="AC69" s="2117" t="s">
        <v>1698</v>
      </c>
      <c r="AD69" s="2121" t="s">
        <v>66</v>
      </c>
      <c r="AE69" s="2122"/>
      <c r="AF69" s="2122"/>
      <c r="AG69" s="2122"/>
      <c r="AH69" s="2122"/>
      <c r="AI69" s="2122"/>
      <c r="AJ69" s="2122"/>
      <c r="AK69" s="2123"/>
      <c r="AL69" s="2125">
        <f>COUNTIF(AS20:AS50,"&gt;0")</f>
        <v>0</v>
      </c>
      <c r="AM69" s="2125"/>
      <c r="AN69" s="2125"/>
      <c r="AO69" s="2125"/>
      <c r="AP69" s="253"/>
      <c r="AQ69" s="924" t="s">
        <v>1093</v>
      </c>
      <c r="AR69" s="2127" t="s">
        <v>365</v>
      </c>
      <c r="AS69" s="2127"/>
      <c r="AT69" s="2127"/>
      <c r="AU69" s="2127"/>
      <c r="AV69" s="2127"/>
      <c r="AW69" s="2127"/>
      <c r="AX69" s="2127"/>
      <c r="AY69" s="2127"/>
      <c r="AZ69" s="2127"/>
      <c r="BA69" s="1161"/>
      <c r="BB69" s="559"/>
      <c r="BC69" s="559"/>
      <c r="BD69" s="559"/>
      <c r="BE69" s="559"/>
      <c r="BF69" s="559"/>
      <c r="BG69" s="559"/>
      <c r="BH69" s="559"/>
      <c r="BI69" s="559"/>
    </row>
    <row r="70" spans="1:83" x14ac:dyDescent="0.2">
      <c r="A70" s="2231"/>
      <c r="B70" s="214" t="s">
        <v>1490</v>
      </c>
      <c r="C70" s="1772"/>
      <c r="D70" s="1772"/>
      <c r="E70" s="1772"/>
      <c r="F70" s="1772"/>
      <c r="G70" s="1773"/>
      <c r="H70" s="2140"/>
      <c r="I70" s="2140"/>
      <c r="J70" s="2140"/>
      <c r="K70" s="2141"/>
      <c r="L70" s="2141"/>
      <c r="M70" s="2141"/>
      <c r="N70" s="1780">
        <f>ROUND(H70,2)</f>
        <v>0</v>
      </c>
      <c r="O70" s="1780"/>
      <c r="P70" s="1780"/>
      <c r="R70" s="2116" t="s">
        <v>135</v>
      </c>
      <c r="S70" s="2116"/>
      <c r="T70" s="2116"/>
      <c r="U70" s="2116"/>
      <c r="V70" s="2116"/>
      <c r="W70" s="2116"/>
      <c r="X70" s="2116"/>
      <c r="Y70" s="2116"/>
      <c r="Z70" s="1764">
        <f>+(T35*3.15%)-((H57+H58)*1.7%)</f>
        <v>0</v>
      </c>
      <c r="AA70" s="1764"/>
      <c r="AB70" s="1764"/>
      <c r="AC70" s="2118"/>
      <c r="AD70" s="2121" t="s">
        <v>68</v>
      </c>
      <c r="AE70" s="2122"/>
      <c r="AF70" s="2122"/>
      <c r="AG70" s="2122"/>
      <c r="AH70" s="2122"/>
      <c r="AI70" s="2122"/>
      <c r="AJ70" s="2122"/>
      <c r="AK70" s="2123"/>
      <c r="AL70" s="2125">
        <f>COUNTIF(AS20:AS50,"=8")+COUNTIF(AS20:AS50,"&gt;8")</f>
        <v>0</v>
      </c>
      <c r="AM70" s="2125"/>
      <c r="AN70" s="2125"/>
      <c r="AO70" s="2125"/>
      <c r="AQ70" s="924" t="s">
        <v>1093</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62</v>
      </c>
    </row>
    <row r="71" spans="1:83" x14ac:dyDescent="0.2">
      <c r="A71" s="1204" t="s">
        <v>1463</v>
      </c>
      <c r="B71" s="1784" t="s">
        <v>1038</v>
      </c>
      <c r="C71" s="1784"/>
      <c r="D71" s="1784"/>
      <c r="E71" s="1784"/>
      <c r="F71" s="1784"/>
      <c r="G71" s="1785"/>
      <c r="H71" s="1783"/>
      <c r="I71" s="1783"/>
      <c r="J71" s="1783"/>
      <c r="K71" s="1774"/>
      <c r="L71" s="1774"/>
      <c r="M71" s="1774"/>
      <c r="N71" s="1792">
        <f>IF(AND(H71="",BZ8="OUI"),IFERROR(VLOOKUP(X3,bddrupture,2,FALSE),0),ROUND(H71,2))</f>
        <v>0</v>
      </c>
      <c r="O71" s="1792"/>
      <c r="P71" s="1792"/>
      <c r="R71" s="2116" t="s">
        <v>116</v>
      </c>
      <c r="S71" s="2116"/>
      <c r="T71" s="2116"/>
      <c r="U71" s="2116"/>
      <c r="V71" s="2116"/>
      <c r="W71" s="2116"/>
      <c r="X71" s="2116"/>
      <c r="Y71" s="2116"/>
      <c r="Z71" s="1764">
        <f>+N59*-1</f>
        <v>0</v>
      </c>
      <c r="AA71" s="1764"/>
      <c r="AB71" s="1764"/>
      <c r="AC71" s="2119"/>
      <c r="AD71" s="2121" t="s">
        <v>115</v>
      </c>
      <c r="AE71" s="2122"/>
      <c r="AF71" s="2122"/>
      <c r="AG71" s="2122"/>
      <c r="AH71" s="2122"/>
      <c r="AI71" s="2122"/>
      <c r="AJ71" s="2122"/>
      <c r="AK71" s="2123"/>
      <c r="AL71" s="2124">
        <f>SUMIF(AS20:AS50,"&lt;8")</f>
        <v>0</v>
      </c>
      <c r="AM71" s="2124"/>
      <c r="AN71" s="2124"/>
      <c r="AO71" s="2124"/>
      <c r="AQ71" s="924" t="s">
        <v>1093</v>
      </c>
      <c r="BJ71" s="258"/>
      <c r="BK71" s="258"/>
      <c r="BL71" s="258"/>
      <c r="BM71" s="258"/>
      <c r="BN71" s="258"/>
      <c r="BO71" s="258"/>
      <c r="BZ71" s="236" t="s">
        <v>16</v>
      </c>
      <c r="CA71" s="237" t="s">
        <v>64</v>
      </c>
      <c r="CC71" s="396">
        <f>IF(AL14,(T31+T29)/(AL14*8),0)</f>
        <v>0</v>
      </c>
      <c r="CD71" s="219" t="s">
        <v>532</v>
      </c>
    </row>
    <row r="72" spans="1:83" x14ac:dyDescent="0.2">
      <c r="N72" s="2292">
        <f>ROUND(SUM(N65:P69)+N71+N70,2)</f>
        <v>0</v>
      </c>
      <c r="O72" s="2293"/>
      <c r="P72" s="2294"/>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1093</v>
      </c>
      <c r="AR72" s="925" t="s">
        <v>1095</v>
      </c>
      <c r="AS72" s="925" t="s">
        <v>1095</v>
      </c>
      <c r="AT72" s="926" t="s">
        <v>1095</v>
      </c>
      <c r="AU72" s="921" t="s">
        <v>1280</v>
      </c>
      <c r="AV72" s="922"/>
      <c r="AW72" s="922"/>
      <c r="AX72" s="922"/>
      <c r="AY72" s="922"/>
      <c r="AZ72" s="922"/>
      <c r="BA72" s="922"/>
      <c r="BB72" s="922"/>
      <c r="BC72" s="228"/>
      <c r="BD72" s="228"/>
      <c r="BE72" s="228"/>
      <c r="BF72" s="228"/>
      <c r="BG72" s="228"/>
      <c r="BH72" s="228"/>
      <c r="BI72" s="228"/>
      <c r="BQ72" s="129" t="s">
        <v>67</v>
      </c>
      <c r="BZ72" s="238">
        <f>IF(DP29="OUI",COUNTIF(AM20:AO50,"&gt;0"),+DP5)</f>
        <v>0</v>
      </c>
      <c r="CA72" s="239">
        <f>+(BZ72+BZ77)*5*DP6</f>
        <v>0</v>
      </c>
      <c r="CC72" s="397"/>
      <c r="CD72" s="219"/>
    </row>
    <row r="73" spans="1:83" ht="15.75" customHeight="1" x14ac:dyDescent="0.2">
      <c r="E73" s="2226" t="s">
        <v>1424</v>
      </c>
      <c r="F73" s="2226"/>
      <c r="G73" s="2226"/>
      <c r="H73" s="2225" t="s">
        <v>1425</v>
      </c>
      <c r="I73" s="2226"/>
      <c r="J73" s="2226"/>
      <c r="K73" s="2226"/>
      <c r="N73" s="248"/>
      <c r="O73" s="248"/>
      <c r="P73" s="248"/>
      <c r="R73" s="257"/>
      <c r="S73" s="257"/>
      <c r="T73" s="257"/>
      <c r="U73" s="257"/>
      <c r="V73" s="257"/>
      <c r="W73" s="257"/>
      <c r="X73" s="257"/>
      <c r="Y73" s="1758" t="s">
        <v>1697</v>
      </c>
      <c r="Z73" s="1749" t="str">
        <f>"Montant à percevoir : ("&amp;AM51&amp;" hrs X "&amp;ROUND(AL14,4)&amp;" €)"</f>
        <v>Montant à percevoir : (0 hrs X 0 €)</v>
      </c>
      <c r="AA73" s="1750"/>
      <c r="AB73" s="1750"/>
      <c r="AC73" s="1750"/>
      <c r="AD73" s="1750"/>
      <c r="AE73" s="1750"/>
      <c r="AF73" s="1750"/>
      <c r="AG73" s="1750"/>
      <c r="AH73" s="1750"/>
      <c r="AI73" s="1750"/>
      <c r="AJ73" s="1750"/>
      <c r="AK73" s="1751"/>
      <c r="AL73" s="2167">
        <f>+AM51*AL14</f>
        <v>0</v>
      </c>
      <c r="AM73" s="2167"/>
      <c r="AN73" s="2167"/>
      <c r="AO73" s="2167"/>
      <c r="AP73" s="253"/>
      <c r="AQ73" s="342"/>
      <c r="AR73" s="253"/>
      <c r="AS73" s="258"/>
      <c r="AT73" s="258"/>
      <c r="AU73" s="2249" t="s">
        <v>1292</v>
      </c>
      <c r="AV73" s="2250"/>
      <c r="AW73" s="2250"/>
      <c r="AX73" s="2250"/>
      <c r="AY73" s="2250"/>
      <c r="AZ73" s="2250"/>
      <c r="BA73" s="2250"/>
      <c r="BB73" s="2251"/>
      <c r="BC73" s="228"/>
      <c r="BD73" s="228"/>
      <c r="BE73" s="228"/>
      <c r="BF73" s="228"/>
      <c r="BG73" s="228"/>
      <c r="BH73" s="228"/>
      <c r="BI73" s="228"/>
      <c r="BQ73" s="129" t="s">
        <v>1618</v>
      </c>
      <c r="BZ73" s="241">
        <f>+ROUNDUP(CC71+CC73+GM52,0)</f>
        <v>0</v>
      </c>
      <c r="CA73" s="242"/>
      <c r="CC73" s="1142">
        <v>0</v>
      </c>
      <c r="CD73" s="219" t="s">
        <v>1544</v>
      </c>
    </row>
    <row r="74" spans="1:83" ht="15.75" customHeight="1" thickBot="1" x14ac:dyDescent="0.25">
      <c r="A74" s="1787" t="s">
        <v>70</v>
      </c>
      <c r="B74" s="1788"/>
      <c r="C74" s="1788"/>
      <c r="D74" s="1789"/>
      <c r="E74" s="1775">
        <f>+ROUND((T18+T23+T24+T25+T29+HO16+T30+T31+T32+T33+T34)-(N61-(N57+N58)),2)</f>
        <v>0</v>
      </c>
      <c r="F74" s="1776"/>
      <c r="G74" s="2154"/>
      <c r="H74" s="1765">
        <f ca="1">E74+Novembre!H74</f>
        <v>0</v>
      </c>
      <c r="I74" s="1766"/>
      <c r="J74" s="1766"/>
      <c r="K74" s="1767"/>
      <c r="L74" s="1778" t="s">
        <v>1601</v>
      </c>
      <c r="M74" s="1778"/>
      <c r="N74" s="1778"/>
      <c r="O74" s="1778"/>
      <c r="P74" s="1778"/>
      <c r="Q74" s="1742">
        <f>+N62+N71</f>
        <v>0</v>
      </c>
      <c r="R74" s="1743"/>
      <c r="S74" s="1743"/>
      <c r="T74" s="1744"/>
      <c r="U74" s="257"/>
      <c r="V74" s="257"/>
      <c r="W74" s="257"/>
      <c r="X74" s="257"/>
      <c r="Y74" s="1759"/>
      <c r="Z74" s="1749" t="str">
        <f>IF(U14&gt;0,"Montant perçu : ("&amp;T18&amp;" + "&amp;T19&amp;" - "&amp;ROUND(T25*-1,2)&amp;" - "&amp;ROUND(T26*-1,2)&amp;")","Montant perçu : ("&amp;T18&amp;" - "&amp;ROUND(T25*-1,2)&amp;")")</f>
        <v>Montant perçu : (0 - 0)</v>
      </c>
      <c r="AA74" s="1750"/>
      <c r="AB74" s="1750"/>
      <c r="AC74" s="1750"/>
      <c r="AD74" s="1750"/>
      <c r="AE74" s="1750"/>
      <c r="AF74" s="1750"/>
      <c r="AG74" s="1750"/>
      <c r="AH74" s="1750"/>
      <c r="AI74" s="1750"/>
      <c r="AJ74" s="1750"/>
      <c r="AK74" s="1751"/>
      <c r="AL74" s="2167">
        <f>+T18+T19+T25+T26</f>
        <v>0</v>
      </c>
      <c r="AM74" s="2167"/>
      <c r="AN74" s="2167"/>
      <c r="AO74" s="2167"/>
      <c r="AQ74" s="334"/>
      <c r="AU74" s="917"/>
      <c r="AV74" s="917"/>
      <c r="AW74" s="917"/>
      <c r="AX74" s="927"/>
      <c r="AY74" s="927"/>
      <c r="AZ74" s="927"/>
      <c r="BA74" s="928" t="s">
        <v>1281</v>
      </c>
      <c r="BB74" s="929"/>
      <c r="BC74" s="928" t="s">
        <v>669</v>
      </c>
      <c r="BD74" s="928"/>
      <c r="BE74" s="129"/>
      <c r="BF74" s="129"/>
      <c r="BG74" s="129"/>
      <c r="BH74" s="129"/>
      <c r="BI74" s="129"/>
      <c r="BQ74" s="129" t="s">
        <v>1222</v>
      </c>
      <c r="BZ74" s="243">
        <f>ROUNDDOWN(IF(AL14,(DP5*DK40)+CC74,0),0)</f>
        <v>0</v>
      </c>
      <c r="CA74" s="244"/>
      <c r="CB74" s="662" t="s">
        <v>1094</v>
      </c>
      <c r="CC74" s="1142">
        <v>0</v>
      </c>
      <c r="CD74" s="129" t="s">
        <v>1545</v>
      </c>
    </row>
    <row r="75" spans="1:83" ht="13.5" thickTop="1" x14ac:dyDescent="0.2">
      <c r="A75" s="1790" t="s">
        <v>77</v>
      </c>
      <c r="B75" s="1729"/>
      <c r="C75" s="1729"/>
      <c r="D75" s="1791"/>
      <c r="E75" s="1775">
        <f>+IF(AC133="Oui",SUM(N65:P70),SUM(N65:P69))</f>
        <v>0</v>
      </c>
      <c r="F75" s="1776"/>
      <c r="G75" s="2154"/>
      <c r="H75" s="1775">
        <f>E75+Novembre!H75</f>
        <v>0</v>
      </c>
      <c r="I75" s="1776"/>
      <c r="J75" s="1776"/>
      <c r="K75" s="1777"/>
      <c r="U75" s="257"/>
      <c r="V75" s="257"/>
      <c r="W75" s="257"/>
      <c r="X75" s="257"/>
      <c r="Y75" s="1760"/>
      <c r="Z75" s="1752" t="s">
        <v>1696</v>
      </c>
      <c r="AA75" s="1753"/>
      <c r="AB75" s="1753"/>
      <c r="AC75" s="1753"/>
      <c r="AD75" s="1753"/>
      <c r="AE75" s="1753"/>
      <c r="AF75" s="1753"/>
      <c r="AG75" s="1753"/>
      <c r="AH75" s="1753"/>
      <c r="AI75" s="1753"/>
      <c r="AJ75" s="1753"/>
      <c r="AK75" s="1754"/>
      <c r="AL75" s="2167">
        <f>+AL73-AL74</f>
        <v>0</v>
      </c>
      <c r="AM75" s="2167"/>
      <c r="AN75" s="2167"/>
      <c r="AO75" s="2167"/>
      <c r="AP75" s="228"/>
      <c r="AQ75" s="343"/>
      <c r="AR75" s="228"/>
      <c r="AT75" s="2040" t="str">
        <f>IFERROR(VLOOKUP(AY75,'Liste des Libellés'!$A$4:$F$32,6,FALSE),"")</f>
        <v/>
      </c>
      <c r="AU75" s="2041"/>
      <c r="AV75" s="2041"/>
      <c r="AW75" s="2041"/>
      <c r="AX75" s="935"/>
      <c r="AY75" s="2043" t="str">
        <f>+IF(AX76="",IF('Retenue Déc'!EH51=0,"",'Retenue Déc'!EH51),AX76)</f>
        <v/>
      </c>
      <c r="AZ75" s="2043"/>
      <c r="BA75" s="936" t="str">
        <f>+IF(BA76="",IF('Retenue Déc'!EF51=0,"",'Retenue Déc'!EF51),BA76)</f>
        <v/>
      </c>
      <c r="BB75" s="937"/>
      <c r="BC75" s="938" t="str">
        <f>IF(BC76="",IF(+'Retenue Déc'!EG51=0,"",'Retenue Déc'!EG51),BC76)</f>
        <v/>
      </c>
      <c r="BD75" s="972"/>
      <c r="BE75" s="129"/>
      <c r="BF75" s="129"/>
      <c r="BG75" s="129"/>
      <c r="BH75" s="129"/>
      <c r="BI75" s="129"/>
      <c r="BQ75" s="219" t="s">
        <v>69</v>
      </c>
      <c r="BZ75" s="245">
        <f>+BZ72+BZ73-BZ74</f>
        <v>0</v>
      </c>
      <c r="CA75" s="246">
        <f>+(BZ75+BZ77)*5*DP6</f>
        <v>0</v>
      </c>
      <c r="CB75" s="247"/>
      <c r="CC75" s="862"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1790" t="s">
        <v>1426</v>
      </c>
      <c r="B76" s="1729"/>
      <c r="C76" s="1729"/>
      <c r="D76" s="1791"/>
      <c r="E76" s="1775">
        <f>+Q78*-1</f>
        <v>0</v>
      </c>
      <c r="F76" s="1776"/>
      <c r="G76" s="2154"/>
      <c r="H76" s="1775">
        <f ca="1">E76+Novembre!H76</f>
        <v>0</v>
      </c>
      <c r="I76" s="1776"/>
      <c r="J76" s="1776"/>
      <c r="K76" s="1777"/>
      <c r="L76" s="1778" t="s">
        <v>73</v>
      </c>
      <c r="M76" s="1778"/>
      <c r="N76" s="1778"/>
      <c r="O76" s="1778"/>
      <c r="P76" s="1779"/>
      <c r="Q76" s="1742">
        <f>ROUND(T35-N61+N72,2)</f>
        <v>0</v>
      </c>
      <c r="R76" s="1743"/>
      <c r="S76" s="1743"/>
      <c r="T76" s="1744"/>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503</v>
      </c>
      <c r="AX76" s="2042"/>
      <c r="AY76" s="2042"/>
      <c r="AZ76" s="940"/>
      <c r="BA76" s="1152"/>
      <c r="BB76" s="942"/>
      <c r="BC76" s="1153"/>
      <c r="BD76" s="983"/>
      <c r="BE76" s="129"/>
      <c r="BF76" s="129"/>
      <c r="BG76" s="129"/>
      <c r="BH76" s="129"/>
      <c r="BI76" s="129"/>
    </row>
    <row r="77" spans="1:83" ht="15.75" customHeight="1" x14ac:dyDescent="0.2">
      <c r="A77" s="2192" t="s">
        <v>74</v>
      </c>
      <c r="B77" s="2193"/>
      <c r="C77" s="2193"/>
      <c r="D77" s="2194"/>
      <c r="E77" s="2159">
        <f>ROUND(+T19+T20+T21+T22+T26,2)</f>
        <v>0</v>
      </c>
      <c r="F77" s="2160"/>
      <c r="G77" s="2161"/>
      <c r="H77" s="2159">
        <f ca="1">+E77+Novembre!H77</f>
        <v>0</v>
      </c>
      <c r="I77" s="2160"/>
      <c r="J77" s="2160"/>
      <c r="K77" s="2161"/>
      <c r="U77" s="257"/>
      <c r="V77" s="257"/>
      <c r="W77" s="257"/>
      <c r="X77" s="257"/>
      <c r="Y77" s="257"/>
      <c r="Z77" s="1761" t="s">
        <v>75</v>
      </c>
      <c r="AA77" s="1762"/>
      <c r="AB77" s="1762"/>
      <c r="AC77" s="1762"/>
      <c r="AD77" s="1762"/>
      <c r="AE77" s="1762"/>
      <c r="AF77" s="1762"/>
      <c r="AG77" s="1762"/>
      <c r="AH77" s="1762"/>
      <c r="AI77" s="1762"/>
      <c r="AJ77" s="1762"/>
      <c r="AK77" s="1763"/>
      <c r="AL77" s="2178">
        <f>+IFERROR(IF(BY6="non",DK36,E74),0)</f>
        <v>0</v>
      </c>
      <c r="AM77" s="2178"/>
      <c r="AN77" s="2178"/>
      <c r="AO77" s="2178"/>
      <c r="AQ77" s="2255" t="s">
        <v>766</v>
      </c>
      <c r="AR77" s="2256"/>
      <c r="AS77" s="2256"/>
      <c r="AT77" s="2256"/>
      <c r="AU77" s="913"/>
      <c r="AV77" s="913"/>
      <c r="AW77" s="913"/>
      <c r="AX77" s="930"/>
      <c r="AY77" s="930"/>
      <c r="AZ77" s="931"/>
      <c r="BA77" s="931"/>
      <c r="BB77" s="931"/>
      <c r="BC77" s="931"/>
      <c r="BD77" s="931"/>
      <c r="BE77" s="129"/>
      <c r="BF77" s="129"/>
      <c r="BG77" s="129"/>
      <c r="BH77" s="129"/>
      <c r="BI77" s="129"/>
      <c r="BQ77" s="129" t="s">
        <v>71</v>
      </c>
      <c r="BZ77" s="1316">
        <f>MROUND(+CC80+CC81,0.5)</f>
        <v>0</v>
      </c>
      <c r="CA77" s="661" t="s">
        <v>1095</v>
      </c>
      <c r="CB77" s="129" t="s">
        <v>72</v>
      </c>
    </row>
    <row r="78" spans="1:83" ht="15" customHeight="1" x14ac:dyDescent="0.2">
      <c r="H78" s="1031"/>
      <c r="I78" s="1031"/>
      <c r="J78" s="1031"/>
      <c r="K78" s="234"/>
      <c r="L78" s="1820" t="s">
        <v>76</v>
      </c>
      <c r="M78" s="1820"/>
      <c r="N78" s="1820"/>
      <c r="O78" s="1820"/>
      <c r="P78" s="2188"/>
      <c r="Q78" s="1742">
        <f>ROUND(+AL77*AL78*-1,2)</f>
        <v>0</v>
      </c>
      <c r="R78" s="1743"/>
      <c r="S78" s="1743"/>
      <c r="T78" s="1744"/>
      <c r="U78" s="257"/>
      <c r="V78" s="257"/>
      <c r="W78" s="257"/>
      <c r="X78" s="257"/>
      <c r="Y78" s="257"/>
      <c r="Z78" s="1761" t="s">
        <v>14</v>
      </c>
      <c r="AA78" s="1762"/>
      <c r="AB78" s="1762"/>
      <c r="AC78" s="1762"/>
      <c r="AD78" s="1762"/>
      <c r="AE78" s="1762"/>
      <c r="AF78" s="1762"/>
      <c r="AG78" s="1762"/>
      <c r="AH78" s="1762"/>
      <c r="AI78" s="1762"/>
      <c r="AJ78" s="1762"/>
      <c r="AK78" s="1763"/>
      <c r="AL78" s="2179">
        <f>+IF(AR78="",Novembre!AL78,AR78)</f>
        <v>0</v>
      </c>
      <c r="AM78" s="2179"/>
      <c r="AN78" s="2179"/>
      <c r="AO78" s="2179"/>
      <c r="AQ78" s="438" t="s">
        <v>762</v>
      </c>
      <c r="AR78" s="2304"/>
      <c r="AS78" s="2304"/>
      <c r="AT78" s="2041" t="str">
        <f>IFERROR(VLOOKUP(AY78,'Liste des Libellés'!$A$4:$F$32,6,FALSE),"")</f>
        <v/>
      </c>
      <c r="AU78" s="2041"/>
      <c r="AV78" s="2041"/>
      <c r="AW78" s="2041"/>
      <c r="AX78" s="935"/>
      <c r="AY78" s="2043" t="str">
        <f>+IF(AX79="",IF('Retenue Déc'!EH53=0,"",'Retenue Déc'!EH53),AX79)</f>
        <v/>
      </c>
      <c r="AZ78" s="2043"/>
      <c r="BA78" s="936" t="str">
        <f>+IF(BA79="",IF('Retenue Déc'!EF53=0,"",'Retenue Déc'!EF53),BA79)</f>
        <v/>
      </c>
      <c r="BB78" s="937"/>
      <c r="BC78" s="938" t="str">
        <f>IF(BC79="",IF(+'Retenue Déc'!EG53=0,"",'Retenue Déc'!EG53),BC79)</f>
        <v/>
      </c>
      <c r="BD78" s="972"/>
      <c r="BE78" s="129"/>
      <c r="BF78" s="129"/>
      <c r="BG78" s="129"/>
      <c r="BH78" s="129"/>
      <c r="BI78" s="129"/>
      <c r="CA78" s="663" t="s">
        <v>1093</v>
      </c>
      <c r="CB78" s="213" t="str">
        <f>IF((T35-(T32+T33+T34))&gt;=CA75,"OUI","NON")</f>
        <v>OUI</v>
      </c>
    </row>
    <row r="79" spans="1:83" ht="13.5" customHeight="1" x14ac:dyDescent="0.2">
      <c r="K79" s="1456" t="s">
        <v>148</v>
      </c>
      <c r="AE79" s="131"/>
      <c r="AH79" s="131"/>
      <c r="AI79" s="206"/>
      <c r="AP79" s="218"/>
      <c r="AQ79" s="344"/>
      <c r="AR79" s="218"/>
      <c r="AT79" s="939"/>
      <c r="AU79" s="940"/>
      <c r="AV79" s="940"/>
      <c r="AW79" s="941" t="s">
        <v>503</v>
      </c>
      <c r="AX79" s="2042"/>
      <c r="AY79" s="2042"/>
      <c r="AZ79" s="940"/>
      <c r="BA79" s="1152"/>
      <c r="BB79" s="942"/>
      <c r="BC79" s="1153"/>
      <c r="BD79" s="983"/>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1093</v>
      </c>
      <c r="CB79" s="255"/>
    </row>
    <row r="80" spans="1:83" ht="15.75" customHeight="1" x14ac:dyDescent="0.2">
      <c r="A80" s="1729" t="s">
        <v>150</v>
      </c>
      <c r="B80" s="1729"/>
      <c r="C80" s="1729"/>
      <c r="D80" s="1729"/>
      <c r="E80" s="2303"/>
      <c r="F80" s="2189" t="str">
        <f>+Novembre!F80</f>
        <v>Virement</v>
      </c>
      <c r="G80" s="2190"/>
      <c r="H80" s="2191"/>
      <c r="L80" s="1456"/>
      <c r="M80" s="1456"/>
      <c r="N80" s="1456"/>
      <c r="O80" s="1456"/>
      <c r="P80" s="1456"/>
      <c r="Q80" s="1458"/>
      <c r="R80" s="1458"/>
      <c r="S80" s="1458"/>
      <c r="T80" s="1458"/>
      <c r="V80" s="2058" t="s">
        <v>149</v>
      </c>
      <c r="W80" s="2059"/>
      <c r="X80" s="2059"/>
      <c r="Y80" s="2059"/>
      <c r="Z80" s="2059"/>
      <c r="AA80" s="2059"/>
      <c r="AB80" s="2059"/>
      <c r="AC80" s="2059"/>
      <c r="AD80" s="2059"/>
      <c r="AE80" s="2059"/>
      <c r="AF80" s="2060"/>
      <c r="AH80" s="2046" t="str">
        <f>+"Année préc. de 06/"&amp;Identification!B60-2001&amp;" à 05/"&amp;Identification!B60-2000</f>
        <v>Année préc. de 06/24 à 05/25</v>
      </c>
      <c r="AI80" s="2047"/>
      <c r="AJ80" s="2047"/>
      <c r="AK80" s="2048"/>
      <c r="AL80" s="2046" t="str">
        <f>+"Année en cours de 06/"&amp;Identification!B60-2000&amp;" à 05/"&amp;Identification!B60-1999</f>
        <v>Année en cours de 06/25 à 05/26</v>
      </c>
      <c r="AM80" s="2047"/>
      <c r="AN80" s="2047"/>
      <c r="AO80" s="2048"/>
      <c r="AP80" s="218"/>
      <c r="AQ80" s="344"/>
      <c r="AR80" s="218"/>
      <c r="AU80" s="129"/>
      <c r="AV80" s="129"/>
      <c r="AW80" s="129"/>
      <c r="AX80" s="931"/>
      <c r="AY80" s="931"/>
      <c r="AZ80" s="931"/>
      <c r="BA80" s="931"/>
      <c r="BB80" s="931"/>
      <c r="BC80" s="931"/>
      <c r="BD80" s="931"/>
      <c r="BE80" s="129"/>
      <c r="BF80" s="129"/>
      <c r="BG80" s="129"/>
      <c r="BH80" s="129"/>
      <c r="BI80" s="129"/>
      <c r="CA80" s="663" t="s">
        <v>1093</v>
      </c>
      <c r="CC80" s="1195">
        <f>IF(IF(AL14,HO16/(AL14*8),0)&gt;2.5,2.5,IF(AL14,HO16/(AL14*8),0))</f>
        <v>0</v>
      </c>
      <c r="CD80" s="198" t="s">
        <v>455</v>
      </c>
      <c r="CE80" s="198"/>
    </row>
    <row r="81" spans="1:82" ht="15.75" x14ac:dyDescent="0.25">
      <c r="A81" s="1729" t="s">
        <v>151</v>
      </c>
      <c r="B81" s="1729"/>
      <c r="C81" s="1729"/>
      <c r="D81" s="1729"/>
      <c r="E81" s="2303"/>
      <c r="F81" s="2156">
        <f>Q85</f>
        <v>0</v>
      </c>
      <c r="G81" s="2157"/>
      <c r="H81" s="2158"/>
      <c r="K81" s="129" t="s">
        <v>1008</v>
      </c>
      <c r="M81" s="263"/>
      <c r="N81" s="228"/>
      <c r="O81" s="228"/>
      <c r="P81" s="228"/>
      <c r="V81" s="2061"/>
      <c r="W81" s="2062"/>
      <c r="X81" s="2062"/>
      <c r="Y81" s="2062"/>
      <c r="Z81" s="2062"/>
      <c r="AA81" s="2062"/>
      <c r="AB81" s="2062"/>
      <c r="AC81" s="2062"/>
      <c r="AD81" s="2062"/>
      <c r="AE81" s="2062"/>
      <c r="AF81" s="2063"/>
      <c r="AH81" s="2049"/>
      <c r="AI81" s="1963"/>
      <c r="AJ81" s="1963"/>
      <c r="AK81" s="2050"/>
      <c r="AL81" s="2049"/>
      <c r="AM81" s="1963"/>
      <c r="AN81" s="1963"/>
      <c r="AO81" s="2050"/>
      <c r="AP81" s="206"/>
      <c r="AQ81" s="2305"/>
      <c r="AR81" s="2306"/>
      <c r="AS81" s="2306"/>
      <c r="AT81" s="2040" t="str">
        <f>IFERROR(VLOOKUP(AY81,'Liste des Libellés'!$A$4:$F$32,6,FALSE),"")</f>
        <v/>
      </c>
      <c r="AU81" s="2041"/>
      <c r="AV81" s="2041"/>
      <c r="AW81" s="2041"/>
      <c r="AX81" s="935"/>
      <c r="AY81" s="2043" t="str">
        <f>+IF(AX82="",IF('Retenue Déc'!EH55=0,"",'Retenue Déc'!EH55),AX82)</f>
        <v/>
      </c>
      <c r="AZ81" s="2043"/>
      <c r="BA81" s="936" t="str">
        <f>+IF(BA82="",IF('Retenue Déc'!EF55=0,"",'Retenue Déc'!EF55),BA82)</f>
        <v/>
      </c>
      <c r="BB81" s="937"/>
      <c r="BC81" s="938" t="str">
        <f>IF(BC82="",IF(+'Retenue Déc'!EG55=0,"",'Retenue Déc'!EG55),BC82)</f>
        <v/>
      </c>
      <c r="BD81" s="972"/>
      <c r="BE81" s="129"/>
      <c r="BF81" s="129"/>
      <c r="BG81" s="129"/>
      <c r="BH81" s="129"/>
      <c r="BI81" s="129"/>
      <c r="BQ81" s="129" t="s">
        <v>78</v>
      </c>
      <c r="BZ81" s="232" t="e">
        <f>IF(AND(ROUNDUP((T19+T20+T22+T26)/(AL14*(1+N15)),Identification!B122)&gt;0,ROUNDUP((T19+T20+T22+T26)/(AL14*(1+N15)),Identification!B122)&lt;=1),ROUNDUP((T19+T20+T22+T26)/(AL14*(1+N15)),Identification!B122),ROUNDDOWN((T19+T20+T22+T26)/(AL14*(1+N15)),Identification!B122))</f>
        <v>#DIV/0!</v>
      </c>
      <c r="CA81" s="664" t="s">
        <v>1095</v>
      </c>
      <c r="CB81" s="666" t="s">
        <v>1096</v>
      </c>
      <c r="CC81" s="119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729" t="s">
        <v>152</v>
      </c>
      <c r="B82" s="1729"/>
      <c r="C82" s="1729"/>
      <c r="D82" s="1729"/>
      <c r="E82" s="2303"/>
      <c r="F82" s="2151" t="s">
        <v>158</v>
      </c>
      <c r="G82" s="2152"/>
      <c r="H82" s="2153"/>
      <c r="K82" s="129" t="s">
        <v>1007</v>
      </c>
      <c r="P82" s="1457"/>
      <c r="Q82" s="1459">
        <f>ROUND(+R88,2)</f>
        <v>0</v>
      </c>
      <c r="R82" s="1460"/>
      <c r="S82" s="1460"/>
      <c r="T82" s="1461"/>
      <c r="V82" s="2039"/>
      <c r="W82" s="2039"/>
      <c r="X82" s="2039"/>
      <c r="Y82" s="2039"/>
      <c r="AH82" s="2051"/>
      <c r="AI82" s="2052"/>
      <c r="AJ82" s="2052"/>
      <c r="AK82" s="2053"/>
      <c r="AL82" s="2051"/>
      <c r="AM82" s="2052"/>
      <c r="AN82" s="2052"/>
      <c r="AO82" s="2053"/>
      <c r="AP82" s="206"/>
      <c r="AQ82" s="335"/>
      <c r="AR82" s="206"/>
      <c r="AT82" s="939"/>
      <c r="AU82" s="940"/>
      <c r="AV82" s="940"/>
      <c r="AW82" s="941" t="s">
        <v>503</v>
      </c>
      <c r="AX82" s="2042"/>
      <c r="AY82" s="2042"/>
      <c r="AZ82" s="940"/>
      <c r="BA82" s="1152"/>
      <c r="BB82" s="942"/>
      <c r="BC82" s="1153"/>
      <c r="BD82" s="983"/>
      <c r="BE82" s="129"/>
      <c r="BF82" s="129"/>
      <c r="BG82" s="129"/>
      <c r="BH82" s="129"/>
      <c r="BI82" s="129"/>
      <c r="BQ82" s="2057" t="str">
        <f>"Détail du calcul : ("&amp;T19&amp;" € + "&amp;T20&amp;" € + "&amp;T22&amp;" € - "&amp;T26*-1&amp;" €) / "&amp;ROUND(AL14*(1+N15),4)&amp;" €"</f>
        <v>Détail du calcul : (0 € + 0 € + 0 € - 0 €) / 0 €</v>
      </c>
      <c r="BR82" s="2057"/>
      <c r="BS82" s="2057"/>
      <c r="BT82" s="2057"/>
      <c r="BU82" s="2057"/>
      <c r="BV82" s="2057"/>
      <c r="BW82" s="2057"/>
      <c r="BX82" s="2057"/>
      <c r="BY82" s="2057"/>
      <c r="BZ82" s="259"/>
      <c r="CB82" s="259"/>
      <c r="CC82" s="1143"/>
      <c r="CD82" s="129" t="s">
        <v>817</v>
      </c>
    </row>
    <row r="83" spans="1:82" ht="15.75" thickBot="1" x14ac:dyDescent="0.25">
      <c r="A83" s="1729" t="s">
        <v>153</v>
      </c>
      <c r="B83" s="1729"/>
      <c r="C83" s="1729"/>
      <c r="D83" s="1729"/>
      <c r="E83" s="2303"/>
      <c r="F83" s="2156"/>
      <c r="G83" s="2157"/>
      <c r="H83" s="2158"/>
      <c r="P83" s="1457"/>
      <c r="Q83" s="1459">
        <f>+ROUND(R89*-1,2)</f>
        <v>0</v>
      </c>
      <c r="R83" s="1460"/>
      <c r="S83" s="1460"/>
      <c r="T83" s="1461"/>
      <c r="V83" s="1755" t="str">
        <f>IF(DP8=52,"Nombre de mois travaillés avant:","Nombre de semaines travaillées avant")</f>
        <v>Nombre de semaines travaillées avant</v>
      </c>
      <c r="W83" s="1756"/>
      <c r="X83" s="1756"/>
      <c r="Y83" s="1756"/>
      <c r="Z83" s="1756"/>
      <c r="AA83" s="1756"/>
      <c r="AB83" s="1756"/>
      <c r="AC83" s="1756"/>
      <c r="AD83" s="1756"/>
      <c r="AE83" s="1756"/>
      <c r="AF83" s="1756"/>
      <c r="AG83" s="1757"/>
      <c r="AH83" s="2054">
        <f>+IF(DP8=52,EF16,EG16)</f>
        <v>0</v>
      </c>
      <c r="AI83" s="2055"/>
      <c r="AJ83" s="2055"/>
      <c r="AK83" s="2056"/>
      <c r="AL83" s="2054">
        <f>+IF(DP8=52,EH16,EI16)</f>
        <v>0</v>
      </c>
      <c r="AM83" s="2055"/>
      <c r="AN83" s="2055"/>
      <c r="AO83" s="2056"/>
      <c r="AP83" s="249"/>
      <c r="AQ83" s="341"/>
      <c r="AR83" s="249"/>
      <c r="AU83" s="129"/>
      <c r="AV83" s="129"/>
      <c r="AW83" s="129"/>
      <c r="AX83" s="931"/>
      <c r="AY83" s="931"/>
      <c r="AZ83" s="931"/>
      <c r="BA83" s="931"/>
      <c r="BB83" s="931"/>
      <c r="BC83" s="931"/>
      <c r="BD83" s="931"/>
      <c r="BE83" s="129"/>
      <c r="BF83" s="129"/>
      <c r="BG83" s="129"/>
      <c r="BH83" s="129"/>
      <c r="BI83" s="129"/>
      <c r="CB83" s="670" t="s">
        <v>1093</v>
      </c>
    </row>
    <row r="84" spans="1:82" ht="12.75" customHeight="1" x14ac:dyDescent="0.2">
      <c r="V84" s="1827" t="str">
        <f>IF(DP8=52,"Mois travaillé:","Semaines travaillées ce mois ci :")</f>
        <v>Semaines travaillées ce mois ci :</v>
      </c>
      <c r="W84" s="1828"/>
      <c r="X84" s="1828"/>
      <c r="Y84" s="1828"/>
      <c r="Z84" s="1828"/>
      <c r="AA84" s="1828"/>
      <c r="AB84" s="1828"/>
      <c r="AC84" s="1828"/>
      <c r="AD84" s="1828"/>
      <c r="AE84" s="1828"/>
      <c r="AF84" s="1828"/>
      <c r="AG84" s="1829"/>
      <c r="AH84" s="1734"/>
      <c r="AI84" s="1735"/>
      <c r="AJ84" s="1735"/>
      <c r="AK84" s="1736"/>
      <c r="AL84" s="1734">
        <f>+IF(DP8=52,EH17,EI17)</f>
        <v>0</v>
      </c>
      <c r="AM84" s="1735"/>
      <c r="AN84" s="1735"/>
      <c r="AO84" s="1736"/>
      <c r="AP84" s="249"/>
      <c r="AQ84" s="341"/>
      <c r="AR84" s="249"/>
      <c r="AT84" s="2040" t="str">
        <f>IFERROR(VLOOKUP(AY84,'Liste des Libellés'!$A$4:$F$32,6,FALSE),"")</f>
        <v/>
      </c>
      <c r="AU84" s="2041"/>
      <c r="AV84" s="2041"/>
      <c r="AW84" s="2041"/>
      <c r="AX84" s="935"/>
      <c r="AY84" s="2043" t="str">
        <f>+IF(AX85="",IF('Retenue Déc'!EH57=0,"",'Retenue Déc'!EH57),AX85)</f>
        <v/>
      </c>
      <c r="AZ84" s="2043"/>
      <c r="BA84" s="936" t="str">
        <f>+IF(BA85="",IF('Retenue Déc'!EF57=0,"",'Retenue Déc'!EF57),BA85)</f>
        <v/>
      </c>
      <c r="BB84" s="937"/>
      <c r="BC84" s="938" t="str">
        <f>IF(BC85="",IF(+'Retenue Déc'!EG57=0,"",'Retenue Déc'!EG57),BC85)</f>
        <v/>
      </c>
      <c r="BD84" s="972"/>
      <c r="BE84" s="129"/>
      <c r="BF84" s="129"/>
      <c r="BG84" s="129"/>
      <c r="BH84" s="129"/>
      <c r="BI84" s="129"/>
      <c r="BQ84" s="129" t="s">
        <v>80</v>
      </c>
      <c r="BZ84" s="232">
        <f>IF(AND(ROUNDUP(+L21,Identification!B123)&gt;0,ROUNDUP(+L21,Identification!B123)&lt;=1),ROUNDUP(+L21,Identification!B123),ROUNDDOWN(+L21,Identification!B123))</f>
        <v>0</v>
      </c>
      <c r="CB84" s="2309" t="s">
        <v>1092</v>
      </c>
      <c r="CC84" s="260"/>
    </row>
    <row r="85" spans="1:82" ht="15" x14ac:dyDescent="0.2">
      <c r="I85" s="2176" t="s">
        <v>1499</v>
      </c>
      <c r="J85" s="2176"/>
      <c r="K85" s="2176"/>
      <c r="L85" s="2176"/>
      <c r="M85" s="2176"/>
      <c r="N85" s="2176"/>
      <c r="O85" s="2176"/>
      <c r="P85" s="2177"/>
      <c r="Q85" s="1742">
        <f>ROUND(+Q76+Q78+Q80,2)+Q82+Q83</f>
        <v>0</v>
      </c>
      <c r="R85" s="1743"/>
      <c r="S85" s="1743"/>
      <c r="T85" s="1744"/>
      <c r="V85" s="1755" t="s">
        <v>83</v>
      </c>
      <c r="W85" s="1756"/>
      <c r="X85" s="1756"/>
      <c r="Y85" s="1756"/>
      <c r="Z85" s="1756"/>
      <c r="AA85" s="1756"/>
      <c r="AB85" s="1756"/>
      <c r="AC85" s="1756"/>
      <c r="AD85" s="1756"/>
      <c r="AE85" s="1756"/>
      <c r="AF85" s="1756"/>
      <c r="AG85" s="1757"/>
      <c r="AH85" s="1739">
        <f>MIN(ROUNDUP(IF(DP8=52,EF18,EG18),2),30)</f>
        <v>0</v>
      </c>
      <c r="AI85" s="1740"/>
      <c r="AJ85" s="1740"/>
      <c r="AK85" s="1741"/>
      <c r="AL85" s="1739">
        <f>+IF(BY8="OUI",ROUNDUP(MIN(IF(DP8=52,EH18,EI18),30),2),MIN(IF(DP8=52,EH18,EI18),30))</f>
        <v>0</v>
      </c>
      <c r="AM85" s="1740"/>
      <c r="AN85" s="1740"/>
      <c r="AO85" s="1741"/>
      <c r="AP85" s="249"/>
      <c r="AQ85" s="341"/>
      <c r="AR85" s="1542" t="s">
        <v>1675</v>
      </c>
      <c r="AS85" s="230"/>
      <c r="AT85" s="939"/>
      <c r="AU85" s="940"/>
      <c r="AV85" s="940"/>
      <c r="AW85" s="941" t="s">
        <v>503</v>
      </c>
      <c r="AX85" s="2042"/>
      <c r="AY85" s="2042"/>
      <c r="AZ85" s="940"/>
      <c r="BA85" s="1152"/>
      <c r="BB85" s="942"/>
      <c r="BC85" s="1153"/>
      <c r="BD85" s="983"/>
      <c r="BE85" s="129"/>
      <c r="BF85" s="129"/>
      <c r="BG85" s="129"/>
      <c r="BH85" s="129"/>
      <c r="BI85" s="129"/>
      <c r="CB85" s="2310"/>
    </row>
    <row r="86" spans="1:82" ht="14.25" customHeight="1" thickBot="1" x14ac:dyDescent="0.25">
      <c r="A86" s="1820" t="s">
        <v>81</v>
      </c>
      <c r="B86" s="1820"/>
      <c r="C86" s="1820"/>
      <c r="D86" s="1820"/>
      <c r="E86" s="1820"/>
      <c r="F86" s="2155">
        <f>Novembre!F86</f>
        <v>0</v>
      </c>
      <c r="G86" s="2155"/>
      <c r="H86" s="2155"/>
      <c r="I86" s="2155"/>
      <c r="J86" s="2155"/>
      <c r="K86" s="2155"/>
      <c r="L86" s="2155"/>
      <c r="O86" s="1455"/>
      <c r="P86" s="1455"/>
      <c r="Q86" s="1455"/>
      <c r="R86" s="1455"/>
      <c r="S86" s="1455"/>
      <c r="T86" s="1455"/>
      <c r="V86" s="1804" t="s">
        <v>1662</v>
      </c>
      <c r="W86" s="1805"/>
      <c r="X86" s="1805"/>
      <c r="Y86" s="1805"/>
      <c r="Z86" s="1805"/>
      <c r="AA86" s="1805"/>
      <c r="AB86" s="1805"/>
      <c r="AC86" s="1805"/>
      <c r="AD86" s="1805"/>
      <c r="AE86" s="1805"/>
      <c r="AF86" s="1805"/>
      <c r="AG86" s="1841"/>
      <c r="AH86" s="1731">
        <f>IF(AR86="",Novembre!AH86,AR86)</f>
        <v>0</v>
      </c>
      <c r="AI86" s="1732"/>
      <c r="AJ86" s="1732"/>
      <c r="AK86" s="1733"/>
      <c r="AL86" s="1731">
        <f>IF(AS86="",IF(DP8=52,+EI29+Novembre!AL86,+EI25+Novembre!AL86),IF(DP8=52,+EI29+Novembre!AL86+AS86,+EI25+Novembre!AL86+AS86))</f>
        <v>0</v>
      </c>
      <c r="AM86" s="1732"/>
      <c r="AN86" s="1732"/>
      <c r="AO86" s="1733"/>
      <c r="AP86" s="249"/>
      <c r="AQ86" s="1572" t="s">
        <v>762</v>
      </c>
      <c r="AR86" s="1573"/>
      <c r="AS86" s="1573"/>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1"/>
      <c r="CC86" s="262"/>
    </row>
    <row r="87" spans="1:82" x14ac:dyDescent="0.2">
      <c r="A87" s="1820" t="s">
        <v>82</v>
      </c>
      <c r="B87" s="1820"/>
      <c r="C87" s="1820"/>
      <c r="D87" s="1820"/>
      <c r="E87" s="1820"/>
      <c r="F87" s="2288">
        <f>EOMONTH(X3,0)</f>
        <v>46022</v>
      </c>
      <c r="G87" s="2288"/>
      <c r="H87" s="2288"/>
      <c r="I87" s="2288"/>
      <c r="K87" s="592"/>
      <c r="L87" s="592"/>
      <c r="M87" s="234"/>
      <c r="N87" s="234"/>
      <c r="O87" s="234"/>
      <c r="P87" s="234"/>
      <c r="Q87" s="234"/>
      <c r="R87" s="2301">
        <v>0</v>
      </c>
      <c r="S87" s="2301"/>
      <c r="T87" s="2301"/>
      <c r="V87" s="1804" t="s">
        <v>537</v>
      </c>
      <c r="W87" s="1805"/>
      <c r="X87" s="1805"/>
      <c r="Y87" s="1805"/>
      <c r="Z87" s="1805"/>
      <c r="AA87" s="1805"/>
      <c r="AB87" s="1805"/>
      <c r="AC87" s="1805"/>
      <c r="AD87" s="1805"/>
      <c r="AE87" s="1805"/>
      <c r="AF87" s="1805"/>
      <c r="AG87" s="1841"/>
      <c r="AH87" s="1731">
        <f>+Novembre!AH87</f>
        <v>0</v>
      </c>
      <c r="AI87" s="1732"/>
      <c r="AJ87" s="1732"/>
      <c r="AK87" s="1733"/>
      <c r="AL87" s="1731"/>
      <c r="AM87" s="1732"/>
      <c r="AN87" s="1732"/>
      <c r="AO87" s="1733"/>
      <c r="AP87" s="249"/>
      <c r="AQ87" s="341"/>
      <c r="AR87" s="249"/>
      <c r="AS87" s="1543"/>
    </row>
    <row r="88" spans="1:82" x14ac:dyDescent="0.2">
      <c r="A88" s="1820" t="s">
        <v>84</v>
      </c>
      <c r="B88" s="1820"/>
      <c r="C88" s="1820"/>
      <c r="D88" s="1820"/>
      <c r="E88" s="1820"/>
      <c r="K88" s="234"/>
      <c r="L88" s="234"/>
      <c r="M88" s="234"/>
      <c r="N88" s="234"/>
      <c r="O88" s="234"/>
      <c r="P88" s="234"/>
      <c r="Q88" s="234"/>
      <c r="R88" s="2300">
        <v>0</v>
      </c>
      <c r="S88" s="2300"/>
      <c r="T88" s="2300"/>
      <c r="V88" s="1804" t="s">
        <v>639</v>
      </c>
      <c r="W88" s="1805"/>
      <c r="X88" s="1805"/>
      <c r="Y88" s="1805"/>
      <c r="Z88" s="1805"/>
      <c r="AA88" s="1805"/>
      <c r="AB88" s="1805"/>
      <c r="AC88" s="1805"/>
      <c r="AD88" s="1805"/>
      <c r="AE88" s="1805"/>
      <c r="AF88" s="1805"/>
      <c r="AG88" s="1841"/>
      <c r="AH88" s="1739">
        <f>ROUNDUP(MIN(+AH87+AH85+AH86,30),0)</f>
        <v>0</v>
      </c>
      <c r="AI88" s="2055"/>
      <c r="AJ88" s="2055"/>
      <c r="AK88" s="2056"/>
      <c r="AL88" s="1739">
        <f>CEILING(MIN(+AL85+AL86,30),0.5)</f>
        <v>0</v>
      </c>
      <c r="AM88" s="2055"/>
      <c r="AN88" s="2055"/>
      <c r="AO88" s="2056"/>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00">
        <v>0</v>
      </c>
      <c r="S89" s="2300"/>
      <c r="T89" s="2300"/>
      <c r="V89" s="1804" t="s">
        <v>1028</v>
      </c>
      <c r="W89" s="1805"/>
      <c r="X89" s="1805"/>
      <c r="Y89" s="1805"/>
      <c r="Z89" s="1805"/>
      <c r="AA89" s="1805"/>
      <c r="AB89" s="1805"/>
      <c r="AC89" s="1805"/>
      <c r="AD89" s="1805"/>
      <c r="AE89" s="1805"/>
      <c r="AF89" s="1805"/>
      <c r="AG89" s="1841"/>
      <c r="AH89" s="1731">
        <f>+Novembre!AH89+Novembre!AH90</f>
        <v>0</v>
      </c>
      <c r="AI89" s="1732"/>
      <c r="AJ89" s="1732"/>
      <c r="AK89" s="1733"/>
      <c r="AL89" s="1731">
        <f>+Novembre!AL89+Novembre!AL90</f>
        <v>0</v>
      </c>
      <c r="AM89" s="1732"/>
      <c r="AN89" s="1732"/>
      <c r="AO89" s="1733"/>
      <c r="AP89" s="249"/>
      <c r="AQ89" s="341"/>
      <c r="AR89" s="249"/>
      <c r="AZ89" s="217" t="s">
        <v>1694</v>
      </c>
      <c r="BA89" s="961" t="s">
        <v>1695</v>
      </c>
      <c r="BZ89" s="248"/>
      <c r="CB89" s="248"/>
      <c r="CC89" s="248"/>
    </row>
    <row r="90" spans="1:82" x14ac:dyDescent="0.2">
      <c r="K90" s="2302"/>
      <c r="L90" s="2302"/>
      <c r="M90" s="2302"/>
      <c r="N90" s="2302"/>
      <c r="O90" s="2302"/>
      <c r="P90" s="2302"/>
      <c r="Q90" s="2302"/>
      <c r="R90" s="2301">
        <v>0</v>
      </c>
      <c r="S90" s="2301"/>
      <c r="T90" s="2301"/>
      <c r="V90" s="1804" t="s">
        <v>1029</v>
      </c>
      <c r="W90" s="1805"/>
      <c r="X90" s="1805"/>
      <c r="Y90" s="1805"/>
      <c r="Z90" s="1805"/>
      <c r="AA90" s="1805"/>
      <c r="AB90" s="1805"/>
      <c r="AC90" s="1805"/>
      <c r="AD90" s="1805"/>
      <c r="AE90" s="1805"/>
      <c r="AF90" s="1805"/>
      <c r="AG90" s="1841"/>
      <c r="AH90" s="1731">
        <f>IF(AZ90&lt;&gt;"",AZ90,IF($AR$13=S.CAL!$CU$3,FD51,DK51))</f>
        <v>0</v>
      </c>
      <c r="AI90" s="1732"/>
      <c r="AJ90" s="1732"/>
      <c r="AK90" s="1733"/>
      <c r="AL90" s="1731">
        <f>IF(BA90&lt;&gt;"",BA90,IF($AR$13=S.CAL!$CU$3,FD56,DK52))</f>
        <v>0</v>
      </c>
      <c r="AM90" s="1732"/>
      <c r="AN90" s="1732"/>
      <c r="AO90" s="1733"/>
      <c r="AP90" s="249"/>
      <c r="AQ90" s="341"/>
      <c r="AR90" s="1027" t="s">
        <v>1423</v>
      </c>
      <c r="AU90" s="871"/>
      <c r="AV90" s="1025"/>
      <c r="AW90" s="1025"/>
      <c r="AX90" s="1025"/>
      <c r="AY90" s="913" t="s">
        <v>680</v>
      </c>
      <c r="AZ90" s="1565"/>
      <c r="BA90" s="1565"/>
      <c r="BQ90" s="129" t="s">
        <v>87</v>
      </c>
      <c r="BZ90" s="261">
        <f>+N67+N68</f>
        <v>0</v>
      </c>
    </row>
    <row r="91" spans="1:82" x14ac:dyDescent="0.2">
      <c r="A91" s="1061" t="s">
        <v>1464</v>
      </c>
      <c r="B91" s="1062"/>
      <c r="T91" s="580"/>
      <c r="V91" s="1804" t="str">
        <f>+IF(T32&gt;0,"Solde des jours ICCP","")</f>
        <v/>
      </c>
      <c r="W91" s="1805"/>
      <c r="X91" s="1805"/>
      <c r="Y91" s="1805"/>
      <c r="Z91" s="1805"/>
      <c r="AA91" s="1805"/>
      <c r="AB91" s="1805"/>
      <c r="AC91" s="1805"/>
      <c r="AD91" s="1805"/>
      <c r="AE91" s="1805"/>
      <c r="AF91" s="1805"/>
      <c r="AG91" s="1841"/>
      <c r="AH91" s="1731">
        <f>IF(AND(T32&gt;0,AR91=""),AH88-AH89-AH90,AR91)</f>
        <v>0</v>
      </c>
      <c r="AI91" s="1732"/>
      <c r="AJ91" s="1732"/>
      <c r="AK91" s="1733"/>
      <c r="AL91" s="1731">
        <f>IF(AND(T32&gt;0,AS91=""),AL88-AL89-AL90,AS91)</f>
        <v>0</v>
      </c>
      <c r="AM91" s="1732"/>
      <c r="AN91" s="1732"/>
      <c r="AO91" s="1733"/>
      <c r="AP91" s="249"/>
      <c r="AQ91" s="438" t="s">
        <v>762</v>
      </c>
      <c r="AR91" s="1163"/>
      <c r="AS91" s="1163"/>
      <c r="CB91" s="262"/>
      <c r="CC91" s="262"/>
    </row>
    <row r="92" spans="1:82" x14ac:dyDescent="0.2">
      <c r="A92" s="1061" t="s">
        <v>1465</v>
      </c>
      <c r="B92" s="1062"/>
      <c r="V92" s="2264" t="s">
        <v>86</v>
      </c>
      <c r="W92" s="2265"/>
      <c r="X92" s="2265"/>
      <c r="Y92" s="2265"/>
      <c r="Z92" s="2265"/>
      <c r="AA92" s="2265"/>
      <c r="AB92" s="2265"/>
      <c r="AC92" s="2265"/>
      <c r="AD92" s="2265"/>
      <c r="AE92" s="2265"/>
      <c r="AF92" s="2265"/>
      <c r="AG92" s="2266"/>
      <c r="AH92" s="2271">
        <f>+AH88-AH89-AH90-AH91</f>
        <v>0</v>
      </c>
      <c r="AI92" s="2272"/>
      <c r="AJ92" s="2272"/>
      <c r="AK92" s="2273"/>
      <c r="AL92" s="2271">
        <f>+AL88-AL89-AL90-AL91</f>
        <v>0</v>
      </c>
      <c r="AM92" s="2272"/>
      <c r="AN92" s="2272"/>
      <c r="AO92" s="2273"/>
      <c r="AP92" s="249"/>
      <c r="AQ92" s="341"/>
      <c r="AR92" s="440" t="s">
        <v>1050</v>
      </c>
      <c r="BQ92" s="129" t="s">
        <v>88</v>
      </c>
      <c r="BZ92" s="261">
        <f>+N69</f>
        <v>0</v>
      </c>
    </row>
    <row r="93" spans="1:82" x14ac:dyDescent="0.2">
      <c r="B93"/>
      <c r="C93"/>
      <c r="D93"/>
      <c r="E93"/>
      <c r="F93"/>
      <c r="G93"/>
      <c r="H93"/>
      <c r="I93"/>
      <c r="J93"/>
      <c r="K93"/>
      <c r="L93"/>
      <c r="M93"/>
      <c r="N93"/>
      <c r="O93"/>
      <c r="P93"/>
      <c r="Q93"/>
      <c r="R93"/>
      <c r="S93"/>
      <c r="T93"/>
      <c r="U93"/>
      <c r="V93" s="2267" t="s">
        <v>538</v>
      </c>
      <c r="W93" s="2268"/>
      <c r="X93" s="2268"/>
      <c r="Y93" s="2268"/>
      <c r="Z93" s="2268"/>
      <c r="AA93" s="2268"/>
      <c r="AB93" s="2268"/>
      <c r="AC93" s="2268"/>
      <c r="AD93" s="2268"/>
      <c r="AE93" s="2268"/>
      <c r="AF93" s="2268"/>
      <c r="AG93" s="2269"/>
      <c r="AH93" s="2162">
        <f>IF(AR93="",+Novembre!AH93-COUNTIF(AD20:AF50,'Liste des Libellés'!A18),AR93)</f>
        <v>0</v>
      </c>
      <c r="AI93" s="2163"/>
      <c r="AJ93" s="2163"/>
      <c r="AK93" s="2164"/>
      <c r="AL93" s="2162"/>
      <c r="AM93" s="2163"/>
      <c r="AN93" s="2163"/>
      <c r="AO93" s="2164"/>
      <c r="AP93" s="1029"/>
      <c r="AQ93" s="1028" t="s">
        <v>762</v>
      </c>
      <c r="AR93" s="116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30"/>
      <c r="AU94" s="1054" t="s">
        <v>922</v>
      </c>
      <c r="AW94" s="1054"/>
      <c r="AX94" s="1054"/>
      <c r="AY94" s="1054"/>
      <c r="BQ94" s="129" t="s">
        <v>1026</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30"/>
      <c r="AQ95" s="1545"/>
      <c r="AR95" s="198"/>
      <c r="AV95" s="2149"/>
      <c r="AW95" s="2149"/>
      <c r="AX95" s="2149"/>
      <c r="AY95" s="214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30"/>
      <c r="BQ96" s="129" t="s">
        <v>476</v>
      </c>
      <c r="BZ96" s="261">
        <f>+IF(Identification!B125="Net",T33*BY4,IF(Identification!B125="Brut",T33,"Erreur"))</f>
        <v>0</v>
      </c>
    </row>
    <row r="97" spans="2:78" x14ac:dyDescent="0.2">
      <c r="AA97" s="206"/>
      <c r="AP97" s="1030"/>
      <c r="AT97" s="129"/>
      <c r="AU97" s="873" t="s">
        <v>1215</v>
      </c>
      <c r="AV97" s="129"/>
      <c r="AW97" s="129"/>
      <c r="AX97" s="129"/>
      <c r="BZ97" s="262"/>
    </row>
    <row r="98" spans="2:78" x14ac:dyDescent="0.2">
      <c r="C98" s="1805" t="s">
        <v>663</v>
      </c>
      <c r="D98" s="1805"/>
      <c r="E98" s="1805"/>
      <c r="F98" s="1805"/>
      <c r="G98" s="1805"/>
      <c r="H98" s="1805"/>
      <c r="I98" s="1805"/>
      <c r="J98" s="1805"/>
      <c r="K98" s="1805"/>
      <c r="L98" s="1805"/>
      <c r="M98" s="1805"/>
      <c r="N98" s="1805"/>
      <c r="O98" s="1805"/>
      <c r="AT98" s="129"/>
      <c r="AU98" s="131" t="str">
        <f>+IF(AND(R88&gt;0,AR129=""),"Avances versées ce mois en net :","")</f>
        <v/>
      </c>
      <c r="AV98" s="129"/>
      <c r="AW98" s="129"/>
      <c r="AX98" s="129"/>
      <c r="BQ98" s="129" t="s">
        <v>477</v>
      </c>
      <c r="BZ98" s="261">
        <f>+IF(Identification!B125="Net",IF(B34="Prime de précarité 10% (CDD)",T34*BY4,0),IF(Identification!B125="Brut",IF(B34="Prime de précarité 10% (CDD)",T34,0),"Erreur"))</f>
        <v>0</v>
      </c>
    </row>
    <row r="99" spans="2:78" x14ac:dyDescent="0.2">
      <c r="C99" s="129" t="s">
        <v>702</v>
      </c>
      <c r="D99" s="2298">
        <f>+DATE(YEAR(X3),5,31)</f>
        <v>45808</v>
      </c>
      <c r="E99" s="2298"/>
      <c r="F99" s="2298"/>
      <c r="G99" s="2299">
        <f>+Novembre!G99</f>
        <v>0</v>
      </c>
      <c r="H99" s="2348"/>
      <c r="I99" s="2349"/>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713</v>
      </c>
      <c r="G100" s="2180">
        <f>+Novembre!G100</f>
        <v>0</v>
      </c>
      <c r="H100" s="2181"/>
      <c r="I100" s="2182"/>
      <c r="L100" s="131"/>
      <c r="M100" s="371"/>
      <c r="N100" s="371"/>
      <c r="O100" s="371"/>
      <c r="P100" s="206"/>
      <c r="Q100" s="206"/>
      <c r="AT100" s="129"/>
      <c r="AU100" s="129"/>
      <c r="AV100" s="129"/>
      <c r="AW100" s="129"/>
      <c r="AX100" s="129"/>
      <c r="BQ100" s="129" t="s">
        <v>89</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1746" t="s">
        <v>1093</v>
      </c>
      <c r="T102" s="1746"/>
      <c r="AT102" s="129"/>
      <c r="AU102" s="129"/>
      <c r="AV102" s="129"/>
      <c r="AW102" s="129"/>
      <c r="AX102" s="129"/>
      <c r="AZ102" s="915"/>
      <c r="BA102" s="1805" t="s">
        <v>1664</v>
      </c>
      <c r="BB102" s="1805"/>
      <c r="BC102" s="1805"/>
      <c r="BD102" s="1805"/>
      <c r="BE102" s="1805"/>
      <c r="BF102" s="1805"/>
      <c r="BG102" s="1805"/>
      <c r="BH102" s="1805"/>
      <c r="BQ102" s="198" t="s">
        <v>478</v>
      </c>
      <c r="BR102" s="198"/>
      <c r="BS102" s="198"/>
      <c r="BT102" s="198"/>
      <c r="BU102" s="198"/>
      <c r="BV102" s="198"/>
      <c r="BW102" s="198"/>
      <c r="BX102" s="198"/>
      <c r="BY102" s="198"/>
      <c r="BZ102" s="1040">
        <f>+IF(Identification!B125="Net",IF(B34="Indemnité départ volontaire à la retraite",T34*BY4,0),IF(Identification!B125="Brut",IF(B34="Indemnité départ volontaire à la retraite",T34,0),"Erreur"))</f>
        <v>0</v>
      </c>
    </row>
    <row r="103" spans="2:78" ht="12.75" customHeight="1" thickBot="1" x14ac:dyDescent="0.25">
      <c r="S103" s="1747"/>
      <c r="T103" s="1747"/>
      <c r="AT103" s="129"/>
      <c r="AU103" s="129"/>
      <c r="AV103" s="129"/>
      <c r="AW103" s="129"/>
      <c r="AX103" s="129"/>
      <c r="AZ103" s="915"/>
      <c r="BA103" s="1470"/>
      <c r="BB103" s="915"/>
      <c r="BC103" s="234"/>
      <c r="BD103" s="234"/>
      <c r="BE103" s="234"/>
    </row>
    <row r="104" spans="2:78" ht="12.75" customHeight="1" x14ac:dyDescent="0.2">
      <c r="B104" s="2279" t="s">
        <v>1091</v>
      </c>
      <c r="C104" s="2280"/>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0"/>
      <c r="AM104" s="2280"/>
      <c r="AN104" s="2280"/>
      <c r="AO104" s="2281"/>
      <c r="AT104" s="129"/>
      <c r="AU104" s="129"/>
      <c r="AV104" s="129"/>
      <c r="AW104" s="129"/>
      <c r="AX104" s="129"/>
      <c r="AZ104" s="915"/>
      <c r="BA104" s="2258" t="s">
        <v>1590</v>
      </c>
      <c r="BB104" s="2258" t="s">
        <v>1591</v>
      </c>
      <c r="BC104" s="2260"/>
      <c r="BD104" s="2262" t="s">
        <v>1592</v>
      </c>
      <c r="BE104" s="2260" t="s">
        <v>1593</v>
      </c>
      <c r="BF104" s="1493" t="s">
        <v>671</v>
      </c>
      <c r="BG104" s="1494"/>
      <c r="BH104" s="1499" t="s">
        <v>671</v>
      </c>
    </row>
    <row r="105" spans="2:78" ht="12.75" customHeight="1" x14ac:dyDescent="0.2">
      <c r="B105" s="2282"/>
      <c r="C105" s="2283"/>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3"/>
      <c r="AM105" s="2283"/>
      <c r="AN105" s="2283"/>
      <c r="AO105" s="2284"/>
      <c r="AT105" s="129"/>
      <c r="AU105" s="129"/>
      <c r="AV105" s="129"/>
      <c r="AW105" s="129"/>
      <c r="AX105" s="129"/>
      <c r="AZ105" s="1470"/>
      <c r="BA105" s="2259"/>
      <c r="BB105" s="2259"/>
      <c r="BC105" s="2261"/>
      <c r="BD105" s="2263"/>
      <c r="BE105" s="2261"/>
      <c r="BF105" s="1495" t="s">
        <v>1596</v>
      </c>
      <c r="BG105" s="1496" t="s">
        <v>1592</v>
      </c>
      <c r="BH105" s="1497"/>
    </row>
    <row r="106" spans="2:78" ht="12.75" customHeight="1" x14ac:dyDescent="0.2">
      <c r="B106" s="2282"/>
      <c r="C106" s="2283"/>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3"/>
      <c r="AM106" s="2283"/>
      <c r="AN106" s="2283"/>
      <c r="AO106" s="2284"/>
      <c r="AT106" s="129"/>
      <c r="AU106" s="129"/>
      <c r="AV106" s="129"/>
      <c r="AW106" s="129"/>
      <c r="AX106" s="129"/>
      <c r="AZ106" s="1470"/>
      <c r="BA106" s="1471"/>
      <c r="BB106" s="915"/>
      <c r="BC106" s="1471"/>
      <c r="BD106" s="1471"/>
      <c r="BE106" s="1471"/>
      <c r="BF106" s="333"/>
      <c r="BG106" s="333"/>
      <c r="BH106" s="333"/>
    </row>
    <row r="107" spans="2:78" ht="12.75" customHeight="1" x14ac:dyDescent="0.2">
      <c r="B107" s="2282"/>
      <c r="C107" s="2283"/>
      <c r="D107" s="2283"/>
      <c r="E107" s="2283"/>
      <c r="F107" s="2283"/>
      <c r="G107" s="2283"/>
      <c r="H107" s="2283"/>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2283"/>
      <c r="AH107" s="2283"/>
      <c r="AI107" s="2283"/>
      <c r="AJ107" s="2283"/>
      <c r="AK107" s="2283"/>
      <c r="AL107" s="2283"/>
      <c r="AM107" s="2283"/>
      <c r="AN107" s="2283"/>
      <c r="AO107" s="2284"/>
      <c r="AT107" s="129"/>
      <c r="AU107" s="129"/>
      <c r="AV107" s="129"/>
      <c r="AW107" s="129"/>
      <c r="AX107" s="129"/>
      <c r="AZ107" s="1472" t="str">
        <f>+$BG$9</f>
        <v>492025</v>
      </c>
      <c r="BA107" s="1473">
        <f>+$AT$4</f>
        <v>49</v>
      </c>
      <c r="BB107" s="1474"/>
      <c r="BC107" s="1475">
        <f>+IF(BF107&gt;0,BF107,+COUNTIFS($GF$20:$GF$50,"&gt;0",$GB$20:$GB$50,AZ107)+IF($DP$8&lt;52,+COUNTIFS($GH$20:$GH$50,"&gt;0",$GB$20:$GB$50,AZ107)))</f>
        <v>0</v>
      </c>
      <c r="BD107" s="1476">
        <f>IF(BH107&gt;0,BH107,+COUNTIFS(S.CAL!$FX$3:$FX$374,"&gt;0",S.CAL!$FW$3:$FW$374,AZ107))</f>
        <v>0</v>
      </c>
      <c r="BE107" s="1477">
        <f>IFERROR(ROUND(+BC107/BD107,2),0)</f>
        <v>0</v>
      </c>
      <c r="BF107" s="1500"/>
      <c r="BG107" s="1491"/>
      <c r="BH107" s="1500"/>
    </row>
    <row r="108" spans="2:78" ht="12.75" customHeight="1" x14ac:dyDescent="0.2">
      <c r="B108" s="2282"/>
      <c r="C108" s="2283"/>
      <c r="D108" s="2283"/>
      <c r="E108" s="2283"/>
      <c r="F108" s="2283"/>
      <c r="G108" s="2283"/>
      <c r="H108" s="2283"/>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2283"/>
      <c r="AH108" s="2283"/>
      <c r="AI108" s="2283"/>
      <c r="AJ108" s="2283"/>
      <c r="AK108" s="2283"/>
      <c r="AL108" s="2283"/>
      <c r="AM108" s="2283"/>
      <c r="AN108" s="2283"/>
      <c r="AO108" s="2284"/>
      <c r="AZ108" s="1472" t="str">
        <f>+$BG$10</f>
        <v>502025</v>
      </c>
      <c r="BA108" s="1478">
        <f>+$AT$5</f>
        <v>50</v>
      </c>
      <c r="BB108" s="1479"/>
      <c r="BC108" s="1480">
        <f>+IF(BF108&gt;0,BF108,COUNTIFS($GF$20:$GF$50,"&gt;0",$GB$20:$GB$50,AZ108)+IF($DP$8&lt;52,+COUNTIFS($GH$20:$GH$50,"&gt;0",$GB$20:$GB$50,AZ108)))</f>
        <v>0</v>
      </c>
      <c r="BD108" s="1481">
        <f>IF(BH108&gt;0,BH108,COUNTIFS(S.CAL!$FX$3:$FX$374,"&gt;0",S.CAL!$FW$3:$FW$374,AZ108))</f>
        <v>0</v>
      </c>
      <c r="BE108" s="1482">
        <f t="shared" ref="BE108:BE112" si="81">IFERROR(ROUND(+BC108/BD108,2),0)</f>
        <v>0</v>
      </c>
      <c r="BF108" s="1501"/>
      <c r="BG108" s="1498"/>
      <c r="BH108" s="1501"/>
    </row>
    <row r="109" spans="2:78" ht="12.75" customHeight="1" x14ac:dyDescent="0.2">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2283"/>
      <c r="AH109" s="2283"/>
      <c r="AI109" s="2283"/>
      <c r="AJ109" s="2283"/>
      <c r="AK109" s="2283"/>
      <c r="AL109" s="2283"/>
      <c r="AM109" s="2283"/>
      <c r="AN109" s="2283"/>
      <c r="AO109" s="2284"/>
      <c r="AZ109" s="1472" t="str">
        <f>+$BG$11</f>
        <v>512025</v>
      </c>
      <c r="BA109" s="1478">
        <f>+$AT$6</f>
        <v>51</v>
      </c>
      <c r="BB109" s="1479"/>
      <c r="BC109" s="1480">
        <f>IF(BF109&gt;0,BF109,+COUNTIFS($GF$20:$GF$50,"&gt;0",$GB$20:$GB$50,AZ109)+IF($DP$8&lt;52,+COUNTIFS($GH$20:$GH$50,"&gt;0",$GB$20:$GB$50,AZ109)))</f>
        <v>0</v>
      </c>
      <c r="BD109" s="1481">
        <f>IF(BH109&gt;0,BH109,+COUNTIFS(S.CAL!$FX$3:$FX$374,"&gt;0",S.CAL!$FW$3:$FW$374,AZ109))</f>
        <v>0</v>
      </c>
      <c r="BE109" s="1482">
        <f t="shared" si="81"/>
        <v>0</v>
      </c>
      <c r="BF109" s="1501"/>
      <c r="BG109" s="1498"/>
      <c r="BH109" s="1501"/>
    </row>
    <row r="110" spans="2:78" ht="12.75" customHeight="1" x14ac:dyDescent="0.2">
      <c r="B110" s="2282"/>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83"/>
      <c r="AI110" s="2283"/>
      <c r="AJ110" s="2283"/>
      <c r="AK110" s="2283"/>
      <c r="AL110" s="2283"/>
      <c r="AM110" s="2283"/>
      <c r="AN110" s="2283"/>
      <c r="AO110" s="2284"/>
      <c r="AZ110" s="1472" t="str">
        <f>+$BG$12</f>
        <v>522025</v>
      </c>
      <c r="BA110" s="1478">
        <f>+$AT$7</f>
        <v>52</v>
      </c>
      <c r="BB110" s="1479"/>
      <c r="BC110" s="1480">
        <f>IF(BF110&gt;0,BF110,+COUNTIFS($GF$20:$GF$50,"&gt;0",$GB$20:$GB$50,AZ110)+IF($DP$8&lt;52,+COUNTIFS($GH$20:$GH$50,"&gt;0",$GB$20:$GB$50,AZ110)))</f>
        <v>0</v>
      </c>
      <c r="BD110" s="1481">
        <f>IF(BH110&gt;0,BH110,+COUNTIFS(S.CAL!$FX$3:$FX$374,"&gt;0",S.CAL!$FW$3:$FW$374,AZ110))</f>
        <v>0</v>
      </c>
      <c r="BE110" s="1482">
        <f t="shared" si="81"/>
        <v>0</v>
      </c>
      <c r="BF110" s="1501"/>
      <c r="BG110" s="1498"/>
      <c r="BH110" s="1501"/>
      <c r="BY110" s="1287" t="s">
        <v>1022</v>
      </c>
    </row>
    <row r="111" spans="2:78" ht="12.75" customHeight="1" x14ac:dyDescent="0.2">
      <c r="B111" s="2282"/>
      <c r="C111" s="2283"/>
      <c r="D111" s="2283"/>
      <c r="E111" s="2283"/>
      <c r="F111" s="2283"/>
      <c r="G111" s="2283"/>
      <c r="H111" s="2283"/>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4"/>
      <c r="AZ111" s="1472" t="str">
        <f>+$BG$13</f>
        <v>12025</v>
      </c>
      <c r="BA111" s="1478">
        <f>+$AT$8</f>
        <v>1</v>
      </c>
      <c r="BB111" s="1479"/>
      <c r="BC111" s="1480">
        <f>IF(BF111&gt;0,BF111,+COUNTIFS($GF$20:$GF$50,"&gt;0",$GB$20:$GB$50,AZ111)+IF($DP$8&lt;52,+COUNTIFS($GH$20:$GH$50,"&gt;0",$GB$20:$GB$50,AZ111)))</f>
        <v>0</v>
      </c>
      <c r="BD111" s="1481">
        <f>IF(BH111&gt;0,BH111,SUMIFS(S.CAL!$G$2:$G$897,S.CAL!$B$2:$B$897,Décembre!$BY$2,S.CAL!$C$2:$C$897,$AU$8))</f>
        <v>0</v>
      </c>
      <c r="BE111" s="1482">
        <f t="shared" si="81"/>
        <v>0</v>
      </c>
      <c r="BF111" s="1501"/>
      <c r="BG111" s="1498"/>
      <c r="BH111" s="1501"/>
      <c r="BY111" s="592" t="s">
        <v>1409</v>
      </c>
    </row>
    <row r="112" spans="2:78" ht="12.75" customHeight="1" x14ac:dyDescent="0.2">
      <c r="B112" s="2282"/>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4"/>
      <c r="AZ112" s="1472" t="str">
        <f>+$BG$14</f>
        <v>2025</v>
      </c>
      <c r="BA112" s="1483" t="str">
        <f>+$AT$9</f>
        <v/>
      </c>
      <c r="BB112" s="1484"/>
      <c r="BC112" s="1485">
        <f>IF(BF112&gt;0,BF112,+COUNTIFS($GF$20:$GF$50,"&gt;0",$GB$20:$GB$50,AZ112)+IF($DP$8&lt;52,+COUNTIFS($GH$20:$GH$50,"&gt;0",$GB$20:$GB$50,AZ112)))</f>
        <v>0</v>
      </c>
      <c r="BD112" s="1486">
        <f>IF(BH112&gt;0,BH112,SUMIFS(S.CAL!$G$2:$G$897,S.CAL!$B$2:$B$897,Décembre!$BY$2,S.CAL!$C$2:$C$897,$AU$9))</f>
        <v>0</v>
      </c>
      <c r="BE112" s="1487">
        <f t="shared" si="81"/>
        <v>0</v>
      </c>
      <c r="BF112" s="1502"/>
      <c r="BG112" s="1492"/>
      <c r="BH112" s="1502"/>
      <c r="BY112" s="592"/>
    </row>
    <row r="113" spans="2:78" ht="12.75" customHeight="1" x14ac:dyDescent="0.2">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4"/>
      <c r="AZ113" s="915"/>
      <c r="BA113" s="234"/>
      <c r="BB113" s="234"/>
      <c r="BC113" s="234"/>
      <c r="BD113" s="234"/>
      <c r="BE113" s="234"/>
      <c r="BY113" s="592" t="s">
        <v>1395</v>
      </c>
    </row>
    <row r="114" spans="2:78" ht="13.5" customHeight="1" x14ac:dyDescent="0.2">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4"/>
      <c r="AZ114" s="915"/>
      <c r="BA114" s="234"/>
      <c r="BB114" s="234"/>
      <c r="BC114" s="234"/>
      <c r="BD114" s="916" t="s">
        <v>1594</v>
      </c>
      <c r="BE114" s="1488">
        <f>MROUND(SUM(BE107:BE112),0.05)</f>
        <v>0</v>
      </c>
      <c r="BY114" s="592" t="s">
        <v>1023</v>
      </c>
    </row>
    <row r="115" spans="2:78" ht="12.75" customHeight="1" x14ac:dyDescent="0.2">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4"/>
      <c r="AZ115" s="915"/>
      <c r="BA115" s="915"/>
      <c r="BB115" s="915"/>
      <c r="BC115" s="915"/>
      <c r="BD115" s="1489" t="s">
        <v>1595</v>
      </c>
      <c r="BE115" s="1490">
        <f>+BE114/4</f>
        <v>0</v>
      </c>
      <c r="BY115" s="592" t="s">
        <v>1024</v>
      </c>
    </row>
    <row r="116" spans="2:78" ht="12.75" customHeight="1" x14ac:dyDescent="0.2">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4"/>
      <c r="BY116" s="592" t="s">
        <v>1396</v>
      </c>
    </row>
    <row r="117" spans="2:78" ht="13.5" customHeight="1" x14ac:dyDescent="0.2">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4"/>
      <c r="BY117" s="592"/>
    </row>
    <row r="118" spans="2:78" ht="13.5" thickBot="1" x14ac:dyDescent="0.25">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7"/>
      <c r="BY118" s="592" t="s">
        <v>1025</v>
      </c>
      <c r="BZ118" s="599" t="s">
        <v>1030</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484</v>
      </c>
      <c r="C121" s="270"/>
      <c r="D121" s="270"/>
      <c r="E121" s="270"/>
      <c r="F121" s="270"/>
      <c r="G121" s="270"/>
      <c r="H121" s="270"/>
      <c r="I121" s="270"/>
      <c r="J121" s="270"/>
      <c r="K121" s="270"/>
      <c r="L121" s="270"/>
      <c r="M121" s="270"/>
      <c r="N121" s="270"/>
      <c r="O121" s="270"/>
      <c r="P121" s="271"/>
      <c r="U121" s="272"/>
      <c r="V121" s="200" t="s">
        <v>640</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482</v>
      </c>
      <c r="L123" s="2171" t="s">
        <v>438</v>
      </c>
      <c r="M123" s="2171"/>
      <c r="P123" s="273"/>
      <c r="U123" s="272"/>
      <c r="V123" s="198" t="s">
        <v>923</v>
      </c>
      <c r="W123" s="198"/>
      <c r="X123" s="198"/>
      <c r="Y123" s="198"/>
      <c r="Z123" s="198"/>
      <c r="AA123" s="198"/>
      <c r="AB123" s="198"/>
      <c r="AC123" s="198"/>
      <c r="AD123" s="198"/>
      <c r="AE123" s="2172" t="str">
        <f>IF(AN123="",DP7,AN123)</f>
        <v>NON</v>
      </c>
      <c r="AF123" s="2172"/>
      <c r="AG123" s="198"/>
      <c r="AH123" s="198"/>
      <c r="AI123" s="198"/>
      <c r="AJ123" s="198"/>
      <c r="AK123" s="198"/>
      <c r="AL123" s="198"/>
      <c r="AM123" s="230" t="s">
        <v>643</v>
      </c>
      <c r="AN123" s="2175"/>
      <c r="AO123" s="2172"/>
      <c r="AP123" s="198"/>
      <c r="AQ123" s="230" t="s">
        <v>985</v>
      </c>
      <c r="AR123" s="2274"/>
      <c r="AS123" s="2275"/>
    </row>
    <row r="124" spans="2:78" ht="13.5" hidden="1" thickBot="1" x14ac:dyDescent="0.25">
      <c r="B124" s="272"/>
      <c r="L124" s="274"/>
      <c r="M124" s="274"/>
      <c r="P124" s="273"/>
      <c r="U124" s="272"/>
      <c r="AQ124" s="276"/>
      <c r="AR124" s="276"/>
      <c r="AS124" s="491"/>
    </row>
    <row r="125" spans="2:78" hidden="1" x14ac:dyDescent="0.2">
      <c r="B125" s="272" t="s">
        <v>483</v>
      </c>
      <c r="L125" s="2171" t="s">
        <v>438</v>
      </c>
      <c r="M125" s="2171"/>
      <c r="P125" s="273"/>
      <c r="U125" s="272"/>
      <c r="V125" s="129" t="s">
        <v>641</v>
      </c>
      <c r="AJ125" s="2171" t="s">
        <v>146</v>
      </c>
      <c r="AK125" s="2171"/>
      <c r="AL125" s="423" t="s">
        <v>752</v>
      </c>
      <c r="AM125" s="2173"/>
      <c r="AN125" s="2173"/>
      <c r="AO125" s="2173"/>
      <c r="AP125" s="217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642</v>
      </c>
      <c r="AI127" s="2171" t="s">
        <v>146</v>
      </c>
      <c r="AJ127" s="2171"/>
      <c r="AK127" s="422" t="s">
        <v>753</v>
      </c>
      <c r="AL127" s="424" t="s">
        <v>752</v>
      </c>
      <c r="AM127" s="2173"/>
      <c r="AN127" s="2173"/>
      <c r="AO127" s="2173"/>
      <c r="AP127" s="217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937</v>
      </c>
      <c r="W129" s="198"/>
      <c r="X129" s="198"/>
      <c r="Y129" s="198"/>
      <c r="Z129" s="198"/>
      <c r="AA129" s="198"/>
      <c r="AB129" s="198"/>
      <c r="AC129" s="198"/>
      <c r="AD129" s="198"/>
      <c r="AE129" s="2172" t="str">
        <f>IF(AN129="",DP19,AN129)</f>
        <v>NON</v>
      </c>
      <c r="AF129" s="2172"/>
      <c r="AG129" s="198"/>
      <c r="AH129" s="198"/>
      <c r="AI129" s="198"/>
      <c r="AJ129" s="198"/>
      <c r="AK129" s="198"/>
      <c r="AL129" s="198"/>
      <c r="AM129" s="230" t="s">
        <v>643</v>
      </c>
      <c r="AN129" s="2175"/>
      <c r="AO129" s="2172"/>
      <c r="AP129" s="198"/>
      <c r="AQ129" s="230" t="s">
        <v>924</v>
      </c>
      <c r="AR129" s="2274"/>
      <c r="AS129" s="2275"/>
    </row>
    <row r="130" spans="21:81" hidden="1" x14ac:dyDescent="0.2">
      <c r="U130" s="272"/>
      <c r="AS130" s="883"/>
    </row>
    <row r="131" spans="21:81" hidden="1" x14ac:dyDescent="0.2">
      <c r="U131" s="272"/>
      <c r="V131" s="129" t="s">
        <v>1720</v>
      </c>
      <c r="AG131" s="885"/>
      <c r="AH131" s="885"/>
      <c r="AJ131" s="1738" t="str">
        <f>+IF(AO131="",+Identification!B130,AO131)</f>
        <v>Oui</v>
      </c>
      <c r="AK131" s="1738"/>
      <c r="AL131" s="1729" t="s">
        <v>1066</v>
      </c>
      <c r="AM131" s="1729"/>
      <c r="AN131" s="1729"/>
      <c r="AO131" s="2270"/>
      <c r="AP131" s="2270"/>
      <c r="AS131" s="883"/>
    </row>
    <row r="132" spans="21:81" hidden="1" x14ac:dyDescent="0.2">
      <c r="U132" s="272"/>
      <c r="AG132" s="885"/>
      <c r="AH132" s="885"/>
      <c r="AJ132" s="1608"/>
      <c r="AK132" s="1608"/>
      <c r="AL132" s="131"/>
      <c r="AM132" s="131"/>
      <c r="AN132" s="131"/>
      <c r="AO132" s="528"/>
      <c r="AP132" s="528"/>
      <c r="AS132" s="883"/>
      <c r="BY132" s="198"/>
      <c r="BZ132" s="198"/>
      <c r="CA132" s="198"/>
      <c r="CB132" s="230" t="s">
        <v>1539</v>
      </c>
      <c r="CC132" s="1451" t="s">
        <v>146</v>
      </c>
    </row>
    <row r="133" spans="21:81" ht="13.5" hidden="1" thickBot="1" x14ac:dyDescent="0.25">
      <c r="U133" s="272"/>
      <c r="V133" s="129" t="s">
        <v>1721</v>
      </c>
      <c r="AC133" s="1727" t="str">
        <f>IF(AH133="",+Identification!B131,AH133)</f>
        <v>Oui</v>
      </c>
      <c r="AD133" s="1728"/>
      <c r="AE133" s="1729" t="s">
        <v>1066</v>
      </c>
      <c r="AF133" s="1729"/>
      <c r="AG133" s="1729"/>
      <c r="AH133" s="1730"/>
      <c r="AI133" s="1730"/>
      <c r="AJ133" s="1608"/>
      <c r="AK133" s="1608"/>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6"/>
    </row>
    <row r="135" spans="21:81" x14ac:dyDescent="0.2">
      <c r="V135" s="129" t="s">
        <v>1727</v>
      </c>
      <c r="AD135" s="1727" t="str">
        <f>IF(AJ135&lt;&gt;"",AJ135,IF(AND(+VLOOKUP(DP4,base_donné_contrat,23,FALSE)="OUI",BY8="OUI"),"OUI","NON"))</f>
        <v>NON</v>
      </c>
      <c r="AE135" s="1728"/>
      <c r="AG135" s="1729" t="s">
        <v>1066</v>
      </c>
      <c r="AH135" s="1729"/>
      <c r="AI135" s="1729"/>
      <c r="AJ135" s="1730"/>
      <c r="AK135" s="1730"/>
    </row>
    <row r="137" spans="21:81" x14ac:dyDescent="0.2">
      <c r="AZ137" s="915"/>
      <c r="BA137" s="1805" t="s">
        <v>1663</v>
      </c>
      <c r="BB137" s="1805"/>
      <c r="BC137" s="1805"/>
      <c r="BD137" s="1805"/>
      <c r="BE137" s="1805"/>
      <c r="BF137" s="1805"/>
      <c r="BG137" s="1805"/>
      <c r="BH137" s="1805"/>
    </row>
    <row r="138" spans="21:81" x14ac:dyDescent="0.2">
      <c r="AZ138" s="915"/>
      <c r="BA138" s="1470"/>
      <c r="BB138" s="915"/>
      <c r="BC138" s="234"/>
      <c r="BD138" s="234"/>
      <c r="BE138" s="234"/>
    </row>
    <row r="139" spans="21:81" x14ac:dyDescent="0.2">
      <c r="AZ139" s="915"/>
      <c r="BA139" s="2258" t="s">
        <v>1590</v>
      </c>
      <c r="BB139" s="2258" t="s">
        <v>1591</v>
      </c>
      <c r="BC139" s="2260"/>
      <c r="BD139" s="2262" t="s">
        <v>1592</v>
      </c>
      <c r="BE139" s="2260" t="s">
        <v>1593</v>
      </c>
      <c r="BF139" s="1493" t="s">
        <v>671</v>
      </c>
      <c r="BG139" s="1494"/>
      <c r="BH139" s="1499" t="s">
        <v>671</v>
      </c>
    </row>
    <row r="140" spans="21:81" x14ac:dyDescent="0.2">
      <c r="AZ140" s="1470"/>
      <c r="BA140" s="2259"/>
      <c r="BB140" s="2259"/>
      <c r="BC140" s="2261"/>
      <c r="BD140" s="2263"/>
      <c r="BE140" s="2261"/>
      <c r="BF140" s="1495" t="s">
        <v>1596</v>
      </c>
      <c r="BG140" s="1496" t="s">
        <v>1592</v>
      </c>
      <c r="BH140" s="1497"/>
    </row>
    <row r="141" spans="21:81" x14ac:dyDescent="0.2">
      <c r="AZ141" s="1470"/>
      <c r="BA141" s="1471"/>
      <c r="BB141" s="915"/>
      <c r="BC141" s="1471"/>
      <c r="BD141" s="1471"/>
      <c r="BE141" s="1471"/>
      <c r="BF141" s="333"/>
      <c r="BG141" s="333"/>
      <c r="BH141" s="333"/>
    </row>
    <row r="142" spans="21:81" x14ac:dyDescent="0.2">
      <c r="AZ142" s="1472" t="str">
        <f>+$BG$9</f>
        <v>492025</v>
      </c>
      <c r="BA142" s="1473">
        <f>+$AT$4</f>
        <v>49</v>
      </c>
      <c r="BB142" s="1474"/>
      <c r="BC142" s="1475">
        <f>+IF(BF142&gt;0,BF142,+COUNTIFS($GP$20:$GP$50,"&gt;0",$GB$20:$GB$50,AZ142))</f>
        <v>0</v>
      </c>
      <c r="BD142" s="1476">
        <f>IF(BH142&gt;0,BH142,+COUNTIFS(S.CAL!$FX$3:$FX$374,"&gt;0",S.CAL!$FW$3:$FW$374,AZ142))</f>
        <v>0</v>
      </c>
      <c r="BE142" s="1477">
        <f>IFERROR(ROUND(+BC142/BD142,2),0)</f>
        <v>0</v>
      </c>
      <c r="BF142" s="1500"/>
      <c r="BG142" s="1491"/>
      <c r="BH142" s="1500"/>
    </row>
    <row r="143" spans="21:81" x14ac:dyDescent="0.2">
      <c r="AZ143" s="1472" t="str">
        <f>+$BG$10</f>
        <v>502025</v>
      </c>
      <c r="BA143" s="1478">
        <f>+$AT$5</f>
        <v>50</v>
      </c>
      <c r="BB143" s="1479"/>
      <c r="BC143" s="1480">
        <f t="shared" ref="BC143:BC147" si="82">+IF(BF143&gt;0,BF143,+COUNTIFS($GP$20:$GP$50,"&gt;0",$GB$20:$GB$50,AZ143))</f>
        <v>0</v>
      </c>
      <c r="BD143" s="1481">
        <f>IF(BH143&gt;0,BH143,COUNTIFS(S.CAL!$FX$3:$FX$374,"&gt;0",S.CAL!$FW$3:$FW$374,AZ143))</f>
        <v>0</v>
      </c>
      <c r="BE143" s="1482">
        <f t="shared" ref="BE143:BE147" si="83">IFERROR(ROUND(+BC143/BD143,2),0)</f>
        <v>0</v>
      </c>
      <c r="BF143" s="1501"/>
      <c r="BG143" s="1498"/>
      <c r="BH143" s="1501"/>
    </row>
    <row r="144" spans="21:81" x14ac:dyDescent="0.2">
      <c r="AZ144" s="1472" t="str">
        <f>+$BG$11</f>
        <v>512025</v>
      </c>
      <c r="BA144" s="1478">
        <f>+$AT$6</f>
        <v>51</v>
      </c>
      <c r="BB144" s="1479"/>
      <c r="BC144" s="1480">
        <f t="shared" si="82"/>
        <v>0</v>
      </c>
      <c r="BD144" s="1481">
        <f>IF(BH144&gt;0,BH144,+COUNTIFS(S.CAL!$FX$3:$FX$374,"&gt;0",S.CAL!$FW$3:$FW$374,AZ144))</f>
        <v>0</v>
      </c>
      <c r="BE144" s="1482">
        <f t="shared" si="83"/>
        <v>0</v>
      </c>
      <c r="BF144" s="1501"/>
      <c r="BG144" s="1498"/>
      <c r="BH144" s="1501"/>
    </row>
    <row r="145" spans="52:60" x14ac:dyDescent="0.2">
      <c r="AZ145" s="1472" t="str">
        <f>+$BG$12</f>
        <v>522025</v>
      </c>
      <c r="BA145" s="1478">
        <f>+$AT$7</f>
        <v>52</v>
      </c>
      <c r="BB145" s="1479"/>
      <c r="BC145" s="1480">
        <f t="shared" si="82"/>
        <v>0</v>
      </c>
      <c r="BD145" s="1481">
        <f>IF(BH145&gt;0,BH145,+COUNTIFS(S.CAL!$FX$3:$FX$374,"&gt;0",S.CAL!$FW$3:$FW$374,AZ145))</f>
        <v>0</v>
      </c>
      <c r="BE145" s="1482">
        <f t="shared" si="83"/>
        <v>0</v>
      </c>
      <c r="BF145" s="1501"/>
      <c r="BG145" s="1498"/>
      <c r="BH145" s="1501"/>
    </row>
    <row r="146" spans="52:60" x14ac:dyDescent="0.2">
      <c r="AZ146" s="1472" t="str">
        <f>+$BG$13</f>
        <v>12025</v>
      </c>
      <c r="BA146" s="1478">
        <f>+$AT$8</f>
        <v>1</v>
      </c>
      <c r="BB146" s="1479"/>
      <c r="BC146" s="1480">
        <f t="shared" si="82"/>
        <v>0</v>
      </c>
      <c r="BD146" s="1481">
        <f>IF(BH146&gt;0,BH146,SUMIFS(S.CAL!$G$2:$G$897,S.CAL!$B$2:$B$897,Décembre!$BY$2,S.CAL!$C$2:$C$897,$AU$8))</f>
        <v>0</v>
      </c>
      <c r="BE146" s="1482">
        <f t="shared" si="83"/>
        <v>0</v>
      </c>
      <c r="BF146" s="1501"/>
      <c r="BG146" s="1498"/>
      <c r="BH146" s="1501"/>
    </row>
    <row r="147" spans="52:60" x14ac:dyDescent="0.2">
      <c r="AZ147" s="1472" t="str">
        <f>+$BG$14</f>
        <v>2025</v>
      </c>
      <c r="BA147" s="1483" t="str">
        <f>+$AT$9</f>
        <v/>
      </c>
      <c r="BB147" s="1484"/>
      <c r="BC147" s="1485">
        <f t="shared" si="82"/>
        <v>0</v>
      </c>
      <c r="BD147" s="1486">
        <f>IF(BH147&gt;0,BH147,SUMIFS(S.CAL!$G$2:$G$897,S.CAL!$B$2:$B$897,Décembre!$BY$2,S.CAL!$C$2:$C$897,$AU$9))</f>
        <v>0</v>
      </c>
      <c r="BE147" s="1487">
        <f t="shared" si="83"/>
        <v>0</v>
      </c>
      <c r="BF147" s="1502"/>
      <c r="BG147" s="1492"/>
      <c r="BH147" s="1502"/>
    </row>
    <row r="148" spans="52:60" x14ac:dyDescent="0.2">
      <c r="AZ148" s="915"/>
      <c r="BA148" s="234"/>
      <c r="BB148" s="234"/>
      <c r="BC148" s="234"/>
      <c r="BD148" s="234"/>
      <c r="BE148" s="234"/>
    </row>
    <row r="149" spans="52:60" x14ac:dyDescent="0.2">
      <c r="AZ149" s="915"/>
      <c r="BA149" s="234"/>
      <c r="BB149" s="234"/>
      <c r="BC149" s="234"/>
      <c r="BD149" s="916" t="s">
        <v>1594</v>
      </c>
      <c r="BE149" s="1488">
        <f>MROUND(SUM(BE142:BE147),0.05)</f>
        <v>0</v>
      </c>
    </row>
  </sheetData>
  <sheetProtection algorithmName="SHA-512" hashValue="oj5WTUXPzrvUynnw0cPQNAmFPOOXnXEFZuNbdvzlszQA5lk36GvmEayRsmpgyBH0FnuPe5qxPHIG4qwlQ0PITA==" saltValue="X+XIXhHfisK/MlAx4UurcQ==" spinCount="100000" sheet="1" objects="1" scenarios="1" formatCells="0" formatColumns="0" formatRows="0" insertColumns="0" insertRows="0" insertHyperlinks="0" sort="0" autoFilter="0" pivotTables="0"/>
  <mergeCells count="795">
    <mergeCell ref="H77:K77"/>
    <mergeCell ref="R89:T89"/>
    <mergeCell ref="I85:P85"/>
    <mergeCell ref="L125:M125"/>
    <mergeCell ref="G100:I100"/>
    <mergeCell ref="V86:AG86"/>
    <mergeCell ref="V87:AG87"/>
    <mergeCell ref="V88:AG88"/>
    <mergeCell ref="AH88:AK88"/>
    <mergeCell ref="AH87:AK87"/>
    <mergeCell ref="AH80:AK82"/>
    <mergeCell ref="V80:AF81"/>
    <mergeCell ref="AH84:AK84"/>
    <mergeCell ref="G99:I99"/>
    <mergeCell ref="S102:T103"/>
    <mergeCell ref="R90:T90"/>
    <mergeCell ref="Z77:AK77"/>
    <mergeCell ref="Q78:T78"/>
    <mergeCell ref="AJ131:AK131"/>
    <mergeCell ref="AL131:AN131"/>
    <mergeCell ref="AO131:AP131"/>
    <mergeCell ref="AG65:AI65"/>
    <mergeCell ref="AJ65:AL65"/>
    <mergeCell ref="T65:Z65"/>
    <mergeCell ref="AC69:AC71"/>
    <mergeCell ref="U60:W60"/>
    <mergeCell ref="X60:Z60"/>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AE129:AF129"/>
    <mergeCell ref="AH89:AK89"/>
    <mergeCell ref="AH92:AK92"/>
    <mergeCell ref="AE123:AF123"/>
    <mergeCell ref="AJ125:AK125"/>
    <mergeCell ref="V89:AG89"/>
    <mergeCell ref="V90:AG90"/>
    <mergeCell ref="V91:AG91"/>
    <mergeCell ref="B104:AO118"/>
    <mergeCell ref="AM125:AP125"/>
    <mergeCell ref="C98:O98"/>
    <mergeCell ref="D99:F99"/>
    <mergeCell ref="L123:M123"/>
    <mergeCell ref="K90:Q90"/>
    <mergeCell ref="BI59:BX59"/>
    <mergeCell ref="BQ54:BZ54"/>
    <mergeCell ref="BI56:BX56"/>
    <mergeCell ref="BI60:BX60"/>
    <mergeCell ref="AY75:AZ75"/>
    <mergeCell ref="AJ51:AL51"/>
    <mergeCell ref="AB50:AC50"/>
    <mergeCell ref="AJ50:AL50"/>
    <mergeCell ref="AJ46:AL46"/>
    <mergeCell ref="AD49:AF49"/>
    <mergeCell ref="AG48:AI48"/>
    <mergeCell ref="AD71:AK71"/>
    <mergeCell ref="AR69:AZ69"/>
    <mergeCell ref="AL69:AO69"/>
    <mergeCell ref="AL70:AO70"/>
    <mergeCell ref="AA66:AF66"/>
    <mergeCell ref="AM65:AO65"/>
    <mergeCell ref="AJ63:AL63"/>
    <mergeCell ref="AM63:AO63"/>
    <mergeCell ref="Z70:AB70"/>
    <mergeCell ref="AL71:AO71"/>
    <mergeCell ref="AA64:AF64"/>
    <mergeCell ref="AG64:AI64"/>
    <mergeCell ref="AJ64:AL64"/>
    <mergeCell ref="CB84:CB86"/>
    <mergeCell ref="BZ47:BZ48"/>
    <mergeCell ref="CA49:CA50"/>
    <mergeCell ref="CA47:CA48"/>
    <mergeCell ref="AD69:AK69"/>
    <mergeCell ref="V84:AG84"/>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W47:AX47"/>
    <mergeCell ref="AR66:AZ66"/>
    <mergeCell ref="AX62:AY62"/>
    <mergeCell ref="AW50:AX50"/>
    <mergeCell ref="AU61:AW61"/>
    <mergeCell ref="AX79:AY79"/>
    <mergeCell ref="AM49:AO49"/>
    <mergeCell ref="AD50:AF50"/>
    <mergeCell ref="AG51:AI51"/>
    <mergeCell ref="AA65:AF65"/>
    <mergeCell ref="AG50:AI50"/>
    <mergeCell ref="AB51:AC51"/>
    <mergeCell ref="AX63:AY63"/>
    <mergeCell ref="AB57:AL57"/>
    <mergeCell ref="AG66:AI66"/>
    <mergeCell ref="AM66:AO66"/>
    <mergeCell ref="AM62:AO62"/>
    <mergeCell ref="AJ62:AL62"/>
    <mergeCell ref="AM64:AO64"/>
    <mergeCell ref="AR65:AZ65"/>
    <mergeCell ref="AJ66:AL66"/>
    <mergeCell ref="AM51:AO51"/>
    <mergeCell ref="AL75:AO75"/>
    <mergeCell ref="AB54:AO54"/>
    <mergeCell ref="AG63:AI63"/>
    <mergeCell ref="AM55:AO55"/>
    <mergeCell ref="AY78:AZ78"/>
    <mergeCell ref="AM40:AO40"/>
    <mergeCell ref="AX60:AY60"/>
    <mergeCell ref="AU60:AW60"/>
    <mergeCell ref="BA139:BA140"/>
    <mergeCell ref="BB139:BC140"/>
    <mergeCell ref="BD139:BD140"/>
    <mergeCell ref="BE139:BE140"/>
    <mergeCell ref="BA137:BH137"/>
    <mergeCell ref="BA102:BH102"/>
    <mergeCell ref="BE104:BE105"/>
    <mergeCell ref="AT84:AW84"/>
    <mergeCell ref="AY84:AZ84"/>
    <mergeCell ref="BB104:BC105"/>
    <mergeCell ref="BD104:BD105"/>
    <mergeCell ref="AX85:AY85"/>
    <mergeCell ref="AV95:AY95"/>
    <mergeCell ref="BA104:BA105"/>
    <mergeCell ref="AU73:BB73"/>
    <mergeCell ref="AR68:AZ68"/>
    <mergeCell ref="AR78:AS78"/>
    <mergeCell ref="AR123:AS123"/>
    <mergeCell ref="AR129:AS129"/>
    <mergeCell ref="AT81:AW81"/>
    <mergeCell ref="AT78:AW78"/>
    <mergeCell ref="AG49:AI49"/>
    <mergeCell ref="AM43:AO43"/>
    <mergeCell ref="CC45:CD45"/>
    <mergeCell ref="CA44:CA45"/>
    <mergeCell ref="BZ44:BZ45"/>
    <mergeCell ref="AW43:AX43"/>
    <mergeCell ref="AW42:AX42"/>
    <mergeCell ref="BQ42:BW43"/>
    <mergeCell ref="BY47:BY48"/>
    <mergeCell ref="AW45:AX45"/>
    <mergeCell ref="AW49:AX49"/>
    <mergeCell ref="AJ45:AL45"/>
    <mergeCell ref="AM45:AO45"/>
    <mergeCell ref="AW48:AX48"/>
    <mergeCell ref="AG47:AI47"/>
    <mergeCell ref="EW17:FA17"/>
    <mergeCell ref="AW46:AX46"/>
    <mergeCell ref="AM41:AO41"/>
    <mergeCell ref="AM44:AO44"/>
    <mergeCell ref="BY44:BY45"/>
    <mergeCell ref="CA26:CA27"/>
    <mergeCell ref="AM42:AO42"/>
    <mergeCell ref="AJ47:AL47"/>
    <mergeCell ref="AW44:AX44"/>
    <mergeCell ref="AJ36:AL36"/>
    <mergeCell ref="AJ37:AL37"/>
    <mergeCell ref="BQ41:BV41"/>
    <mergeCell ref="AW38:AX38"/>
    <mergeCell ref="BS33:BX33"/>
    <mergeCell ref="AW35:AX35"/>
    <mergeCell ref="AJ28:AL28"/>
    <mergeCell ref="AJ23:AL23"/>
    <mergeCell ref="CC44:CD44"/>
    <mergeCell ref="AJ24:AL24"/>
    <mergeCell ref="AJ44:AL44"/>
    <mergeCell ref="BE18:BE19"/>
    <mergeCell ref="BO18:BO19"/>
    <mergeCell ref="BK18:BK19"/>
    <mergeCell ref="AJ29:AL29"/>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GW16:HF16"/>
    <mergeCell ref="AX82:AY82"/>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L85:AO85"/>
    <mergeCell ref="AY81:AZ81"/>
    <mergeCell ref="AL89:AO89"/>
    <mergeCell ref="AH93:AK93"/>
    <mergeCell ref="AA63:AF63"/>
    <mergeCell ref="T64:Z64"/>
    <mergeCell ref="X59:Z59"/>
    <mergeCell ref="X57:Z57"/>
    <mergeCell ref="X58:Z58"/>
    <mergeCell ref="R57:T57"/>
    <mergeCell ref="U56:W56"/>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AM50:AO50"/>
    <mergeCell ref="AM47:AO47"/>
    <mergeCell ref="AM48:AO48"/>
    <mergeCell ref="R50:T50"/>
    <mergeCell ref="AM46:AO46"/>
    <mergeCell ref="AD51:AF51"/>
    <mergeCell ref="AM56:AO56"/>
    <mergeCell ref="AM57:AO57"/>
    <mergeCell ref="AB56:AL56"/>
    <mergeCell ref="AJ48:AL48"/>
    <mergeCell ref="U46:W46"/>
    <mergeCell ref="AD48:AF48"/>
    <mergeCell ref="R49:T49"/>
    <mergeCell ref="X46:Z46"/>
    <mergeCell ref="AB47:AC47"/>
    <mergeCell ref="AD47:AF47"/>
    <mergeCell ref="X47:Z47"/>
    <mergeCell ref="X49:Z49"/>
    <mergeCell ref="U49:W49"/>
    <mergeCell ref="X48:Z48"/>
    <mergeCell ref="AD46:AF46"/>
    <mergeCell ref="AB46:AC46"/>
    <mergeCell ref="R46:T46"/>
    <mergeCell ref="AB55:AL55"/>
    <mergeCell ref="A6:D6"/>
    <mergeCell ref="Y15:Z15"/>
    <mergeCell ref="N40:P40"/>
    <mergeCell ref="U40:W40"/>
    <mergeCell ref="R40:T40"/>
    <mergeCell ref="K39:M39"/>
    <mergeCell ref="U39:W39"/>
    <mergeCell ref="K40:M40"/>
    <mergeCell ref="A10:M11"/>
    <mergeCell ref="P17:S17"/>
    <mergeCell ref="L17:O17"/>
    <mergeCell ref="A19:K19"/>
    <mergeCell ref="T31:W31"/>
    <mergeCell ref="L20:O20"/>
    <mergeCell ref="P19:S19"/>
    <mergeCell ref="P20:S20"/>
    <mergeCell ref="T20:W20"/>
    <mergeCell ref="P21:S21"/>
    <mergeCell ref="A20:K20"/>
    <mergeCell ref="T24:W24"/>
    <mergeCell ref="T21:W21"/>
    <mergeCell ref="P18:S18"/>
    <mergeCell ref="P23:S23"/>
    <mergeCell ref="H38:P38"/>
    <mergeCell ref="L19:O19"/>
    <mergeCell ref="P22:S22"/>
    <mergeCell ref="L25:O25"/>
    <mergeCell ref="AB23:AC23"/>
    <mergeCell ref="AD23:AF23"/>
    <mergeCell ref="E8:R8"/>
    <mergeCell ref="AG22:AI22"/>
    <mergeCell ref="AG20:AI20"/>
    <mergeCell ref="P15:X15"/>
    <mergeCell ref="B23:K23"/>
    <mergeCell ref="B24:K24"/>
    <mergeCell ref="L23:O23"/>
    <mergeCell ref="L24:O24"/>
    <mergeCell ref="A22:K22"/>
    <mergeCell ref="A23:A24"/>
    <mergeCell ref="B25:K25"/>
    <mergeCell ref="O14:T14"/>
    <mergeCell ref="AB20:AC20"/>
    <mergeCell ref="L22:O22"/>
    <mergeCell ref="T19:W19"/>
    <mergeCell ref="AD18:AF19"/>
    <mergeCell ref="A21:K21"/>
    <mergeCell ref="L21:O21"/>
    <mergeCell ref="A25:A26"/>
    <mergeCell ref="AW41:AX41"/>
    <mergeCell ref="BV21:BZ23"/>
    <mergeCell ref="BI18:BI19"/>
    <mergeCell ref="AR18:AR19"/>
    <mergeCell ref="BS32:BX32"/>
    <mergeCell ref="BM18:BM19"/>
    <mergeCell ref="BN18:BN19"/>
    <mergeCell ref="AW40:AX40"/>
    <mergeCell ref="AW37:AX37"/>
    <mergeCell ref="BA18:BA19"/>
    <mergeCell ref="BL18:BL19"/>
    <mergeCell ref="AW33:AX33"/>
    <mergeCell ref="BC18:BC19"/>
    <mergeCell ref="BD18:BD19"/>
    <mergeCell ref="BY26:BY27"/>
    <mergeCell ref="AZ18:AZ19"/>
    <mergeCell ref="AU18:AU19"/>
    <mergeCell ref="AW39:AX39"/>
    <mergeCell ref="AW36:AX36"/>
    <mergeCell ref="AW31:AX31"/>
    <mergeCell ref="BS30:BX30"/>
    <mergeCell ref="BS29:BX29"/>
    <mergeCell ref="AM34:AO34"/>
    <mergeCell ref="AM35:AO35"/>
    <mergeCell ref="AM37:AO37"/>
    <mergeCell ref="AM38:AO38"/>
    <mergeCell ref="AM36:AO36"/>
    <mergeCell ref="AM39:AO39"/>
    <mergeCell ref="AM33:AO33"/>
    <mergeCell ref="AJ33:AL33"/>
    <mergeCell ref="AJ35:AL35"/>
    <mergeCell ref="U55:W55"/>
    <mergeCell ref="X54:Z54"/>
    <mergeCell ref="U45:W45"/>
    <mergeCell ref="R53:T53"/>
    <mergeCell ref="X50:Z50"/>
    <mergeCell ref="R55:T55"/>
    <mergeCell ref="AJ41:AL41"/>
    <mergeCell ref="AJ34:AL34"/>
    <mergeCell ref="AG36:AI36"/>
    <mergeCell ref="AG38:AI38"/>
    <mergeCell ref="X51:Z51"/>
    <mergeCell ref="R51:T51"/>
    <mergeCell ref="AG34:AI34"/>
    <mergeCell ref="AD34:AF34"/>
    <mergeCell ref="AG44:AI44"/>
    <mergeCell ref="AB49:AC49"/>
    <mergeCell ref="AB48:AC48"/>
    <mergeCell ref="U48:W48"/>
    <mergeCell ref="R38:Z38"/>
    <mergeCell ref="AD37:AF37"/>
    <mergeCell ref="P34:S34"/>
    <mergeCell ref="AG40:AI40"/>
    <mergeCell ref="AG35:AI35"/>
    <mergeCell ref="U50:W50"/>
    <mergeCell ref="N50:P50"/>
    <mergeCell ref="L33:O33"/>
    <mergeCell ref="AG43:AI43"/>
    <mergeCell ref="X45:Z45"/>
    <mergeCell ref="R47:T47"/>
    <mergeCell ref="U47:W47"/>
    <mergeCell ref="R48:T48"/>
    <mergeCell ref="K48:M48"/>
    <mergeCell ref="K50:M50"/>
    <mergeCell ref="K49:M49"/>
    <mergeCell ref="AB39:AC39"/>
    <mergeCell ref="AB34:AC34"/>
    <mergeCell ref="X41:Z41"/>
    <mergeCell ref="AB41:AC41"/>
    <mergeCell ref="AB36:AC36"/>
    <mergeCell ref="AB42:AC42"/>
    <mergeCell ref="X39:Z39"/>
    <mergeCell ref="X40:Z40"/>
    <mergeCell ref="AB35:AC35"/>
    <mergeCell ref="R39:T39"/>
    <mergeCell ref="R41:T41"/>
    <mergeCell ref="N41:P41"/>
    <mergeCell ref="AG39:AI39"/>
    <mergeCell ref="AG45:AI45"/>
    <mergeCell ref="AJ39:AL39"/>
    <mergeCell ref="AD38:AF38"/>
    <mergeCell ref="AJ38:AL38"/>
    <mergeCell ref="AG41:AI41"/>
    <mergeCell ref="X43:Z43"/>
    <mergeCell ref="R42:T42"/>
    <mergeCell ref="R43:T43"/>
    <mergeCell ref="AJ43:AL43"/>
    <mergeCell ref="AB32:AC32"/>
    <mergeCell ref="AD32:AF32"/>
    <mergeCell ref="AB37:AC37"/>
    <mergeCell ref="AD36:AF36"/>
    <mergeCell ref="AG33:AI33"/>
    <mergeCell ref="AB40:AC40"/>
    <mergeCell ref="AD42:AF42"/>
    <mergeCell ref="X42:Z42"/>
    <mergeCell ref="AG42:AI42"/>
    <mergeCell ref="AD33:AF33"/>
    <mergeCell ref="P33:S33"/>
    <mergeCell ref="T32:W32"/>
    <mergeCell ref="T34:W34"/>
    <mergeCell ref="AJ42:AL42"/>
    <mergeCell ref="AG32:AI32"/>
    <mergeCell ref="AJ32:AL32"/>
    <mergeCell ref="A64:G64"/>
    <mergeCell ref="A65:A70"/>
    <mergeCell ref="B71:G71"/>
    <mergeCell ref="B67:G67"/>
    <mergeCell ref="B66:G66"/>
    <mergeCell ref="C70:G70"/>
    <mergeCell ref="X52:Z52"/>
    <mergeCell ref="K58:M58"/>
    <mergeCell ref="U53:W53"/>
    <mergeCell ref="X53:Z53"/>
    <mergeCell ref="U58:W58"/>
    <mergeCell ref="U54:W54"/>
    <mergeCell ref="X55:Z55"/>
    <mergeCell ref="R56:T56"/>
    <mergeCell ref="X61:Z61"/>
    <mergeCell ref="R62:T62"/>
    <mergeCell ref="R58:T58"/>
    <mergeCell ref="R63:S63"/>
    <mergeCell ref="R61:W61"/>
    <mergeCell ref="R59:T59"/>
    <mergeCell ref="X56:Z56"/>
    <mergeCell ref="U59:W59"/>
    <mergeCell ref="T63:Z63"/>
    <mergeCell ref="R54:T54"/>
    <mergeCell ref="H75:K75"/>
    <mergeCell ref="B69:G69"/>
    <mergeCell ref="B68:G68"/>
    <mergeCell ref="N68:P68"/>
    <mergeCell ref="N69:P69"/>
    <mergeCell ref="H70:J70"/>
    <mergeCell ref="K68:M68"/>
    <mergeCell ref="K67:M67"/>
    <mergeCell ref="K70:M70"/>
    <mergeCell ref="E74:G74"/>
    <mergeCell ref="A75:D75"/>
    <mergeCell ref="N72:P72"/>
    <mergeCell ref="E75:G75"/>
    <mergeCell ref="E73:G73"/>
    <mergeCell ref="H74:K74"/>
    <mergeCell ref="A74:D74"/>
    <mergeCell ref="N52:P52"/>
    <mergeCell ref="R52:T52"/>
    <mergeCell ref="U52:W52"/>
    <mergeCell ref="K71:M71"/>
    <mergeCell ref="H67:J67"/>
    <mergeCell ref="K66:M66"/>
    <mergeCell ref="N66:P66"/>
    <mergeCell ref="R65:S65"/>
    <mergeCell ref="N51:P51"/>
    <mergeCell ref="N53:P53"/>
    <mergeCell ref="N54:P54"/>
    <mergeCell ref="N55:P55"/>
    <mergeCell ref="R64:S64"/>
    <mergeCell ref="R60:T60"/>
    <mergeCell ref="N64:P64"/>
    <mergeCell ref="K64:M64"/>
    <mergeCell ref="H64:J64"/>
    <mergeCell ref="N65:P65"/>
    <mergeCell ref="K65:M65"/>
    <mergeCell ref="H65:J65"/>
    <mergeCell ref="H66:J66"/>
    <mergeCell ref="T66:Z66"/>
    <mergeCell ref="R70:Y70"/>
    <mergeCell ref="U51:W51"/>
    <mergeCell ref="B65:G65"/>
    <mergeCell ref="T67:Z67"/>
    <mergeCell ref="R69:AB69"/>
    <mergeCell ref="H69:J69"/>
    <mergeCell ref="K69:M69"/>
    <mergeCell ref="H73:K73"/>
    <mergeCell ref="N67:P67"/>
    <mergeCell ref="L74:P74"/>
    <mergeCell ref="H68:J68"/>
    <mergeCell ref="H71:J71"/>
    <mergeCell ref="N71:P71"/>
    <mergeCell ref="N70:P70"/>
    <mergeCell ref="Q74:T74"/>
    <mergeCell ref="R67:S67"/>
    <mergeCell ref="R66:S66"/>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A81:E81"/>
    <mergeCell ref="A77:D77"/>
    <mergeCell ref="F82:H82"/>
    <mergeCell ref="A80:E80"/>
    <mergeCell ref="H76:K76"/>
    <mergeCell ref="L78:P78"/>
    <mergeCell ref="A58:G58"/>
    <mergeCell ref="A59:G59"/>
    <mergeCell ref="H58:J58"/>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N60:P60"/>
    <mergeCell ref="A51:G51"/>
    <mergeCell ref="A53:G53"/>
    <mergeCell ref="H51:J51"/>
    <mergeCell ref="K51:M51"/>
    <mergeCell ref="H53:J53"/>
    <mergeCell ref="K53:M53"/>
    <mergeCell ref="A54:G54"/>
    <mergeCell ref="H54:J54"/>
    <mergeCell ref="A57:G57"/>
    <mergeCell ref="H56:J56"/>
    <mergeCell ref="A52:G52"/>
    <mergeCell ref="H52:J52"/>
    <mergeCell ref="K52:M52"/>
    <mergeCell ref="A55:G55"/>
    <mergeCell ref="K55:M55"/>
    <mergeCell ref="H57:J57"/>
    <mergeCell ref="K56:M56"/>
    <mergeCell ref="K54:M54"/>
    <mergeCell ref="K57:M57"/>
    <mergeCell ref="H55:J55"/>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A7:D7"/>
    <mergeCell ref="A17:K17"/>
    <mergeCell ref="A8:D8"/>
    <mergeCell ref="A14:H14"/>
    <mergeCell ref="I14:L14"/>
    <mergeCell ref="N15:O15"/>
    <mergeCell ref="C15:M15"/>
    <mergeCell ref="AJ30:AL30"/>
    <mergeCell ref="AG30:AI30"/>
    <mergeCell ref="AM30:AO30"/>
    <mergeCell ref="H50:J50"/>
    <mergeCell ref="K46:M46"/>
    <mergeCell ref="H46:J46"/>
    <mergeCell ref="AD27:AF27"/>
    <mergeCell ref="AG27:AI27"/>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AJ31:AL31"/>
    <mergeCell ref="AG37:AI37"/>
    <mergeCell ref="K45:M45"/>
    <mergeCell ref="N43:P43"/>
    <mergeCell ref="K44:M44"/>
    <mergeCell ref="L31:O31"/>
    <mergeCell ref="T29:W29"/>
    <mergeCell ref="T27:W27"/>
    <mergeCell ref="AB31:AC31"/>
    <mergeCell ref="AG28:AI28"/>
    <mergeCell ref="AG31:AI31"/>
    <mergeCell ref="U43:W43"/>
    <mergeCell ref="P32:S32"/>
    <mergeCell ref="U42:W42"/>
    <mergeCell ref="T35:W35"/>
    <mergeCell ref="U41:W41"/>
    <mergeCell ref="AB38:AC38"/>
    <mergeCell ref="AD31:AF31"/>
    <mergeCell ref="U44:W44"/>
    <mergeCell ref="X44:Z44"/>
    <mergeCell ref="AD45:AF45"/>
    <mergeCell ref="R45:T45"/>
    <mergeCell ref="AD44:AF44"/>
    <mergeCell ref="A47:G47"/>
    <mergeCell ref="L35:S35"/>
    <mergeCell ref="A49:G49"/>
    <mergeCell ref="A50:G50"/>
    <mergeCell ref="N49:P49"/>
    <mergeCell ref="R44:T44"/>
    <mergeCell ref="N46:P46"/>
    <mergeCell ref="A48:G48"/>
    <mergeCell ref="H49:J49"/>
    <mergeCell ref="H47:J47"/>
    <mergeCell ref="N47:P47"/>
    <mergeCell ref="N48:P48"/>
    <mergeCell ref="K47:M47"/>
    <mergeCell ref="H48:J48"/>
    <mergeCell ref="A46:G46"/>
    <mergeCell ref="H45:J45"/>
    <mergeCell ref="N45:P45"/>
    <mergeCell ref="A45:G45"/>
    <mergeCell ref="A41:G41"/>
    <mergeCell ref="H39:J39"/>
    <mergeCell ref="H41:J41"/>
    <mergeCell ref="A40:G40"/>
    <mergeCell ref="H40:J40"/>
    <mergeCell ref="A39:G39"/>
    <mergeCell ref="A43:G43"/>
    <mergeCell ref="H44:J44"/>
    <mergeCell ref="H42:J42"/>
    <mergeCell ref="B34:K34"/>
    <mergeCell ref="A42:G42"/>
    <mergeCell ref="K42:M42"/>
    <mergeCell ref="L27:O27"/>
    <mergeCell ref="B29:K29"/>
    <mergeCell ref="A44:G44"/>
    <mergeCell ref="N44:P44"/>
    <mergeCell ref="K43:M43"/>
    <mergeCell ref="A27:A28"/>
    <mergeCell ref="N39:P39"/>
    <mergeCell ref="K41:M41"/>
    <mergeCell ref="B33:K33"/>
    <mergeCell ref="L34:O34"/>
    <mergeCell ref="N42:P42"/>
    <mergeCell ref="A29:A34"/>
    <mergeCell ref="P29:S29"/>
    <mergeCell ref="L32:O32"/>
    <mergeCell ref="P31:S31"/>
    <mergeCell ref="B31:K31"/>
    <mergeCell ref="L29:O29"/>
    <mergeCell ref="H43:J43"/>
    <mergeCell ref="P25:S25"/>
    <mergeCell ref="L26:O26"/>
    <mergeCell ref="P24:S24"/>
    <mergeCell ref="P27:S27"/>
    <mergeCell ref="P26:S26"/>
    <mergeCell ref="T33:W33"/>
    <mergeCell ref="L28:O28"/>
    <mergeCell ref="B30:K30"/>
    <mergeCell ref="L30:O30"/>
    <mergeCell ref="P28:S28"/>
    <mergeCell ref="P30:S30"/>
    <mergeCell ref="B28:K28"/>
    <mergeCell ref="B27:K27"/>
    <mergeCell ref="T28:W28"/>
    <mergeCell ref="T30:W30"/>
    <mergeCell ref="T26:W26"/>
    <mergeCell ref="B26:K26"/>
    <mergeCell ref="B32:K32"/>
    <mergeCell ref="X4:AC4"/>
    <mergeCell ref="U14:X14"/>
    <mergeCell ref="V9:Y9"/>
    <mergeCell ref="X3:AC3"/>
    <mergeCell ref="AM26:AO26"/>
    <mergeCell ref="AD24:AF24"/>
    <mergeCell ref="AD25:AF25"/>
    <mergeCell ref="AB22:AC22"/>
    <mergeCell ref="AH12:AO12"/>
    <mergeCell ref="T22:W22"/>
    <mergeCell ref="T25:W25"/>
    <mergeCell ref="T18:W18"/>
    <mergeCell ref="T23:W23"/>
    <mergeCell ref="AJ4:AO4"/>
    <mergeCell ref="AL14:AO14"/>
    <mergeCell ref="AJ22:AL22"/>
    <mergeCell ref="AF4:AI4"/>
    <mergeCell ref="AJ18:AL19"/>
    <mergeCell ref="AJ21:AL21"/>
    <mergeCell ref="AJ25:AL25"/>
    <mergeCell ref="AD22:AF22"/>
    <mergeCell ref="AD26:AF26"/>
    <mergeCell ref="AG26:AI26"/>
    <mergeCell ref="AM27:AO27"/>
    <mergeCell ref="AD20:AF20"/>
    <mergeCell ref="AM25:AO25"/>
    <mergeCell ref="AM18:AO19"/>
    <mergeCell ref="CG8:CI8"/>
    <mergeCell ref="CE3:CF3"/>
    <mergeCell ref="BH7:BI7"/>
    <mergeCell ref="BJ18:BJ19"/>
    <mergeCell ref="BR4:BX4"/>
    <mergeCell ref="AR14:AZ14"/>
    <mergeCell ref="AR13:AZ13"/>
    <mergeCell ref="CE5:CF5"/>
    <mergeCell ref="CE8:CF8"/>
    <mergeCell ref="Z11:AO11"/>
    <mergeCell ref="AM32:AO32"/>
    <mergeCell ref="AG21:AI21"/>
    <mergeCell ref="AG29:AI29"/>
    <mergeCell ref="AB26:AC26"/>
    <mergeCell ref="AB28:AC28"/>
    <mergeCell ref="AJ26:AL26"/>
    <mergeCell ref="BQ15:CC17"/>
    <mergeCell ref="AB21:AC21"/>
    <mergeCell ref="AD21:AF21"/>
    <mergeCell ref="AD28:AF28"/>
    <mergeCell ref="AM23:AO23"/>
    <mergeCell ref="AM24:AO24"/>
    <mergeCell ref="Z5:AA5"/>
    <mergeCell ref="Z8:AO8"/>
    <mergeCell ref="Z12:AG12"/>
    <mergeCell ref="AB30:AC30"/>
    <mergeCell ref="AJ27:AL27"/>
    <mergeCell ref="BQ8:BX8"/>
    <mergeCell ref="AR12:BF12"/>
    <mergeCell ref="AD30:AF30"/>
    <mergeCell ref="AG25:AI25"/>
    <mergeCell ref="AD135:AE135"/>
    <mergeCell ref="AG135:AI135"/>
    <mergeCell ref="AJ135:AK135"/>
    <mergeCell ref="AG24:AI24"/>
    <mergeCell ref="AB24:AC24"/>
    <mergeCell ref="AC133:AD133"/>
    <mergeCell ref="AE133:AG133"/>
    <mergeCell ref="AH133:AI133"/>
    <mergeCell ref="AD35:AF35"/>
    <mergeCell ref="AB33:AC33"/>
    <mergeCell ref="AD40:AF40"/>
    <mergeCell ref="AB43:AC43"/>
    <mergeCell ref="AB45:AC45"/>
    <mergeCell ref="AG46:AI46"/>
    <mergeCell ref="AB44:AC44"/>
    <mergeCell ref="AD39:AF39"/>
    <mergeCell ref="AD43:AF43"/>
    <mergeCell ref="AD41:AF41"/>
    <mergeCell ref="AB25:AC25"/>
    <mergeCell ref="AB29:AC29"/>
    <mergeCell ref="AB27:AC27"/>
    <mergeCell ref="AD29:AF29"/>
    <mergeCell ref="AH90:AK90"/>
    <mergeCell ref="AJ40:AL40"/>
  </mergeCells>
  <conditionalFormatting sqref="A20:W20">
    <cfRule type="expression" dxfId="2369" priority="16">
      <formula>$U$14=0</formula>
    </cfRule>
  </conditionalFormatting>
  <conditionalFormatting sqref="B26:K26">
    <cfRule type="expression" dxfId="2368" priority="26">
      <formula>$U$14=0</formula>
    </cfRule>
  </conditionalFormatting>
  <conditionalFormatting sqref="B29:K29">
    <cfRule type="cellIs" dxfId="2367" priority="13" operator="greaterThan">
      <formula>0</formula>
    </cfRule>
  </conditionalFormatting>
  <conditionalFormatting sqref="C70:G70">
    <cfRule type="cellIs" dxfId="2366" priority="7" operator="greaterThan">
      <formula>0</formula>
    </cfRule>
  </conditionalFormatting>
  <conditionalFormatting sqref="F87:I87">
    <cfRule type="cellIs" dxfId="2365" priority="2" operator="greaterThan">
      <formula>0</formula>
    </cfRule>
  </conditionalFormatting>
  <conditionalFormatting sqref="F86:L86">
    <cfRule type="cellIs" dxfId="2364" priority="3" operator="greaterThan">
      <formula>0</formula>
    </cfRule>
  </conditionalFormatting>
  <conditionalFormatting sqref="H65:J65">
    <cfRule type="expression" dxfId="2363" priority="40">
      <formula>AND($AX$60="Oui",$AZ$62="hrs")</formula>
    </cfRule>
    <cfRule type="expression" dxfId="2362" priority="38">
      <formula>AND($AX$60="Oui",$AZ$62="")</formula>
    </cfRule>
  </conditionalFormatting>
  <conditionalFormatting sqref="H66:J66">
    <cfRule type="expression" dxfId="2361" priority="36">
      <formula>AND($BW$41="Non",$AX$61="Non")</formula>
    </cfRule>
    <cfRule type="expression" dxfId="2360" priority="35">
      <formula>AND($AX$61="Oui",$AZ$63="jrs")</formula>
    </cfRule>
    <cfRule type="expression" dxfId="2359" priority="37">
      <formula>AND($BW$41="Oui",$AX$61="Non")</formula>
    </cfRule>
    <cfRule type="expression" dxfId="2358" priority="34">
      <formula>AND($AX$61="Oui",$AZ$63="")</formula>
    </cfRule>
  </conditionalFormatting>
  <conditionalFormatting sqref="H70:J71">
    <cfRule type="cellIs" dxfId="2357" priority="6" operator="greaterThan">
      <formula>0</formula>
    </cfRule>
  </conditionalFormatting>
  <conditionalFormatting sqref="H65:K66">
    <cfRule type="cellIs" dxfId="2356" priority="33" operator="equal">
      <formula>0</formula>
    </cfRule>
  </conditionalFormatting>
  <conditionalFormatting sqref="H67:M68">
    <cfRule type="cellIs" dxfId="2355" priority="54" operator="equal">
      <formula>0</formula>
    </cfRule>
  </conditionalFormatting>
  <conditionalFormatting sqref="H69:M69">
    <cfRule type="cellIs" dxfId="2354" priority="8" operator="greaterThan">
      <formula>0</formula>
    </cfRule>
  </conditionalFormatting>
  <conditionalFormatting sqref="H40:Z60">
    <cfRule type="cellIs" dxfId="2353" priority="32" operator="equal">
      <formula>0</formula>
    </cfRule>
  </conditionalFormatting>
  <conditionalFormatting sqref="K81:K82 L82:T83 K88:T88 K89:Q90">
    <cfRule type="expression" dxfId="2352" priority="520">
      <formula>$EO$6="OUI"</formula>
    </cfRule>
  </conditionalFormatting>
  <conditionalFormatting sqref="K87">
    <cfRule type="expression" dxfId="2351" priority="4">
      <formula>$EO$6="OUI"</formula>
    </cfRule>
  </conditionalFormatting>
  <conditionalFormatting sqref="L18:O19">
    <cfRule type="cellIs" dxfId="2350" priority="20" operator="equal">
      <formula>0</formula>
    </cfRule>
  </conditionalFormatting>
  <conditionalFormatting sqref="L21:O22">
    <cfRule type="cellIs" dxfId="2349" priority="31" operator="equal">
      <formula>0</formula>
    </cfRule>
  </conditionalFormatting>
  <conditionalFormatting sqref="L27:O28">
    <cfRule type="cellIs" dxfId="2348" priority="14" operator="greaterThan">
      <formula>0</formula>
    </cfRule>
  </conditionalFormatting>
  <conditionalFormatting sqref="L30:O32">
    <cfRule type="cellIs" dxfId="2347" priority="12" operator="greaterThan">
      <formula>0</formula>
    </cfRule>
  </conditionalFormatting>
  <conditionalFormatting sqref="L34:O34">
    <cfRule type="cellIs" dxfId="2346" priority="10" operator="greaterThan">
      <formula>0</formula>
    </cfRule>
  </conditionalFormatting>
  <conditionalFormatting sqref="L23:S24">
    <cfRule type="cellIs" dxfId="2345" priority="15" operator="greaterThan">
      <formula>0</formula>
    </cfRule>
  </conditionalFormatting>
  <conditionalFormatting sqref="L25:S26">
    <cfRule type="containsErrors" dxfId="2344" priority="24">
      <formula>ISERROR(L25)</formula>
    </cfRule>
    <cfRule type="cellIs" dxfId="2343" priority="25" operator="equal">
      <formula>0</formula>
    </cfRule>
  </conditionalFormatting>
  <conditionalFormatting sqref="M87:T87">
    <cfRule type="expression" dxfId="2342" priority="517">
      <formula>$EO$6="OUI"</formula>
    </cfRule>
  </conditionalFormatting>
  <conditionalFormatting sqref="N65:P71">
    <cfRule type="cellIs" dxfId="2341" priority="60" operator="equal">
      <formula>0</formula>
    </cfRule>
  </conditionalFormatting>
  <conditionalFormatting sqref="O86">
    <cfRule type="expression" dxfId="2340" priority="521">
      <formula>EO6="OUI"</formula>
    </cfRule>
  </conditionalFormatting>
  <conditionalFormatting sqref="O14:T14">
    <cfRule type="expression" dxfId="2339" priority="209">
      <formula>$U$14=0</formula>
    </cfRule>
  </conditionalFormatting>
  <conditionalFormatting sqref="P20">
    <cfRule type="expression" dxfId="2338" priority="17">
      <formula>$DP$14=1</formula>
    </cfRule>
  </conditionalFormatting>
  <conditionalFormatting sqref="P18:S18">
    <cfRule type="expression" dxfId="2337" priority="21">
      <formula>$L$18=0</formula>
    </cfRule>
  </conditionalFormatting>
  <conditionalFormatting sqref="P19:S19">
    <cfRule type="expression" dxfId="2336" priority="19">
      <formula>$L$19=0</formula>
    </cfRule>
  </conditionalFormatting>
  <conditionalFormatting sqref="P21:S21">
    <cfRule type="expression" dxfId="2335" priority="30">
      <formula>$L$21=0</formula>
    </cfRule>
  </conditionalFormatting>
  <conditionalFormatting sqref="P22:S22">
    <cfRule type="expression" dxfId="2334" priority="29">
      <formula>$L$22=0</formula>
    </cfRule>
  </conditionalFormatting>
  <conditionalFormatting sqref="R87:T87">
    <cfRule type="expression" dxfId="2333" priority="516">
      <formula>$EO$7="OUI"</formula>
    </cfRule>
  </conditionalFormatting>
  <conditionalFormatting sqref="R89:T89">
    <cfRule type="expression" dxfId="2332" priority="514">
      <formula>$EO$8="OUI"</formula>
    </cfRule>
    <cfRule type="expression" dxfId="2331" priority="515">
      <formula>$EO$6="OUI"</formula>
    </cfRule>
  </conditionalFormatting>
  <conditionalFormatting sqref="R90:T90">
    <cfRule type="expression" dxfId="2330" priority="518">
      <formula>$EO$7="OUI"</formula>
    </cfRule>
    <cfRule type="expression" dxfId="2329" priority="519">
      <formula>$EO$6="OUI"</formula>
    </cfRule>
  </conditionalFormatting>
  <conditionalFormatting sqref="T20">
    <cfRule type="expression" dxfId="2328" priority="18">
      <formula>$DP$14=1</formula>
    </cfRule>
  </conditionalFormatting>
  <conditionalFormatting sqref="T30:T32">
    <cfRule type="cellIs" dxfId="2327" priority="28" operator="equal">
      <formula>0</formula>
    </cfRule>
  </conditionalFormatting>
  <conditionalFormatting sqref="T18:W19">
    <cfRule type="cellIs" dxfId="2326" priority="22" operator="equal">
      <formula>0</formula>
    </cfRule>
  </conditionalFormatting>
  <conditionalFormatting sqref="T21:W28">
    <cfRule type="cellIs" dxfId="2325" priority="27" operator="equal">
      <formula>0</formula>
    </cfRule>
  </conditionalFormatting>
  <conditionalFormatting sqref="T29:W29">
    <cfRule type="cellIs" dxfId="2324" priority="11" operator="greaterThan">
      <formula>0</formula>
    </cfRule>
  </conditionalFormatting>
  <conditionalFormatting sqref="T33:W33">
    <cfRule type="cellIs" dxfId="2323" priority="9" operator="greaterThan">
      <formula>0</formula>
    </cfRule>
  </conditionalFormatting>
  <conditionalFormatting sqref="T34:W34">
    <cfRule type="cellIs" dxfId="2322" priority="23" operator="equal">
      <formula>0</formula>
    </cfRule>
  </conditionalFormatting>
  <conditionalFormatting sqref="U14:X14">
    <cfRule type="cellIs" dxfId="2321" priority="207" operator="equal">
      <formula>0</formula>
    </cfRule>
  </conditionalFormatting>
  <conditionalFormatting sqref="V80:AF81">
    <cfRule type="cellIs" dxfId="2320" priority="1" operator="notEqual">
      <formula>"Commentaires :"</formula>
    </cfRule>
  </conditionalFormatting>
  <conditionalFormatting sqref="Y73:AO75">
    <cfRule type="expression" dxfId="2319" priority="64">
      <formula>$DP$8=52</formula>
    </cfRule>
  </conditionalFormatting>
  <conditionalFormatting sqref="AB20:AC50">
    <cfRule type="expression" dxfId="2318" priority="430">
      <formula>OR(WEEKDAY(AB20,2)=6,WEEKDAY(AB20,2)=7)</formula>
    </cfRule>
    <cfRule type="expression" dxfId="2317" priority="431">
      <formula>VLOOKUP(AB20,base_feries,1,FALSE)</formula>
    </cfRule>
    <cfRule type="expression" dxfId="2316" priority="429">
      <formula>WEEKDAY(AB20,2)=7</formula>
    </cfRule>
  </conditionalFormatting>
  <conditionalFormatting sqref="AD20:AF50">
    <cfRule type="cellIs" dxfId="2315" priority="302" operator="equal">
      <formula>0</formula>
    </cfRule>
    <cfRule type="expression" dxfId="2314" priority="301">
      <formula>FC20="oui"</formula>
    </cfRule>
  </conditionalFormatting>
  <conditionalFormatting sqref="AG20:AI50">
    <cfRule type="expression" dxfId="2313" priority="303">
      <formula>FC20="oui"</formula>
    </cfRule>
  </conditionalFormatting>
  <conditionalFormatting sqref="AH83:AH84">
    <cfRule type="cellIs" dxfId="2312" priority="531" stopIfTrue="1" operator="equal">
      <formula>0</formula>
    </cfRule>
  </conditionalFormatting>
  <conditionalFormatting sqref="AH89:AH91">
    <cfRule type="cellIs" dxfId="2311" priority="69" stopIfTrue="1" operator="equal">
      <formula>0</formula>
    </cfRule>
  </conditionalFormatting>
  <conditionalFormatting sqref="AH93:AK93">
    <cfRule type="cellIs" dxfId="2310" priority="522" operator="equal">
      <formula>0</formula>
    </cfRule>
  </conditionalFormatting>
  <conditionalFormatting sqref="AH86:AL87">
    <cfRule type="cellIs" dxfId="2309" priority="65" stopIfTrue="1" operator="equal">
      <formula>0</formula>
    </cfRule>
  </conditionalFormatting>
  <conditionalFormatting sqref="AH92:AO92">
    <cfRule type="cellIs" dxfId="2308" priority="239" operator="lessThan">
      <formula>-0.001</formula>
    </cfRule>
  </conditionalFormatting>
  <conditionalFormatting sqref="AJ20:AL50">
    <cfRule type="expression" dxfId="2307" priority="304">
      <formula>FC20="oui"</formula>
    </cfRule>
  </conditionalFormatting>
  <conditionalFormatting sqref="AL83">
    <cfRule type="cellIs" dxfId="2306" priority="530" stopIfTrue="1" operator="equal">
      <formula>0</formula>
    </cfRule>
  </conditionalFormatting>
  <conditionalFormatting sqref="AL89:AL91">
    <cfRule type="cellIs" dxfId="2305" priority="68" stopIfTrue="1" operator="equal">
      <formula>0</formula>
    </cfRule>
  </conditionalFormatting>
  <conditionalFormatting sqref="AL93">
    <cfRule type="cellIs" dxfId="2304" priority="529" stopIfTrue="1" operator="equal">
      <formula>0</formula>
    </cfRule>
  </conditionalFormatting>
  <conditionalFormatting sqref="AM20:AO50">
    <cfRule type="expression" dxfId="2303" priority="305">
      <formula>FC20="oui"</formula>
    </cfRule>
  </conditionalFormatting>
  <conditionalFormatting sqref="AP20:AP50">
    <cfRule type="expression" dxfId="2302" priority="148">
      <formula>BL20="D"</formula>
    </cfRule>
    <cfRule type="expression" dxfId="2301" priority="150">
      <formula>BL20="B"</formula>
    </cfRule>
    <cfRule type="expression" dxfId="2300" priority="149">
      <formula>BL20="C"</formula>
    </cfRule>
    <cfRule type="expression" dxfId="2299" priority="144">
      <formula>BL20="H"</formula>
    </cfRule>
    <cfRule type="expression" dxfId="2298" priority="145">
      <formula>BL20="G"</formula>
    </cfRule>
    <cfRule type="expression" dxfId="2297" priority="146">
      <formula>BL20="F"</formula>
    </cfRule>
    <cfRule type="expression" dxfId="2296" priority="147">
      <formula>BL20="E"</formula>
    </cfRule>
  </conditionalFormatting>
  <conditionalFormatting sqref="AQ62:AU62">
    <cfRule type="expression" dxfId="2295" priority="46">
      <formula>$AT$60="Non"</formula>
    </cfRule>
  </conditionalFormatting>
  <conditionalFormatting sqref="AQ63:AU63">
    <cfRule type="expression" dxfId="2294" priority="43">
      <formula>$AT$61="Non"</formula>
    </cfRule>
  </conditionalFormatting>
  <conditionalFormatting sqref="AR20:AR50">
    <cfRule type="expression" dxfId="2293" priority="189">
      <formula>AND(AR20&lt;&gt;"",AZ20&lt;&gt;"")</formula>
    </cfRule>
    <cfRule type="expression" dxfId="2292" priority="185">
      <formula>FN20=10</formula>
    </cfRule>
    <cfRule type="expression" dxfId="2291" priority="181">
      <formula>FC20="oui"</formula>
    </cfRule>
    <cfRule type="expression" dxfId="2290" priority="173">
      <formula>AB20=""</formula>
    </cfRule>
  </conditionalFormatting>
  <conditionalFormatting sqref="AR17:BJ50">
    <cfRule type="expression" dxfId="2289" priority="49">
      <formula>$EX$13="oui"</formula>
    </cfRule>
  </conditionalFormatting>
  <conditionalFormatting sqref="AS51:BJ51 DK51">
    <cfRule type="expression" dxfId="2288" priority="134">
      <formula>$EX$13="oui"</formula>
    </cfRule>
  </conditionalFormatting>
  <conditionalFormatting sqref="AT4:AT10">
    <cfRule type="expression" dxfId="2287" priority="448">
      <formula>AU4="F"</formula>
    </cfRule>
    <cfRule type="expression" dxfId="2286" priority="447">
      <formula>AU4="G"</formula>
    </cfRule>
    <cfRule type="expression" dxfId="2285" priority="446">
      <formula>AU4="H"</formula>
    </cfRule>
    <cfRule type="expression" dxfId="2284" priority="450">
      <formula>AU4="D"</formula>
    </cfRule>
    <cfRule type="expression" dxfId="2283" priority="451">
      <formula>AU4="C"</formula>
    </cfRule>
    <cfRule type="expression" dxfId="2282" priority="452">
      <formula>AU4="B"</formula>
    </cfRule>
    <cfRule type="expression" dxfId="2281" priority="449">
      <formula>AU4="E"</formula>
    </cfRule>
  </conditionalFormatting>
  <conditionalFormatting sqref="AT20:AT50">
    <cfRule type="expression" dxfId="2280" priority="180">
      <formula>AB20=""</formula>
    </cfRule>
    <cfRule type="expression" dxfId="2279" priority="184">
      <formula>FC20="oui"</formula>
    </cfRule>
  </conditionalFormatting>
  <conditionalFormatting sqref="AU4:AU10">
    <cfRule type="expression" dxfId="2278" priority="382">
      <formula>AT4=""</formula>
    </cfRule>
    <cfRule type="expression" dxfId="2277" priority="383">
      <formula>FG4="rouge"</formula>
    </cfRule>
  </conditionalFormatting>
  <conditionalFormatting sqref="AU20:AU50">
    <cfRule type="expression" dxfId="2276" priority="179">
      <formula>AB20=""</formula>
    </cfRule>
    <cfRule type="expression" dxfId="2275" priority="188">
      <formula>FC20="oui"</formula>
    </cfRule>
  </conditionalFormatting>
  <conditionalFormatting sqref="AW20:AX50">
    <cfRule type="expression" dxfId="2274" priority="191">
      <formula>WEEKDAY(AW20,2)=7</formula>
    </cfRule>
    <cfRule type="expression" dxfId="2273" priority="192">
      <formula>OR(WEEKDAY(AW20,2)=6,WEEKDAY(AW20,2)=7)</formula>
    </cfRule>
    <cfRule type="expression" dxfId="2272" priority="193">
      <formula>VLOOKUP(AW20,base_feries,1,FALSE)</formula>
    </cfRule>
  </conditionalFormatting>
  <conditionalFormatting sqref="AX62:AZ62">
    <cfRule type="expression" dxfId="2271" priority="45">
      <formula>$AX$60="Non"</formula>
    </cfRule>
  </conditionalFormatting>
  <conditionalFormatting sqref="AX63:AZ63">
    <cfRule type="expression" dxfId="2270" priority="42">
      <formula>$AX$61="Non"</formula>
    </cfRule>
  </conditionalFormatting>
  <conditionalFormatting sqref="AZ20:AZ50">
    <cfRule type="expression" dxfId="2269" priority="50">
      <formula>AB20=""</formula>
    </cfRule>
    <cfRule type="expression" dxfId="2268" priority="51">
      <formula>FC20="oui"</formula>
    </cfRule>
    <cfRule type="expression" dxfId="2267" priority="52">
      <formula>FL20=10</formula>
    </cfRule>
    <cfRule type="expression" dxfId="2266" priority="53">
      <formula>AND(AR20&lt;&gt;"",AZ20&lt;&gt;"")</formula>
    </cfRule>
  </conditionalFormatting>
  <conditionalFormatting sqref="BA20:BA50">
    <cfRule type="expression" dxfId="2265" priority="178">
      <formula>AB20=""</formula>
    </cfRule>
    <cfRule type="expression" dxfId="2264" priority="182">
      <formula>FC20="oui"</formula>
    </cfRule>
  </conditionalFormatting>
  <conditionalFormatting sqref="BA62">
    <cfRule type="expression" dxfId="2263" priority="44">
      <formula>$BA$60="Non"</formula>
    </cfRule>
  </conditionalFormatting>
  <conditionalFormatting sqref="BA63">
    <cfRule type="expression" dxfId="2262" priority="41">
      <formula>$BA$61="Non"</formula>
    </cfRule>
  </conditionalFormatting>
  <conditionalFormatting sqref="BA102 BA103:BH115">
    <cfRule type="expression" dxfId="2261" priority="95">
      <formula>$DP$8=52</formula>
    </cfRule>
  </conditionalFormatting>
  <conditionalFormatting sqref="BA137 BA138:BH149">
    <cfRule type="expression" dxfId="2260" priority="67">
      <formula>$DP$8=52</formula>
    </cfRule>
  </conditionalFormatting>
  <conditionalFormatting sqref="BC20:BC55">
    <cfRule type="cellIs" dxfId="2259" priority="187" operator="equal">
      <formula>0</formula>
    </cfRule>
    <cfRule type="expression" dxfId="2258" priority="175">
      <formula>AJ20=""</formula>
    </cfRule>
  </conditionalFormatting>
  <conditionalFormatting sqref="BC112:BH112">
    <cfRule type="expression" dxfId="2257" priority="94">
      <formula>$BA$112=""</formula>
    </cfRule>
  </conditionalFormatting>
  <conditionalFormatting sqref="BC147:BH147">
    <cfRule type="expression" dxfId="2256" priority="66">
      <formula>$BA$112=""</formula>
    </cfRule>
  </conditionalFormatting>
  <conditionalFormatting sqref="BD20:BD50">
    <cfRule type="expression" dxfId="2255" priority="176">
      <formula>FL20="oui"</formula>
    </cfRule>
  </conditionalFormatting>
  <conditionalFormatting sqref="BE20:BE50">
    <cfRule type="expression" dxfId="2254" priority="186">
      <formula>OR(BE20=0,BE20="")</formula>
    </cfRule>
  </conditionalFormatting>
  <conditionalFormatting sqref="BH20:BH50">
    <cfRule type="expression" dxfId="2253" priority="135">
      <formula>AO20=""</formula>
    </cfRule>
    <cfRule type="cellIs" dxfId="2252" priority="172" operator="equal">
      <formula>0</formula>
    </cfRule>
  </conditionalFormatting>
  <conditionalFormatting sqref="BI9:BI14">
    <cfRule type="cellIs" dxfId="2251" priority="101" operator="equal">
      <formula>0</formula>
    </cfRule>
  </conditionalFormatting>
  <conditionalFormatting sqref="BQ54">
    <cfRule type="expression" dxfId="2250" priority="426">
      <formula>$BW$41="Non"</formula>
    </cfRule>
  </conditionalFormatting>
  <conditionalFormatting sqref="BQ36:CA36">
    <cfRule type="expression" dxfId="2249" priority="427">
      <formula>$BW$41="Oui"</formula>
    </cfRule>
  </conditionalFormatting>
  <conditionalFormatting sqref="BS21:CA34">
    <cfRule type="expression" dxfId="2248" priority="81">
      <formula>$EO$12="NON"</formula>
    </cfRule>
  </conditionalFormatting>
  <conditionalFormatting sqref="BY28:BY33">
    <cfRule type="notContainsBlanks" dxfId="2247" priority="82">
      <formula>LEN(TRIM(BY28))&gt;0</formula>
    </cfRule>
  </conditionalFormatting>
  <conditionalFormatting sqref="BY56">
    <cfRule type="duplicateValues" dxfId="2246" priority="474"/>
    <cfRule type="expression" dxfId="2245" priority="473">
      <formula>$BW$41="Oui"</formula>
    </cfRule>
  </conditionalFormatting>
  <conditionalFormatting sqref="BY60">
    <cfRule type="cellIs" dxfId="2244" priority="468" operator="lessThan">
      <formula>$BY$59</formula>
    </cfRule>
    <cfRule type="duplicateValues" dxfId="2243" priority="469"/>
    <cfRule type="expression" dxfId="2242" priority="467">
      <formula>$BW$41="Oui"</formula>
    </cfRule>
  </conditionalFormatting>
  <conditionalFormatting sqref="CA56">
    <cfRule type="expression" dxfId="2241" priority="278">
      <formula>AND($CA$56&lt;$CE$47,$BW$41="Non")</formula>
    </cfRule>
  </conditionalFormatting>
  <conditionalFormatting sqref="CB78">
    <cfRule type="cellIs" dxfId="2240" priority="572" stopIfTrue="1" operator="equal">
      <formula>"NON"</formula>
    </cfRule>
    <cfRule type="cellIs" dxfId="2239" priority="573" stopIfTrue="1" operator="equal">
      <formula>"OUI"</formula>
    </cfRule>
  </conditionalFormatting>
  <conditionalFormatting sqref="CB21:CC34 BS35:CC35">
    <cfRule type="expression" dxfId="2238" priority="415">
      <formula>OR($DP$14=1,$U$14=0)</formula>
    </cfRule>
  </conditionalFormatting>
  <conditionalFormatting sqref="CB34:CC35">
    <cfRule type="expression" dxfId="2237" priority="272">
      <formula>$DP$14=1</formula>
    </cfRule>
  </conditionalFormatting>
  <conditionalFormatting sqref="CE53:CE54">
    <cfRule type="expression" dxfId="2236" priority="153">
      <formula>$BW$41="Non"</formula>
    </cfRule>
  </conditionalFormatting>
  <conditionalFormatting sqref="CE57:CE58">
    <cfRule type="expression" dxfId="2235" priority="152">
      <formula>$BW$41="Non"</formula>
    </cfRule>
  </conditionalFormatting>
  <conditionalFormatting sqref="CE3:CF3">
    <cfRule type="expression" dxfId="2234" priority="114">
      <formula>$CD$3=""</formula>
    </cfRule>
    <cfRule type="expression" dxfId="2233" priority="113">
      <formula>AND($CE$3="",$CE$5&lt;&gt;"")</formula>
    </cfRule>
    <cfRule type="expression" dxfId="2232" priority="112">
      <formula>$FX$3="vrai"</formula>
    </cfRule>
  </conditionalFormatting>
  <conditionalFormatting sqref="CE5:CF5">
    <cfRule type="expression" dxfId="2231" priority="119">
      <formula>$FX$5="vrai"</formula>
    </cfRule>
    <cfRule type="expression" dxfId="2230" priority="121">
      <formula>OR(AND(CE5&lt;&gt;0,CE5&lt;AJ4),AND(CE5&lt;&gt;0,CE5&gt;EG5),AND(CE5&lt;&gt;0,CE5&lt;AB20))</formula>
    </cfRule>
    <cfRule type="expression" dxfId="2229" priority="120">
      <formula>CD5=""</formula>
    </cfRule>
  </conditionalFormatting>
  <conditionalFormatting sqref="CE8:CF8">
    <cfRule type="cellIs" dxfId="2228" priority="118" operator="greaterThan">
      <formula>$CE$5</formula>
    </cfRule>
    <cfRule type="expression" dxfId="2227" priority="117">
      <formula>AND(CE8&lt;&gt;0,CE8&lt;AJ4)</formula>
    </cfRule>
    <cfRule type="expression" dxfId="2226" priority="116">
      <formula>CD8=""</formula>
    </cfRule>
    <cfRule type="expression" dxfId="2225" priority="115">
      <formula>$FX$8="vrai"</formula>
    </cfRule>
  </conditionalFormatting>
  <conditionalFormatting sqref="CF47">
    <cfRule type="notContainsBlanks" dxfId="2224" priority="414">
      <formula>LEN(TRIM(CF47))&gt;0</formula>
    </cfRule>
  </conditionalFormatting>
  <conditionalFormatting sqref="CF49">
    <cfRule type="notContainsBlanks" dxfId="2223" priority="413">
      <formula>LEN(TRIM(CF49))&gt;0</formula>
    </cfRule>
  </conditionalFormatting>
  <conditionalFormatting sqref="CF53:CF54">
    <cfRule type="expression" dxfId="2222" priority="156">
      <formula>$BW$41="Non"</formula>
    </cfRule>
  </conditionalFormatting>
  <conditionalFormatting sqref="CF57:CF58">
    <cfRule type="expression" dxfId="2221" priority="154">
      <formula>$BW$41="Non"</formula>
    </cfRule>
  </conditionalFormatting>
  <conditionalFormatting sqref="CG8:CI8">
    <cfRule type="expression" dxfId="2220" priority="248">
      <formula>CD8=""</formula>
    </cfRule>
  </conditionalFormatting>
  <conditionalFormatting sqref="GW16:HR16">
    <cfRule type="expression" dxfId="2219" priority="404">
      <formula>$AE$123="NON"</formula>
    </cfRule>
  </conditionalFormatting>
  <conditionalFormatting sqref="HG16:HJ16">
    <cfRule type="expression" dxfId="2218" priority="4896">
      <formula>AR123&gt;0</formula>
    </cfRule>
  </conditionalFormatting>
  <conditionalFormatting sqref="HK16:HN16">
    <cfRule type="expression" dxfId="2217" priority="489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7"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1"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E9" sqref="E9"/>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364" t="str">
        <f>+"ENFANT : "&amp;Identification!B25</f>
        <v>ENFANT : 0</v>
      </c>
      <c r="B1" s="2364"/>
      <c r="C1" s="2364"/>
      <c r="D1" s="2364"/>
      <c r="E1" s="2364"/>
      <c r="F1" s="2365" t="s">
        <v>1457</v>
      </c>
      <c r="G1" s="2365"/>
      <c r="H1" s="2365"/>
      <c r="I1" s="2365"/>
      <c r="J1" s="2365"/>
      <c r="K1" s="2365"/>
      <c r="L1" s="2365"/>
      <c r="M1" s="128"/>
    </row>
    <row r="2" spans="1:20" ht="18" x14ac:dyDescent="0.25">
      <c r="B2" s="128" t="s">
        <v>90</v>
      </c>
      <c r="D2" s="130">
        <f>Janvier!X4</f>
        <v>2025</v>
      </c>
      <c r="G2" s="131" t="s">
        <v>464</v>
      </c>
      <c r="H2" s="134">
        <f>+Identification!B107</f>
        <v>11.88</v>
      </c>
      <c r="I2" s="132" t="s">
        <v>1118</v>
      </c>
      <c r="J2" s="132"/>
    </row>
    <row r="3" spans="1:20" ht="18" x14ac:dyDescent="0.25">
      <c r="C3" s="128"/>
      <c r="E3" s="128"/>
      <c r="F3" s="128"/>
      <c r="G3" s="131" t="s">
        <v>469</v>
      </c>
      <c r="H3" s="1164" t="s">
        <v>146</v>
      </c>
      <c r="I3" s="133" t="str">
        <f>+IF(H3="OUI","Abattement 4 fois le montant horaire du SMIC brut","Abattement 3 fois le montant horaire du SMIC brut")</f>
        <v>Abattement 3 fois le montant horaire du SMIC brut</v>
      </c>
      <c r="O3" s="2366" t="s">
        <v>439</v>
      </c>
      <c r="P3" s="2366"/>
      <c r="Q3" s="2366"/>
      <c r="R3" s="2366"/>
      <c r="S3" s="200"/>
      <c r="T3" s="200"/>
    </row>
    <row r="5" spans="1:20" ht="51.75" customHeight="1" thickBot="1" x14ac:dyDescent="0.25">
      <c r="A5" s="118" t="s">
        <v>30</v>
      </c>
      <c r="B5" s="1434" t="s">
        <v>91</v>
      </c>
      <c r="C5" s="1434" t="s">
        <v>1513</v>
      </c>
      <c r="D5" s="1434" t="s">
        <v>92</v>
      </c>
      <c r="E5" s="1434" t="s">
        <v>93</v>
      </c>
      <c r="F5" s="1434" t="s">
        <v>467</v>
      </c>
      <c r="G5" s="1434" t="s">
        <v>94</v>
      </c>
      <c r="H5" s="1434" t="s">
        <v>156</v>
      </c>
      <c r="I5" s="118" t="s">
        <v>468</v>
      </c>
      <c r="J5" s="118" t="s">
        <v>465</v>
      </c>
      <c r="L5" s="118" t="s">
        <v>95</v>
      </c>
      <c r="O5" s="118" t="s">
        <v>154</v>
      </c>
      <c r="P5" s="118" t="s">
        <v>227</v>
      </c>
      <c r="Q5" s="118" t="s">
        <v>155</v>
      </c>
      <c r="R5" s="118" t="s">
        <v>96</v>
      </c>
      <c r="T5" s="118" t="s">
        <v>1117</v>
      </c>
    </row>
    <row r="6" spans="1:20" ht="21" customHeight="1" thickTop="1" x14ac:dyDescent="0.2">
      <c r="A6" s="1414">
        <f>+Identification!B61</f>
        <v>45658</v>
      </c>
      <c r="B6" s="1422">
        <f ca="1">Janvier!$E$74</f>
        <v>0</v>
      </c>
      <c r="C6" s="1423">
        <f>Janvier!$E$75</f>
        <v>0</v>
      </c>
      <c r="D6" s="1424">
        <f>Janvier!$AL$70</f>
        <v>0</v>
      </c>
      <c r="E6" s="1424">
        <f>Janvier!$AL$71</f>
        <v>0</v>
      </c>
      <c r="F6" s="1425"/>
      <c r="G6" s="1423">
        <f ca="1">Janvier!$E$77</f>
        <v>0</v>
      </c>
      <c r="H6" s="1426">
        <f>+R6</f>
        <v>0</v>
      </c>
      <c r="I6" s="1415">
        <f t="shared" ref="I6:I17" si="0">+IF($H$3="OUI",(D6*4*T6)+(E6*T6/8*4)+F6*T6,(D6*3*T6)+(E6*T6/8*3)+F6*T6)</f>
        <v>0</v>
      </c>
      <c r="J6" s="134">
        <f t="shared" ref="J6:J17" ca="1" si="1">+B6+C6+H6-I6</f>
        <v>0</v>
      </c>
      <c r="L6" s="134">
        <f ca="1">+Janvier!Q78*-1</f>
        <v>0</v>
      </c>
      <c r="O6" s="135">
        <f>+Janvier!AL69</f>
        <v>0</v>
      </c>
      <c r="P6" s="1165">
        <f>+O6</f>
        <v>0</v>
      </c>
      <c r="Q6" s="1166">
        <v>0</v>
      </c>
      <c r="R6" s="134">
        <f>+(P6*Q6)</f>
        <v>0</v>
      </c>
      <c r="T6" s="134">
        <f t="shared" ref="T6:T17" si="2">+VLOOKUP(A6,base_smic,2,TRUE)</f>
        <v>11.88</v>
      </c>
    </row>
    <row r="7" spans="1:20" ht="21" customHeight="1" x14ac:dyDescent="0.2">
      <c r="A7" s="1414">
        <f>DATE(YEAR(A6),MONTH(A6)+1,DAY(A6))</f>
        <v>45689</v>
      </c>
      <c r="B7" s="1427">
        <f>Février!$E$74</f>
        <v>0</v>
      </c>
      <c r="C7" s="1419">
        <f>Février!$E$75</f>
        <v>0</v>
      </c>
      <c r="D7" s="1420">
        <f>Février!$AL$70</f>
        <v>0</v>
      </c>
      <c r="E7" s="1420">
        <f>Février!$AL$71</f>
        <v>0</v>
      </c>
      <c r="F7" s="1421"/>
      <c r="G7" s="1419">
        <f>Février!$E$77</f>
        <v>0</v>
      </c>
      <c r="H7" s="1428">
        <f t="shared" ref="H7:H17" si="3">+R7</f>
        <v>0</v>
      </c>
      <c r="I7" s="1415">
        <f t="shared" si="0"/>
        <v>0</v>
      </c>
      <c r="J7" s="134">
        <f t="shared" si="1"/>
        <v>0</v>
      </c>
      <c r="L7" s="134">
        <f>+Février!Q78*-1</f>
        <v>0</v>
      </c>
      <c r="O7" s="135">
        <f>+Février!AL69</f>
        <v>0</v>
      </c>
      <c r="P7" s="1165">
        <f t="shared" ref="P7:P17" si="4">+O7</f>
        <v>0</v>
      </c>
      <c r="Q7" s="1166">
        <f>+Q6</f>
        <v>0</v>
      </c>
      <c r="R7" s="134">
        <f t="shared" ref="R7:R17" si="5">+(P7*Q7)</f>
        <v>0</v>
      </c>
      <c r="T7" s="134">
        <f t="shared" si="2"/>
        <v>11.88</v>
      </c>
    </row>
    <row r="8" spans="1:20" ht="21" customHeight="1" x14ac:dyDescent="0.2">
      <c r="A8" s="1414">
        <f>DATE(YEAR(A6),MONTH(A6)+2,DAY(A6))</f>
        <v>45717</v>
      </c>
      <c r="B8" s="1427">
        <f>Mars!$E$74</f>
        <v>0</v>
      </c>
      <c r="C8" s="1419">
        <f>Mars!$E$75</f>
        <v>0</v>
      </c>
      <c r="D8" s="1420">
        <f>Mars!$AL$70</f>
        <v>0</v>
      </c>
      <c r="E8" s="1420">
        <f>Mars!$AL$71</f>
        <v>0</v>
      </c>
      <c r="F8" s="1421"/>
      <c r="G8" s="1419">
        <f>Mars!$E$77</f>
        <v>0</v>
      </c>
      <c r="H8" s="1428">
        <f t="shared" si="3"/>
        <v>0</v>
      </c>
      <c r="I8" s="1415">
        <f t="shared" si="0"/>
        <v>0</v>
      </c>
      <c r="J8" s="134">
        <f t="shared" si="1"/>
        <v>0</v>
      </c>
      <c r="L8" s="134">
        <f>+Mars!Q78*-1</f>
        <v>0</v>
      </c>
      <c r="O8" s="135">
        <f>+Mars!AL69</f>
        <v>0</v>
      </c>
      <c r="P8" s="1165">
        <f t="shared" si="4"/>
        <v>0</v>
      </c>
      <c r="Q8" s="1166">
        <f>+Q7</f>
        <v>0</v>
      </c>
      <c r="R8" s="134">
        <f t="shared" si="5"/>
        <v>0</v>
      </c>
      <c r="T8" s="134">
        <f t="shared" si="2"/>
        <v>11.88</v>
      </c>
    </row>
    <row r="9" spans="1:20" ht="21" customHeight="1" x14ac:dyDescent="0.2">
      <c r="A9" s="1414">
        <f>DATE(YEAR(A6),MONTH(A6)+3,DAY(A6))</f>
        <v>45748</v>
      </c>
      <c r="B9" s="1427">
        <f>Avril!$E$74</f>
        <v>0</v>
      </c>
      <c r="C9" s="1419">
        <f>Avril!$E$75</f>
        <v>0</v>
      </c>
      <c r="D9" s="1420">
        <f>Avril!$AL$70</f>
        <v>0</v>
      </c>
      <c r="E9" s="1420">
        <f>Avril!$AL$71</f>
        <v>0</v>
      </c>
      <c r="F9" s="1421"/>
      <c r="G9" s="1419">
        <f>Avril!$E$77</f>
        <v>0</v>
      </c>
      <c r="H9" s="1428">
        <f t="shared" si="3"/>
        <v>0</v>
      </c>
      <c r="I9" s="1415">
        <f t="shared" si="0"/>
        <v>0</v>
      </c>
      <c r="J9" s="134">
        <f t="shared" si="1"/>
        <v>0</v>
      </c>
      <c r="L9" s="134">
        <f>+Avril!Q78*-1</f>
        <v>0</v>
      </c>
      <c r="O9" s="135">
        <f>+Avril!AL69</f>
        <v>0</v>
      </c>
      <c r="P9" s="1165">
        <f t="shared" si="4"/>
        <v>0</v>
      </c>
      <c r="Q9" s="1166">
        <f t="shared" ref="Q9:Q17" si="6">+Q8</f>
        <v>0</v>
      </c>
      <c r="R9" s="134">
        <f t="shared" si="5"/>
        <v>0</v>
      </c>
      <c r="T9" s="134">
        <f t="shared" si="2"/>
        <v>11.88</v>
      </c>
    </row>
    <row r="10" spans="1:20" ht="21" customHeight="1" x14ac:dyDescent="0.2">
      <c r="A10" s="1414">
        <f>DATE(YEAR(A6),MONTH(A6)+4,DAY(A6))</f>
        <v>45778</v>
      </c>
      <c r="B10" s="1427">
        <f>Mai!$E$74</f>
        <v>0</v>
      </c>
      <c r="C10" s="1419">
        <f>Mai!$E$75</f>
        <v>0</v>
      </c>
      <c r="D10" s="1420">
        <f>Mai!$AL$70</f>
        <v>0</v>
      </c>
      <c r="E10" s="1420">
        <f>Mai!$AL$71</f>
        <v>0</v>
      </c>
      <c r="F10" s="1421"/>
      <c r="G10" s="1419">
        <f>Mai!$E$77</f>
        <v>0</v>
      </c>
      <c r="H10" s="1428">
        <f t="shared" si="3"/>
        <v>0</v>
      </c>
      <c r="I10" s="1415">
        <f t="shared" si="0"/>
        <v>0</v>
      </c>
      <c r="J10" s="134">
        <f t="shared" si="1"/>
        <v>0</v>
      </c>
      <c r="L10" s="134">
        <f>+Mai!Q78*-1</f>
        <v>0</v>
      </c>
      <c r="O10" s="135">
        <f>+Mai!AL69</f>
        <v>0</v>
      </c>
      <c r="P10" s="1165">
        <f t="shared" si="4"/>
        <v>0</v>
      </c>
      <c r="Q10" s="1166">
        <f t="shared" si="6"/>
        <v>0</v>
      </c>
      <c r="R10" s="134">
        <f t="shared" si="5"/>
        <v>0</v>
      </c>
      <c r="T10" s="134">
        <f t="shared" si="2"/>
        <v>11.88</v>
      </c>
    </row>
    <row r="11" spans="1:20" ht="21" customHeight="1" x14ac:dyDescent="0.2">
      <c r="A11" s="1414">
        <f>DATE(YEAR(A6),MONTH(A6)+5,DAY(A6))</f>
        <v>45809</v>
      </c>
      <c r="B11" s="1427">
        <f ca="1">Juin!$E$74</f>
        <v>0</v>
      </c>
      <c r="C11" s="1419">
        <f>Juin!$E$75</f>
        <v>0</v>
      </c>
      <c r="D11" s="1420">
        <f>Juin!$AL$70</f>
        <v>0</v>
      </c>
      <c r="E11" s="1420">
        <f>Juin!$AL$71</f>
        <v>0</v>
      </c>
      <c r="F11" s="1421"/>
      <c r="G11" s="1419">
        <f>Juin!$E$77</f>
        <v>0</v>
      </c>
      <c r="H11" s="1428">
        <f t="shared" si="3"/>
        <v>0</v>
      </c>
      <c r="I11" s="1415">
        <f t="shared" si="0"/>
        <v>0</v>
      </c>
      <c r="J11" s="134">
        <f t="shared" ca="1" si="1"/>
        <v>0</v>
      </c>
      <c r="L11" s="134">
        <f ca="1">+Juin!Q78*-1</f>
        <v>0</v>
      </c>
      <c r="O11" s="135">
        <f>+Juin!AL69</f>
        <v>0</v>
      </c>
      <c r="P11" s="1165">
        <f t="shared" si="4"/>
        <v>0</v>
      </c>
      <c r="Q11" s="1166">
        <f t="shared" si="6"/>
        <v>0</v>
      </c>
      <c r="R11" s="134">
        <f t="shared" si="5"/>
        <v>0</v>
      </c>
      <c r="T11" s="134">
        <f t="shared" si="2"/>
        <v>11.88</v>
      </c>
    </row>
    <row r="12" spans="1:20" ht="21" customHeight="1" x14ac:dyDescent="0.2">
      <c r="A12" s="1414">
        <f>DATE(YEAR(A6),MONTH(A6)+6,DAY(A6))</f>
        <v>45839</v>
      </c>
      <c r="B12" s="1427">
        <f>Juillet!$E$74</f>
        <v>0</v>
      </c>
      <c r="C12" s="1419">
        <f>Juillet!$E$75</f>
        <v>0</v>
      </c>
      <c r="D12" s="1420">
        <f>Juillet!$AL$70</f>
        <v>0</v>
      </c>
      <c r="E12" s="1420">
        <f>Juillet!$AL$71</f>
        <v>0</v>
      </c>
      <c r="F12" s="1421"/>
      <c r="G12" s="1419">
        <f>Juillet!$E$77</f>
        <v>0</v>
      </c>
      <c r="H12" s="1428">
        <f t="shared" si="3"/>
        <v>0</v>
      </c>
      <c r="I12" s="1415">
        <f t="shared" si="0"/>
        <v>0</v>
      </c>
      <c r="J12" s="134">
        <f t="shared" si="1"/>
        <v>0</v>
      </c>
      <c r="L12" s="134">
        <f>+Juillet!Q78*-1</f>
        <v>0</v>
      </c>
      <c r="O12" s="135">
        <f>+Juillet!AL69</f>
        <v>0</v>
      </c>
      <c r="P12" s="1165">
        <f t="shared" si="4"/>
        <v>0</v>
      </c>
      <c r="Q12" s="1166">
        <f t="shared" si="6"/>
        <v>0</v>
      </c>
      <c r="R12" s="134">
        <f t="shared" si="5"/>
        <v>0</v>
      </c>
      <c r="T12" s="134">
        <f t="shared" si="2"/>
        <v>11.88</v>
      </c>
    </row>
    <row r="13" spans="1:20" ht="21" customHeight="1" x14ac:dyDescent="0.2">
      <c r="A13" s="1414">
        <f>DATE(YEAR(A6),MONTH(A6)+7,DAY(A6))</f>
        <v>45870</v>
      </c>
      <c r="B13" s="1427">
        <f>Aout!$E$74</f>
        <v>0</v>
      </c>
      <c r="C13" s="1419">
        <f>Aout!$E$75</f>
        <v>0</v>
      </c>
      <c r="D13" s="1420">
        <f>Aout!$AL$70</f>
        <v>0</v>
      </c>
      <c r="E13" s="1420">
        <f>Aout!$AL$71</f>
        <v>0</v>
      </c>
      <c r="F13" s="1421"/>
      <c r="G13" s="1419">
        <f>Aout!$E$77</f>
        <v>0</v>
      </c>
      <c r="H13" s="1428">
        <f t="shared" si="3"/>
        <v>0</v>
      </c>
      <c r="I13" s="1415">
        <f t="shared" si="0"/>
        <v>0</v>
      </c>
      <c r="J13" s="134">
        <f t="shared" si="1"/>
        <v>0</v>
      </c>
      <c r="L13" s="134">
        <f>+Aout!Q78*-1</f>
        <v>0</v>
      </c>
      <c r="O13" s="135">
        <f>+Aout!AL69</f>
        <v>0</v>
      </c>
      <c r="P13" s="1165">
        <f t="shared" si="4"/>
        <v>0</v>
      </c>
      <c r="Q13" s="1166">
        <f t="shared" si="6"/>
        <v>0</v>
      </c>
      <c r="R13" s="134">
        <f t="shared" si="5"/>
        <v>0</v>
      </c>
      <c r="T13" s="134">
        <f t="shared" si="2"/>
        <v>11.88</v>
      </c>
    </row>
    <row r="14" spans="1:20" ht="21" customHeight="1" x14ac:dyDescent="0.2">
      <c r="A14" s="1414">
        <f>DATE(YEAR(A6),MONTH(A6)+8,DAY(A6))</f>
        <v>45901</v>
      </c>
      <c r="B14" s="1427">
        <f>Septembre!$E$74</f>
        <v>0</v>
      </c>
      <c r="C14" s="1419">
        <f>Septembre!$E$75</f>
        <v>0</v>
      </c>
      <c r="D14" s="1420">
        <f>Septembre!$AL$70</f>
        <v>0</v>
      </c>
      <c r="E14" s="1420">
        <f>Septembre!$AL$71</f>
        <v>0</v>
      </c>
      <c r="F14" s="1421"/>
      <c r="G14" s="1419">
        <f>Septembre!$E$77</f>
        <v>0</v>
      </c>
      <c r="H14" s="1428">
        <f t="shared" si="3"/>
        <v>0</v>
      </c>
      <c r="I14" s="1415">
        <f t="shared" si="0"/>
        <v>0</v>
      </c>
      <c r="J14" s="134">
        <f t="shared" si="1"/>
        <v>0</v>
      </c>
      <c r="L14" s="134">
        <f>+Septembre!Q78*-1</f>
        <v>0</v>
      </c>
      <c r="O14" s="135">
        <f>+Septembre!AL69</f>
        <v>0</v>
      </c>
      <c r="P14" s="1165">
        <f t="shared" si="4"/>
        <v>0</v>
      </c>
      <c r="Q14" s="1166">
        <f t="shared" si="6"/>
        <v>0</v>
      </c>
      <c r="R14" s="134">
        <f t="shared" si="5"/>
        <v>0</v>
      </c>
      <c r="T14" s="134">
        <f t="shared" si="2"/>
        <v>11.88</v>
      </c>
    </row>
    <row r="15" spans="1:20" ht="21" customHeight="1" x14ac:dyDescent="0.2">
      <c r="A15" s="1414">
        <f>DATE(YEAR(A6),MONTH(A6)+9,DAY(A6))</f>
        <v>45931</v>
      </c>
      <c r="B15" s="1427">
        <f>Octobre!$E$74</f>
        <v>0</v>
      </c>
      <c r="C15" s="1419">
        <f>Octobre!$E$75</f>
        <v>0</v>
      </c>
      <c r="D15" s="1420">
        <f>Octobre!$AL$70</f>
        <v>0</v>
      </c>
      <c r="E15" s="1420">
        <f>Octobre!$AL$71</f>
        <v>0</v>
      </c>
      <c r="F15" s="1421"/>
      <c r="G15" s="1419">
        <f>Octobre!$E$77</f>
        <v>0</v>
      </c>
      <c r="H15" s="1428">
        <f t="shared" si="3"/>
        <v>0</v>
      </c>
      <c r="I15" s="1415">
        <f t="shared" si="0"/>
        <v>0</v>
      </c>
      <c r="J15" s="134">
        <f t="shared" si="1"/>
        <v>0</v>
      </c>
      <c r="L15" s="134">
        <f>+Octobre!Q78*-1</f>
        <v>0</v>
      </c>
      <c r="O15" s="135">
        <f>+Octobre!AL69</f>
        <v>0</v>
      </c>
      <c r="P15" s="1165">
        <f t="shared" si="4"/>
        <v>0</v>
      </c>
      <c r="Q15" s="1166">
        <f t="shared" si="6"/>
        <v>0</v>
      </c>
      <c r="R15" s="134">
        <f t="shared" si="5"/>
        <v>0</v>
      </c>
      <c r="T15" s="134">
        <f t="shared" si="2"/>
        <v>11.88</v>
      </c>
    </row>
    <row r="16" spans="1:20" ht="21" customHeight="1" x14ac:dyDescent="0.2">
      <c r="A16" s="1414">
        <f>DATE(YEAR(A6),MONTH(A6)+10,DAY(A6))</f>
        <v>45962</v>
      </c>
      <c r="B16" s="1427">
        <f>Novembre!$E$74</f>
        <v>0</v>
      </c>
      <c r="C16" s="1419">
        <f>Novembre!$E$75</f>
        <v>0</v>
      </c>
      <c r="D16" s="1420">
        <f>Novembre!$AL$70</f>
        <v>0</v>
      </c>
      <c r="E16" s="1420">
        <f>Novembre!$AL$71</f>
        <v>0</v>
      </c>
      <c r="F16" s="1421"/>
      <c r="G16" s="1419">
        <f>Novembre!$E$77</f>
        <v>0</v>
      </c>
      <c r="H16" s="1428">
        <f t="shared" si="3"/>
        <v>0</v>
      </c>
      <c r="I16" s="1415">
        <f t="shared" si="0"/>
        <v>0</v>
      </c>
      <c r="J16" s="134">
        <f t="shared" si="1"/>
        <v>0</v>
      </c>
      <c r="L16" s="134">
        <f>+Novembre!Q78*-1</f>
        <v>0</v>
      </c>
      <c r="O16" s="135">
        <f>+Novembre!AL69</f>
        <v>0</v>
      </c>
      <c r="P16" s="1165">
        <f t="shared" si="4"/>
        <v>0</v>
      </c>
      <c r="Q16" s="1166">
        <f t="shared" si="6"/>
        <v>0</v>
      </c>
      <c r="R16" s="134">
        <f t="shared" si="5"/>
        <v>0</v>
      </c>
      <c r="T16" s="134">
        <f t="shared" si="2"/>
        <v>11.88</v>
      </c>
    </row>
    <row r="17" spans="1:20" ht="21" customHeight="1" thickBot="1" x14ac:dyDescent="0.25">
      <c r="A17" s="1414">
        <f>DATE(YEAR(A6),MONTH(A6)+11,DAY(A6))</f>
        <v>45992</v>
      </c>
      <c r="B17" s="1429">
        <f>Décembre!$E$74</f>
        <v>0</v>
      </c>
      <c r="C17" s="1430">
        <f>Décembre!$E$75</f>
        <v>0</v>
      </c>
      <c r="D17" s="1431">
        <f>Décembre!$AL$70</f>
        <v>0</v>
      </c>
      <c r="E17" s="1431">
        <f>Décembre!$AL$71</f>
        <v>0</v>
      </c>
      <c r="F17" s="1432"/>
      <c r="G17" s="1430">
        <f>Décembre!$E$77</f>
        <v>0</v>
      </c>
      <c r="H17" s="1433">
        <f t="shared" si="3"/>
        <v>0</v>
      </c>
      <c r="I17" s="1415">
        <f t="shared" si="0"/>
        <v>0</v>
      </c>
      <c r="J17" s="134">
        <f t="shared" si="1"/>
        <v>0</v>
      </c>
      <c r="L17" s="134">
        <f>+Décembre!Q78*-1</f>
        <v>0</v>
      </c>
      <c r="O17" s="135">
        <f>+Décembre!AL69</f>
        <v>0</v>
      </c>
      <c r="P17" s="1165">
        <f t="shared" si="4"/>
        <v>0</v>
      </c>
      <c r="Q17" s="1166">
        <f t="shared" si="6"/>
        <v>0</v>
      </c>
      <c r="R17" s="134">
        <f t="shared" si="5"/>
        <v>0</v>
      </c>
      <c r="T17" s="134">
        <f t="shared" si="2"/>
        <v>11.88</v>
      </c>
    </row>
    <row r="18" spans="1:20" ht="21" customHeight="1" thickTop="1" x14ac:dyDescent="0.2">
      <c r="A18" s="136" t="s">
        <v>96</v>
      </c>
      <c r="B18" s="1416">
        <f t="shared" ref="B18:G18" ca="1" si="7">SUM(B6:B17)</f>
        <v>0</v>
      </c>
      <c r="C18" s="1416">
        <f t="shared" si="7"/>
        <v>0</v>
      </c>
      <c r="D18" s="1417">
        <f t="shared" si="7"/>
        <v>0</v>
      </c>
      <c r="E18" s="1417">
        <f t="shared" si="7"/>
        <v>0</v>
      </c>
      <c r="F18" s="1417">
        <f t="shared" si="7"/>
        <v>0</v>
      </c>
      <c r="G18" s="1418">
        <f t="shared" ca="1" si="7"/>
        <v>0</v>
      </c>
      <c r="H18" s="1418">
        <f t="shared" ref="H18" si="8">SUM(H6:H17)</f>
        <v>0</v>
      </c>
      <c r="I18" s="137">
        <f>SUM(I6:I17)</f>
        <v>0</v>
      </c>
      <c r="J18" s="137">
        <f ca="1">SUM(J6:J17)</f>
        <v>0</v>
      </c>
      <c r="L18" s="137">
        <f ca="1">ROUND(SUM(L6:L17),2)</f>
        <v>0</v>
      </c>
      <c r="O18" s="138"/>
      <c r="P18" s="138"/>
      <c r="Q18" s="137"/>
      <c r="R18" s="137">
        <f>ROUND(SUM(R6:R17),2)</f>
        <v>0</v>
      </c>
    </row>
  </sheetData>
  <sheetProtection algorithmName="SHA-512" hashValue="Yo+BKAvuu7T+oNQSFrpTCJcbgNNgXNI5F2UWK4wvZ8wwl8v/vf8emVQqxw6RzssB5gMBl2W+thcPcsD2U2ZzAg==" saltValue="eXImtCU6WKuaEGgMUZdICg==" spinCount="100000" sheet="1" objects="1" scenarios="1" formatCells="0" formatColumns="0" formatRows="0" insertColumns="0" insertRows="0" insertHyperlinks="0" sort="0" autoFilter="0" pivotTables="0"/>
  <mergeCells count="3">
    <mergeCell ref="A1:E1"/>
    <mergeCell ref="F1:L1"/>
    <mergeCell ref="O3:R3"/>
  </mergeCells>
  <conditionalFormatting sqref="C6:C17">
    <cfRule type="cellIs" dxfId="2212" priority="3" stopIfTrue="1" operator="equal">
      <formula>0</formula>
    </cfRule>
    <cfRule type="cellIs" dxfId="2211" priority="4" stopIfTrue="1" operator="greaterThan">
      <formula>0</formula>
    </cfRule>
  </conditionalFormatting>
  <conditionalFormatting sqref="F6:F17">
    <cfRule type="cellIs" dxfId="2210" priority="2" operator="greaterThan">
      <formula>0</formula>
    </cfRule>
  </conditionalFormatting>
  <conditionalFormatting sqref="P6:Q17">
    <cfRule type="cellIs" dxfId="2209"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zoomScale="70" zoomScaleNormal="70" workbookViewId="0">
      <pane xSplit="3" topLeftCell="D1" activePane="topRight" state="frozenSplit"/>
      <selection activeCell="A3" sqref="A3"/>
      <selection pane="topRight" activeCell="E78" sqref="E7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50" t="s">
        <v>138</v>
      </c>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CA1" s="16" t="s">
        <v>1089</v>
      </c>
    </row>
    <row r="2" spans="4:89" x14ac:dyDescent="0.2">
      <c r="CA2" s="16" t="s">
        <v>883</v>
      </c>
      <c r="CB2" s="16" t="s">
        <v>884</v>
      </c>
      <c r="CC2" s="16" t="s">
        <v>885</v>
      </c>
      <c r="CD2" s="16" t="s">
        <v>886</v>
      </c>
      <c r="CE2" s="16" t="s">
        <v>887</v>
      </c>
      <c r="CF2" s="16" t="s">
        <v>888</v>
      </c>
      <c r="CG2" s="16" t="s">
        <v>889</v>
      </c>
      <c r="CH2" s="16" t="s">
        <v>890</v>
      </c>
      <c r="CI2" s="16" t="s">
        <v>891</v>
      </c>
      <c r="CJ2" s="16" t="s">
        <v>892</v>
      </c>
      <c r="CK2" s="16" t="s">
        <v>893</v>
      </c>
    </row>
    <row r="3" spans="4:89" x14ac:dyDescent="0.2">
      <c r="I3" s="95"/>
      <c r="J3" s="96"/>
      <c r="K3" s="96"/>
      <c r="L3" s="96"/>
      <c r="O3" s="29" t="s">
        <v>29</v>
      </c>
      <c r="P3" s="1710">
        <f>+Identification!B25</f>
        <v>0</v>
      </c>
      <c r="Q3" s="1710"/>
      <c r="R3" s="1710"/>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206</v>
      </c>
      <c r="J5" s="2372">
        <f>Identification!B61</f>
        <v>45658</v>
      </c>
      <c r="K5" s="2372"/>
      <c r="L5" s="2372"/>
      <c r="M5" s="97"/>
      <c r="N5" s="97"/>
      <c r="O5" s="97"/>
      <c r="P5" s="98" t="s">
        <v>139</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367">
        <f>+$J$5</f>
        <v>45658</v>
      </c>
      <c r="E7" s="2368"/>
      <c r="F7" s="2369"/>
      <c r="G7" s="2367">
        <f>DATE(YEAR($J$5),MONTH($J$5)+1,DAY($J$5))</f>
        <v>45689</v>
      </c>
      <c r="H7" s="2368"/>
      <c r="I7" s="2369"/>
      <c r="J7" s="2367">
        <f>DATE(YEAR($J$5),MONTH($J$5)+2,DAY($J$5))</f>
        <v>45717</v>
      </c>
      <c r="K7" s="2368"/>
      <c r="L7" s="2369"/>
      <c r="M7" s="2367">
        <f>DATE(YEAR($J$5),MONTH($J$5)+3,DAY($J$5))</f>
        <v>45748</v>
      </c>
      <c r="N7" s="2368"/>
      <c r="O7" s="2369"/>
      <c r="P7" s="2367">
        <f>DATE(YEAR($J$5),MONTH($J$5)+4,DAY($J$5))</f>
        <v>45778</v>
      </c>
      <c r="Q7" s="2368"/>
      <c r="R7" s="2369"/>
      <c r="S7" s="2367">
        <f>DATE(YEAR($J$5),MONTH($J$5)+5,DAY($J$5))</f>
        <v>45809</v>
      </c>
      <c r="T7" s="2368"/>
      <c r="U7" s="2369"/>
      <c r="V7" s="2367">
        <f>DATE(YEAR($J$5),MONTH($J$5)+6,DAY($J$5))</f>
        <v>45839</v>
      </c>
      <c r="W7" s="2368"/>
      <c r="X7" s="2369"/>
      <c r="Y7" s="2367">
        <f>DATE(YEAR($J$5),MONTH($J$5)+7,DAY($J$5))</f>
        <v>45870</v>
      </c>
      <c r="Z7" s="2368"/>
      <c r="AA7" s="2369"/>
      <c r="AB7" s="2367">
        <f>DATE(YEAR($J$5),MONTH($J$5)+8,DAY($J$5))</f>
        <v>45901</v>
      </c>
      <c r="AC7" s="2368"/>
      <c r="AD7" s="2369"/>
      <c r="AE7" s="2367">
        <f>DATE(YEAR($J$5),MONTH($J$5)+9,DAY($J$5))</f>
        <v>45931</v>
      </c>
      <c r="AF7" s="2368"/>
      <c r="AG7" s="2369"/>
      <c r="AH7" s="2367">
        <f>DATE(YEAR($J$5),MONTH($J$5)+10,DAY($J$5))</f>
        <v>45962</v>
      </c>
      <c r="AI7" s="2368"/>
      <c r="AJ7" s="2369"/>
      <c r="AK7" s="2367">
        <f>DATE(YEAR($J$5),MONTH($J$5)+11,DAY($J$5))</f>
        <v>45992</v>
      </c>
      <c r="AL7" s="2368"/>
      <c r="AM7" s="2369"/>
      <c r="AN7" s="2370">
        <f>DATE(YEAR($J$5),MONTH($J$5)+12,DAY($J$5))</f>
        <v>46023</v>
      </c>
      <c r="AO7" s="2371"/>
      <c r="AP7" s="2371"/>
    </row>
    <row r="8" spans="4:89" x14ac:dyDescent="0.2">
      <c r="D8" s="104">
        <f>+J5</f>
        <v>45658</v>
      </c>
      <c r="E8" s="105">
        <f>+$J$5</f>
        <v>45658</v>
      </c>
      <c r="F8" s="106" t="str">
        <f>Janvier!AM20</f>
        <v/>
      </c>
      <c r="G8" s="104">
        <f>G7</f>
        <v>45689</v>
      </c>
      <c r="H8" s="105">
        <f>G7</f>
        <v>45689</v>
      </c>
      <c r="I8" s="106" t="str">
        <f>Février!AM20</f>
        <v/>
      </c>
      <c r="J8" s="104">
        <f>J7</f>
        <v>45717</v>
      </c>
      <c r="K8" s="105">
        <f>J7</f>
        <v>45717</v>
      </c>
      <c r="L8" s="106" t="str">
        <f>Mars!AM20</f>
        <v/>
      </c>
      <c r="M8" s="104">
        <f>M7</f>
        <v>45748</v>
      </c>
      <c r="N8" s="105">
        <f>M7</f>
        <v>45748</v>
      </c>
      <c r="O8" s="106" t="str">
        <f>Avril!AM20</f>
        <v/>
      </c>
      <c r="P8" s="104">
        <f>P7</f>
        <v>45778</v>
      </c>
      <c r="Q8" s="105">
        <f>P7</f>
        <v>45778</v>
      </c>
      <c r="R8" s="106" t="str">
        <f>Mai!AM20</f>
        <v/>
      </c>
      <c r="S8" s="104">
        <f>S7</f>
        <v>45809</v>
      </c>
      <c r="T8" s="105">
        <f>S7</f>
        <v>45809</v>
      </c>
      <c r="U8" s="106" t="str">
        <f>Juin!AM20</f>
        <v/>
      </c>
      <c r="V8" s="104">
        <f>V7</f>
        <v>45839</v>
      </c>
      <c r="W8" s="105">
        <f>V7</f>
        <v>45839</v>
      </c>
      <c r="X8" s="106" t="str">
        <f>Juillet!AM20</f>
        <v/>
      </c>
      <c r="Y8" s="104">
        <f>Y7</f>
        <v>45870</v>
      </c>
      <c r="Z8" s="105">
        <f>Y7</f>
        <v>45870</v>
      </c>
      <c r="AA8" s="106" t="str">
        <f>Aout!AM20</f>
        <v/>
      </c>
      <c r="AB8" s="104">
        <f>AB7</f>
        <v>45901</v>
      </c>
      <c r="AC8" s="105">
        <f>AB7</f>
        <v>45901</v>
      </c>
      <c r="AD8" s="106" t="str">
        <f>Septembre!AM20</f>
        <v/>
      </c>
      <c r="AE8" s="104">
        <f>AE7</f>
        <v>45931</v>
      </c>
      <c r="AF8" s="105">
        <f>AE7</f>
        <v>45931</v>
      </c>
      <c r="AG8" s="106" t="str">
        <f>Octobre!AM20</f>
        <v/>
      </c>
      <c r="AH8" s="104">
        <f>AH7</f>
        <v>45962</v>
      </c>
      <c r="AI8" s="105">
        <f>AH7</f>
        <v>45962</v>
      </c>
      <c r="AJ8" s="106" t="str">
        <f>Novembre!AM20</f>
        <v/>
      </c>
      <c r="AK8" s="104">
        <f>AK7</f>
        <v>45992</v>
      </c>
      <c r="AL8" s="105">
        <f>AK7</f>
        <v>45992</v>
      </c>
      <c r="AM8" s="106" t="str">
        <f>Décembre!AM20</f>
        <v/>
      </c>
      <c r="AO8" s="105">
        <f>AN7</f>
        <v>46023</v>
      </c>
    </row>
    <row r="9" spans="4:89" x14ac:dyDescent="0.2">
      <c r="D9" s="107">
        <f>E9</f>
        <v>45659</v>
      </c>
      <c r="E9" s="108">
        <f>+$J$5+1</f>
        <v>45659</v>
      </c>
      <c r="F9" s="109" t="str">
        <f>Janvier!AM21</f>
        <v/>
      </c>
      <c r="G9" s="107">
        <f>H9</f>
        <v>45690</v>
      </c>
      <c r="H9" s="108">
        <f>H8+1</f>
        <v>45690</v>
      </c>
      <c r="I9" s="109" t="str">
        <f>Février!AM21</f>
        <v/>
      </c>
      <c r="J9" s="107">
        <f>K9</f>
        <v>45718</v>
      </c>
      <c r="K9" s="108">
        <f>K8+1</f>
        <v>45718</v>
      </c>
      <c r="L9" s="109" t="str">
        <f>Mars!AM21</f>
        <v/>
      </c>
      <c r="M9" s="107">
        <f>N9</f>
        <v>45749</v>
      </c>
      <c r="N9" s="108">
        <f>N8+1</f>
        <v>45749</v>
      </c>
      <c r="O9" s="109" t="str">
        <f>Avril!AM21</f>
        <v/>
      </c>
      <c r="P9" s="107">
        <f>Q9</f>
        <v>45779</v>
      </c>
      <c r="Q9" s="108">
        <f>Q8+1</f>
        <v>45779</v>
      </c>
      <c r="R9" s="109" t="str">
        <f>Mai!AM21</f>
        <v/>
      </c>
      <c r="S9" s="107">
        <f>T9</f>
        <v>45810</v>
      </c>
      <c r="T9" s="108">
        <f>T8+1</f>
        <v>45810</v>
      </c>
      <c r="U9" s="109" t="str">
        <f>Juin!AM21</f>
        <v/>
      </c>
      <c r="V9" s="107">
        <f>W9</f>
        <v>45840</v>
      </c>
      <c r="W9" s="108">
        <f>W8+1</f>
        <v>45840</v>
      </c>
      <c r="X9" s="109" t="str">
        <f>Juillet!AM21</f>
        <v/>
      </c>
      <c r="Y9" s="107">
        <f>Z9</f>
        <v>45871</v>
      </c>
      <c r="Z9" s="108">
        <f>Z8+1</f>
        <v>45871</v>
      </c>
      <c r="AA9" s="109" t="str">
        <f>Aout!AM21</f>
        <v/>
      </c>
      <c r="AB9" s="107">
        <f>AC9</f>
        <v>45902</v>
      </c>
      <c r="AC9" s="108">
        <f>AC8+1</f>
        <v>45902</v>
      </c>
      <c r="AD9" s="109" t="str">
        <f>Septembre!AM21</f>
        <v/>
      </c>
      <c r="AE9" s="107">
        <f>AF9</f>
        <v>45932</v>
      </c>
      <c r="AF9" s="108">
        <f>AF8+1</f>
        <v>45932</v>
      </c>
      <c r="AG9" s="109" t="str">
        <f>Octobre!AM21</f>
        <v/>
      </c>
      <c r="AH9" s="107">
        <f>AI9</f>
        <v>45963</v>
      </c>
      <c r="AI9" s="108">
        <f>AI8+1</f>
        <v>45963</v>
      </c>
      <c r="AJ9" s="109" t="str">
        <f>Novembre!AM21</f>
        <v/>
      </c>
      <c r="AK9" s="107">
        <f>AL9</f>
        <v>45993</v>
      </c>
      <c r="AL9" s="108">
        <f>AL8+1</f>
        <v>45993</v>
      </c>
      <c r="AM9" s="109" t="str">
        <f>Décembre!AM21</f>
        <v/>
      </c>
    </row>
    <row r="10" spans="4:89" x14ac:dyDescent="0.2">
      <c r="D10" s="107">
        <f t="shared" ref="D10:D38" si="0">E10</f>
        <v>45660</v>
      </c>
      <c r="E10" s="108">
        <f>+$J$5+2</f>
        <v>45660</v>
      </c>
      <c r="F10" s="109" t="str">
        <f>Janvier!AM22</f>
        <v/>
      </c>
      <c r="G10" s="107">
        <f t="shared" ref="G10:G36" si="1">H10</f>
        <v>45691</v>
      </c>
      <c r="H10" s="108">
        <f>+H8+2</f>
        <v>45691</v>
      </c>
      <c r="I10" s="109" t="str">
        <f>Février!AM22</f>
        <v/>
      </c>
      <c r="J10" s="107">
        <f t="shared" ref="J10:J38" si="2">K10</f>
        <v>45719</v>
      </c>
      <c r="K10" s="108">
        <f>+K8+2</f>
        <v>45719</v>
      </c>
      <c r="L10" s="109" t="str">
        <f>Mars!AM22</f>
        <v/>
      </c>
      <c r="M10" s="107">
        <f t="shared" ref="M10:M37" si="3">N10</f>
        <v>45750</v>
      </c>
      <c r="N10" s="108">
        <f>+N8+2</f>
        <v>45750</v>
      </c>
      <c r="O10" s="109" t="str">
        <f>Avril!AM22</f>
        <v/>
      </c>
      <c r="P10" s="107">
        <f t="shared" ref="P10:P38" si="4">Q10</f>
        <v>45780</v>
      </c>
      <c r="Q10" s="108">
        <f>+Q8+2</f>
        <v>45780</v>
      </c>
      <c r="R10" s="109" t="str">
        <f>Mai!AM22</f>
        <v/>
      </c>
      <c r="S10" s="107">
        <f t="shared" ref="S10:S38" si="5">T10</f>
        <v>45811</v>
      </c>
      <c r="T10" s="108">
        <f>+T8+2</f>
        <v>45811</v>
      </c>
      <c r="U10" s="109" t="str">
        <f>Juin!AM22</f>
        <v/>
      </c>
      <c r="V10" s="107">
        <f t="shared" ref="V10:V38" si="6">W10</f>
        <v>45841</v>
      </c>
      <c r="W10" s="108">
        <f>+W8+2</f>
        <v>45841</v>
      </c>
      <c r="X10" s="109" t="str">
        <f>Juillet!AM22</f>
        <v/>
      </c>
      <c r="Y10" s="107">
        <f t="shared" ref="Y10:Y38" si="7">Z10</f>
        <v>45872</v>
      </c>
      <c r="Z10" s="108">
        <f>+Z8+2</f>
        <v>45872</v>
      </c>
      <c r="AA10" s="109" t="str">
        <f>Aout!AM22</f>
        <v/>
      </c>
      <c r="AB10" s="107">
        <f t="shared" ref="AB10:AB38" si="8">AC10</f>
        <v>45903</v>
      </c>
      <c r="AC10" s="108">
        <f>+AC8+2</f>
        <v>45903</v>
      </c>
      <c r="AD10" s="109" t="str">
        <f>Septembre!AM22</f>
        <v/>
      </c>
      <c r="AE10" s="107">
        <f t="shared" ref="AE10:AE38" si="9">AF10</f>
        <v>45933</v>
      </c>
      <c r="AF10" s="108">
        <f>+AF8+2</f>
        <v>45933</v>
      </c>
      <c r="AG10" s="109" t="str">
        <f>Octobre!AM22</f>
        <v/>
      </c>
      <c r="AH10" s="107">
        <f t="shared" ref="AH10:AH38" si="10">AI10</f>
        <v>45964</v>
      </c>
      <c r="AI10" s="108">
        <f>+AI8+2</f>
        <v>45964</v>
      </c>
      <c r="AJ10" s="109" t="str">
        <f>Novembre!AM22</f>
        <v/>
      </c>
      <c r="AK10" s="107">
        <f t="shared" ref="AK10:AK38" si="11">AL10</f>
        <v>45994</v>
      </c>
      <c r="AL10" s="108">
        <f>+AL8+2</f>
        <v>45994</v>
      </c>
      <c r="AM10" s="109" t="str">
        <f>Décembre!AM22</f>
        <v/>
      </c>
    </row>
    <row r="11" spans="4:89" x14ac:dyDescent="0.2">
      <c r="D11" s="107">
        <f t="shared" si="0"/>
        <v>45661</v>
      </c>
      <c r="E11" s="108">
        <f>+$J$5+3</f>
        <v>45661</v>
      </c>
      <c r="F11" s="109" t="str">
        <f>Janvier!AM23</f>
        <v/>
      </c>
      <c r="G11" s="107">
        <f t="shared" si="1"/>
        <v>45692</v>
      </c>
      <c r="H11" s="108">
        <f>+H8+3</f>
        <v>45692</v>
      </c>
      <c r="I11" s="109" t="str">
        <f>Février!AM23</f>
        <v/>
      </c>
      <c r="J11" s="107">
        <f t="shared" si="2"/>
        <v>45720</v>
      </c>
      <c r="K11" s="108">
        <f>+K8+3</f>
        <v>45720</v>
      </c>
      <c r="L11" s="109" t="str">
        <f>Mars!AM23</f>
        <v/>
      </c>
      <c r="M11" s="107">
        <f t="shared" si="3"/>
        <v>45751</v>
      </c>
      <c r="N11" s="108">
        <f>+N8+3</f>
        <v>45751</v>
      </c>
      <c r="O11" s="109" t="str">
        <f>Avril!AM23</f>
        <v/>
      </c>
      <c r="P11" s="107">
        <f t="shared" si="4"/>
        <v>45781</v>
      </c>
      <c r="Q11" s="108">
        <f>+Q8+3</f>
        <v>45781</v>
      </c>
      <c r="R11" s="109" t="str">
        <f>Mai!AM23</f>
        <v/>
      </c>
      <c r="S11" s="107">
        <f t="shared" si="5"/>
        <v>45812</v>
      </c>
      <c r="T11" s="108">
        <f>+T8+3</f>
        <v>45812</v>
      </c>
      <c r="U11" s="109" t="str">
        <f>Juin!AM23</f>
        <v/>
      </c>
      <c r="V11" s="107">
        <f t="shared" si="6"/>
        <v>45842</v>
      </c>
      <c r="W11" s="108">
        <f>+W8+3</f>
        <v>45842</v>
      </c>
      <c r="X11" s="109" t="str">
        <f>Juillet!AM23</f>
        <v/>
      </c>
      <c r="Y11" s="107">
        <f t="shared" si="7"/>
        <v>45873</v>
      </c>
      <c r="Z11" s="108">
        <f>+Z8+3</f>
        <v>45873</v>
      </c>
      <c r="AA11" s="109" t="str">
        <f>Aout!AM23</f>
        <v/>
      </c>
      <c r="AB11" s="107">
        <f t="shared" si="8"/>
        <v>45904</v>
      </c>
      <c r="AC11" s="108">
        <f>+AC8+3</f>
        <v>45904</v>
      </c>
      <c r="AD11" s="109" t="str">
        <f>Septembre!AM23</f>
        <v/>
      </c>
      <c r="AE11" s="107">
        <f t="shared" si="9"/>
        <v>45934</v>
      </c>
      <c r="AF11" s="108">
        <f>+AF8+3</f>
        <v>45934</v>
      </c>
      <c r="AG11" s="109" t="str">
        <f>Octobre!AM23</f>
        <v/>
      </c>
      <c r="AH11" s="107">
        <f t="shared" si="10"/>
        <v>45965</v>
      </c>
      <c r="AI11" s="108">
        <f>+AI8+3</f>
        <v>45965</v>
      </c>
      <c r="AJ11" s="109" t="str">
        <f>Novembre!AM23</f>
        <v/>
      </c>
      <c r="AK11" s="107">
        <f t="shared" si="11"/>
        <v>45995</v>
      </c>
      <c r="AL11" s="108">
        <f>+AL8+3</f>
        <v>45995</v>
      </c>
      <c r="AM11" s="109" t="str">
        <f>Décembre!AM23</f>
        <v/>
      </c>
    </row>
    <row r="12" spans="4:89" x14ac:dyDescent="0.2">
      <c r="D12" s="107">
        <f t="shared" si="0"/>
        <v>45662</v>
      </c>
      <c r="E12" s="108">
        <f>+$J$5+4</f>
        <v>45662</v>
      </c>
      <c r="F12" s="109" t="str">
        <f>Janvier!AM24</f>
        <v/>
      </c>
      <c r="G12" s="107">
        <f t="shared" si="1"/>
        <v>45693</v>
      </c>
      <c r="H12" s="108">
        <f>+H8+4</f>
        <v>45693</v>
      </c>
      <c r="I12" s="109" t="str">
        <f>Février!AM24</f>
        <v/>
      </c>
      <c r="J12" s="107">
        <f t="shared" si="2"/>
        <v>45721</v>
      </c>
      <c r="K12" s="108">
        <f>+K8+4</f>
        <v>45721</v>
      </c>
      <c r="L12" s="109" t="str">
        <f>Mars!AM24</f>
        <v/>
      </c>
      <c r="M12" s="107">
        <f t="shared" si="3"/>
        <v>45752</v>
      </c>
      <c r="N12" s="108">
        <f>+N8+4</f>
        <v>45752</v>
      </c>
      <c r="O12" s="109" t="str">
        <f>Avril!AM24</f>
        <v/>
      </c>
      <c r="P12" s="107">
        <f t="shared" si="4"/>
        <v>45782</v>
      </c>
      <c r="Q12" s="108">
        <f>+Q8+4</f>
        <v>45782</v>
      </c>
      <c r="R12" s="109" t="str">
        <f>Mai!AM24</f>
        <v/>
      </c>
      <c r="S12" s="107">
        <f t="shared" si="5"/>
        <v>45813</v>
      </c>
      <c r="T12" s="108">
        <f>+T8+4</f>
        <v>45813</v>
      </c>
      <c r="U12" s="109" t="str">
        <f>Juin!AM24</f>
        <v/>
      </c>
      <c r="V12" s="107">
        <f t="shared" si="6"/>
        <v>45843</v>
      </c>
      <c r="W12" s="108">
        <f>+W8+4</f>
        <v>45843</v>
      </c>
      <c r="X12" s="109" t="str">
        <f>Juillet!AM24</f>
        <v/>
      </c>
      <c r="Y12" s="107">
        <f t="shared" si="7"/>
        <v>45874</v>
      </c>
      <c r="Z12" s="108">
        <f>+Z8+4</f>
        <v>45874</v>
      </c>
      <c r="AA12" s="109" t="str">
        <f>Aout!AM24</f>
        <v/>
      </c>
      <c r="AB12" s="107">
        <f t="shared" si="8"/>
        <v>45905</v>
      </c>
      <c r="AC12" s="108">
        <f>+AC8+4</f>
        <v>45905</v>
      </c>
      <c r="AD12" s="109" t="str">
        <f>Septembre!AM24</f>
        <v/>
      </c>
      <c r="AE12" s="107">
        <f t="shared" si="9"/>
        <v>45935</v>
      </c>
      <c r="AF12" s="108">
        <f>+AF8+4</f>
        <v>45935</v>
      </c>
      <c r="AG12" s="109" t="str">
        <f>Octobre!AM24</f>
        <v/>
      </c>
      <c r="AH12" s="107">
        <f t="shared" si="10"/>
        <v>45966</v>
      </c>
      <c r="AI12" s="108">
        <f>+AI8+4</f>
        <v>45966</v>
      </c>
      <c r="AJ12" s="109" t="str">
        <f>Novembre!AM24</f>
        <v/>
      </c>
      <c r="AK12" s="107">
        <f t="shared" si="11"/>
        <v>45996</v>
      </c>
      <c r="AL12" s="108">
        <f>+AL8+4</f>
        <v>45996</v>
      </c>
      <c r="AM12" s="109" t="str">
        <f>Décembre!AM24</f>
        <v/>
      </c>
    </row>
    <row r="13" spans="4:89" x14ac:dyDescent="0.2">
      <c r="D13" s="107">
        <f t="shared" si="0"/>
        <v>45663</v>
      </c>
      <c r="E13" s="108">
        <f>+$J$5+5</f>
        <v>45663</v>
      </c>
      <c r="F13" s="109" t="str">
        <f>Janvier!AM25</f>
        <v/>
      </c>
      <c r="G13" s="107">
        <f t="shared" si="1"/>
        <v>45694</v>
      </c>
      <c r="H13" s="108">
        <f>+H8+5</f>
        <v>45694</v>
      </c>
      <c r="I13" s="109" t="str">
        <f>Février!AM25</f>
        <v/>
      </c>
      <c r="J13" s="107">
        <f t="shared" si="2"/>
        <v>45722</v>
      </c>
      <c r="K13" s="108">
        <f>+K8+5</f>
        <v>45722</v>
      </c>
      <c r="L13" s="109" t="str">
        <f>Mars!AM25</f>
        <v/>
      </c>
      <c r="M13" s="107">
        <f t="shared" si="3"/>
        <v>45753</v>
      </c>
      <c r="N13" s="108">
        <f>+N8+5</f>
        <v>45753</v>
      </c>
      <c r="O13" s="109" t="str">
        <f>Avril!AM25</f>
        <v/>
      </c>
      <c r="P13" s="107">
        <f t="shared" si="4"/>
        <v>45783</v>
      </c>
      <c r="Q13" s="108">
        <f>+Q8+5</f>
        <v>45783</v>
      </c>
      <c r="R13" s="109" t="str">
        <f>Mai!AM25</f>
        <v/>
      </c>
      <c r="S13" s="107">
        <f t="shared" si="5"/>
        <v>45814</v>
      </c>
      <c r="T13" s="108">
        <f>+T8+5</f>
        <v>45814</v>
      </c>
      <c r="U13" s="109" t="str">
        <f>Juin!AM25</f>
        <v/>
      </c>
      <c r="V13" s="107">
        <f t="shared" si="6"/>
        <v>45844</v>
      </c>
      <c r="W13" s="108">
        <f>+W8+5</f>
        <v>45844</v>
      </c>
      <c r="X13" s="109" t="str">
        <f>Juillet!AM25</f>
        <v/>
      </c>
      <c r="Y13" s="107">
        <f t="shared" si="7"/>
        <v>45875</v>
      </c>
      <c r="Z13" s="108">
        <f>+Z8+5</f>
        <v>45875</v>
      </c>
      <c r="AA13" s="109" t="str">
        <f>Aout!AM25</f>
        <v/>
      </c>
      <c r="AB13" s="107">
        <f t="shared" si="8"/>
        <v>45906</v>
      </c>
      <c r="AC13" s="108">
        <f>+AC8+5</f>
        <v>45906</v>
      </c>
      <c r="AD13" s="109" t="str">
        <f>Septembre!AM25</f>
        <v/>
      </c>
      <c r="AE13" s="107">
        <f t="shared" si="9"/>
        <v>45936</v>
      </c>
      <c r="AF13" s="108">
        <f>+AF8+5</f>
        <v>45936</v>
      </c>
      <c r="AG13" s="109" t="str">
        <f>Octobre!AM25</f>
        <v/>
      </c>
      <c r="AH13" s="107">
        <f t="shared" si="10"/>
        <v>45967</v>
      </c>
      <c r="AI13" s="108">
        <f>+AI8+5</f>
        <v>45967</v>
      </c>
      <c r="AJ13" s="109" t="str">
        <f>Novembre!AM25</f>
        <v/>
      </c>
      <c r="AK13" s="107">
        <f t="shared" si="11"/>
        <v>45997</v>
      </c>
      <c r="AL13" s="108">
        <f>+AL8+5</f>
        <v>45997</v>
      </c>
      <c r="AM13" s="109" t="str">
        <f>Décembre!AM25</f>
        <v/>
      </c>
    </row>
    <row r="14" spans="4:89" x14ac:dyDescent="0.2">
      <c r="D14" s="107">
        <f t="shared" si="0"/>
        <v>45664</v>
      </c>
      <c r="E14" s="108">
        <f>+$J$5+6</f>
        <v>45664</v>
      </c>
      <c r="F14" s="109" t="str">
        <f>Janvier!AM26</f>
        <v/>
      </c>
      <c r="G14" s="107">
        <f t="shared" si="1"/>
        <v>45695</v>
      </c>
      <c r="H14" s="108">
        <f>+H8+6</f>
        <v>45695</v>
      </c>
      <c r="I14" s="109" t="str">
        <f>Février!AM26</f>
        <v/>
      </c>
      <c r="J14" s="107">
        <f t="shared" si="2"/>
        <v>45723</v>
      </c>
      <c r="K14" s="108">
        <f>+K8+6</f>
        <v>45723</v>
      </c>
      <c r="L14" s="109" t="str">
        <f>Mars!AM26</f>
        <v/>
      </c>
      <c r="M14" s="107">
        <f t="shared" si="3"/>
        <v>45754</v>
      </c>
      <c r="N14" s="108">
        <f>+N8+6</f>
        <v>45754</v>
      </c>
      <c r="O14" s="109" t="str">
        <f>Avril!AM26</f>
        <v/>
      </c>
      <c r="P14" s="107">
        <f t="shared" si="4"/>
        <v>45784</v>
      </c>
      <c r="Q14" s="108">
        <f>+Q8+6</f>
        <v>45784</v>
      </c>
      <c r="R14" s="109" t="str">
        <f>Mai!AM26</f>
        <v/>
      </c>
      <c r="S14" s="107">
        <f t="shared" si="5"/>
        <v>45815</v>
      </c>
      <c r="T14" s="108">
        <f>+T8+6</f>
        <v>45815</v>
      </c>
      <c r="U14" s="109" t="str">
        <f>Juin!AM26</f>
        <v/>
      </c>
      <c r="V14" s="107">
        <f t="shared" si="6"/>
        <v>45845</v>
      </c>
      <c r="W14" s="108">
        <f>+W8+6</f>
        <v>45845</v>
      </c>
      <c r="X14" s="109" t="str">
        <f>Juillet!AM26</f>
        <v/>
      </c>
      <c r="Y14" s="107">
        <f t="shared" si="7"/>
        <v>45876</v>
      </c>
      <c r="Z14" s="108">
        <f>+Z8+6</f>
        <v>45876</v>
      </c>
      <c r="AA14" s="109" t="str">
        <f>Aout!AM26</f>
        <v/>
      </c>
      <c r="AB14" s="107">
        <f t="shared" si="8"/>
        <v>45907</v>
      </c>
      <c r="AC14" s="108">
        <f>+AC8+6</f>
        <v>45907</v>
      </c>
      <c r="AD14" s="109" t="str">
        <f>Septembre!AM26</f>
        <v/>
      </c>
      <c r="AE14" s="107">
        <f t="shared" si="9"/>
        <v>45937</v>
      </c>
      <c r="AF14" s="108">
        <f>+AF8+6</f>
        <v>45937</v>
      </c>
      <c r="AG14" s="109" t="str">
        <f>Octobre!AM26</f>
        <v/>
      </c>
      <c r="AH14" s="107">
        <f t="shared" si="10"/>
        <v>45968</v>
      </c>
      <c r="AI14" s="108">
        <f>+AI8+6</f>
        <v>45968</v>
      </c>
      <c r="AJ14" s="109" t="str">
        <f>Novembre!AM26</f>
        <v/>
      </c>
      <c r="AK14" s="107">
        <f t="shared" si="11"/>
        <v>45998</v>
      </c>
      <c r="AL14" s="108">
        <f>+AL8+6</f>
        <v>45998</v>
      </c>
      <c r="AM14" s="109" t="str">
        <f>Décembre!AM26</f>
        <v/>
      </c>
    </row>
    <row r="15" spans="4:89" x14ac:dyDescent="0.2">
      <c r="D15" s="107">
        <f t="shared" si="0"/>
        <v>45665</v>
      </c>
      <c r="E15" s="108">
        <f>+$J$5+7</f>
        <v>45665</v>
      </c>
      <c r="F15" s="109" t="str">
        <f>Janvier!AM27</f>
        <v/>
      </c>
      <c r="G15" s="107">
        <f t="shared" si="1"/>
        <v>45696</v>
      </c>
      <c r="H15" s="108">
        <f>+H8+7</f>
        <v>45696</v>
      </c>
      <c r="I15" s="109" t="str">
        <f>Février!AM27</f>
        <v/>
      </c>
      <c r="J15" s="107">
        <f t="shared" si="2"/>
        <v>45724</v>
      </c>
      <c r="K15" s="108">
        <f>+K8+7</f>
        <v>45724</v>
      </c>
      <c r="L15" s="109" t="str">
        <f>Mars!AM27</f>
        <v/>
      </c>
      <c r="M15" s="107">
        <f t="shared" si="3"/>
        <v>45755</v>
      </c>
      <c r="N15" s="108">
        <f>+N8+7</f>
        <v>45755</v>
      </c>
      <c r="O15" s="109" t="str">
        <f>Avril!AM27</f>
        <v/>
      </c>
      <c r="P15" s="107">
        <f t="shared" si="4"/>
        <v>45785</v>
      </c>
      <c r="Q15" s="108">
        <f>+Q8+7</f>
        <v>45785</v>
      </c>
      <c r="R15" s="109" t="str">
        <f>Mai!AM27</f>
        <v/>
      </c>
      <c r="S15" s="107">
        <f t="shared" si="5"/>
        <v>45816</v>
      </c>
      <c r="T15" s="108">
        <f>+T8+7</f>
        <v>45816</v>
      </c>
      <c r="U15" s="109" t="str">
        <f>Juin!AM27</f>
        <v/>
      </c>
      <c r="V15" s="107">
        <f t="shared" si="6"/>
        <v>45846</v>
      </c>
      <c r="W15" s="108">
        <f>+W8+7</f>
        <v>45846</v>
      </c>
      <c r="X15" s="109" t="str">
        <f>Juillet!AM27</f>
        <v/>
      </c>
      <c r="Y15" s="107">
        <f t="shared" si="7"/>
        <v>45877</v>
      </c>
      <c r="Z15" s="108">
        <f>+Z8+7</f>
        <v>45877</v>
      </c>
      <c r="AA15" s="109" t="str">
        <f>Aout!AM27</f>
        <v/>
      </c>
      <c r="AB15" s="107">
        <f t="shared" si="8"/>
        <v>45908</v>
      </c>
      <c r="AC15" s="108">
        <f>+AC8+7</f>
        <v>45908</v>
      </c>
      <c r="AD15" s="109" t="str">
        <f>Septembre!AM27</f>
        <v/>
      </c>
      <c r="AE15" s="107">
        <f t="shared" si="9"/>
        <v>45938</v>
      </c>
      <c r="AF15" s="108">
        <f>+AF8+7</f>
        <v>45938</v>
      </c>
      <c r="AG15" s="109" t="str">
        <f>Octobre!AM27</f>
        <v/>
      </c>
      <c r="AH15" s="107">
        <f t="shared" si="10"/>
        <v>45969</v>
      </c>
      <c r="AI15" s="108">
        <f>+AI8+7</f>
        <v>45969</v>
      </c>
      <c r="AJ15" s="109" t="str">
        <f>Novembre!AM27</f>
        <v/>
      </c>
      <c r="AK15" s="107">
        <f t="shared" si="11"/>
        <v>45999</v>
      </c>
      <c r="AL15" s="108">
        <f>+AL8+7</f>
        <v>45999</v>
      </c>
      <c r="AM15" s="109" t="str">
        <f>Décembre!AM27</f>
        <v/>
      </c>
    </row>
    <row r="16" spans="4:89" x14ac:dyDescent="0.2">
      <c r="D16" s="107">
        <f t="shared" si="0"/>
        <v>45666</v>
      </c>
      <c r="E16" s="108">
        <f>+$J$5+8</f>
        <v>45666</v>
      </c>
      <c r="F16" s="109" t="str">
        <f>Janvier!AM28</f>
        <v/>
      </c>
      <c r="G16" s="107">
        <f t="shared" si="1"/>
        <v>45697</v>
      </c>
      <c r="H16" s="108">
        <f>+H8+8</f>
        <v>45697</v>
      </c>
      <c r="I16" s="109" t="str">
        <f>Février!AM28</f>
        <v/>
      </c>
      <c r="J16" s="107">
        <f t="shared" si="2"/>
        <v>45725</v>
      </c>
      <c r="K16" s="108">
        <f>+K8+8</f>
        <v>45725</v>
      </c>
      <c r="L16" s="109" t="str">
        <f>Mars!AM28</f>
        <v/>
      </c>
      <c r="M16" s="107">
        <f t="shared" si="3"/>
        <v>45756</v>
      </c>
      <c r="N16" s="108">
        <f>+N8+8</f>
        <v>45756</v>
      </c>
      <c r="O16" s="109" t="str">
        <f>Avril!AM28</f>
        <v/>
      </c>
      <c r="P16" s="107">
        <f t="shared" si="4"/>
        <v>45786</v>
      </c>
      <c r="Q16" s="108">
        <f>+Q8+8</f>
        <v>45786</v>
      </c>
      <c r="R16" s="109" t="str">
        <f>Mai!AM28</f>
        <v/>
      </c>
      <c r="S16" s="107">
        <f t="shared" si="5"/>
        <v>45817</v>
      </c>
      <c r="T16" s="108">
        <f>+T8+8</f>
        <v>45817</v>
      </c>
      <c r="U16" s="109" t="str">
        <f>Juin!AM28</f>
        <v/>
      </c>
      <c r="V16" s="107">
        <f t="shared" si="6"/>
        <v>45847</v>
      </c>
      <c r="W16" s="108">
        <f>+W8+8</f>
        <v>45847</v>
      </c>
      <c r="X16" s="109" t="str">
        <f>Juillet!AM28</f>
        <v/>
      </c>
      <c r="Y16" s="107">
        <f t="shared" si="7"/>
        <v>45878</v>
      </c>
      <c r="Z16" s="108">
        <f>+Z8+8</f>
        <v>45878</v>
      </c>
      <c r="AA16" s="109" t="str">
        <f>Aout!AM28</f>
        <v/>
      </c>
      <c r="AB16" s="107">
        <f t="shared" si="8"/>
        <v>45909</v>
      </c>
      <c r="AC16" s="108">
        <f>+AC8+8</f>
        <v>45909</v>
      </c>
      <c r="AD16" s="109" t="str">
        <f>Septembre!AM28</f>
        <v/>
      </c>
      <c r="AE16" s="107">
        <f t="shared" si="9"/>
        <v>45939</v>
      </c>
      <c r="AF16" s="108">
        <f>+AF8+8</f>
        <v>45939</v>
      </c>
      <c r="AG16" s="109" t="str">
        <f>Octobre!AM28</f>
        <v/>
      </c>
      <c r="AH16" s="107">
        <f t="shared" si="10"/>
        <v>45970</v>
      </c>
      <c r="AI16" s="108">
        <f>+AI8+8</f>
        <v>45970</v>
      </c>
      <c r="AJ16" s="109" t="str">
        <f>Novembre!AM28</f>
        <v/>
      </c>
      <c r="AK16" s="107">
        <f t="shared" si="11"/>
        <v>46000</v>
      </c>
      <c r="AL16" s="108">
        <f>+AL8+8</f>
        <v>46000</v>
      </c>
      <c r="AM16" s="109" t="str">
        <f>Décembre!AM28</f>
        <v/>
      </c>
    </row>
    <row r="17" spans="4:39" x14ac:dyDescent="0.2">
      <c r="D17" s="107">
        <f t="shared" si="0"/>
        <v>45667</v>
      </c>
      <c r="E17" s="108">
        <f>+$J$5+9</f>
        <v>45667</v>
      </c>
      <c r="F17" s="109" t="str">
        <f>Janvier!AM29</f>
        <v/>
      </c>
      <c r="G17" s="107">
        <f t="shared" si="1"/>
        <v>45698</v>
      </c>
      <c r="H17" s="108">
        <f>+H8+9</f>
        <v>45698</v>
      </c>
      <c r="I17" s="109" t="str">
        <f>Février!AM29</f>
        <v/>
      </c>
      <c r="J17" s="107">
        <f t="shared" si="2"/>
        <v>45726</v>
      </c>
      <c r="K17" s="108">
        <f>+K8+9</f>
        <v>45726</v>
      </c>
      <c r="L17" s="109" t="str">
        <f>Mars!AM29</f>
        <v/>
      </c>
      <c r="M17" s="107">
        <f t="shared" si="3"/>
        <v>45757</v>
      </c>
      <c r="N17" s="108">
        <f>+N8+9</f>
        <v>45757</v>
      </c>
      <c r="O17" s="109" t="str">
        <f>Avril!AM29</f>
        <v/>
      </c>
      <c r="P17" s="107">
        <f t="shared" si="4"/>
        <v>45787</v>
      </c>
      <c r="Q17" s="108">
        <f>+Q8+9</f>
        <v>45787</v>
      </c>
      <c r="R17" s="109" t="str">
        <f>Mai!AM29</f>
        <v/>
      </c>
      <c r="S17" s="107">
        <f t="shared" si="5"/>
        <v>45818</v>
      </c>
      <c r="T17" s="108">
        <f>+T8+9</f>
        <v>45818</v>
      </c>
      <c r="U17" s="109" t="str">
        <f>Juin!AM29</f>
        <v/>
      </c>
      <c r="V17" s="107">
        <f t="shared" si="6"/>
        <v>45848</v>
      </c>
      <c r="W17" s="108">
        <f>+W8+9</f>
        <v>45848</v>
      </c>
      <c r="X17" s="109" t="str">
        <f>Juillet!AM29</f>
        <v/>
      </c>
      <c r="Y17" s="107">
        <f t="shared" si="7"/>
        <v>45879</v>
      </c>
      <c r="Z17" s="108">
        <f>+Z8+9</f>
        <v>45879</v>
      </c>
      <c r="AA17" s="109" t="str">
        <f>Aout!AM29</f>
        <v/>
      </c>
      <c r="AB17" s="107">
        <f t="shared" si="8"/>
        <v>45910</v>
      </c>
      <c r="AC17" s="108">
        <f>+AC8+9</f>
        <v>45910</v>
      </c>
      <c r="AD17" s="109" t="str">
        <f>Septembre!AM29</f>
        <v/>
      </c>
      <c r="AE17" s="107">
        <f t="shared" si="9"/>
        <v>45940</v>
      </c>
      <c r="AF17" s="108">
        <f>+AF8+9</f>
        <v>45940</v>
      </c>
      <c r="AG17" s="109" t="str">
        <f>Octobre!AM29</f>
        <v/>
      </c>
      <c r="AH17" s="107">
        <f t="shared" si="10"/>
        <v>45971</v>
      </c>
      <c r="AI17" s="108">
        <f>+AI8+9</f>
        <v>45971</v>
      </c>
      <c r="AJ17" s="109" t="str">
        <f>Novembre!AM29</f>
        <v/>
      </c>
      <c r="AK17" s="107">
        <f t="shared" si="11"/>
        <v>46001</v>
      </c>
      <c r="AL17" s="108">
        <f>+AL8+9</f>
        <v>46001</v>
      </c>
      <c r="AM17" s="109" t="str">
        <f>Décembre!AM29</f>
        <v/>
      </c>
    </row>
    <row r="18" spans="4:39" x14ac:dyDescent="0.2">
      <c r="D18" s="107">
        <f t="shared" si="0"/>
        <v>45668</v>
      </c>
      <c r="E18" s="108">
        <f>+$J$5+10</f>
        <v>45668</v>
      </c>
      <c r="F18" s="109" t="str">
        <f>Janvier!AM30</f>
        <v/>
      </c>
      <c r="G18" s="107">
        <f t="shared" si="1"/>
        <v>45699</v>
      </c>
      <c r="H18" s="108">
        <f>+H8+10</f>
        <v>45699</v>
      </c>
      <c r="I18" s="109" t="str">
        <f>Février!AM30</f>
        <v/>
      </c>
      <c r="J18" s="107">
        <f t="shared" si="2"/>
        <v>45727</v>
      </c>
      <c r="K18" s="108">
        <f>+K8+10</f>
        <v>45727</v>
      </c>
      <c r="L18" s="109" t="str">
        <f>Mars!AM30</f>
        <v/>
      </c>
      <c r="M18" s="107">
        <f t="shared" si="3"/>
        <v>45758</v>
      </c>
      <c r="N18" s="108">
        <f>+N8+10</f>
        <v>45758</v>
      </c>
      <c r="O18" s="109" t="str">
        <f>Avril!AM30</f>
        <v/>
      </c>
      <c r="P18" s="107">
        <f t="shared" si="4"/>
        <v>45788</v>
      </c>
      <c r="Q18" s="108">
        <f>+Q8+10</f>
        <v>45788</v>
      </c>
      <c r="R18" s="109" t="str">
        <f>Mai!AM30</f>
        <v/>
      </c>
      <c r="S18" s="107">
        <f t="shared" si="5"/>
        <v>45819</v>
      </c>
      <c r="T18" s="108">
        <f>+T8+10</f>
        <v>45819</v>
      </c>
      <c r="U18" s="109" t="str">
        <f>Juin!AM30</f>
        <v/>
      </c>
      <c r="V18" s="107">
        <f t="shared" si="6"/>
        <v>45849</v>
      </c>
      <c r="W18" s="108">
        <f>+W8+10</f>
        <v>45849</v>
      </c>
      <c r="X18" s="109" t="str">
        <f>Juillet!AM30</f>
        <v/>
      </c>
      <c r="Y18" s="107">
        <f t="shared" si="7"/>
        <v>45880</v>
      </c>
      <c r="Z18" s="108">
        <f>+Z8+10</f>
        <v>45880</v>
      </c>
      <c r="AA18" s="109" t="str">
        <f>Aout!AM30</f>
        <v/>
      </c>
      <c r="AB18" s="107">
        <f t="shared" si="8"/>
        <v>45911</v>
      </c>
      <c r="AC18" s="108">
        <f>+AC8+10</f>
        <v>45911</v>
      </c>
      <c r="AD18" s="109" t="str">
        <f>Septembre!AM30</f>
        <v/>
      </c>
      <c r="AE18" s="107">
        <f t="shared" si="9"/>
        <v>45941</v>
      </c>
      <c r="AF18" s="108">
        <f>+AF8+10</f>
        <v>45941</v>
      </c>
      <c r="AG18" s="109" t="str">
        <f>Octobre!AM30</f>
        <v/>
      </c>
      <c r="AH18" s="107">
        <f t="shared" si="10"/>
        <v>45972</v>
      </c>
      <c r="AI18" s="108">
        <f>+AI8+10</f>
        <v>45972</v>
      </c>
      <c r="AJ18" s="109" t="str">
        <f>Novembre!AM30</f>
        <v/>
      </c>
      <c r="AK18" s="107">
        <f t="shared" si="11"/>
        <v>46002</v>
      </c>
      <c r="AL18" s="108">
        <f>+AL8+10</f>
        <v>46002</v>
      </c>
      <c r="AM18" s="109" t="str">
        <f>Décembre!AM30</f>
        <v/>
      </c>
    </row>
    <row r="19" spans="4:39" x14ac:dyDescent="0.2">
      <c r="D19" s="107">
        <f t="shared" si="0"/>
        <v>45669</v>
      </c>
      <c r="E19" s="108">
        <f>+$J$5+11</f>
        <v>45669</v>
      </c>
      <c r="F19" s="109" t="str">
        <f>Janvier!AM31</f>
        <v/>
      </c>
      <c r="G19" s="107">
        <f t="shared" si="1"/>
        <v>45700</v>
      </c>
      <c r="H19" s="108">
        <f>+H8+11</f>
        <v>45700</v>
      </c>
      <c r="I19" s="109" t="str">
        <f>Février!AM31</f>
        <v/>
      </c>
      <c r="J19" s="107">
        <f t="shared" si="2"/>
        <v>45728</v>
      </c>
      <c r="K19" s="108">
        <f>+K8+11</f>
        <v>45728</v>
      </c>
      <c r="L19" s="109" t="str">
        <f>Mars!AM31</f>
        <v/>
      </c>
      <c r="M19" s="107">
        <f t="shared" si="3"/>
        <v>45759</v>
      </c>
      <c r="N19" s="108">
        <f>+N8+11</f>
        <v>45759</v>
      </c>
      <c r="O19" s="109" t="str">
        <f>Avril!AM31</f>
        <v/>
      </c>
      <c r="P19" s="107">
        <f t="shared" si="4"/>
        <v>45789</v>
      </c>
      <c r="Q19" s="108">
        <f>+Q8+11</f>
        <v>45789</v>
      </c>
      <c r="R19" s="109" t="str">
        <f>Mai!AM31</f>
        <v/>
      </c>
      <c r="S19" s="107">
        <f t="shared" si="5"/>
        <v>45820</v>
      </c>
      <c r="T19" s="108">
        <f>+T8+11</f>
        <v>45820</v>
      </c>
      <c r="U19" s="109" t="str">
        <f>Juin!AM31</f>
        <v/>
      </c>
      <c r="V19" s="107">
        <f t="shared" si="6"/>
        <v>45850</v>
      </c>
      <c r="W19" s="108">
        <f>+W8+11</f>
        <v>45850</v>
      </c>
      <c r="X19" s="109" t="str">
        <f>Juillet!AM31</f>
        <v/>
      </c>
      <c r="Y19" s="107">
        <f t="shared" si="7"/>
        <v>45881</v>
      </c>
      <c r="Z19" s="108">
        <f>+Z8+11</f>
        <v>45881</v>
      </c>
      <c r="AA19" s="109" t="str">
        <f>Aout!AM31</f>
        <v/>
      </c>
      <c r="AB19" s="107">
        <f t="shared" si="8"/>
        <v>45912</v>
      </c>
      <c r="AC19" s="108">
        <f>+AC8+11</f>
        <v>45912</v>
      </c>
      <c r="AD19" s="109" t="str">
        <f>Septembre!AM31</f>
        <v/>
      </c>
      <c r="AE19" s="107">
        <f t="shared" si="9"/>
        <v>45942</v>
      </c>
      <c r="AF19" s="108">
        <f>+AF8+11</f>
        <v>45942</v>
      </c>
      <c r="AG19" s="109" t="str">
        <f>Octobre!AM31</f>
        <v/>
      </c>
      <c r="AH19" s="107">
        <f t="shared" si="10"/>
        <v>45973</v>
      </c>
      <c r="AI19" s="108">
        <f>+AI8+11</f>
        <v>45973</v>
      </c>
      <c r="AJ19" s="109" t="str">
        <f>Novembre!AM31</f>
        <v/>
      </c>
      <c r="AK19" s="107">
        <f t="shared" si="11"/>
        <v>46003</v>
      </c>
      <c r="AL19" s="108">
        <f>+AL8+11</f>
        <v>46003</v>
      </c>
      <c r="AM19" s="109" t="str">
        <f>Décembre!AM31</f>
        <v/>
      </c>
    </row>
    <row r="20" spans="4:39" x14ac:dyDescent="0.2">
      <c r="D20" s="107">
        <f t="shared" si="0"/>
        <v>45670</v>
      </c>
      <c r="E20" s="108">
        <f>+$J$5+12</f>
        <v>45670</v>
      </c>
      <c r="F20" s="109" t="str">
        <f>Janvier!AM32</f>
        <v/>
      </c>
      <c r="G20" s="107">
        <f t="shared" si="1"/>
        <v>45701</v>
      </c>
      <c r="H20" s="108">
        <f>+H8+12</f>
        <v>45701</v>
      </c>
      <c r="I20" s="109" t="str">
        <f>Février!AM32</f>
        <v/>
      </c>
      <c r="J20" s="107">
        <f t="shared" si="2"/>
        <v>45729</v>
      </c>
      <c r="K20" s="108">
        <f>+K8+12</f>
        <v>45729</v>
      </c>
      <c r="L20" s="109" t="str">
        <f>Mars!AM32</f>
        <v/>
      </c>
      <c r="M20" s="107">
        <f t="shared" si="3"/>
        <v>45760</v>
      </c>
      <c r="N20" s="108">
        <f>+N8+12</f>
        <v>45760</v>
      </c>
      <c r="O20" s="109" t="str">
        <f>Avril!AM32</f>
        <v/>
      </c>
      <c r="P20" s="107">
        <f t="shared" si="4"/>
        <v>45790</v>
      </c>
      <c r="Q20" s="108">
        <f>+Q8+12</f>
        <v>45790</v>
      </c>
      <c r="R20" s="109" t="str">
        <f>Mai!AM32</f>
        <v/>
      </c>
      <c r="S20" s="107">
        <f t="shared" si="5"/>
        <v>45821</v>
      </c>
      <c r="T20" s="108">
        <f>+T8+12</f>
        <v>45821</v>
      </c>
      <c r="U20" s="109" t="str">
        <f>Juin!AM32</f>
        <v/>
      </c>
      <c r="V20" s="107">
        <f t="shared" si="6"/>
        <v>45851</v>
      </c>
      <c r="W20" s="108">
        <f>+W8+12</f>
        <v>45851</v>
      </c>
      <c r="X20" s="109" t="str">
        <f>Juillet!AM32</f>
        <v/>
      </c>
      <c r="Y20" s="107">
        <f t="shared" si="7"/>
        <v>45882</v>
      </c>
      <c r="Z20" s="108">
        <f>+Z8+12</f>
        <v>45882</v>
      </c>
      <c r="AA20" s="109" t="str">
        <f>Aout!AM32</f>
        <v/>
      </c>
      <c r="AB20" s="107">
        <f t="shared" si="8"/>
        <v>45913</v>
      </c>
      <c r="AC20" s="108">
        <f>+AC8+12</f>
        <v>45913</v>
      </c>
      <c r="AD20" s="109" t="str">
        <f>Septembre!AM32</f>
        <v/>
      </c>
      <c r="AE20" s="107">
        <f t="shared" si="9"/>
        <v>45943</v>
      </c>
      <c r="AF20" s="108">
        <f>+AF8+12</f>
        <v>45943</v>
      </c>
      <c r="AG20" s="109" t="str">
        <f>Octobre!AM32</f>
        <v/>
      </c>
      <c r="AH20" s="107">
        <f t="shared" si="10"/>
        <v>45974</v>
      </c>
      <c r="AI20" s="108">
        <f>+AI8+12</f>
        <v>45974</v>
      </c>
      <c r="AJ20" s="109" t="str">
        <f>Novembre!AM32</f>
        <v/>
      </c>
      <c r="AK20" s="107">
        <f t="shared" si="11"/>
        <v>46004</v>
      </c>
      <c r="AL20" s="108">
        <f>+AL8+12</f>
        <v>46004</v>
      </c>
      <c r="AM20" s="109" t="str">
        <f>Décembre!AM32</f>
        <v/>
      </c>
    </row>
    <row r="21" spans="4:39" x14ac:dyDescent="0.2">
      <c r="D21" s="107">
        <f t="shared" si="0"/>
        <v>45671</v>
      </c>
      <c r="E21" s="108">
        <f>+$J$5+13</f>
        <v>45671</v>
      </c>
      <c r="F21" s="109" t="str">
        <f>Janvier!AM33</f>
        <v/>
      </c>
      <c r="G21" s="107">
        <f t="shared" si="1"/>
        <v>45702</v>
      </c>
      <c r="H21" s="108">
        <f>+H8+13</f>
        <v>45702</v>
      </c>
      <c r="I21" s="109" t="str">
        <f>Février!AM33</f>
        <v/>
      </c>
      <c r="J21" s="107">
        <f t="shared" si="2"/>
        <v>45730</v>
      </c>
      <c r="K21" s="108">
        <f>+K8+13</f>
        <v>45730</v>
      </c>
      <c r="L21" s="109" t="str">
        <f>Mars!AM33</f>
        <v/>
      </c>
      <c r="M21" s="107">
        <f t="shared" si="3"/>
        <v>45761</v>
      </c>
      <c r="N21" s="108">
        <f>+N8+13</f>
        <v>45761</v>
      </c>
      <c r="O21" s="109" t="str">
        <f>Avril!AM33</f>
        <v/>
      </c>
      <c r="P21" s="107">
        <f t="shared" si="4"/>
        <v>45791</v>
      </c>
      <c r="Q21" s="108">
        <f>+Q8+13</f>
        <v>45791</v>
      </c>
      <c r="R21" s="109" t="str">
        <f>Mai!AM33</f>
        <v/>
      </c>
      <c r="S21" s="107">
        <f t="shared" si="5"/>
        <v>45822</v>
      </c>
      <c r="T21" s="108">
        <f>+T8+13</f>
        <v>45822</v>
      </c>
      <c r="U21" s="109" t="str">
        <f>Juin!AM33</f>
        <v/>
      </c>
      <c r="V21" s="107">
        <f t="shared" si="6"/>
        <v>45852</v>
      </c>
      <c r="W21" s="108">
        <f>+W8+13</f>
        <v>45852</v>
      </c>
      <c r="X21" s="109" t="str">
        <f>Juillet!AM33</f>
        <v/>
      </c>
      <c r="Y21" s="107">
        <f t="shared" si="7"/>
        <v>45883</v>
      </c>
      <c r="Z21" s="108">
        <f>+Z8+13</f>
        <v>45883</v>
      </c>
      <c r="AA21" s="109" t="str">
        <f>Aout!AM33</f>
        <v/>
      </c>
      <c r="AB21" s="107">
        <f t="shared" si="8"/>
        <v>45914</v>
      </c>
      <c r="AC21" s="108">
        <f>+AC8+13</f>
        <v>45914</v>
      </c>
      <c r="AD21" s="109" t="str">
        <f>Septembre!AM33</f>
        <v/>
      </c>
      <c r="AE21" s="107">
        <f t="shared" si="9"/>
        <v>45944</v>
      </c>
      <c r="AF21" s="108">
        <f>+AF8+13</f>
        <v>45944</v>
      </c>
      <c r="AG21" s="109" t="str">
        <f>Octobre!AM33</f>
        <v/>
      </c>
      <c r="AH21" s="107">
        <f t="shared" si="10"/>
        <v>45975</v>
      </c>
      <c r="AI21" s="108">
        <f>+AI8+13</f>
        <v>45975</v>
      </c>
      <c r="AJ21" s="109" t="str">
        <f>Novembre!AM33</f>
        <v/>
      </c>
      <c r="AK21" s="107">
        <f t="shared" si="11"/>
        <v>46005</v>
      </c>
      <c r="AL21" s="108">
        <f>+AL8+13</f>
        <v>46005</v>
      </c>
      <c r="AM21" s="109" t="str">
        <f>Décembre!AM33</f>
        <v/>
      </c>
    </row>
    <row r="22" spans="4:39" x14ac:dyDescent="0.2">
      <c r="D22" s="107">
        <f t="shared" si="0"/>
        <v>45672</v>
      </c>
      <c r="E22" s="108">
        <f>+$J$5+14</f>
        <v>45672</v>
      </c>
      <c r="F22" s="109" t="str">
        <f>Janvier!AM34</f>
        <v/>
      </c>
      <c r="G22" s="107">
        <f t="shared" si="1"/>
        <v>45703</v>
      </c>
      <c r="H22" s="108">
        <f>+H8+14</f>
        <v>45703</v>
      </c>
      <c r="I22" s="109" t="str">
        <f>Février!AM34</f>
        <v/>
      </c>
      <c r="J22" s="107">
        <f t="shared" si="2"/>
        <v>45731</v>
      </c>
      <c r="K22" s="108">
        <f>+K8+14</f>
        <v>45731</v>
      </c>
      <c r="L22" s="109" t="str">
        <f>Mars!AM34</f>
        <v/>
      </c>
      <c r="M22" s="107">
        <f t="shared" si="3"/>
        <v>45762</v>
      </c>
      <c r="N22" s="108">
        <f>+N8+14</f>
        <v>45762</v>
      </c>
      <c r="O22" s="109" t="str">
        <f>Avril!AM34</f>
        <v/>
      </c>
      <c r="P22" s="107">
        <f t="shared" si="4"/>
        <v>45792</v>
      </c>
      <c r="Q22" s="108">
        <f>+Q8+14</f>
        <v>45792</v>
      </c>
      <c r="R22" s="109" t="str">
        <f>Mai!AM34</f>
        <v/>
      </c>
      <c r="S22" s="107">
        <f t="shared" si="5"/>
        <v>45823</v>
      </c>
      <c r="T22" s="108">
        <f>+T8+14</f>
        <v>45823</v>
      </c>
      <c r="U22" s="109" t="str">
        <f>Juin!AM34</f>
        <v/>
      </c>
      <c r="V22" s="107">
        <f t="shared" si="6"/>
        <v>45853</v>
      </c>
      <c r="W22" s="108">
        <f>+W8+14</f>
        <v>45853</v>
      </c>
      <c r="X22" s="109" t="str">
        <f>Juillet!AM34</f>
        <v/>
      </c>
      <c r="Y22" s="107">
        <f t="shared" si="7"/>
        <v>45884</v>
      </c>
      <c r="Z22" s="108">
        <f>+Z8+14</f>
        <v>45884</v>
      </c>
      <c r="AA22" s="109" t="str">
        <f>Aout!AM34</f>
        <v/>
      </c>
      <c r="AB22" s="107">
        <f t="shared" si="8"/>
        <v>45915</v>
      </c>
      <c r="AC22" s="108">
        <f>+AC8+14</f>
        <v>45915</v>
      </c>
      <c r="AD22" s="109" t="str">
        <f>Septembre!AM34</f>
        <v/>
      </c>
      <c r="AE22" s="107">
        <f t="shared" si="9"/>
        <v>45945</v>
      </c>
      <c r="AF22" s="108">
        <f>+AF8+14</f>
        <v>45945</v>
      </c>
      <c r="AG22" s="109" t="str">
        <f>Octobre!AM34</f>
        <v/>
      </c>
      <c r="AH22" s="107">
        <f t="shared" si="10"/>
        <v>45976</v>
      </c>
      <c r="AI22" s="108">
        <f>+AI8+14</f>
        <v>45976</v>
      </c>
      <c r="AJ22" s="109" t="str">
        <f>Novembre!AM34</f>
        <v/>
      </c>
      <c r="AK22" s="107">
        <f t="shared" si="11"/>
        <v>46006</v>
      </c>
      <c r="AL22" s="108">
        <f>+AL8+14</f>
        <v>46006</v>
      </c>
      <c r="AM22" s="109" t="str">
        <f>Décembre!AM34</f>
        <v/>
      </c>
    </row>
    <row r="23" spans="4:39" x14ac:dyDescent="0.2">
      <c r="D23" s="107">
        <f t="shared" si="0"/>
        <v>45673</v>
      </c>
      <c r="E23" s="108">
        <f>+$J$5+15</f>
        <v>45673</v>
      </c>
      <c r="F23" s="109" t="str">
        <f>Janvier!AM35</f>
        <v/>
      </c>
      <c r="G23" s="107">
        <f t="shared" si="1"/>
        <v>45704</v>
      </c>
      <c r="H23" s="108">
        <f>+H8+15</f>
        <v>45704</v>
      </c>
      <c r="I23" s="109" t="str">
        <f>Février!AM35</f>
        <v/>
      </c>
      <c r="J23" s="107">
        <f t="shared" si="2"/>
        <v>45732</v>
      </c>
      <c r="K23" s="108">
        <f>+K8+15</f>
        <v>45732</v>
      </c>
      <c r="L23" s="109" t="str">
        <f>Mars!AM35</f>
        <v/>
      </c>
      <c r="M23" s="107">
        <f t="shared" si="3"/>
        <v>45763</v>
      </c>
      <c r="N23" s="108">
        <f>+N8+15</f>
        <v>45763</v>
      </c>
      <c r="O23" s="109" t="str">
        <f>Avril!AM35</f>
        <v/>
      </c>
      <c r="P23" s="107">
        <f t="shared" si="4"/>
        <v>45793</v>
      </c>
      <c r="Q23" s="108">
        <f>+Q8+15</f>
        <v>45793</v>
      </c>
      <c r="R23" s="109" t="str">
        <f>Mai!AM35</f>
        <v/>
      </c>
      <c r="S23" s="107">
        <f t="shared" si="5"/>
        <v>45824</v>
      </c>
      <c r="T23" s="108">
        <f>+T8+15</f>
        <v>45824</v>
      </c>
      <c r="U23" s="109" t="str">
        <f>Juin!AM35</f>
        <v/>
      </c>
      <c r="V23" s="107">
        <f t="shared" si="6"/>
        <v>45854</v>
      </c>
      <c r="W23" s="108">
        <f>+W8+15</f>
        <v>45854</v>
      </c>
      <c r="X23" s="109" t="str">
        <f>Juillet!AM35</f>
        <v/>
      </c>
      <c r="Y23" s="107">
        <f t="shared" si="7"/>
        <v>45885</v>
      </c>
      <c r="Z23" s="108">
        <f>+Z8+15</f>
        <v>45885</v>
      </c>
      <c r="AA23" s="109" t="str">
        <f>Aout!AM35</f>
        <v/>
      </c>
      <c r="AB23" s="107">
        <f t="shared" si="8"/>
        <v>45916</v>
      </c>
      <c r="AC23" s="108">
        <f>+AC8+15</f>
        <v>45916</v>
      </c>
      <c r="AD23" s="109" t="str">
        <f>Septembre!AM35</f>
        <v/>
      </c>
      <c r="AE23" s="107">
        <f t="shared" si="9"/>
        <v>45946</v>
      </c>
      <c r="AF23" s="108">
        <f>+AF8+15</f>
        <v>45946</v>
      </c>
      <c r="AG23" s="109" t="str">
        <f>Octobre!AM35</f>
        <v/>
      </c>
      <c r="AH23" s="107">
        <f t="shared" si="10"/>
        <v>45977</v>
      </c>
      <c r="AI23" s="108">
        <f>+AI8+15</f>
        <v>45977</v>
      </c>
      <c r="AJ23" s="109" t="str">
        <f>Novembre!AM35</f>
        <v/>
      </c>
      <c r="AK23" s="107">
        <f t="shared" si="11"/>
        <v>46007</v>
      </c>
      <c r="AL23" s="108">
        <f>+AL8+15</f>
        <v>46007</v>
      </c>
      <c r="AM23" s="109" t="str">
        <f>Décembre!AM35</f>
        <v/>
      </c>
    </row>
    <row r="24" spans="4:39" x14ac:dyDescent="0.2">
      <c r="D24" s="107">
        <f t="shared" si="0"/>
        <v>45674</v>
      </c>
      <c r="E24" s="108">
        <f>+$J$5+16</f>
        <v>45674</v>
      </c>
      <c r="F24" s="109" t="str">
        <f>Janvier!AM36</f>
        <v/>
      </c>
      <c r="G24" s="107">
        <f t="shared" si="1"/>
        <v>45705</v>
      </c>
      <c r="H24" s="108">
        <f>+H8+16</f>
        <v>45705</v>
      </c>
      <c r="I24" s="109" t="str">
        <f>Février!AM36</f>
        <v/>
      </c>
      <c r="J24" s="107">
        <f t="shared" si="2"/>
        <v>45733</v>
      </c>
      <c r="K24" s="108">
        <f>+K8+16</f>
        <v>45733</v>
      </c>
      <c r="L24" s="109" t="str">
        <f>Mars!AM36</f>
        <v/>
      </c>
      <c r="M24" s="107">
        <f t="shared" si="3"/>
        <v>45764</v>
      </c>
      <c r="N24" s="108">
        <f>+N8+16</f>
        <v>45764</v>
      </c>
      <c r="O24" s="109" t="str">
        <f>Avril!AM36</f>
        <v/>
      </c>
      <c r="P24" s="107">
        <f t="shared" si="4"/>
        <v>45794</v>
      </c>
      <c r="Q24" s="108">
        <f>+Q8+16</f>
        <v>45794</v>
      </c>
      <c r="R24" s="109" t="str">
        <f>Mai!AM36</f>
        <v/>
      </c>
      <c r="S24" s="107">
        <f t="shared" si="5"/>
        <v>45825</v>
      </c>
      <c r="T24" s="108">
        <f>+T8+16</f>
        <v>45825</v>
      </c>
      <c r="U24" s="109" t="str">
        <f>Juin!AM36</f>
        <v/>
      </c>
      <c r="V24" s="107">
        <f t="shared" si="6"/>
        <v>45855</v>
      </c>
      <c r="W24" s="108">
        <f>+W8+16</f>
        <v>45855</v>
      </c>
      <c r="X24" s="109" t="str">
        <f>Juillet!AM36</f>
        <v/>
      </c>
      <c r="Y24" s="107">
        <f t="shared" si="7"/>
        <v>45886</v>
      </c>
      <c r="Z24" s="108">
        <f>+Z8+16</f>
        <v>45886</v>
      </c>
      <c r="AA24" s="109" t="str">
        <f>Aout!AM36</f>
        <v/>
      </c>
      <c r="AB24" s="107">
        <f t="shared" si="8"/>
        <v>45917</v>
      </c>
      <c r="AC24" s="108">
        <f>+AC8+16</f>
        <v>45917</v>
      </c>
      <c r="AD24" s="109" t="str">
        <f>Septembre!AM36</f>
        <v/>
      </c>
      <c r="AE24" s="107">
        <f t="shared" si="9"/>
        <v>45947</v>
      </c>
      <c r="AF24" s="108">
        <f>+AF8+16</f>
        <v>45947</v>
      </c>
      <c r="AG24" s="109" t="str">
        <f>Octobre!AM36</f>
        <v/>
      </c>
      <c r="AH24" s="107">
        <f t="shared" si="10"/>
        <v>45978</v>
      </c>
      <c r="AI24" s="108">
        <f>+AI8+16</f>
        <v>45978</v>
      </c>
      <c r="AJ24" s="109" t="str">
        <f>Novembre!AM36</f>
        <v/>
      </c>
      <c r="AK24" s="107">
        <f t="shared" si="11"/>
        <v>46008</v>
      </c>
      <c r="AL24" s="108">
        <f>+AL8+16</f>
        <v>46008</v>
      </c>
      <c r="AM24" s="109" t="str">
        <f>Décembre!AM36</f>
        <v/>
      </c>
    </row>
    <row r="25" spans="4:39" x14ac:dyDescent="0.2">
      <c r="D25" s="107">
        <f t="shared" si="0"/>
        <v>45675</v>
      </c>
      <c r="E25" s="108">
        <f>+$J$5+17</f>
        <v>45675</v>
      </c>
      <c r="F25" s="109" t="str">
        <f>Janvier!AM37</f>
        <v/>
      </c>
      <c r="G25" s="107">
        <f t="shared" si="1"/>
        <v>45706</v>
      </c>
      <c r="H25" s="108">
        <f>+H8+17</f>
        <v>45706</v>
      </c>
      <c r="I25" s="109" t="str">
        <f>Février!AM37</f>
        <v/>
      </c>
      <c r="J25" s="107">
        <f t="shared" si="2"/>
        <v>45734</v>
      </c>
      <c r="K25" s="108">
        <f>+K8+17</f>
        <v>45734</v>
      </c>
      <c r="L25" s="109" t="str">
        <f>Mars!AM37</f>
        <v/>
      </c>
      <c r="M25" s="107">
        <f t="shared" si="3"/>
        <v>45765</v>
      </c>
      <c r="N25" s="108">
        <f>+N8+17</f>
        <v>45765</v>
      </c>
      <c r="O25" s="109" t="str">
        <f>Avril!AM37</f>
        <v/>
      </c>
      <c r="P25" s="107">
        <f t="shared" si="4"/>
        <v>45795</v>
      </c>
      <c r="Q25" s="108">
        <f>+Q8+17</f>
        <v>45795</v>
      </c>
      <c r="R25" s="109" t="str">
        <f>Mai!AM37</f>
        <v/>
      </c>
      <c r="S25" s="107">
        <f t="shared" si="5"/>
        <v>45826</v>
      </c>
      <c r="T25" s="108">
        <f>+T8+17</f>
        <v>45826</v>
      </c>
      <c r="U25" s="109" t="str">
        <f>Juin!AM37</f>
        <v/>
      </c>
      <c r="V25" s="107">
        <f t="shared" si="6"/>
        <v>45856</v>
      </c>
      <c r="W25" s="108">
        <f>+W8+17</f>
        <v>45856</v>
      </c>
      <c r="X25" s="109" t="str">
        <f>Juillet!AM37</f>
        <v/>
      </c>
      <c r="Y25" s="107">
        <f t="shared" si="7"/>
        <v>45887</v>
      </c>
      <c r="Z25" s="108">
        <f>+Z8+17</f>
        <v>45887</v>
      </c>
      <c r="AA25" s="109" t="str">
        <f>Aout!AM37</f>
        <v/>
      </c>
      <c r="AB25" s="107">
        <f t="shared" si="8"/>
        <v>45918</v>
      </c>
      <c r="AC25" s="108">
        <f>+AC8+17</f>
        <v>45918</v>
      </c>
      <c r="AD25" s="109" t="str">
        <f>Septembre!AM37</f>
        <v/>
      </c>
      <c r="AE25" s="107">
        <f t="shared" si="9"/>
        <v>45948</v>
      </c>
      <c r="AF25" s="108">
        <f>+AF8+17</f>
        <v>45948</v>
      </c>
      <c r="AG25" s="109" t="str">
        <f>Octobre!AM37</f>
        <v/>
      </c>
      <c r="AH25" s="107">
        <f t="shared" si="10"/>
        <v>45979</v>
      </c>
      <c r="AI25" s="108">
        <f>+AI8+17</f>
        <v>45979</v>
      </c>
      <c r="AJ25" s="109" t="str">
        <f>Novembre!AM37</f>
        <v/>
      </c>
      <c r="AK25" s="107">
        <f t="shared" si="11"/>
        <v>46009</v>
      </c>
      <c r="AL25" s="108">
        <f>+AL8+17</f>
        <v>46009</v>
      </c>
      <c r="AM25" s="109" t="str">
        <f>Décembre!AM37</f>
        <v/>
      </c>
    </row>
    <row r="26" spans="4:39" x14ac:dyDescent="0.2">
      <c r="D26" s="107">
        <f t="shared" si="0"/>
        <v>45676</v>
      </c>
      <c r="E26" s="108">
        <f>+$J$5+18</f>
        <v>45676</v>
      </c>
      <c r="F26" s="109" t="str">
        <f>Janvier!AM38</f>
        <v/>
      </c>
      <c r="G26" s="107">
        <f t="shared" si="1"/>
        <v>45707</v>
      </c>
      <c r="H26" s="108">
        <f>+H8+18</f>
        <v>45707</v>
      </c>
      <c r="I26" s="109" t="str">
        <f>Février!AM38</f>
        <v/>
      </c>
      <c r="J26" s="107">
        <f t="shared" si="2"/>
        <v>45735</v>
      </c>
      <c r="K26" s="108">
        <f>+K8+18</f>
        <v>45735</v>
      </c>
      <c r="L26" s="109" t="str">
        <f>Mars!AM38</f>
        <v/>
      </c>
      <c r="M26" s="107">
        <f t="shared" si="3"/>
        <v>45766</v>
      </c>
      <c r="N26" s="108">
        <f>+N8+18</f>
        <v>45766</v>
      </c>
      <c r="O26" s="109" t="str">
        <f>Avril!AM38</f>
        <v/>
      </c>
      <c r="P26" s="107">
        <f t="shared" si="4"/>
        <v>45796</v>
      </c>
      <c r="Q26" s="108">
        <f>+Q8+18</f>
        <v>45796</v>
      </c>
      <c r="R26" s="109" t="str">
        <f>Mai!AM38</f>
        <v/>
      </c>
      <c r="S26" s="107">
        <f t="shared" si="5"/>
        <v>45827</v>
      </c>
      <c r="T26" s="108">
        <f>+T8+18</f>
        <v>45827</v>
      </c>
      <c r="U26" s="109" t="str">
        <f>Juin!AM38</f>
        <v/>
      </c>
      <c r="V26" s="107">
        <f t="shared" si="6"/>
        <v>45857</v>
      </c>
      <c r="W26" s="108">
        <f>+W8+18</f>
        <v>45857</v>
      </c>
      <c r="X26" s="109" t="str">
        <f>Juillet!AM38</f>
        <v/>
      </c>
      <c r="Y26" s="107">
        <f t="shared" si="7"/>
        <v>45888</v>
      </c>
      <c r="Z26" s="108">
        <f>+Z8+18</f>
        <v>45888</v>
      </c>
      <c r="AA26" s="109" t="str">
        <f>Aout!AM38</f>
        <v/>
      </c>
      <c r="AB26" s="107">
        <f t="shared" si="8"/>
        <v>45919</v>
      </c>
      <c r="AC26" s="108">
        <f>+AC8+18</f>
        <v>45919</v>
      </c>
      <c r="AD26" s="109" t="str">
        <f>Septembre!AM38</f>
        <v/>
      </c>
      <c r="AE26" s="107">
        <f t="shared" si="9"/>
        <v>45949</v>
      </c>
      <c r="AF26" s="108">
        <f>+AF8+18</f>
        <v>45949</v>
      </c>
      <c r="AG26" s="109" t="str">
        <f>Octobre!AM38</f>
        <v/>
      </c>
      <c r="AH26" s="107">
        <f t="shared" si="10"/>
        <v>45980</v>
      </c>
      <c r="AI26" s="108">
        <f>+AI8+18</f>
        <v>45980</v>
      </c>
      <c r="AJ26" s="109" t="str">
        <f>Novembre!AM38</f>
        <v/>
      </c>
      <c r="AK26" s="107">
        <f t="shared" si="11"/>
        <v>46010</v>
      </c>
      <c r="AL26" s="108">
        <f>+AL8+18</f>
        <v>46010</v>
      </c>
      <c r="AM26" s="109" t="str">
        <f>Décembre!AM38</f>
        <v/>
      </c>
    </row>
    <row r="27" spans="4:39" x14ac:dyDescent="0.2">
      <c r="D27" s="107">
        <f t="shared" si="0"/>
        <v>45677</v>
      </c>
      <c r="E27" s="108">
        <f>+$J$5+19</f>
        <v>45677</v>
      </c>
      <c r="F27" s="109" t="str">
        <f>Janvier!AM39</f>
        <v/>
      </c>
      <c r="G27" s="107">
        <f t="shared" si="1"/>
        <v>45708</v>
      </c>
      <c r="H27" s="108">
        <f>+H8+19</f>
        <v>45708</v>
      </c>
      <c r="I27" s="109" t="str">
        <f>Février!AM39</f>
        <v/>
      </c>
      <c r="J27" s="107">
        <f t="shared" si="2"/>
        <v>45736</v>
      </c>
      <c r="K27" s="108">
        <f>+K8+19</f>
        <v>45736</v>
      </c>
      <c r="L27" s="109" t="str">
        <f>Mars!AM39</f>
        <v/>
      </c>
      <c r="M27" s="107">
        <f t="shared" si="3"/>
        <v>45767</v>
      </c>
      <c r="N27" s="108">
        <f>+N8+19</f>
        <v>45767</v>
      </c>
      <c r="O27" s="109" t="str">
        <f>Avril!AM39</f>
        <v/>
      </c>
      <c r="P27" s="107">
        <f t="shared" si="4"/>
        <v>45797</v>
      </c>
      <c r="Q27" s="108">
        <f>+Q8+19</f>
        <v>45797</v>
      </c>
      <c r="R27" s="109" t="str">
        <f>Mai!AM39</f>
        <v/>
      </c>
      <c r="S27" s="107">
        <f t="shared" si="5"/>
        <v>45828</v>
      </c>
      <c r="T27" s="108">
        <f>+T8+19</f>
        <v>45828</v>
      </c>
      <c r="U27" s="109" t="str">
        <f>Juin!AM39</f>
        <v/>
      </c>
      <c r="V27" s="107">
        <f t="shared" si="6"/>
        <v>45858</v>
      </c>
      <c r="W27" s="108">
        <f>+W8+19</f>
        <v>45858</v>
      </c>
      <c r="X27" s="109" t="str">
        <f>Juillet!AM39</f>
        <v/>
      </c>
      <c r="Y27" s="107">
        <f t="shared" si="7"/>
        <v>45889</v>
      </c>
      <c r="Z27" s="108">
        <f>+Z8+19</f>
        <v>45889</v>
      </c>
      <c r="AA27" s="109" t="str">
        <f>Aout!AM39</f>
        <v/>
      </c>
      <c r="AB27" s="107">
        <f t="shared" si="8"/>
        <v>45920</v>
      </c>
      <c r="AC27" s="108">
        <f>+AC8+19</f>
        <v>45920</v>
      </c>
      <c r="AD27" s="109" t="str">
        <f>Septembre!AM39</f>
        <v/>
      </c>
      <c r="AE27" s="107">
        <f t="shared" si="9"/>
        <v>45950</v>
      </c>
      <c r="AF27" s="108">
        <f>+AF8+19</f>
        <v>45950</v>
      </c>
      <c r="AG27" s="109" t="str">
        <f>Octobre!AM39</f>
        <v/>
      </c>
      <c r="AH27" s="107">
        <f t="shared" si="10"/>
        <v>45981</v>
      </c>
      <c r="AI27" s="108">
        <f>+AI8+19</f>
        <v>45981</v>
      </c>
      <c r="AJ27" s="109" t="str">
        <f>Novembre!AM39</f>
        <v/>
      </c>
      <c r="AK27" s="107">
        <f t="shared" si="11"/>
        <v>46011</v>
      </c>
      <c r="AL27" s="108">
        <f>+AL8+19</f>
        <v>46011</v>
      </c>
      <c r="AM27" s="109" t="str">
        <f>Décembre!AM39</f>
        <v/>
      </c>
    </row>
    <row r="28" spans="4:39" x14ac:dyDescent="0.2">
      <c r="D28" s="107">
        <f t="shared" si="0"/>
        <v>45678</v>
      </c>
      <c r="E28" s="108">
        <f>+$J$5+20</f>
        <v>45678</v>
      </c>
      <c r="F28" s="109" t="str">
        <f>Janvier!AM40</f>
        <v/>
      </c>
      <c r="G28" s="107">
        <f t="shared" si="1"/>
        <v>45709</v>
      </c>
      <c r="H28" s="108">
        <f>+H8+20</f>
        <v>45709</v>
      </c>
      <c r="I28" s="109" t="str">
        <f>Février!AM40</f>
        <v/>
      </c>
      <c r="J28" s="107">
        <f t="shared" si="2"/>
        <v>45737</v>
      </c>
      <c r="K28" s="108">
        <f>+K8+20</f>
        <v>45737</v>
      </c>
      <c r="L28" s="109" t="str">
        <f>Mars!AM40</f>
        <v/>
      </c>
      <c r="M28" s="107">
        <f t="shared" si="3"/>
        <v>45768</v>
      </c>
      <c r="N28" s="108">
        <f>+N8+20</f>
        <v>45768</v>
      </c>
      <c r="O28" s="109" t="str">
        <f>Avril!AM40</f>
        <v/>
      </c>
      <c r="P28" s="107">
        <f t="shared" si="4"/>
        <v>45798</v>
      </c>
      <c r="Q28" s="108">
        <f>+Q8+20</f>
        <v>45798</v>
      </c>
      <c r="R28" s="109" t="str">
        <f>Mai!AM40</f>
        <v/>
      </c>
      <c r="S28" s="107">
        <f t="shared" si="5"/>
        <v>45829</v>
      </c>
      <c r="T28" s="108">
        <f>+T8+20</f>
        <v>45829</v>
      </c>
      <c r="U28" s="109" t="str">
        <f>Juin!AM40</f>
        <v/>
      </c>
      <c r="V28" s="107">
        <f t="shared" si="6"/>
        <v>45859</v>
      </c>
      <c r="W28" s="108">
        <f>+W8+20</f>
        <v>45859</v>
      </c>
      <c r="X28" s="109" t="str">
        <f>Juillet!AM40</f>
        <v/>
      </c>
      <c r="Y28" s="107">
        <f t="shared" si="7"/>
        <v>45890</v>
      </c>
      <c r="Z28" s="108">
        <f>+Z8+20</f>
        <v>45890</v>
      </c>
      <c r="AA28" s="109" t="str">
        <f>Aout!AM40</f>
        <v/>
      </c>
      <c r="AB28" s="107">
        <f t="shared" si="8"/>
        <v>45921</v>
      </c>
      <c r="AC28" s="108">
        <f>+AC8+20</f>
        <v>45921</v>
      </c>
      <c r="AD28" s="109" t="str">
        <f>Septembre!AM40</f>
        <v/>
      </c>
      <c r="AE28" s="107">
        <f t="shared" si="9"/>
        <v>45951</v>
      </c>
      <c r="AF28" s="108">
        <f>+AF8+20</f>
        <v>45951</v>
      </c>
      <c r="AG28" s="109" t="str">
        <f>Octobre!AM40</f>
        <v/>
      </c>
      <c r="AH28" s="107">
        <f t="shared" si="10"/>
        <v>45982</v>
      </c>
      <c r="AI28" s="108">
        <f>+AI8+20</f>
        <v>45982</v>
      </c>
      <c r="AJ28" s="109" t="str">
        <f>Novembre!AM40</f>
        <v/>
      </c>
      <c r="AK28" s="107">
        <f t="shared" si="11"/>
        <v>46012</v>
      </c>
      <c r="AL28" s="108">
        <f>+AL8+20</f>
        <v>46012</v>
      </c>
      <c r="AM28" s="109" t="str">
        <f>Décembre!AM40</f>
        <v/>
      </c>
    </row>
    <row r="29" spans="4:39" x14ac:dyDescent="0.2">
      <c r="D29" s="107">
        <f t="shared" si="0"/>
        <v>45679</v>
      </c>
      <c r="E29" s="108">
        <f>+$J$5+21</f>
        <v>45679</v>
      </c>
      <c r="F29" s="109" t="str">
        <f>Janvier!AM41</f>
        <v/>
      </c>
      <c r="G29" s="107">
        <f t="shared" si="1"/>
        <v>45710</v>
      </c>
      <c r="H29" s="108">
        <f>+H8+21</f>
        <v>45710</v>
      </c>
      <c r="I29" s="109" t="str">
        <f>Février!AM41</f>
        <v/>
      </c>
      <c r="J29" s="107">
        <f t="shared" si="2"/>
        <v>45738</v>
      </c>
      <c r="K29" s="108">
        <f>+K8+21</f>
        <v>45738</v>
      </c>
      <c r="L29" s="109" t="str">
        <f>Mars!AM41</f>
        <v/>
      </c>
      <c r="M29" s="107">
        <f t="shared" si="3"/>
        <v>45769</v>
      </c>
      <c r="N29" s="108">
        <f>+N8+21</f>
        <v>45769</v>
      </c>
      <c r="O29" s="109" t="str">
        <f>Avril!AM41</f>
        <v/>
      </c>
      <c r="P29" s="107">
        <f t="shared" si="4"/>
        <v>45799</v>
      </c>
      <c r="Q29" s="108">
        <f>+Q8+21</f>
        <v>45799</v>
      </c>
      <c r="R29" s="109" t="str">
        <f>Mai!AM41</f>
        <v/>
      </c>
      <c r="S29" s="107">
        <f t="shared" si="5"/>
        <v>45830</v>
      </c>
      <c r="T29" s="108">
        <f>+T8+21</f>
        <v>45830</v>
      </c>
      <c r="U29" s="109" t="str">
        <f>Juin!AM41</f>
        <v/>
      </c>
      <c r="V29" s="107">
        <f t="shared" si="6"/>
        <v>45860</v>
      </c>
      <c r="W29" s="108">
        <f>+W8+21</f>
        <v>45860</v>
      </c>
      <c r="X29" s="109" t="str">
        <f>Juillet!AM41</f>
        <v/>
      </c>
      <c r="Y29" s="107">
        <f t="shared" si="7"/>
        <v>45891</v>
      </c>
      <c r="Z29" s="108">
        <f>+Z8+21</f>
        <v>45891</v>
      </c>
      <c r="AA29" s="109" t="str">
        <f>Aout!AM41</f>
        <v/>
      </c>
      <c r="AB29" s="107">
        <f t="shared" si="8"/>
        <v>45922</v>
      </c>
      <c r="AC29" s="108">
        <f>+AC8+21</f>
        <v>45922</v>
      </c>
      <c r="AD29" s="109" t="str">
        <f>Septembre!AM41</f>
        <v/>
      </c>
      <c r="AE29" s="107">
        <f t="shared" si="9"/>
        <v>45952</v>
      </c>
      <c r="AF29" s="108">
        <f>+AF8+21</f>
        <v>45952</v>
      </c>
      <c r="AG29" s="109" t="str">
        <f>Octobre!AM41</f>
        <v/>
      </c>
      <c r="AH29" s="107">
        <f t="shared" si="10"/>
        <v>45983</v>
      </c>
      <c r="AI29" s="108">
        <f>+AI8+21</f>
        <v>45983</v>
      </c>
      <c r="AJ29" s="109" t="str">
        <f>Novembre!AM41</f>
        <v/>
      </c>
      <c r="AK29" s="107">
        <f t="shared" si="11"/>
        <v>46013</v>
      </c>
      <c r="AL29" s="108">
        <f>+AL8+21</f>
        <v>46013</v>
      </c>
      <c r="AM29" s="109" t="str">
        <f>Décembre!AM41</f>
        <v/>
      </c>
    </row>
    <row r="30" spans="4:39" x14ac:dyDescent="0.2">
      <c r="D30" s="107">
        <f t="shared" si="0"/>
        <v>45680</v>
      </c>
      <c r="E30" s="108">
        <f>+$J$5+22</f>
        <v>45680</v>
      </c>
      <c r="F30" s="109" t="str">
        <f>Janvier!AM42</f>
        <v/>
      </c>
      <c r="G30" s="107">
        <f t="shared" si="1"/>
        <v>45711</v>
      </c>
      <c r="H30" s="108">
        <f>+H8+22</f>
        <v>45711</v>
      </c>
      <c r="I30" s="109" t="str">
        <f>Février!AM42</f>
        <v/>
      </c>
      <c r="J30" s="107">
        <f t="shared" si="2"/>
        <v>45739</v>
      </c>
      <c r="K30" s="108">
        <f>+K8+22</f>
        <v>45739</v>
      </c>
      <c r="L30" s="109" t="str">
        <f>Mars!AM42</f>
        <v/>
      </c>
      <c r="M30" s="107">
        <f t="shared" si="3"/>
        <v>45770</v>
      </c>
      <c r="N30" s="108">
        <f>+N8+22</f>
        <v>45770</v>
      </c>
      <c r="O30" s="109" t="str">
        <f>Avril!AM42</f>
        <v/>
      </c>
      <c r="P30" s="107">
        <f t="shared" si="4"/>
        <v>45800</v>
      </c>
      <c r="Q30" s="108">
        <f>+Q8+22</f>
        <v>45800</v>
      </c>
      <c r="R30" s="109" t="str">
        <f>Mai!AM42</f>
        <v/>
      </c>
      <c r="S30" s="107">
        <f t="shared" si="5"/>
        <v>45831</v>
      </c>
      <c r="T30" s="108">
        <f>+T8+22</f>
        <v>45831</v>
      </c>
      <c r="U30" s="109" t="str">
        <f>Juin!AM42</f>
        <v/>
      </c>
      <c r="V30" s="107">
        <f t="shared" si="6"/>
        <v>45861</v>
      </c>
      <c r="W30" s="108">
        <f>+W8+22</f>
        <v>45861</v>
      </c>
      <c r="X30" s="109" t="str">
        <f>Juillet!AM42</f>
        <v/>
      </c>
      <c r="Y30" s="107">
        <f t="shared" si="7"/>
        <v>45892</v>
      </c>
      <c r="Z30" s="108">
        <f>+Z8+22</f>
        <v>45892</v>
      </c>
      <c r="AA30" s="109" t="str">
        <f>Aout!AM42</f>
        <v/>
      </c>
      <c r="AB30" s="107">
        <f t="shared" si="8"/>
        <v>45923</v>
      </c>
      <c r="AC30" s="108">
        <f>+AC8+22</f>
        <v>45923</v>
      </c>
      <c r="AD30" s="109" t="str">
        <f>Septembre!AM42</f>
        <v/>
      </c>
      <c r="AE30" s="107">
        <f t="shared" si="9"/>
        <v>45953</v>
      </c>
      <c r="AF30" s="108">
        <f>+AF8+22</f>
        <v>45953</v>
      </c>
      <c r="AG30" s="109" t="str">
        <f>Octobre!AM42</f>
        <v/>
      </c>
      <c r="AH30" s="107">
        <f t="shared" si="10"/>
        <v>45984</v>
      </c>
      <c r="AI30" s="108">
        <f>+AI8+22</f>
        <v>45984</v>
      </c>
      <c r="AJ30" s="109" t="str">
        <f>Novembre!AM42</f>
        <v/>
      </c>
      <c r="AK30" s="107">
        <f t="shared" si="11"/>
        <v>46014</v>
      </c>
      <c r="AL30" s="108">
        <f>+AL8+22</f>
        <v>46014</v>
      </c>
      <c r="AM30" s="109" t="str">
        <f>Décembre!AM42</f>
        <v/>
      </c>
    </row>
    <row r="31" spans="4:39" x14ac:dyDescent="0.2">
      <c r="D31" s="107">
        <f t="shared" si="0"/>
        <v>45681</v>
      </c>
      <c r="E31" s="108">
        <f>+$J$5+23</f>
        <v>45681</v>
      </c>
      <c r="F31" s="109" t="str">
        <f>Janvier!AM43</f>
        <v/>
      </c>
      <c r="G31" s="107">
        <f t="shared" si="1"/>
        <v>45712</v>
      </c>
      <c r="H31" s="108">
        <f>+H8+23</f>
        <v>45712</v>
      </c>
      <c r="I31" s="109" t="str">
        <f>Février!AM43</f>
        <v/>
      </c>
      <c r="J31" s="107">
        <f t="shared" si="2"/>
        <v>45740</v>
      </c>
      <c r="K31" s="108">
        <f>+K8+23</f>
        <v>45740</v>
      </c>
      <c r="L31" s="109" t="str">
        <f>Mars!AM43</f>
        <v/>
      </c>
      <c r="M31" s="107">
        <f t="shared" si="3"/>
        <v>45771</v>
      </c>
      <c r="N31" s="108">
        <f>+N8+23</f>
        <v>45771</v>
      </c>
      <c r="O31" s="109" t="str">
        <f>Avril!AM43</f>
        <v/>
      </c>
      <c r="P31" s="107">
        <f t="shared" si="4"/>
        <v>45801</v>
      </c>
      <c r="Q31" s="108">
        <f>+Q8+23</f>
        <v>45801</v>
      </c>
      <c r="R31" s="109" t="str">
        <f>Mai!AM43</f>
        <v/>
      </c>
      <c r="S31" s="107">
        <f t="shared" si="5"/>
        <v>45832</v>
      </c>
      <c r="T31" s="108">
        <f>+T8+23</f>
        <v>45832</v>
      </c>
      <c r="U31" s="109" t="str">
        <f>Juin!AM43</f>
        <v/>
      </c>
      <c r="V31" s="107">
        <f t="shared" si="6"/>
        <v>45862</v>
      </c>
      <c r="W31" s="108">
        <f>+W8+23</f>
        <v>45862</v>
      </c>
      <c r="X31" s="109" t="str">
        <f>Juillet!AM43</f>
        <v/>
      </c>
      <c r="Y31" s="107">
        <f t="shared" si="7"/>
        <v>45893</v>
      </c>
      <c r="Z31" s="108">
        <f>+Z8+23</f>
        <v>45893</v>
      </c>
      <c r="AA31" s="109" t="str">
        <f>Aout!AM43</f>
        <v/>
      </c>
      <c r="AB31" s="107">
        <f t="shared" si="8"/>
        <v>45924</v>
      </c>
      <c r="AC31" s="108">
        <f>+AC8+23</f>
        <v>45924</v>
      </c>
      <c r="AD31" s="109" t="str">
        <f>Septembre!AM43</f>
        <v/>
      </c>
      <c r="AE31" s="107">
        <f t="shared" si="9"/>
        <v>45954</v>
      </c>
      <c r="AF31" s="108">
        <f>+AF8+23</f>
        <v>45954</v>
      </c>
      <c r="AG31" s="109" t="str">
        <f>Octobre!AM43</f>
        <v/>
      </c>
      <c r="AH31" s="107">
        <f t="shared" si="10"/>
        <v>45985</v>
      </c>
      <c r="AI31" s="108">
        <f>+AI8+23</f>
        <v>45985</v>
      </c>
      <c r="AJ31" s="109" t="str">
        <f>Novembre!AM43</f>
        <v/>
      </c>
      <c r="AK31" s="107">
        <f t="shared" si="11"/>
        <v>46015</v>
      </c>
      <c r="AL31" s="108">
        <f>+AL8+23</f>
        <v>46015</v>
      </c>
      <c r="AM31" s="109" t="str">
        <f>Décembre!AM43</f>
        <v/>
      </c>
    </row>
    <row r="32" spans="4:39" x14ac:dyDescent="0.2">
      <c r="D32" s="107">
        <f t="shared" si="0"/>
        <v>45682</v>
      </c>
      <c r="E32" s="108">
        <f>+$J$5+24</f>
        <v>45682</v>
      </c>
      <c r="F32" s="109" t="str">
        <f>Janvier!AM44</f>
        <v/>
      </c>
      <c r="G32" s="107">
        <f t="shared" si="1"/>
        <v>45713</v>
      </c>
      <c r="H32" s="108">
        <f>+H8+24</f>
        <v>45713</v>
      </c>
      <c r="I32" s="109" t="str">
        <f>Février!AM44</f>
        <v/>
      </c>
      <c r="J32" s="107">
        <f t="shared" si="2"/>
        <v>45741</v>
      </c>
      <c r="K32" s="108">
        <f>+K8+24</f>
        <v>45741</v>
      </c>
      <c r="L32" s="109" t="str">
        <f>Mars!AM44</f>
        <v/>
      </c>
      <c r="M32" s="107">
        <f t="shared" si="3"/>
        <v>45772</v>
      </c>
      <c r="N32" s="108">
        <f>+N8+24</f>
        <v>45772</v>
      </c>
      <c r="O32" s="109" t="str">
        <f>Avril!AM44</f>
        <v/>
      </c>
      <c r="P32" s="107">
        <f t="shared" si="4"/>
        <v>45802</v>
      </c>
      <c r="Q32" s="108">
        <f>+Q8+24</f>
        <v>45802</v>
      </c>
      <c r="R32" s="109" t="str">
        <f>Mai!AM44</f>
        <v/>
      </c>
      <c r="S32" s="107">
        <f t="shared" si="5"/>
        <v>45833</v>
      </c>
      <c r="T32" s="108">
        <f>+T8+24</f>
        <v>45833</v>
      </c>
      <c r="U32" s="109" t="str">
        <f>Juin!AM44</f>
        <v/>
      </c>
      <c r="V32" s="107">
        <f t="shared" si="6"/>
        <v>45863</v>
      </c>
      <c r="W32" s="108">
        <f>+W8+24</f>
        <v>45863</v>
      </c>
      <c r="X32" s="109" t="str">
        <f>Juillet!AM44</f>
        <v/>
      </c>
      <c r="Y32" s="107">
        <f t="shared" si="7"/>
        <v>45894</v>
      </c>
      <c r="Z32" s="108">
        <f>+Z8+24</f>
        <v>45894</v>
      </c>
      <c r="AA32" s="109" t="str">
        <f>Aout!AM44</f>
        <v/>
      </c>
      <c r="AB32" s="107">
        <f t="shared" si="8"/>
        <v>45925</v>
      </c>
      <c r="AC32" s="108">
        <f>+AC8+24</f>
        <v>45925</v>
      </c>
      <c r="AD32" s="109" t="str">
        <f>Septembre!AM44</f>
        <v/>
      </c>
      <c r="AE32" s="107">
        <f t="shared" si="9"/>
        <v>45955</v>
      </c>
      <c r="AF32" s="108">
        <f>+AF8+24</f>
        <v>45955</v>
      </c>
      <c r="AG32" s="109" t="str">
        <f>Octobre!AM44</f>
        <v/>
      </c>
      <c r="AH32" s="107">
        <f t="shared" si="10"/>
        <v>45986</v>
      </c>
      <c r="AI32" s="108">
        <f>+AI8+24</f>
        <v>45986</v>
      </c>
      <c r="AJ32" s="109" t="str">
        <f>Novembre!AM44</f>
        <v/>
      </c>
      <c r="AK32" s="107">
        <f t="shared" si="11"/>
        <v>46016</v>
      </c>
      <c r="AL32" s="108">
        <f>+AL8+24</f>
        <v>46016</v>
      </c>
      <c r="AM32" s="109" t="str">
        <f>Décembre!AM44</f>
        <v/>
      </c>
    </row>
    <row r="33" spans="1:39" x14ac:dyDescent="0.2">
      <c r="D33" s="107">
        <f t="shared" si="0"/>
        <v>45683</v>
      </c>
      <c r="E33" s="108">
        <f>+$J$5+25</f>
        <v>45683</v>
      </c>
      <c r="F33" s="109" t="str">
        <f>Janvier!AM45</f>
        <v/>
      </c>
      <c r="G33" s="107">
        <f t="shared" si="1"/>
        <v>45714</v>
      </c>
      <c r="H33" s="108">
        <f>+H8+25</f>
        <v>45714</v>
      </c>
      <c r="I33" s="109" t="str">
        <f>Février!AM45</f>
        <v/>
      </c>
      <c r="J33" s="107">
        <f t="shared" si="2"/>
        <v>45742</v>
      </c>
      <c r="K33" s="108">
        <f>+K8+25</f>
        <v>45742</v>
      </c>
      <c r="L33" s="109" t="str">
        <f>Mars!AM45</f>
        <v/>
      </c>
      <c r="M33" s="107">
        <f t="shared" si="3"/>
        <v>45773</v>
      </c>
      <c r="N33" s="108">
        <f>+N8+25</f>
        <v>45773</v>
      </c>
      <c r="O33" s="109" t="str">
        <f>Avril!AM45</f>
        <v/>
      </c>
      <c r="P33" s="107">
        <f t="shared" si="4"/>
        <v>45803</v>
      </c>
      <c r="Q33" s="108">
        <f>+Q8+25</f>
        <v>45803</v>
      </c>
      <c r="R33" s="109" t="str">
        <f>Mai!AM45</f>
        <v/>
      </c>
      <c r="S33" s="107">
        <f t="shared" si="5"/>
        <v>45834</v>
      </c>
      <c r="T33" s="108">
        <f>+T8+25</f>
        <v>45834</v>
      </c>
      <c r="U33" s="109" t="str">
        <f>Juin!AM45</f>
        <v/>
      </c>
      <c r="V33" s="107">
        <f t="shared" si="6"/>
        <v>45864</v>
      </c>
      <c r="W33" s="108">
        <f>+W8+25</f>
        <v>45864</v>
      </c>
      <c r="X33" s="109" t="str">
        <f>Juillet!AM45</f>
        <v/>
      </c>
      <c r="Y33" s="107">
        <f t="shared" si="7"/>
        <v>45895</v>
      </c>
      <c r="Z33" s="108">
        <f>+Z8+25</f>
        <v>45895</v>
      </c>
      <c r="AA33" s="109" t="str">
        <f>Aout!AM45</f>
        <v/>
      </c>
      <c r="AB33" s="107">
        <f t="shared" si="8"/>
        <v>45926</v>
      </c>
      <c r="AC33" s="108">
        <f>+AC8+25</f>
        <v>45926</v>
      </c>
      <c r="AD33" s="109" t="str">
        <f>Septembre!AM45</f>
        <v/>
      </c>
      <c r="AE33" s="107">
        <f t="shared" si="9"/>
        <v>45956</v>
      </c>
      <c r="AF33" s="108">
        <f>+AF8+25</f>
        <v>45956</v>
      </c>
      <c r="AG33" s="109" t="str">
        <f>Octobre!AM45</f>
        <v/>
      </c>
      <c r="AH33" s="107">
        <f t="shared" si="10"/>
        <v>45987</v>
      </c>
      <c r="AI33" s="108">
        <f>+AI8+25</f>
        <v>45987</v>
      </c>
      <c r="AJ33" s="109" t="str">
        <f>Novembre!AM45</f>
        <v/>
      </c>
      <c r="AK33" s="107">
        <f t="shared" si="11"/>
        <v>46017</v>
      </c>
      <c r="AL33" s="108">
        <f>+AL8+25</f>
        <v>46017</v>
      </c>
      <c r="AM33" s="109" t="str">
        <f>Décembre!AM45</f>
        <v/>
      </c>
    </row>
    <row r="34" spans="1:39" x14ac:dyDescent="0.2">
      <c r="D34" s="107">
        <f t="shared" si="0"/>
        <v>45684</v>
      </c>
      <c r="E34" s="108">
        <f>+$J$5+26</f>
        <v>45684</v>
      </c>
      <c r="F34" s="109" t="str">
        <f>Janvier!AM46</f>
        <v/>
      </c>
      <c r="G34" s="107">
        <f t="shared" si="1"/>
        <v>45715</v>
      </c>
      <c r="H34" s="108">
        <f>+H8+26</f>
        <v>45715</v>
      </c>
      <c r="I34" s="109" t="str">
        <f>Février!AM46</f>
        <v/>
      </c>
      <c r="J34" s="107">
        <f t="shared" si="2"/>
        <v>45743</v>
      </c>
      <c r="K34" s="108">
        <f>+K8+26</f>
        <v>45743</v>
      </c>
      <c r="L34" s="109" t="str">
        <f>Mars!AM46</f>
        <v/>
      </c>
      <c r="M34" s="107">
        <f t="shared" si="3"/>
        <v>45774</v>
      </c>
      <c r="N34" s="108">
        <f>+N8+26</f>
        <v>45774</v>
      </c>
      <c r="O34" s="109" t="str">
        <f>Avril!AM46</f>
        <v/>
      </c>
      <c r="P34" s="107">
        <f t="shared" si="4"/>
        <v>45804</v>
      </c>
      <c r="Q34" s="108">
        <f>+Q8+26</f>
        <v>45804</v>
      </c>
      <c r="R34" s="109" t="str">
        <f>Mai!AM46</f>
        <v/>
      </c>
      <c r="S34" s="107">
        <f t="shared" si="5"/>
        <v>45835</v>
      </c>
      <c r="T34" s="108">
        <f>+T8+26</f>
        <v>45835</v>
      </c>
      <c r="U34" s="109" t="str">
        <f>Juin!AM46</f>
        <v/>
      </c>
      <c r="V34" s="107">
        <f t="shared" si="6"/>
        <v>45865</v>
      </c>
      <c r="W34" s="108">
        <f>+W8+26</f>
        <v>45865</v>
      </c>
      <c r="X34" s="109" t="str">
        <f>Juillet!AM46</f>
        <v/>
      </c>
      <c r="Y34" s="107">
        <f t="shared" si="7"/>
        <v>45896</v>
      </c>
      <c r="Z34" s="108">
        <f>+Z8+26</f>
        <v>45896</v>
      </c>
      <c r="AA34" s="109" t="str">
        <f>Aout!AM46</f>
        <v/>
      </c>
      <c r="AB34" s="107">
        <f t="shared" si="8"/>
        <v>45927</v>
      </c>
      <c r="AC34" s="108">
        <f>+AC8+26</f>
        <v>45927</v>
      </c>
      <c r="AD34" s="109" t="str">
        <f>Septembre!AM46</f>
        <v/>
      </c>
      <c r="AE34" s="107">
        <f t="shared" si="9"/>
        <v>45957</v>
      </c>
      <c r="AF34" s="108">
        <f>+AF8+26</f>
        <v>45957</v>
      </c>
      <c r="AG34" s="109" t="str">
        <f>Octobre!AM46</f>
        <v/>
      </c>
      <c r="AH34" s="107">
        <f t="shared" si="10"/>
        <v>45988</v>
      </c>
      <c r="AI34" s="108">
        <f>+AI8+26</f>
        <v>45988</v>
      </c>
      <c r="AJ34" s="109" t="str">
        <f>Novembre!AM46</f>
        <v/>
      </c>
      <c r="AK34" s="107">
        <f t="shared" si="11"/>
        <v>46018</v>
      </c>
      <c r="AL34" s="108">
        <f>+AL8+26</f>
        <v>46018</v>
      </c>
      <c r="AM34" s="109" t="str">
        <f>Décembre!AM46</f>
        <v/>
      </c>
    </row>
    <row r="35" spans="1:39" x14ac:dyDescent="0.2">
      <c r="D35" s="107">
        <f t="shared" si="0"/>
        <v>45685</v>
      </c>
      <c r="E35" s="108">
        <f>IF(E$8+27&lt;DATE(YEAR(H$8),MONTH(H$8),DAY(H$8)),E$8+27,"")</f>
        <v>45685</v>
      </c>
      <c r="F35" s="109" t="str">
        <f>Janvier!AM47</f>
        <v/>
      </c>
      <c r="G35" s="107">
        <f t="shared" si="1"/>
        <v>45716</v>
      </c>
      <c r="H35" s="108">
        <f>IF(H$8+27&lt;DATE(YEAR(K$8),MONTH(K$8),DAY(K$8)),H$8+27,"")</f>
        <v>45716</v>
      </c>
      <c r="I35" s="109" t="str">
        <f>Février!AM47</f>
        <v/>
      </c>
      <c r="J35" s="107">
        <f t="shared" si="2"/>
        <v>45744</v>
      </c>
      <c r="K35" s="108">
        <f>IF(K$8+27&lt;DATE(YEAR(N$8),MONTH(N$8),DAY(N$8)),K$8+27,"")</f>
        <v>45744</v>
      </c>
      <c r="L35" s="109" t="str">
        <f>Mars!AM47</f>
        <v/>
      </c>
      <c r="M35" s="107">
        <f t="shared" si="3"/>
        <v>45775</v>
      </c>
      <c r="N35" s="108">
        <f>IF(N$8+27&lt;DATE(YEAR(Q$8),MONTH(Q$8),DAY(Q$8)),N$8+27,"")</f>
        <v>45775</v>
      </c>
      <c r="O35" s="109" t="str">
        <f>Avril!AM47</f>
        <v/>
      </c>
      <c r="P35" s="107">
        <f t="shared" si="4"/>
        <v>45805</v>
      </c>
      <c r="Q35" s="108">
        <f>IF(Q$8+27&lt;DATE(YEAR(T$8),MONTH(T$8),DAY(T$8)),Q$8+27,"")</f>
        <v>45805</v>
      </c>
      <c r="R35" s="109" t="str">
        <f>Mai!AM47</f>
        <v/>
      </c>
      <c r="S35" s="107">
        <f t="shared" si="5"/>
        <v>45836</v>
      </c>
      <c r="T35" s="108">
        <f>IF(T$8+27&lt;DATE(YEAR(W$8),MONTH(W$8),DAY(W$8)),T$8+27,"")</f>
        <v>45836</v>
      </c>
      <c r="U35" s="109" t="str">
        <f>Juin!AM47</f>
        <v/>
      </c>
      <c r="V35" s="107">
        <f t="shared" si="6"/>
        <v>45866</v>
      </c>
      <c r="W35" s="108">
        <f>IF(W$8+27&lt;DATE(YEAR(Z$8),MONTH(Z$8),DAY(Z$8)),W$8+27,"")</f>
        <v>45866</v>
      </c>
      <c r="X35" s="109" t="str">
        <f>Juillet!AM47</f>
        <v/>
      </c>
      <c r="Y35" s="107">
        <f t="shared" si="7"/>
        <v>45897</v>
      </c>
      <c r="Z35" s="108">
        <f>IF(Z$8+27&lt;DATE(YEAR(AC$8),MONTH(AC$8),DAY(AC$8)),Z$8+27,"")</f>
        <v>45897</v>
      </c>
      <c r="AA35" s="109" t="str">
        <f>Aout!AM47</f>
        <v/>
      </c>
      <c r="AB35" s="107">
        <f t="shared" si="8"/>
        <v>45928</v>
      </c>
      <c r="AC35" s="108">
        <f>IF(AC$8+27&lt;DATE(YEAR(AF$8),MONTH(AF$8),DAY(AF$8)),AC$8+27,"")</f>
        <v>45928</v>
      </c>
      <c r="AD35" s="109" t="str">
        <f>Septembre!AM47</f>
        <v/>
      </c>
      <c r="AE35" s="107">
        <f t="shared" si="9"/>
        <v>45958</v>
      </c>
      <c r="AF35" s="108">
        <f>IF(AF$8+27&lt;DATE(YEAR(AI$8),MONTH(AI$8),DAY(AI$8)),AF$8+27,"")</f>
        <v>45958</v>
      </c>
      <c r="AG35" s="109" t="str">
        <f>Octobre!AM47</f>
        <v/>
      </c>
      <c r="AH35" s="107">
        <f t="shared" si="10"/>
        <v>45989</v>
      </c>
      <c r="AI35" s="108">
        <f>IF(AI$8+27&lt;DATE(YEAR(AL$8),MONTH(AL$8),DAY(AL$8)),AI$8+27,"")</f>
        <v>45989</v>
      </c>
      <c r="AJ35" s="109" t="str">
        <f>Novembre!AM47</f>
        <v/>
      </c>
      <c r="AK35" s="107">
        <f t="shared" si="11"/>
        <v>46019</v>
      </c>
      <c r="AL35" s="108">
        <f>IF(AL$8+27&lt;DATE(YEAR(AO$8),MONTH(AO$8),DAY(AO$8)),AL$8+27,"")</f>
        <v>46019</v>
      </c>
      <c r="AM35" s="109" t="str">
        <f>Décembre!AM47</f>
        <v/>
      </c>
    </row>
    <row r="36" spans="1:39" x14ac:dyDescent="0.2">
      <c r="D36" s="107">
        <f t="shared" si="0"/>
        <v>45686</v>
      </c>
      <c r="E36" s="108">
        <f>IF(E$8+28&lt;DATE(YEAR(H$8),MONTH(H$8),DAY(H$8)),E$8+28,"")</f>
        <v>45686</v>
      </c>
      <c r="F36" s="109" t="str">
        <f>Janvier!AM48</f>
        <v/>
      </c>
      <c r="G36" s="107" t="str">
        <f t="shared" si="1"/>
        <v/>
      </c>
      <c r="H36" s="108" t="str">
        <f>IF(H$8+28&lt;DATE(YEAR(K$8),MONTH(K$8),DAY(K$8)),H$8+28,"")</f>
        <v/>
      </c>
      <c r="I36" s="109" t="str">
        <f>Février!AM48</f>
        <v/>
      </c>
      <c r="J36" s="107">
        <f t="shared" si="2"/>
        <v>45745</v>
      </c>
      <c r="K36" s="108">
        <f>IF(K$8+28&lt;DATE(YEAR(N$8),MONTH(N$8),DAY(N$8)),K$8+28,"")</f>
        <v>45745</v>
      </c>
      <c r="L36" s="109" t="str">
        <f>Mars!AM48</f>
        <v/>
      </c>
      <c r="M36" s="107">
        <f t="shared" si="3"/>
        <v>45776</v>
      </c>
      <c r="N36" s="108">
        <f>IF(N$8+28&lt;DATE(YEAR(Q$8),MONTH(Q$8),DAY(Q$8)),N$8+28,"")</f>
        <v>45776</v>
      </c>
      <c r="O36" s="109" t="str">
        <f>Avril!AM48</f>
        <v/>
      </c>
      <c r="P36" s="107">
        <f t="shared" si="4"/>
        <v>45806</v>
      </c>
      <c r="Q36" s="108">
        <f>IF(Q$8+28&lt;DATE(YEAR(T$8),MONTH(T$8),DAY(T$8)),Q$8+28,"")</f>
        <v>45806</v>
      </c>
      <c r="R36" s="109" t="str">
        <f>Mai!AM48</f>
        <v/>
      </c>
      <c r="S36" s="107">
        <f t="shared" si="5"/>
        <v>45837</v>
      </c>
      <c r="T36" s="108">
        <f>IF(T$8+28&lt;DATE(YEAR(W$8),MONTH(W$8),DAY(W$8)),T$8+28,"")</f>
        <v>45837</v>
      </c>
      <c r="U36" s="109" t="str">
        <f>Juin!AM48</f>
        <v/>
      </c>
      <c r="V36" s="107">
        <f t="shared" si="6"/>
        <v>45867</v>
      </c>
      <c r="W36" s="108">
        <f>IF(W$8+28&lt;DATE(YEAR(Z$8),MONTH(Z$8),DAY(Z$8)),W$8+28,"")</f>
        <v>45867</v>
      </c>
      <c r="X36" s="109" t="str">
        <f>Juillet!AM48</f>
        <v/>
      </c>
      <c r="Y36" s="107">
        <f t="shared" si="7"/>
        <v>45898</v>
      </c>
      <c r="Z36" s="108">
        <f>IF(Z$8+28&lt;DATE(YEAR(AC$8),MONTH(AC$8),DAY(AC$8)),Z$8+28,"")</f>
        <v>45898</v>
      </c>
      <c r="AA36" s="109" t="str">
        <f>Aout!AM48</f>
        <v/>
      </c>
      <c r="AB36" s="107">
        <f t="shared" si="8"/>
        <v>45929</v>
      </c>
      <c r="AC36" s="108">
        <f>IF(AC$8+28&lt;DATE(YEAR(AF$8),MONTH(AF$8),DAY(AF$8)),AC$8+28,"")</f>
        <v>45929</v>
      </c>
      <c r="AD36" s="109" t="str">
        <f>Septembre!AM48</f>
        <v/>
      </c>
      <c r="AE36" s="107">
        <f t="shared" si="9"/>
        <v>45959</v>
      </c>
      <c r="AF36" s="108">
        <f>IF(AF$8+28&lt;DATE(YEAR(AI$8),MONTH(AI$8),DAY(AI$8)),AF$8+28,"")</f>
        <v>45959</v>
      </c>
      <c r="AG36" s="109" t="str">
        <f>Octobre!AM48</f>
        <v/>
      </c>
      <c r="AH36" s="107">
        <f t="shared" si="10"/>
        <v>45990</v>
      </c>
      <c r="AI36" s="108">
        <f>IF(AI$8+28&lt;DATE(YEAR(AL$8),MONTH(AL$8),DAY(AL$8)),AI$8+28,"")</f>
        <v>45990</v>
      </c>
      <c r="AJ36" s="109" t="str">
        <f>Novembre!AM48</f>
        <v/>
      </c>
      <c r="AK36" s="107">
        <f t="shared" si="11"/>
        <v>46020</v>
      </c>
      <c r="AL36" s="108">
        <f>IF(AL$8+28&lt;DATE(YEAR(AO$8),MONTH(AO$8),DAY(AO$8)),AL$8+28,"")</f>
        <v>46020</v>
      </c>
      <c r="AM36" s="109" t="str">
        <f>Décembre!AM48</f>
        <v/>
      </c>
    </row>
    <row r="37" spans="1:39" x14ac:dyDescent="0.2">
      <c r="D37" s="107">
        <f t="shared" si="0"/>
        <v>45687</v>
      </c>
      <c r="E37" s="108">
        <f>IF(E$8+29&lt;DATE(YEAR(H$8),MONTH(H$8),DAY(H$8)),E$8+29,"")</f>
        <v>45687</v>
      </c>
      <c r="F37" s="109" t="str">
        <f>Janvier!AM49</f>
        <v/>
      </c>
      <c r="G37" s="107"/>
      <c r="H37" s="108" t="str">
        <f>IF(H$8+29&lt;DATE(YEAR(K$8),MONTH(K$8),DAY(K$8)),H$8+29,"")</f>
        <v/>
      </c>
      <c r="I37" s="109"/>
      <c r="J37" s="107">
        <f t="shared" si="2"/>
        <v>45746</v>
      </c>
      <c r="K37" s="108">
        <f>IF(K$8+29&lt;DATE(YEAR(N$8),MONTH(N$8),DAY(N$8)),K$8+29,"")</f>
        <v>45746</v>
      </c>
      <c r="L37" s="109" t="str">
        <f>Mars!AM49</f>
        <v/>
      </c>
      <c r="M37" s="107">
        <f t="shared" si="3"/>
        <v>45777</v>
      </c>
      <c r="N37" s="108">
        <f>IF(N$8+29&lt;DATE(YEAR(Q$8),MONTH(Q$8),DAY(Q$8)),N$8+29,"")</f>
        <v>45777</v>
      </c>
      <c r="O37" s="109" t="str">
        <f>Avril!AM49</f>
        <v/>
      </c>
      <c r="P37" s="107">
        <f t="shared" si="4"/>
        <v>45807</v>
      </c>
      <c r="Q37" s="108">
        <f>IF(Q$8+29&lt;DATE(YEAR(T$8),MONTH(T$8),DAY(T$8)),Q$8+29,"")</f>
        <v>45807</v>
      </c>
      <c r="R37" s="109" t="str">
        <f>Mai!AM49</f>
        <v/>
      </c>
      <c r="S37" s="107">
        <f t="shared" si="5"/>
        <v>45838</v>
      </c>
      <c r="T37" s="108">
        <f>IF(T$8+29&lt;DATE(YEAR(W$8),MONTH(W$8),DAY(W$8)),T$8+29,"")</f>
        <v>45838</v>
      </c>
      <c r="U37" s="109" t="str">
        <f>Juin!AM49</f>
        <v/>
      </c>
      <c r="V37" s="107">
        <f t="shared" si="6"/>
        <v>45868</v>
      </c>
      <c r="W37" s="108">
        <f>IF(W$8+29&lt;DATE(YEAR(Z$8),MONTH(Z$8),DAY(Z$8)),W$8+29,"")</f>
        <v>45868</v>
      </c>
      <c r="X37" s="109" t="str">
        <f>Juillet!AM49</f>
        <v/>
      </c>
      <c r="Y37" s="107">
        <f t="shared" si="7"/>
        <v>45899</v>
      </c>
      <c r="Z37" s="108">
        <f>IF(Z$8+29&lt;DATE(YEAR(AC$8),MONTH(AC$8),DAY(AC$8)),Z$8+29,"")</f>
        <v>45899</v>
      </c>
      <c r="AA37" s="109" t="str">
        <f>Aout!AM49</f>
        <v/>
      </c>
      <c r="AB37" s="107">
        <f t="shared" si="8"/>
        <v>45930</v>
      </c>
      <c r="AC37" s="108">
        <f>IF(AC$8+29&lt;DATE(YEAR(AF$8),MONTH(AF$8),DAY(AF$8)),AC$8+29,"")</f>
        <v>45930</v>
      </c>
      <c r="AD37" s="109" t="str">
        <f>Septembre!AM49</f>
        <v/>
      </c>
      <c r="AE37" s="107">
        <f t="shared" si="9"/>
        <v>45960</v>
      </c>
      <c r="AF37" s="108">
        <f>IF(AF$8+29&lt;DATE(YEAR(AI$8),MONTH(AI$8),DAY(AI$8)),AF$8+29,"")</f>
        <v>45960</v>
      </c>
      <c r="AG37" s="109" t="str">
        <f>Octobre!AM49</f>
        <v/>
      </c>
      <c r="AH37" s="107">
        <f t="shared" si="10"/>
        <v>45991</v>
      </c>
      <c r="AI37" s="108">
        <f>IF(AI$8+29&lt;DATE(YEAR(AL$8),MONTH(AL$8),DAY(AL$8)),AI$8+29,"")</f>
        <v>45991</v>
      </c>
      <c r="AJ37" s="109" t="str">
        <f>Novembre!AM49</f>
        <v/>
      </c>
      <c r="AK37" s="107">
        <f t="shared" si="11"/>
        <v>46021</v>
      </c>
      <c r="AL37" s="108">
        <f>IF(AL$8+29&lt;DATE(YEAR(AO$8),MONTH(AO$8),DAY(AO$8)),AL$8+29,"")</f>
        <v>46021</v>
      </c>
      <c r="AM37" s="109" t="str">
        <f>Décembre!AM49</f>
        <v/>
      </c>
    </row>
    <row r="38" spans="1:39" ht="13.5" thickBot="1" x14ac:dyDescent="0.25">
      <c r="D38" s="110">
        <f t="shared" si="0"/>
        <v>45688</v>
      </c>
      <c r="E38" s="111">
        <f>IF(E$8+30&lt;DATE(YEAR(H$8),MONTH(H$8),DAY(H$8)),E$8+30,"")</f>
        <v>45688</v>
      </c>
      <c r="F38" s="112" t="str">
        <f>Janvier!AM50</f>
        <v/>
      </c>
      <c r="G38" s="110"/>
      <c r="H38" s="111" t="str">
        <f>IF(H$8+30&lt;DATE(YEAR(K$8),MONTH(K$8),DAY(K$8)),H$8+30,"")</f>
        <v/>
      </c>
      <c r="I38" s="112"/>
      <c r="J38" s="110">
        <f t="shared" si="2"/>
        <v>45747</v>
      </c>
      <c r="K38" s="111">
        <f>IF(K$8+30&lt;DATE(YEAR(N$8),MONTH(N$8),DAY(N$8)),K$8+30,"")</f>
        <v>45747</v>
      </c>
      <c r="L38" s="112" t="str">
        <f>Mars!AM50</f>
        <v/>
      </c>
      <c r="M38" s="110"/>
      <c r="N38" s="111" t="str">
        <f>IF(N$8+30&lt;DATE(YEAR(Q$8),MONTH(Q$8),DAY(Q$8)),N$8+30,"")</f>
        <v/>
      </c>
      <c r="O38" s="112"/>
      <c r="P38" s="110">
        <f t="shared" si="4"/>
        <v>45808</v>
      </c>
      <c r="Q38" s="111">
        <f>IF(Q$8+30&lt;DATE(YEAR(T$8),MONTH(T$8),DAY(T$8)),Q$8+30,"")</f>
        <v>45808</v>
      </c>
      <c r="R38" s="112" t="str">
        <f>Mai!AM50</f>
        <v/>
      </c>
      <c r="S38" s="110" t="str">
        <f t="shared" si="5"/>
        <v/>
      </c>
      <c r="T38" s="111" t="str">
        <f>IF(T$8+30&lt;DATE(YEAR(W$8),MONTH(W$8),DAY(W$8)),T$8+30,"")</f>
        <v/>
      </c>
      <c r="U38" s="112"/>
      <c r="V38" s="110">
        <f t="shared" si="6"/>
        <v>45869</v>
      </c>
      <c r="W38" s="111">
        <f>IF(W$8+30&lt;DATE(YEAR(Z$8),MONTH(Z$8),DAY(Z$8)),W$8+30,"")</f>
        <v>45869</v>
      </c>
      <c r="X38" s="112" t="str">
        <f>Juillet!AM50</f>
        <v/>
      </c>
      <c r="Y38" s="110">
        <f t="shared" si="7"/>
        <v>45900</v>
      </c>
      <c r="Z38" s="111">
        <f>IF(Z$8+30&lt;DATE(YEAR(AC$8),MONTH(AC$8),DAY(AC$8)),Z$8+30,"")</f>
        <v>45900</v>
      </c>
      <c r="AA38" s="112" t="str">
        <f>Aout!AM50</f>
        <v/>
      </c>
      <c r="AB38" s="110" t="str">
        <f t="shared" si="8"/>
        <v/>
      </c>
      <c r="AC38" s="111" t="str">
        <f>IF(AC$8+30&lt;DATE(YEAR(AF$8),MONTH(AF$8),DAY(AF$8)),AC$8+30,"")</f>
        <v/>
      </c>
      <c r="AD38" s="112"/>
      <c r="AE38" s="110">
        <f t="shared" si="9"/>
        <v>45961</v>
      </c>
      <c r="AF38" s="111">
        <f>IF(AF$8+30&lt;DATE(YEAR(AI$8),MONTH(AI$8),DAY(AI$8)),AF$8+30,"")</f>
        <v>45961</v>
      </c>
      <c r="AG38" s="112" t="str">
        <f>Octobre!AM50</f>
        <v/>
      </c>
      <c r="AH38" s="110" t="str">
        <f t="shared" si="10"/>
        <v/>
      </c>
      <c r="AI38" s="111" t="str">
        <f>IF(AI$8+30&lt;DATE(YEAR(AL$8),MONTH(AL$8),DAY(AL$8)),AI$8+30,"")</f>
        <v/>
      </c>
      <c r="AJ38" s="112"/>
      <c r="AK38" s="110">
        <f t="shared" si="11"/>
        <v>46022</v>
      </c>
      <c r="AL38" s="111">
        <f>IF(AL$8+30&lt;DATE(YEAR(AO$8),MONTH(AO$8),DAY(AO$8)),AL$8+30,"")</f>
        <v>46022</v>
      </c>
      <c r="AM38" s="112" t="str">
        <f>Décembre!AM50</f>
        <v/>
      </c>
    </row>
    <row r="39" spans="1:39" ht="13.5" thickBot="1" x14ac:dyDescent="0.25"/>
    <row r="40" spans="1:39" ht="13.5" thickBot="1" x14ac:dyDescent="0.25">
      <c r="D40" s="72"/>
      <c r="E40" s="113" t="s">
        <v>132</v>
      </c>
      <c r="F40" s="114">
        <f>SUM(F8:F38)</f>
        <v>0</v>
      </c>
      <c r="G40" s="72"/>
      <c r="H40" s="113" t="s">
        <v>132</v>
      </c>
      <c r="I40" s="114">
        <f>SUM(I8:I38)</f>
        <v>0</v>
      </c>
      <c r="J40" s="72"/>
      <c r="K40" s="113" t="s">
        <v>132</v>
      </c>
      <c r="L40" s="114">
        <f>SUM(L8:L38)</f>
        <v>0</v>
      </c>
      <c r="M40" s="72"/>
      <c r="N40" s="113" t="s">
        <v>132</v>
      </c>
      <c r="O40" s="114">
        <f>SUM(O8:O38)</f>
        <v>0</v>
      </c>
      <c r="P40" s="72"/>
      <c r="Q40" s="113" t="s">
        <v>132</v>
      </c>
      <c r="R40" s="114">
        <f>SUM(R8:R38)</f>
        <v>0</v>
      </c>
      <c r="S40" s="72"/>
      <c r="T40" s="113" t="s">
        <v>132</v>
      </c>
      <c r="U40" s="114">
        <f>SUM(U8:U38)</f>
        <v>0</v>
      </c>
      <c r="V40" s="72"/>
      <c r="W40" s="113" t="s">
        <v>132</v>
      </c>
      <c r="X40" s="114">
        <f>SUM(X8:X38)</f>
        <v>0</v>
      </c>
      <c r="Y40" s="72"/>
      <c r="Z40" s="113" t="s">
        <v>132</v>
      </c>
      <c r="AA40" s="114">
        <f>SUM(AA8:AA38)</f>
        <v>0</v>
      </c>
      <c r="AB40" s="72"/>
      <c r="AC40" s="113" t="s">
        <v>132</v>
      </c>
      <c r="AD40" s="114">
        <f>SUM(AD8:AD38)</f>
        <v>0</v>
      </c>
      <c r="AE40" s="72"/>
      <c r="AF40" s="113" t="s">
        <v>132</v>
      </c>
      <c r="AG40" s="114">
        <f>SUM(AG8:AG38)</f>
        <v>0</v>
      </c>
      <c r="AH40" s="72"/>
      <c r="AI40" s="113" t="s">
        <v>132</v>
      </c>
      <c r="AJ40" s="114">
        <f>SUM(AJ8:AJ38)</f>
        <v>0</v>
      </c>
      <c r="AK40" s="72"/>
      <c r="AL40" s="113" t="s">
        <v>132</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341" t="s">
        <v>853</v>
      </c>
      <c r="B42" s="2341"/>
      <c r="C42" s="2341"/>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37" customFormat="1" hidden="1" x14ac:dyDescent="0.2">
      <c r="A44" s="2379" t="s">
        <v>1487</v>
      </c>
      <c r="B44" s="2379"/>
      <c r="C44" s="2379"/>
      <c r="F44" s="643">
        <f ca="1">IF(Identification!B3=S.CAL!AY3,'Retenue Janv'!CR54,+F40-F45)</f>
        <v>0</v>
      </c>
      <c r="I44" s="643">
        <f>IF(Identification!B3=S.CAL!AY3,'Retenue Fev'!CR54,+I40-I45)</f>
        <v>0</v>
      </c>
      <c r="L44" s="643">
        <f>IF(Identification!B3=S.CAL!AY3,'Retenue Mars'!CR54,+L40-L45)</f>
        <v>0</v>
      </c>
      <c r="O44" s="643">
        <f>IF(Identification!B3=S.CAL!AY3,'Retenue Avril'!CR54,+O40-O45)</f>
        <v>0</v>
      </c>
      <c r="R44" s="643">
        <f>IF(Identification!B3=S.CAL!AY3,'Retenue Mai'!CR54,+R40-R45)</f>
        <v>0</v>
      </c>
      <c r="U44" s="643">
        <f>IF(Identification!B3=S.CAL!AY3,'Retenue Juin'!CR54,+U40-U45)</f>
        <v>0</v>
      </c>
      <c r="X44" s="643">
        <f>IF(Identification!B3=S.CAL!AY3,'Retenue Juil'!CR54,+X40-X45)</f>
        <v>0</v>
      </c>
      <c r="AA44" s="643">
        <f>IF(Identification!B3=S.CAL!AY3,'Retenue Aout'!CR54,+AA40-AA45)</f>
        <v>0</v>
      </c>
      <c r="AD44" s="643">
        <f>IF(Identification!B3=S.CAL!AY3,'Retenue Sept'!CR54,+AD40-AD45)</f>
        <v>0</v>
      </c>
      <c r="AG44" s="643">
        <f>IF(Identification!B3=S.CAL!AY3,'Retenue Oct'!CR54,+AG40-AG45)</f>
        <v>0</v>
      </c>
      <c r="AJ44" s="643">
        <f>IF(Identification!B3=S.CAL!AY3,'Retenue Nov'!CR54,+AJ40-AJ45)</f>
        <v>0</v>
      </c>
      <c r="AM44" s="643">
        <f>IF(Identification!B3=S.CAL!AY3,'Retenue Déc'!CR54,+AM40-AM45)</f>
        <v>0</v>
      </c>
    </row>
    <row r="45" spans="1:39" s="637" customFormat="1" hidden="1" x14ac:dyDescent="0.2">
      <c r="A45" s="2379" t="s">
        <v>860</v>
      </c>
      <c r="B45" s="2379"/>
      <c r="C45" s="2379"/>
      <c r="F45" s="643">
        <f ca="1">IF(Identification!B3=S.CAL!AY3,'Retenue Janv'!CN54,+F40*F42)</f>
        <v>0</v>
      </c>
      <c r="I45" s="643">
        <f>IF(Identification!B3=S.CAL!AY3,'Retenue Fev'!CN54,+I40*I42)</f>
        <v>0</v>
      </c>
      <c r="L45" s="643">
        <f>IF(Identification!B3=S.CAL!AY3,'Retenue Mars'!CN54,+L40*L42)</f>
        <v>0</v>
      </c>
      <c r="O45" s="643">
        <f>IF(Identification!B3=S.CAL!AY3,'Retenue Avril'!CN54,+O40*O42)</f>
        <v>0</v>
      </c>
      <c r="R45" s="643">
        <f>IF(Identification!B3=S.CAL!AY3,'Retenue Mai'!CN54,+R40*R42)</f>
        <v>0</v>
      </c>
      <c r="U45" s="643">
        <f>IF(Identification!B3=S.CAL!AY3,'Retenue Juin'!CN54,+U40*U42)</f>
        <v>0</v>
      </c>
      <c r="X45" s="643">
        <f>IF(Identification!B3=S.CAL!AY3,'Retenue Juil'!CN54,+X40*X42)</f>
        <v>0</v>
      </c>
      <c r="AA45" s="643">
        <f>IF(Identification!B3=S.CAL!AY3,'Retenue Aout'!CN54,+AA40*AA42)</f>
        <v>0</v>
      </c>
      <c r="AD45" s="643">
        <f>IF(Identification!B3=S.CAL!AY3,'Retenue Sept'!CN54,+AD40*AD42)</f>
        <v>0</v>
      </c>
      <c r="AG45" s="643">
        <f>IF(Identification!B3=S.CAL!AY3,'Retenue Oct'!CN54,+AG40*AG42)</f>
        <v>0</v>
      </c>
      <c r="AJ45" s="643">
        <f>IF(Identification!B3=S.CAL!AY3,'Retenue Nov'!CN54,+AJ40*AJ42)</f>
        <v>0</v>
      </c>
      <c r="AM45" s="643">
        <f>IF(Identification!B3=S.CAL!AY3,'Retenue Déc'!CN54,+AM40*AM42)</f>
        <v>0</v>
      </c>
    </row>
    <row r="46" spans="1:39" hidden="1" x14ac:dyDescent="0.2"/>
    <row r="47" spans="1:39" ht="15.75" hidden="1" x14ac:dyDescent="0.25">
      <c r="P47" s="98" t="s">
        <v>140</v>
      </c>
      <c r="Q47" s="99"/>
      <c r="R47" s="99"/>
      <c r="S47" s="99"/>
      <c r="T47" s="99"/>
      <c r="U47" s="100"/>
    </row>
    <row r="48" spans="1:39" ht="13.5" hidden="1" thickBot="1" x14ac:dyDescent="0.25"/>
    <row r="49" spans="1:42" hidden="1" x14ac:dyDescent="0.2">
      <c r="D49" s="2367">
        <f>+$J$5</f>
        <v>45658</v>
      </c>
      <c r="E49" s="2368"/>
      <c r="F49" s="2369"/>
      <c r="G49" s="2367">
        <f>DATE(YEAR($J$5),MONTH($J$5)+1,DAY($J$5))</f>
        <v>45689</v>
      </c>
      <c r="H49" s="2368"/>
      <c r="I49" s="2369"/>
      <c r="J49" s="2367">
        <f>DATE(YEAR($J$5),MONTH($J$5)+2,DAY($J$5))</f>
        <v>45717</v>
      </c>
      <c r="K49" s="2368"/>
      <c r="L49" s="2369"/>
      <c r="M49" s="2367">
        <f>DATE(YEAR($J$5),MONTH($J$5)+3,DAY($J$5))</f>
        <v>45748</v>
      </c>
      <c r="N49" s="2368"/>
      <c r="O49" s="2369"/>
      <c r="P49" s="2367">
        <f>DATE(YEAR($J$5),MONTH($J$5)+4,DAY($J$5))</f>
        <v>45778</v>
      </c>
      <c r="Q49" s="2368"/>
      <c r="R49" s="2369"/>
      <c r="S49" s="2367">
        <f>DATE(YEAR($J$5),MONTH($J$5)+5,DAY($J$5))</f>
        <v>45809</v>
      </c>
      <c r="T49" s="2368"/>
      <c r="U49" s="2369"/>
      <c r="V49" s="2367">
        <f>DATE(YEAR($J$5),MONTH($J$5)+6,DAY($J$5))</f>
        <v>45839</v>
      </c>
      <c r="W49" s="2368"/>
      <c r="X49" s="2369"/>
      <c r="Y49" s="2367">
        <f>DATE(YEAR($J$5),MONTH($J$5)+7,DAY($J$5))</f>
        <v>45870</v>
      </c>
      <c r="Z49" s="2368"/>
      <c r="AA49" s="2369"/>
      <c r="AB49" s="2367">
        <f>DATE(YEAR($J$5),MONTH($J$5)+8,DAY($J$5))</f>
        <v>45901</v>
      </c>
      <c r="AC49" s="2368"/>
      <c r="AD49" s="2369"/>
      <c r="AE49" s="2367">
        <f>DATE(YEAR($J$5),MONTH($J$5)+9,DAY($J$5))</f>
        <v>45931</v>
      </c>
      <c r="AF49" s="2368"/>
      <c r="AG49" s="2369"/>
      <c r="AH49" s="2367">
        <f>DATE(YEAR($J$5),MONTH($J$5)+10,DAY($J$5))</f>
        <v>45962</v>
      </c>
      <c r="AI49" s="2368"/>
      <c r="AJ49" s="2369"/>
      <c r="AK49" s="2367">
        <f>DATE(YEAR($J$5),MONTH($J$5)+11,DAY($J$5))</f>
        <v>45992</v>
      </c>
      <c r="AL49" s="2368"/>
      <c r="AM49" s="2369"/>
      <c r="AN49" s="2370">
        <f>DATE(YEAR($J$5),MONTH($J$5)+12,DAY($J$5))</f>
        <v>46023</v>
      </c>
      <c r="AO49" s="2371"/>
      <c r="AP49" s="2371"/>
    </row>
    <row r="50" spans="1:42" hidden="1" x14ac:dyDescent="0.2">
      <c r="A50" s="2381" t="s">
        <v>141</v>
      </c>
      <c r="B50" s="2381"/>
      <c r="C50" s="2381"/>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381" t="s">
        <v>142</v>
      </c>
      <c r="B51" s="2381"/>
      <c r="C51" s="2381"/>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341" t="s">
        <v>143</v>
      </c>
      <c r="B52" s="2341"/>
      <c r="C52" s="2341"/>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40" customFormat="1" hidden="1" x14ac:dyDescent="0.2">
      <c r="A54" s="2377" t="s">
        <v>861</v>
      </c>
      <c r="B54" s="2377"/>
      <c r="C54" s="2377"/>
      <c r="F54" s="642" t="e">
        <f>+F52-F55</f>
        <v>#DIV/0!</v>
      </c>
      <c r="G54" s="642"/>
      <c r="H54" s="642"/>
      <c r="I54" s="642" t="e">
        <f>+I52-I55</f>
        <v>#DIV/0!</v>
      </c>
      <c r="J54" s="642"/>
      <c r="K54" s="642"/>
      <c r="L54" s="642" t="e">
        <f>+L52-L55</f>
        <v>#DIV/0!</v>
      </c>
      <c r="M54" s="642"/>
      <c r="N54" s="642"/>
      <c r="O54" s="642" t="e">
        <f>+O52-O55</f>
        <v>#DIV/0!</v>
      </c>
      <c r="P54" s="642"/>
      <c r="Q54" s="642"/>
      <c r="R54" s="642" t="e">
        <f>+R52-R55</f>
        <v>#DIV/0!</v>
      </c>
      <c r="S54" s="642"/>
      <c r="T54" s="642"/>
      <c r="U54" s="642" t="e">
        <f>+U52-U55</f>
        <v>#DIV/0!</v>
      </c>
      <c r="V54" s="642"/>
      <c r="W54" s="642"/>
      <c r="X54" s="642" t="e">
        <f>+X52-X55</f>
        <v>#DIV/0!</v>
      </c>
      <c r="Y54" s="642"/>
      <c r="Z54" s="642"/>
      <c r="AA54" s="642" t="e">
        <f>+AA52-AA55</f>
        <v>#DIV/0!</v>
      </c>
      <c r="AB54" s="642"/>
      <c r="AC54" s="642"/>
      <c r="AD54" s="642" t="e">
        <f>+AD52-AD55</f>
        <v>#DIV/0!</v>
      </c>
      <c r="AE54" s="642"/>
      <c r="AF54" s="642"/>
      <c r="AG54" s="642" t="e">
        <f>+AG52-AG55</f>
        <v>#DIV/0!</v>
      </c>
      <c r="AH54" s="642"/>
      <c r="AI54" s="642"/>
      <c r="AJ54" s="642" t="e">
        <f>+AJ52-AJ55</f>
        <v>#DIV/0!</v>
      </c>
      <c r="AK54" s="642"/>
      <c r="AL54" s="642"/>
      <c r="AM54" s="642" t="e">
        <f>+AM52-AM55</f>
        <v>#DIV/0!</v>
      </c>
    </row>
    <row r="55" spans="1:42" s="640" customFormat="1" hidden="1" x14ac:dyDescent="0.2">
      <c r="A55" s="2377" t="s">
        <v>862</v>
      </c>
      <c r="B55" s="2377"/>
      <c r="C55" s="2377"/>
      <c r="F55" s="642" t="e">
        <f>+F52*F42</f>
        <v>#DIV/0!</v>
      </c>
      <c r="G55" s="642"/>
      <c r="H55" s="642"/>
      <c r="I55" s="642" t="e">
        <f>+I52*I42</f>
        <v>#DIV/0!</v>
      </c>
      <c r="J55" s="642"/>
      <c r="K55" s="642"/>
      <c r="L55" s="642" t="e">
        <f>+L52*L42</f>
        <v>#DIV/0!</v>
      </c>
      <c r="M55" s="642"/>
      <c r="N55" s="642"/>
      <c r="O55" s="642" t="e">
        <f>+O52*O42</f>
        <v>#DIV/0!</v>
      </c>
      <c r="P55" s="642"/>
      <c r="Q55" s="642"/>
      <c r="R55" s="642" t="e">
        <f>+R52*R42</f>
        <v>#DIV/0!</v>
      </c>
      <c r="S55" s="642"/>
      <c r="T55" s="642"/>
      <c r="U55" s="642" t="e">
        <f>+U52*U42</f>
        <v>#DIV/0!</v>
      </c>
      <c r="V55" s="642"/>
      <c r="W55" s="642"/>
      <c r="X55" s="642" t="e">
        <f>+X52*X42</f>
        <v>#DIV/0!</v>
      </c>
      <c r="Y55" s="642"/>
      <c r="Z55" s="642"/>
      <c r="AA55" s="642" t="e">
        <f>+AA52*AA42</f>
        <v>#DIV/0!</v>
      </c>
      <c r="AB55" s="642"/>
      <c r="AC55" s="642"/>
      <c r="AD55" s="642" t="e">
        <f>+AD52*AD42</f>
        <v>#DIV/0!</v>
      </c>
      <c r="AE55" s="642"/>
      <c r="AF55" s="642"/>
      <c r="AG55" s="642" t="e">
        <f>+AG52*AG42</f>
        <v>#DIV/0!</v>
      </c>
      <c r="AH55" s="642"/>
      <c r="AI55" s="642"/>
      <c r="AJ55" s="642" t="e">
        <f>+AJ52*AJ42</f>
        <v>#DIV/0!</v>
      </c>
      <c r="AK55" s="642"/>
      <c r="AL55" s="642"/>
      <c r="AM55" s="642"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341" t="s">
        <v>144</v>
      </c>
      <c r="B57" s="2341"/>
      <c r="C57" s="2341"/>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341" t="s">
        <v>856</v>
      </c>
      <c r="B59" s="2341"/>
      <c r="C59" s="2341"/>
      <c r="F59" s="151" t="e">
        <f>+F57-F60</f>
        <v>#DIV/0!</v>
      </c>
      <c r="I59" s="151" t="e">
        <f>+I57-I60</f>
        <v>#DIV/0!</v>
      </c>
      <c r="L59" s="151" t="e">
        <f>+L57-L60</f>
        <v>#DIV/0!</v>
      </c>
      <c r="O59" s="151" t="e">
        <f>+O57-O60</f>
        <v>#DIV/0!</v>
      </c>
      <c r="R59" s="151" t="e">
        <f>+R57-R60</f>
        <v>#DIV/0!</v>
      </c>
      <c r="U59" s="151" t="e">
        <f>+U57-U60</f>
        <v>#DIV/0!</v>
      </c>
      <c r="X59" s="151" t="e">
        <f>+X57-X60</f>
        <v>#DIV/0!</v>
      </c>
      <c r="AA59" s="151" t="e">
        <f>+AA57-AA60</f>
        <v>#DIV/0!</v>
      </c>
      <c r="AD59" s="151" t="e">
        <f>+AD57-AD60</f>
        <v>#DIV/0!</v>
      </c>
      <c r="AG59" s="151" t="e">
        <f>+AG57-AG60</f>
        <v>#DIV/0!</v>
      </c>
      <c r="AJ59" s="151" t="e">
        <f>+AJ57-AJ60</f>
        <v>#DIV/0!</v>
      </c>
      <c r="AM59" s="151" t="e">
        <f>+AM57-AM60</f>
        <v>#DIV/0!</v>
      </c>
    </row>
    <row r="60" spans="1:42" hidden="1" x14ac:dyDescent="0.2">
      <c r="A60" s="2341" t="s">
        <v>857</v>
      </c>
      <c r="B60" s="2341"/>
      <c r="C60" s="2341"/>
      <c r="F60" s="151" t="e">
        <f>+F57*F42</f>
        <v>#DIV/0!</v>
      </c>
      <c r="I60" s="151" t="e">
        <f>+I57*I42</f>
        <v>#DIV/0!</v>
      </c>
      <c r="L60" s="151" t="e">
        <f>+L57*L42</f>
        <v>#DIV/0!</v>
      </c>
      <c r="O60" s="151" t="e">
        <f>+O57*O42</f>
        <v>#DIV/0!</v>
      </c>
      <c r="R60" s="151" t="e">
        <f>+R57*R42</f>
        <v>#DIV/0!</v>
      </c>
      <c r="U60" s="151" t="e">
        <f>+U57*U42</f>
        <v>#DIV/0!</v>
      </c>
      <c r="X60" s="151" t="e">
        <f>+X57*X42</f>
        <v>#DIV/0!</v>
      </c>
      <c r="AA60" s="151" t="e">
        <f>+AA57*AA42</f>
        <v>#DIV/0!</v>
      </c>
      <c r="AD60" s="151" t="e">
        <f>+AD57*AD42</f>
        <v>#DIV/0!</v>
      </c>
      <c r="AG60" s="151" t="e">
        <f>+AG57*AG42</f>
        <v>#DIV/0!</v>
      </c>
      <c r="AJ60" s="151" t="e">
        <f>+AJ57*AJ42</f>
        <v>#DIV/0!</v>
      </c>
      <c r="AM60" s="151" t="e">
        <f>+AM57*AM42</f>
        <v>#DIV/0!</v>
      </c>
    </row>
    <row r="61" spans="1:42" hidden="1" x14ac:dyDescent="0.2"/>
    <row r="63" spans="1:42" ht="15.75" x14ac:dyDescent="0.25">
      <c r="P63" s="98" t="s">
        <v>863</v>
      </c>
    </row>
    <row r="64" spans="1:42" ht="15.75" x14ac:dyDescent="0.25">
      <c r="P64" s="98"/>
    </row>
    <row r="65" spans="1:39" x14ac:dyDescent="0.2">
      <c r="O65" s="29" t="s">
        <v>29</v>
      </c>
      <c r="P65" s="1710">
        <f>+Identification!B25</f>
        <v>0</v>
      </c>
      <c r="Q65" s="1710"/>
      <c r="R65" s="1710"/>
    </row>
    <row r="66" spans="1:39" ht="16.5" thickBot="1" x14ac:dyDescent="0.3">
      <c r="P66" s="98"/>
    </row>
    <row r="67" spans="1:39" x14ac:dyDescent="0.2">
      <c r="D67" s="2367">
        <f>+$J$5</f>
        <v>45658</v>
      </c>
      <c r="E67" s="2368"/>
      <c r="F67" s="2369"/>
      <c r="G67" s="2367">
        <f>DATE(YEAR($J$5),MONTH($J$5)+1,DAY($J$5))</f>
        <v>45689</v>
      </c>
      <c r="H67" s="2368"/>
      <c r="I67" s="2369"/>
      <c r="J67" s="2367">
        <f>DATE(YEAR($J$5),MONTH($J$5)+2,DAY($J$5))</f>
        <v>45717</v>
      </c>
      <c r="K67" s="2368"/>
      <c r="L67" s="2369"/>
      <c r="M67" s="2367">
        <f>DATE(YEAR($J$5),MONTH($J$5)+3,DAY($J$5))</f>
        <v>45748</v>
      </c>
      <c r="N67" s="2368"/>
      <c r="O67" s="2369"/>
      <c r="P67" s="2367">
        <f>DATE(YEAR($J$5),MONTH($J$5)+4,DAY($J$5))</f>
        <v>45778</v>
      </c>
      <c r="Q67" s="2368"/>
      <c r="R67" s="2369"/>
      <c r="S67" s="2367">
        <f>DATE(YEAR($J$5),MONTH($J$5)+5,DAY($J$5))</f>
        <v>45809</v>
      </c>
      <c r="T67" s="2368"/>
      <c r="U67" s="2369"/>
      <c r="V67" s="2367">
        <f>DATE(YEAR($J$5),MONTH($J$5)+6,DAY($J$5))</f>
        <v>45839</v>
      </c>
      <c r="W67" s="2368"/>
      <c r="X67" s="2369"/>
      <c r="Y67" s="2367">
        <f>DATE(YEAR($J$5),MONTH($J$5)+7,DAY($J$5))</f>
        <v>45870</v>
      </c>
      <c r="Z67" s="2368"/>
      <c r="AA67" s="2369"/>
      <c r="AB67" s="2367">
        <f>DATE(YEAR($J$5),MONTH($J$5)+8,DAY($J$5))</f>
        <v>45901</v>
      </c>
      <c r="AC67" s="2368"/>
      <c r="AD67" s="2369"/>
      <c r="AE67" s="2367">
        <f>DATE(YEAR($J$5),MONTH($J$5)+9,DAY($J$5))</f>
        <v>45931</v>
      </c>
      <c r="AF67" s="2368"/>
      <c r="AG67" s="2369"/>
      <c r="AH67" s="2367">
        <f>DATE(YEAR($J$5),MONTH($J$5)+10,DAY($J$5))</f>
        <v>45962</v>
      </c>
      <c r="AI67" s="2368"/>
      <c r="AJ67" s="2369"/>
      <c r="AK67" s="2367">
        <f>DATE(YEAR($J$5),MONTH($J$5)+11,DAY($J$5))</f>
        <v>45992</v>
      </c>
      <c r="AL67" s="2368"/>
      <c r="AM67" s="2369"/>
    </row>
    <row r="68" spans="1:39" s="637" customFormat="1" hidden="1" x14ac:dyDescent="0.2">
      <c r="A68" s="2380" t="s">
        <v>864</v>
      </c>
      <c r="B68" s="2380"/>
      <c r="C68" s="2380"/>
    </row>
    <row r="69" spans="1:39" s="637" customFormat="1" hidden="1" x14ac:dyDescent="0.2">
      <c r="A69" s="2379" t="s">
        <v>1488</v>
      </c>
      <c r="B69" s="2379"/>
      <c r="C69" s="2379"/>
      <c r="F69" s="638">
        <f ca="1">+F44*F91</f>
        <v>0</v>
      </c>
      <c r="I69" s="638">
        <f>+I44*I91</f>
        <v>0</v>
      </c>
      <c r="L69" s="638">
        <f>+L44*L91</f>
        <v>0</v>
      </c>
      <c r="O69" s="638">
        <f>+O44*O91</f>
        <v>0</v>
      </c>
      <c r="R69" s="638">
        <f>+R44*R91</f>
        <v>0</v>
      </c>
      <c r="U69" s="638">
        <f>+U44*U91</f>
        <v>0</v>
      </c>
      <c r="X69" s="638">
        <f>+X44*X91</f>
        <v>0</v>
      </c>
      <c r="AA69" s="638">
        <f>+AA44*AA91</f>
        <v>0</v>
      </c>
      <c r="AD69" s="638">
        <f>+AD44*AD91</f>
        <v>0</v>
      </c>
      <c r="AG69" s="638">
        <f>+AG44*AG91</f>
        <v>0</v>
      </c>
      <c r="AJ69" s="638">
        <f>+AJ44*AJ91</f>
        <v>0</v>
      </c>
      <c r="AM69" s="638">
        <f>+AM44*AM91</f>
        <v>0</v>
      </c>
    </row>
    <row r="70" spans="1:39" s="637" customFormat="1" hidden="1" x14ac:dyDescent="0.2">
      <c r="A70" s="2379" t="s">
        <v>865</v>
      </c>
      <c r="B70" s="2379"/>
      <c r="C70" s="2379"/>
      <c r="F70" s="638">
        <f ca="1">IF(Identification!B3=S.CAL!AY3,F45*F91,+F45*F93)</f>
        <v>0</v>
      </c>
      <c r="I70" s="638">
        <f>IF(Identification!B3=S.CAL!AY3,I45*I91,+I45*I93)</f>
        <v>0</v>
      </c>
      <c r="L70" s="638">
        <f>IF(Identification!B3=S.CAL!AY3,L45*L91,+L45*L93)</f>
        <v>0</v>
      </c>
      <c r="O70" s="638">
        <f>IF(Identification!B3=S.CAL!AY3,O45*O91,+O45*O93)</f>
        <v>0</v>
      </c>
      <c r="R70" s="638">
        <f>IF(Identification!B3=S.CAL!AY3,R45*R91,+R45*R93)</f>
        <v>0</v>
      </c>
      <c r="U70" s="638">
        <f>IF(Identification!B3=S.CAL!AY3,+U45*U91,+U45*U93)</f>
        <v>0</v>
      </c>
      <c r="X70" s="638">
        <f>IF(Identification!B3=S.CAL!AY3,+X45*X91,+X45*X93)</f>
        <v>0</v>
      </c>
      <c r="AA70" s="638">
        <f>IF(Identification!B3=S.CAL!AY3,+AA45*AA91,+AA45*AA93)</f>
        <v>0</v>
      </c>
      <c r="AD70" s="638">
        <f>IF(Identification!B3=S.CAL!AY3,+AD45*AD91,+AD45*AD93)</f>
        <v>0</v>
      </c>
      <c r="AG70" s="638">
        <f>IF(Identification!B3=S.CAL!AY3,+AG45*AG91,+AG45*AG93)</f>
        <v>0</v>
      </c>
      <c r="AJ70" s="638">
        <f>IF(Identification!B3=S.CAL!AY3,AJ45*AJ91,+AJ45*AJ93)</f>
        <v>0</v>
      </c>
      <c r="AM70" s="638">
        <f>IF(Identification!B3=S.CAL!AY3,+AM45*AM91,+AM45*AM93)</f>
        <v>0</v>
      </c>
    </row>
    <row r="71" spans="1:39" s="637" customFormat="1" x14ac:dyDescent="0.2">
      <c r="A71" s="2379" t="str">
        <f>+A68</f>
        <v>Salaires à percevoir :</v>
      </c>
      <c r="B71" s="2379"/>
      <c r="C71" s="2379"/>
      <c r="F71" s="639">
        <f ca="1">SUM(F69:F70)</f>
        <v>0</v>
      </c>
      <c r="I71" s="639">
        <f>SUM(I69:I70)</f>
        <v>0</v>
      </c>
      <c r="L71" s="639">
        <f>SUM(L69:L70)</f>
        <v>0</v>
      </c>
      <c r="O71" s="639">
        <f>SUM(O69:O70)</f>
        <v>0</v>
      </c>
      <c r="R71" s="639">
        <f>SUM(R69:R70)</f>
        <v>0</v>
      </c>
      <c r="U71" s="639">
        <f>SUM(U69:U70)</f>
        <v>0</v>
      </c>
      <c r="X71" s="639">
        <f>SUM(X69:X70)</f>
        <v>0</v>
      </c>
      <c r="AA71" s="639">
        <f>SUM(AA69:AA70)</f>
        <v>0</v>
      </c>
      <c r="AD71" s="639">
        <f>SUM(AD69:AD70)</f>
        <v>0</v>
      </c>
      <c r="AG71" s="639">
        <f>SUM(AG69:AG70)</f>
        <v>0</v>
      </c>
      <c r="AJ71" s="639">
        <f>SUM(AJ69:AJ70)</f>
        <v>0</v>
      </c>
      <c r="AM71" s="639">
        <f>SUM(AM69:AM70)</f>
        <v>0</v>
      </c>
    </row>
    <row r="73" spans="1:39" s="640" customFormat="1" hidden="1" x14ac:dyDescent="0.2">
      <c r="A73" s="2378" t="s">
        <v>866</v>
      </c>
      <c r="B73" s="2378"/>
      <c r="C73" s="2378"/>
    </row>
    <row r="74" spans="1:39" s="640" customFormat="1" hidden="1" x14ac:dyDescent="0.2">
      <c r="A74" s="2377" t="s">
        <v>1488</v>
      </c>
      <c r="B74" s="2377"/>
      <c r="C74" s="2377"/>
      <c r="F74" s="641">
        <f>+Janvier!DP21</f>
        <v>0</v>
      </c>
      <c r="I74" s="641">
        <f>+Février!DP21</f>
        <v>0</v>
      </c>
      <c r="L74" s="641">
        <f>+Mars!DP21</f>
        <v>0</v>
      </c>
      <c r="O74" s="641">
        <f>+Avril!DP21</f>
        <v>0</v>
      </c>
      <c r="R74" s="641">
        <f>+Mai!DP21</f>
        <v>0</v>
      </c>
      <c r="U74" s="641">
        <f>+Juin!DP21</f>
        <v>0</v>
      </c>
      <c r="X74" s="641">
        <f>+Juillet!DP21</f>
        <v>0</v>
      </c>
      <c r="AA74" s="641">
        <f>+Aout!DP21</f>
        <v>0</v>
      </c>
      <c r="AD74" s="641">
        <f>+Septembre!DP21</f>
        <v>0</v>
      </c>
      <c r="AG74" s="641">
        <f>+Octobre!DP21</f>
        <v>0</v>
      </c>
      <c r="AJ74" s="641">
        <f>+Novembre!DP21</f>
        <v>0</v>
      </c>
      <c r="AM74" s="641">
        <f>+Décembre!DP21</f>
        <v>0</v>
      </c>
    </row>
    <row r="75" spans="1:39" s="640" customFormat="1" hidden="1" x14ac:dyDescent="0.2">
      <c r="A75" s="2377" t="s">
        <v>865</v>
      </c>
      <c r="B75" s="2377"/>
      <c r="C75" s="2377"/>
      <c r="F75" s="641">
        <f>IF(Identification!B3=S.CAL!AY3,+Janvier!DP24,+Janvier!DP22)</f>
        <v>0</v>
      </c>
      <c r="I75" s="1033">
        <f>IF(Identification!B3=S.CAL!AY3,Février!DP24,+Février!DP22)</f>
        <v>0</v>
      </c>
      <c r="L75" s="1033">
        <f>IF(Identification!B3=S.CAL!AY3,+Mars!DP24,+Mars!DP22)</f>
        <v>0</v>
      </c>
      <c r="O75" s="1033">
        <f>IF(Identification!B3=S.CAL!AY3,+Avril!DP24,+Avril!DP22)</f>
        <v>0</v>
      </c>
      <c r="R75" s="1033">
        <f>IF(Identification!B3=S.CAL!AY3,+Mai!DP24,+Mai!DP22)</f>
        <v>0</v>
      </c>
      <c r="U75" s="1033">
        <f>IF(Identification!B3=S.CAL!AY3,+Juin!DP24,+Juin!DP22)</f>
        <v>0</v>
      </c>
      <c r="X75" s="1033">
        <f>IF(Identification!B3=S.CAL!AY3,+Juillet!DP24,+Juillet!DP22)</f>
        <v>0</v>
      </c>
      <c r="AA75" s="1033">
        <f>IF(Identification!B3=S.CAL!AY3,+Aout!DP24,+Aout!DP22)</f>
        <v>0</v>
      </c>
      <c r="AD75" s="1033">
        <f>IF(Identification!B3=S.CAL!AY3,+Septembre!DP24,+Septembre!DP22)</f>
        <v>0</v>
      </c>
      <c r="AG75" s="1033">
        <f>IF(Identification!B3=S.CAL!AY3,+Octobre!DP24,+Octobre!DP22)</f>
        <v>0</v>
      </c>
      <c r="AJ75" s="1033">
        <f>IF(Identification!B3=S.CAL!AY3,+Novembre!DP24,+Novembre!DP22)</f>
        <v>0</v>
      </c>
      <c r="AM75" s="1033">
        <f>IF(Identification!B3=S.CAL!AY3,+Décembre!DP24,+Décembre!DP22)</f>
        <v>0</v>
      </c>
    </row>
    <row r="76" spans="1:39" s="640" customFormat="1" x14ac:dyDescent="0.2">
      <c r="A76" s="2377" t="str">
        <f>+A73</f>
        <v>Salaires perçus :</v>
      </c>
      <c r="B76" s="2377"/>
      <c r="C76" s="2377"/>
      <c r="F76" s="641">
        <f>SUM(F74:F75)</f>
        <v>0</v>
      </c>
      <c r="I76" s="641">
        <f>SUM(I74:I75)</f>
        <v>0</v>
      </c>
      <c r="L76" s="641">
        <f>SUM(L74:L75)</f>
        <v>0</v>
      </c>
      <c r="O76" s="641">
        <f>SUM(O74:O75)</f>
        <v>0</v>
      </c>
      <c r="R76" s="641">
        <f>SUM(R74:R75)</f>
        <v>0</v>
      </c>
      <c r="U76" s="641">
        <f>SUM(U74:U75)</f>
        <v>0</v>
      </c>
      <c r="X76" s="641">
        <f>SUM(X74:X75)</f>
        <v>0</v>
      </c>
      <c r="AA76" s="641">
        <f>SUM(AA74:AA75)</f>
        <v>0</v>
      </c>
      <c r="AD76" s="641">
        <f>SUM(AD74:AD75)</f>
        <v>0</v>
      </c>
      <c r="AG76" s="641">
        <f>SUM(AG74:AG75)</f>
        <v>0</v>
      </c>
      <c r="AJ76" s="641">
        <f>SUM(AJ74:AJ75)</f>
        <v>0</v>
      </c>
      <c r="AM76" s="641">
        <f>SUM(AM74:AM75)</f>
        <v>0</v>
      </c>
    </row>
    <row r="77" spans="1:39" x14ac:dyDescent="0.2">
      <c r="F77" s="355"/>
      <c r="I77" s="355"/>
      <c r="L77" s="355"/>
      <c r="O77" s="355"/>
      <c r="R77" s="355"/>
      <c r="U77" s="355"/>
      <c r="X77" s="355"/>
      <c r="AA77" s="355"/>
      <c r="AD77" s="355"/>
      <c r="AG77" s="355"/>
      <c r="AJ77" s="355"/>
      <c r="AM77" s="355"/>
    </row>
    <row r="78" spans="1:39" s="19" customFormat="1" x14ac:dyDescent="0.2">
      <c r="A78" s="2324" t="s">
        <v>777</v>
      </c>
      <c r="B78" s="2324"/>
      <c r="C78" s="2324"/>
      <c r="F78" s="431">
        <f ca="1">ROUND(F71-F76,2)</f>
        <v>0</v>
      </c>
      <c r="G78" s="64"/>
      <c r="H78" s="64"/>
      <c r="I78" s="431">
        <f>ROUND(I71-I76,2)</f>
        <v>0</v>
      </c>
      <c r="J78" s="64"/>
      <c r="K78" s="64"/>
      <c r="L78" s="431">
        <f>ROUND(L71-L76,2)</f>
        <v>0</v>
      </c>
      <c r="M78" s="64"/>
      <c r="N78" s="64"/>
      <c r="O78" s="431">
        <f>ROUND(O71-O76,2)</f>
        <v>0</v>
      </c>
      <c r="P78" s="64"/>
      <c r="Q78" s="64"/>
      <c r="R78" s="431">
        <f>ROUND(R71-R76,2)</f>
        <v>0</v>
      </c>
      <c r="S78" s="64"/>
      <c r="T78" s="64"/>
      <c r="U78" s="431">
        <f>ROUND(U71-U76,2)</f>
        <v>0</v>
      </c>
      <c r="V78" s="64"/>
      <c r="W78" s="64"/>
      <c r="X78" s="431">
        <f>ROUND(X71-X76,2)</f>
        <v>0</v>
      </c>
      <c r="Y78" s="64"/>
      <c r="Z78" s="64"/>
      <c r="AA78" s="431">
        <f>ROUND(AA71-AA76,2)</f>
        <v>0</v>
      </c>
      <c r="AB78" s="64"/>
      <c r="AC78" s="64"/>
      <c r="AD78" s="431">
        <f>ROUND(AD71-AD76,2)</f>
        <v>0</v>
      </c>
      <c r="AE78" s="64"/>
      <c r="AF78" s="64"/>
      <c r="AG78" s="431">
        <f>ROUND(AG71-AG76,2)</f>
        <v>0</v>
      </c>
      <c r="AH78" s="64"/>
      <c r="AI78" s="64"/>
      <c r="AJ78" s="431">
        <f>ROUND(AJ71-AJ76,2)</f>
        <v>0</v>
      </c>
      <c r="AK78" s="64"/>
      <c r="AL78" s="64"/>
      <c r="AM78" s="431">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341" t="s">
        <v>778</v>
      </c>
      <c r="B80" s="2341"/>
      <c r="C80" s="2341"/>
      <c r="F80" s="501">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341" t="s">
        <v>859</v>
      </c>
      <c r="B81" s="2341"/>
      <c r="C81" s="2341"/>
      <c r="F81" s="1313"/>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341" t="s">
        <v>779</v>
      </c>
      <c r="B82" s="2341"/>
      <c r="C82" s="2341"/>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341" t="s">
        <v>145</v>
      </c>
      <c r="B84" s="2341"/>
      <c r="C84" s="2341"/>
      <c r="F84" s="1613" t="str">
        <f>+Janvier!AD135</f>
        <v>NON</v>
      </c>
      <c r="I84" s="1613" t="str">
        <f>+Février!AD135</f>
        <v>NON</v>
      </c>
      <c r="L84" s="1613" t="str">
        <f>+Mars!AD135</f>
        <v>NON</v>
      </c>
      <c r="O84" s="1613" t="str">
        <f>+Avril!AD135</f>
        <v>NON</v>
      </c>
      <c r="R84" s="1613" t="str">
        <f>+Mai!AD135</f>
        <v>NON</v>
      </c>
      <c r="U84" s="1613" t="str">
        <f>+Juin!AD135</f>
        <v>NON</v>
      </c>
      <c r="X84" s="1613" t="str">
        <f>+Juillet!AD135</f>
        <v>NON</v>
      </c>
      <c r="AA84" s="1613" t="str">
        <f>+Aout!AD135</f>
        <v>NON</v>
      </c>
      <c r="AD84" s="1613" t="str">
        <f>+Septembre!AD135</f>
        <v>NON</v>
      </c>
      <c r="AG84" s="1613" t="str">
        <f>+Octobre!AD135</f>
        <v>NON</v>
      </c>
      <c r="AJ84" s="1613" t="str">
        <f>+Novembre!AD135</f>
        <v>NON</v>
      </c>
      <c r="AM84" s="1613" t="str">
        <f>+Décembre!AD135</f>
        <v>NON</v>
      </c>
    </row>
    <row r="85" spans="1:39" x14ac:dyDescent="0.2">
      <c r="A85" s="2341"/>
      <c r="B85" s="2341"/>
      <c r="C85" s="2341"/>
      <c r="F85" s="27"/>
      <c r="I85" s="27"/>
      <c r="L85" s="27"/>
      <c r="O85" s="27"/>
      <c r="R85" s="27"/>
      <c r="U85" s="27"/>
      <c r="X85" s="27"/>
      <c r="AA85" s="27"/>
      <c r="AD85" s="27"/>
      <c r="AG85" s="27"/>
      <c r="AJ85" s="27"/>
      <c r="AM85" s="27"/>
    </row>
    <row r="87" spans="1:39" s="1312" customFormat="1" x14ac:dyDescent="0.2">
      <c r="A87" s="2376" t="s">
        <v>1728</v>
      </c>
      <c r="B87" s="2376"/>
      <c r="C87" s="2376"/>
      <c r="F87" s="1312">
        <f>IF(Janvier!L31&lt;&gt;"",Janvier!L31,IF(AND(F84="OUI",OR(Janvier!L31="",Janvier!L31="")),F82,0))</f>
        <v>0</v>
      </c>
      <c r="I87" s="1312">
        <f>IF(Février!L31&lt;&gt;"",Février!L31,IF(AND(I84="OUI",OR(Février!L31="",Février!L31="")),I82,0))</f>
        <v>0</v>
      </c>
      <c r="L87" s="1312">
        <f>IF(Mars!L31&lt;&gt;"",Mars!L31,IF(AND(L84="OUI",OR(Mars!L31="",Mars!L31="")),L82,0))</f>
        <v>0</v>
      </c>
      <c r="O87" s="1312">
        <f>IF(Avril!L31&lt;&gt;"",Avril!L31,IF(AND(O84="OUI",OR(Avril!L31="",Avril!L31="")),O82,0))</f>
        <v>0</v>
      </c>
      <c r="R87" s="1312">
        <f>IF(Mai!L31&lt;&gt;"",Mai!L31,IF(AND(R84="OUI",OR(Mai!L31="",Mai!L31="")),R82,0))</f>
        <v>0</v>
      </c>
      <c r="U87" s="1312">
        <f>IF(Juin!L31&lt;&gt;"",Juin!L31,IF(AND(U84="OUI",OR(Juin!L31="",Juin!L31="")),U82,0))</f>
        <v>0</v>
      </c>
      <c r="X87" s="1312">
        <f>IF(Juillet!L31&lt;&gt;"",Juillet!L31,IF(AND(X84="OUI",OR(Juillet!L31="",Juillet!L31="")),X82,0))</f>
        <v>0</v>
      </c>
      <c r="AA87" s="1312">
        <f>IF(Aout!L31&lt;&gt;"",Aout!L31,IF(AND(AA84="OUI",OR(Aout!L31="",Aout!L31="")),AA82,0))</f>
        <v>0</v>
      </c>
      <c r="AD87" s="1312">
        <f>IF(Septembre!L31&lt;&gt;"",Septembre!L31,IF(AND(AD84="OUI",OR(Septembre!L31="",Septembre!L31="")),AD82,0))</f>
        <v>0</v>
      </c>
      <c r="AG87" s="1312">
        <f>IF(Octobre!L31&lt;&gt;"",Octobre!L31,IF(AND(AG84="OUI",OR(Octobre!L31="",Octobre!L31="")),AG82,0))</f>
        <v>0</v>
      </c>
      <c r="AJ87" s="1312">
        <f>IF(Novembre!L31&lt;&gt;"",Novembre!L31,IF(AND(AJ84="OUI",OR(Novembre!L31="",Novembre!L31="")),AJ82,0))</f>
        <v>0</v>
      </c>
      <c r="AM87" s="1312">
        <f>IF(Décembre!L31&lt;&gt;"",Décembre!L31,IF(AND(AM84="OUI",OR(Décembre!L31="",Décembre!L31="")),AM82,0))</f>
        <v>0</v>
      </c>
    </row>
    <row r="89" spans="1:39" s="64" customFormat="1" x14ac:dyDescent="0.2">
      <c r="A89" s="2375" t="s">
        <v>780</v>
      </c>
      <c r="B89" s="2375"/>
      <c r="C89" s="2375"/>
      <c r="F89" s="874">
        <f ca="1">ROUND(+F82-F87,2)</f>
        <v>0</v>
      </c>
      <c r="I89" s="874">
        <f ca="1">ROUND(+I82-I87,2)</f>
        <v>0</v>
      </c>
      <c r="L89" s="874">
        <f ca="1">ROUND(+L82-L87,2)</f>
        <v>0</v>
      </c>
      <c r="O89" s="874">
        <f ca="1">ROUND(+O82-O87,2)</f>
        <v>0</v>
      </c>
      <c r="R89" s="874">
        <f ca="1">ROUND(+R82-R87,2)</f>
        <v>0</v>
      </c>
      <c r="U89" s="874">
        <f ca="1">ROUND(+U82-U87,2)</f>
        <v>0</v>
      </c>
      <c r="X89" s="874">
        <f ca="1">ROUND(+X82-X87,2)</f>
        <v>0</v>
      </c>
      <c r="AA89" s="874">
        <f ca="1">ROUND(+AA82-AA87,2)</f>
        <v>0</v>
      </c>
      <c r="AD89" s="874">
        <f ca="1">ROUND(+AD82-AD87,2)</f>
        <v>0</v>
      </c>
      <c r="AG89" s="874">
        <f ca="1">ROUND(+AG82-AG87,2)</f>
        <v>0</v>
      </c>
      <c r="AJ89" s="874">
        <f ca="1">ROUND(+AJ82-AJ87,2)</f>
        <v>0</v>
      </c>
      <c r="AM89" s="442">
        <f ca="1">ROUND(+AM82-AM87,2)</f>
        <v>0</v>
      </c>
    </row>
    <row r="91" spans="1:39" x14ac:dyDescent="0.2">
      <c r="A91" s="2341" t="s">
        <v>1399</v>
      </c>
      <c r="B91" s="2341"/>
      <c r="C91" s="2341"/>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341" t="s">
        <v>855</v>
      </c>
      <c r="B92" s="2341"/>
      <c r="C92" s="2341"/>
      <c r="F92" s="467">
        <f>IF($I$101="OUI",+Janvier!DP12,0)</f>
        <v>0.1</v>
      </c>
      <c r="G92" s="467"/>
      <c r="H92" s="467"/>
      <c r="I92" s="467">
        <f>IF($I$101="OUI",+Février!DP12,0)</f>
        <v>0.1</v>
      </c>
      <c r="J92" s="467"/>
      <c r="K92" s="467"/>
      <c r="L92" s="467">
        <f>IF($I$101="OUI",+Mars!DP12,0)</f>
        <v>0.1</v>
      </c>
      <c r="M92" s="467"/>
      <c r="N92" s="467"/>
      <c r="O92" s="467">
        <f>IF($I$101="OUI",+Avril!DP12,0)</f>
        <v>0.1</v>
      </c>
      <c r="P92" s="467"/>
      <c r="Q92" s="467"/>
      <c r="R92" s="467">
        <f>IF($I$101="OUI",+Mai!DP12,0)</f>
        <v>0.1</v>
      </c>
      <c r="S92" s="467"/>
      <c r="T92" s="467"/>
      <c r="U92" s="467">
        <f>IF($I$101="OUI",+Juin!DP12,0)</f>
        <v>0.1</v>
      </c>
      <c r="V92" s="467"/>
      <c r="W92" s="467"/>
      <c r="X92" s="467">
        <f>IF($I$101="OUI",+Juillet!DP12,0)</f>
        <v>0.1</v>
      </c>
      <c r="Y92" s="467"/>
      <c r="Z92" s="467"/>
      <c r="AA92" s="467">
        <f>IF($I$101="OUI",+Aout!DP12,0)</f>
        <v>0.1</v>
      </c>
      <c r="AB92" s="467"/>
      <c r="AC92" s="467"/>
      <c r="AD92" s="467">
        <f>IF($I$101="OUI",+Septembre!DP12,0)</f>
        <v>0.1</v>
      </c>
      <c r="AE92" s="467"/>
      <c r="AF92" s="467"/>
      <c r="AG92" s="467">
        <f>IF($I$101="OUI",+Octobre!DP12,0)</f>
        <v>0.1</v>
      </c>
      <c r="AH92" s="467"/>
      <c r="AI92" s="467"/>
      <c r="AJ92" s="467">
        <f>IF($I$101="OUI",+Novembre!DP12,0)</f>
        <v>0.1</v>
      </c>
      <c r="AK92" s="467"/>
      <c r="AL92" s="467"/>
      <c r="AM92" s="467">
        <f>IF($I$101="OUI",+Décembre!DP12,0)</f>
        <v>0.1</v>
      </c>
    </row>
    <row r="93" spans="1:39" hidden="1" x14ac:dyDescent="0.2">
      <c r="A93" s="2341" t="s">
        <v>854</v>
      </c>
      <c r="B93" s="2341"/>
      <c r="C93" s="2341"/>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374" t="s">
        <v>147</v>
      </c>
      <c r="B95" s="2374"/>
      <c r="C95" s="2374"/>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373" t="s">
        <v>1729</v>
      </c>
      <c r="B96" s="2373"/>
      <c r="C96" s="2373"/>
      <c r="D96" s="1509"/>
      <c r="E96" s="1509"/>
      <c r="F96" s="1614">
        <f>+IF(F95&gt;0,F95,0)</f>
        <v>0</v>
      </c>
      <c r="G96" s="1615"/>
      <c r="H96" s="1615"/>
      <c r="I96" s="1614">
        <f>+IF(I95&gt;0,I95,0)</f>
        <v>0</v>
      </c>
      <c r="J96" s="1615"/>
      <c r="K96" s="1615"/>
      <c r="L96" s="1614">
        <f>+IF(L95&gt;0,L95,0)</f>
        <v>0</v>
      </c>
      <c r="M96" s="1615"/>
      <c r="N96" s="1615"/>
      <c r="O96" s="1614">
        <f>+IF(O95&gt;0,O95,0)</f>
        <v>0</v>
      </c>
      <c r="P96" s="1615"/>
      <c r="Q96" s="1615"/>
      <c r="R96" s="1614">
        <f>+IF(R95&gt;0,R95,0)</f>
        <v>0</v>
      </c>
      <c r="S96" s="1615"/>
      <c r="T96" s="1615"/>
      <c r="U96" s="1614">
        <f>+IF(U95&gt;0,U95,0)</f>
        <v>0</v>
      </c>
      <c r="V96" s="1615"/>
      <c r="W96" s="1615"/>
      <c r="X96" s="1614">
        <f>+IF(X95&gt;0,X95,0)</f>
        <v>0</v>
      </c>
      <c r="Y96" s="1615"/>
      <c r="Z96" s="1615"/>
      <c r="AA96" s="1614">
        <f>+IF(AA95&gt;0,AA95,0)</f>
        <v>0</v>
      </c>
      <c r="AB96" s="1615"/>
      <c r="AC96" s="1615"/>
      <c r="AD96" s="1614">
        <f>+IF(AD95&gt;0,AD95,0)</f>
        <v>0</v>
      </c>
      <c r="AE96" s="1615"/>
      <c r="AF96" s="1615"/>
      <c r="AG96" s="1614">
        <f>+IF(AG95&gt;0,AG95,0)</f>
        <v>0</v>
      </c>
      <c r="AH96" s="1615"/>
      <c r="AI96" s="1615"/>
      <c r="AJ96" s="1614">
        <f>+IF(AJ95&gt;0,AJ95,0)</f>
        <v>0</v>
      </c>
      <c r="AK96" s="1615"/>
      <c r="AL96" s="1615"/>
      <c r="AM96" s="1614">
        <f>+IF(AM95&gt;0,AM95,0)</f>
        <v>0</v>
      </c>
    </row>
    <row r="100" spans="5:9" x14ac:dyDescent="0.2">
      <c r="E100" s="24"/>
      <c r="F100" s="24"/>
      <c r="G100" s="24"/>
      <c r="H100" s="24"/>
      <c r="I100" s="24"/>
    </row>
    <row r="101" spans="5:9" x14ac:dyDescent="0.2">
      <c r="E101" s="24"/>
      <c r="F101" s="24"/>
      <c r="G101" s="24"/>
      <c r="H101" s="183" t="s">
        <v>867</v>
      </c>
      <c r="I101" s="984" t="s">
        <v>438</v>
      </c>
    </row>
  </sheetData>
  <sheetProtection algorithmName="SHA-512" hashValue="XP1Yfg/JSWGa856S2HW36DfxwWV14JgEIskNXiu/UstbRi+tJSyLqCXry73TQEJNuEArQgpgjgimD5g6lOlKLQ==" saltValue="I3/g4XmeQuanIs3OGzv++w==" spinCount="100000" sheet="1" objects="1" scenarios="1" formatCells="0" formatColumns="0" formatRows="0" insertColumns="0" insertRows="0" insertHyperlinks="0" sort="0" autoFilter="0" pivotTables="0"/>
  <mergeCells count="74">
    <mergeCell ref="A68:C68"/>
    <mergeCell ref="A42:C42"/>
    <mergeCell ref="A44:C44"/>
    <mergeCell ref="A45:C45"/>
    <mergeCell ref="A50:C50"/>
    <mergeCell ref="A51:C51"/>
    <mergeCell ref="A52:C52"/>
    <mergeCell ref="A54:C54"/>
    <mergeCell ref="A55:C55"/>
    <mergeCell ref="A57:C57"/>
    <mergeCell ref="A59:C59"/>
    <mergeCell ref="A60:C60"/>
    <mergeCell ref="A74:C74"/>
    <mergeCell ref="A73:C73"/>
    <mergeCell ref="A71:C71"/>
    <mergeCell ref="A70:C70"/>
    <mergeCell ref="A69:C69"/>
    <mergeCell ref="A81:C81"/>
    <mergeCell ref="A80:C80"/>
    <mergeCell ref="A78:C78"/>
    <mergeCell ref="A75:C75"/>
    <mergeCell ref="A76:C76"/>
    <mergeCell ref="A89:C89"/>
    <mergeCell ref="A87:C87"/>
    <mergeCell ref="A85:C85"/>
    <mergeCell ref="A84:C84"/>
    <mergeCell ref="A82:C82"/>
    <mergeCell ref="A96:C96"/>
    <mergeCell ref="A95:C95"/>
    <mergeCell ref="A93:C93"/>
    <mergeCell ref="A92:C92"/>
    <mergeCell ref="A91:C91"/>
    <mergeCell ref="AN49:AP49"/>
    <mergeCell ref="V49:X49"/>
    <mergeCell ref="Y49:AA49"/>
    <mergeCell ref="AB49:AD49"/>
    <mergeCell ref="AE49:AG49"/>
    <mergeCell ref="AH49:AJ49"/>
    <mergeCell ref="AK49:AM49"/>
    <mergeCell ref="D49:F49"/>
    <mergeCell ref="G49:I49"/>
    <mergeCell ref="J49:L49"/>
    <mergeCell ref="M49:O49"/>
    <mergeCell ref="P49:R49"/>
    <mergeCell ref="S49:U49"/>
    <mergeCell ref="Y7:AA7"/>
    <mergeCell ref="AB7:AD7"/>
    <mergeCell ref="AE7:AG7"/>
    <mergeCell ref="AH7:AJ7"/>
    <mergeCell ref="AK7:AM7"/>
    <mergeCell ref="AN7:AP7"/>
    <mergeCell ref="D1:AM1"/>
    <mergeCell ref="P3:R3"/>
    <mergeCell ref="J5:L5"/>
    <mergeCell ref="D7:F7"/>
    <mergeCell ref="G7:I7"/>
    <mergeCell ref="J7:L7"/>
    <mergeCell ref="M7:O7"/>
    <mergeCell ref="P7:R7"/>
    <mergeCell ref="S7:U7"/>
    <mergeCell ref="V7:X7"/>
    <mergeCell ref="D67:F67"/>
    <mergeCell ref="G67:I67"/>
    <mergeCell ref="J67:L67"/>
    <mergeCell ref="M67:O67"/>
    <mergeCell ref="P67:R67"/>
    <mergeCell ref="AH67:AJ67"/>
    <mergeCell ref="AK67:AM67"/>
    <mergeCell ref="P65:R65"/>
    <mergeCell ref="S67:U67"/>
    <mergeCell ref="V67:X67"/>
    <mergeCell ref="Y67:AA67"/>
    <mergeCell ref="AB67:AD67"/>
    <mergeCell ref="AE67:AG67"/>
  </mergeCells>
  <conditionalFormatting sqref="F81">
    <cfRule type="notContainsBlanks" dxfId="2208" priority="1">
      <formula>LEN(TRIM(F81))&gt;0</formula>
    </cfRule>
  </conditionalFormatting>
  <conditionalFormatting sqref="F87">
    <cfRule type="expression" dxfId="2207" priority="2">
      <formula>$CA$3="OUI"</formula>
    </cfRule>
    <cfRule type="cellIs" dxfId="2206" priority="3" operator="greaterThan">
      <formula>0</formula>
    </cfRule>
    <cfRule type="cellIs" dxfId="2205" priority="4" operator="equal">
      <formula>0</formula>
    </cfRule>
  </conditionalFormatting>
  <conditionalFormatting sqref="G7:I96">
    <cfRule type="expression" dxfId="2204" priority="5">
      <formula>$CA$3="OUI"</formula>
    </cfRule>
  </conditionalFormatting>
  <conditionalFormatting sqref="I87">
    <cfRule type="cellIs" dxfId="2203" priority="6" operator="greaterThan">
      <formula>0</formula>
    </cfRule>
    <cfRule type="cellIs" dxfId="2202" priority="7" operator="equal">
      <formula>0</formula>
    </cfRule>
  </conditionalFormatting>
  <conditionalFormatting sqref="J87:K87">
    <cfRule type="expression" dxfId="2201" priority="39">
      <formula>$CB$3="OUI"</formula>
    </cfRule>
  </conditionalFormatting>
  <conditionalFormatting sqref="J7:L86 J88:L96">
    <cfRule type="expression" dxfId="2200" priority="72">
      <formula>$CB$3="OUI"</formula>
    </cfRule>
  </conditionalFormatting>
  <conditionalFormatting sqref="L87">
    <cfRule type="expression" dxfId="2199" priority="8">
      <formula>$CA$3="OUI"</formula>
    </cfRule>
    <cfRule type="cellIs" dxfId="2198" priority="9" operator="greaterThan">
      <formula>0</formula>
    </cfRule>
    <cfRule type="cellIs" dxfId="2197" priority="10" operator="equal">
      <formula>0</formula>
    </cfRule>
  </conditionalFormatting>
  <conditionalFormatting sqref="M87:N87">
    <cfRule type="expression" dxfId="2196" priority="40">
      <formula>$CC$3="OUI"</formula>
    </cfRule>
  </conditionalFormatting>
  <conditionalFormatting sqref="M7:O60 M67:O86 M88:O96">
    <cfRule type="expression" dxfId="2195" priority="73">
      <formula>$CC$3="OUI"</formula>
    </cfRule>
  </conditionalFormatting>
  <conditionalFormatting sqref="O87">
    <cfRule type="expression" dxfId="2194" priority="11">
      <formula>$CA$3="OUI"</formula>
    </cfRule>
    <cfRule type="cellIs" dxfId="2193" priority="12" operator="greaterThan">
      <formula>0</formula>
    </cfRule>
    <cfRule type="cellIs" dxfId="2192" priority="13" operator="equal">
      <formula>0</formula>
    </cfRule>
  </conditionalFormatting>
  <conditionalFormatting sqref="P87:Q87">
    <cfRule type="expression" dxfId="2191" priority="41">
      <formula>$CD$3="OUI"</formula>
    </cfRule>
  </conditionalFormatting>
  <conditionalFormatting sqref="P7:R60 P67:R86 P88:R96">
    <cfRule type="expression" dxfId="2190" priority="74">
      <formula>$CD$3="OUI"</formula>
    </cfRule>
  </conditionalFormatting>
  <conditionalFormatting sqref="R87">
    <cfRule type="expression" dxfId="2189" priority="14">
      <formula>$CA$3="OUI"</formula>
    </cfRule>
    <cfRule type="cellIs" dxfId="2188" priority="15" operator="greaterThan">
      <formula>0</formula>
    </cfRule>
    <cfRule type="cellIs" dxfId="2187" priority="16" operator="equal">
      <formula>0</formula>
    </cfRule>
  </conditionalFormatting>
  <conditionalFormatting sqref="S87:T87">
    <cfRule type="expression" dxfId="2186" priority="42">
      <formula>$CE$3="OUI"</formula>
    </cfRule>
  </conditionalFormatting>
  <conditionalFormatting sqref="S7:U86 S88:U96">
    <cfRule type="expression" dxfId="2185" priority="75">
      <formula>$CE$3="OUI"</formula>
    </cfRule>
  </conditionalFormatting>
  <conditionalFormatting sqref="U87">
    <cfRule type="expression" dxfId="2184" priority="17">
      <formula>$CA$3="OUI"</formula>
    </cfRule>
    <cfRule type="cellIs" dxfId="2183" priority="18" operator="greaterThan">
      <formula>0</formula>
    </cfRule>
    <cfRule type="cellIs" dxfId="2182" priority="19" operator="equal">
      <formula>0</formula>
    </cfRule>
  </conditionalFormatting>
  <conditionalFormatting sqref="V87:W87">
    <cfRule type="expression" dxfId="2181" priority="43">
      <formula>$CF$3="OUI"</formula>
    </cfRule>
  </conditionalFormatting>
  <conditionalFormatting sqref="V7:X86 V88:X96">
    <cfRule type="expression" dxfId="2180" priority="76">
      <formula>$CF$3="OUI"</formula>
    </cfRule>
  </conditionalFormatting>
  <conditionalFormatting sqref="X87">
    <cfRule type="expression" dxfId="2179" priority="20">
      <formula>$CA$3="OUI"</formula>
    </cfRule>
    <cfRule type="cellIs" dxfId="2178" priority="21" operator="greaterThan">
      <formula>0</formula>
    </cfRule>
    <cfRule type="cellIs" dxfId="2177" priority="22" operator="equal">
      <formula>0</formula>
    </cfRule>
  </conditionalFormatting>
  <conditionalFormatting sqref="Y87:Z87">
    <cfRule type="expression" dxfId="2176" priority="44">
      <formula>$CG$3="OUI"</formula>
    </cfRule>
  </conditionalFormatting>
  <conditionalFormatting sqref="Y7:AA86 Y88:AA96">
    <cfRule type="expression" dxfId="2175" priority="77">
      <formula>$CG$3="OUI"</formula>
    </cfRule>
  </conditionalFormatting>
  <conditionalFormatting sqref="AA87">
    <cfRule type="expression" dxfId="2174" priority="35">
      <formula>$CA$3="OUI"</formula>
    </cfRule>
    <cfRule type="cellIs" dxfId="2173" priority="37" operator="equal">
      <formula>0</formula>
    </cfRule>
    <cfRule type="cellIs" dxfId="2172" priority="36" operator="greaterThan">
      <formula>0</formula>
    </cfRule>
  </conditionalFormatting>
  <conditionalFormatting sqref="AB87:AC87">
    <cfRule type="expression" dxfId="2171" priority="45">
      <formula>$CH$3="OUI"</formula>
    </cfRule>
  </conditionalFormatting>
  <conditionalFormatting sqref="AB7:AD86 AB88:AD96">
    <cfRule type="expression" dxfId="2170" priority="78">
      <formula>$CH$3="OUI"</formula>
    </cfRule>
  </conditionalFormatting>
  <conditionalFormatting sqref="AD87">
    <cfRule type="cellIs" dxfId="2169" priority="34" operator="equal">
      <formula>0</formula>
    </cfRule>
    <cfRule type="expression" dxfId="2168" priority="32">
      <formula>$CA$3="OUI"</formula>
    </cfRule>
    <cfRule type="cellIs" dxfId="2167" priority="33" operator="greaterThan">
      <formula>0</formula>
    </cfRule>
  </conditionalFormatting>
  <conditionalFormatting sqref="AE87:AF87">
    <cfRule type="expression" dxfId="2166" priority="46">
      <formula>$CI$3="OUI"</formula>
    </cfRule>
  </conditionalFormatting>
  <conditionalFormatting sqref="AE7:AG86 AE88:AG96">
    <cfRule type="expression" dxfId="2165" priority="79">
      <formula>$CI$3="OUI"</formula>
    </cfRule>
  </conditionalFormatting>
  <conditionalFormatting sqref="AG87">
    <cfRule type="expression" dxfId="2164" priority="29">
      <formula>$CA$3="OUI"</formula>
    </cfRule>
    <cfRule type="cellIs" dxfId="2163" priority="30" operator="greaterThan">
      <formula>0</formula>
    </cfRule>
    <cfRule type="cellIs" dxfId="2162" priority="31" operator="equal">
      <formula>0</formula>
    </cfRule>
  </conditionalFormatting>
  <conditionalFormatting sqref="AH87:AI87">
    <cfRule type="expression" dxfId="2161" priority="47">
      <formula>$CJ$3="OUI"</formula>
    </cfRule>
  </conditionalFormatting>
  <conditionalFormatting sqref="AH7:AJ86 AH88:AJ96">
    <cfRule type="expression" dxfId="2160" priority="80">
      <formula>$CJ$3="OUI"</formula>
    </cfRule>
  </conditionalFormatting>
  <conditionalFormatting sqref="AJ87">
    <cfRule type="cellIs" dxfId="2159" priority="28" operator="equal">
      <formula>0</formula>
    </cfRule>
    <cfRule type="cellIs" dxfId="2158" priority="27" operator="greaterThan">
      <formula>0</formula>
    </cfRule>
    <cfRule type="expression" dxfId="2157" priority="26">
      <formula>$CA$3="OUI"</formula>
    </cfRule>
  </conditionalFormatting>
  <conditionalFormatting sqref="AK87:AL87">
    <cfRule type="expression" dxfId="2156" priority="48">
      <formula>$CK$3="OUI"</formula>
    </cfRule>
  </conditionalFormatting>
  <conditionalFormatting sqref="AK7:AM86 AK88:AM96">
    <cfRule type="expression" dxfId="2155" priority="81">
      <formula>$CK$3="OUI"</formula>
    </cfRule>
  </conditionalFormatting>
  <conditionalFormatting sqref="AM87">
    <cfRule type="cellIs" dxfId="2154" priority="25" operator="equal">
      <formula>0</formula>
    </cfRule>
    <cfRule type="cellIs" dxfId="2153" priority="24" operator="greaterThan">
      <formula>0</formula>
    </cfRule>
    <cfRule type="expression" dxfId="2152"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B7" sqref="B7"/>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57" t="s">
        <v>1457</v>
      </c>
    </row>
    <row r="2" spans="1:13" ht="18.75" thickBot="1" x14ac:dyDescent="0.3"/>
    <row r="3" spans="1:13" ht="18.75" thickTop="1" x14ac:dyDescent="0.25">
      <c r="A3" s="1643" t="s">
        <v>1135</v>
      </c>
      <c r="B3" s="1644"/>
      <c r="C3" s="1644"/>
      <c r="D3" s="1644"/>
      <c r="E3" s="1645"/>
      <c r="H3" s="1646" t="s">
        <v>1139</v>
      </c>
      <c r="I3" s="1647"/>
      <c r="J3" s="1647"/>
      <c r="K3" s="1647"/>
      <c r="L3" s="1648"/>
      <c r="M3" s="358"/>
    </row>
    <row r="4" spans="1:13" x14ac:dyDescent="0.25">
      <c r="A4" s="698"/>
      <c r="E4" s="699"/>
      <c r="H4" s="703"/>
      <c r="L4" s="704"/>
    </row>
    <row r="5" spans="1:13" x14ac:dyDescent="0.25">
      <c r="A5" s="698"/>
      <c r="B5" s="543" t="s">
        <v>1136</v>
      </c>
      <c r="C5" s="543"/>
      <c r="D5" s="543" t="s">
        <v>1134</v>
      </c>
      <c r="E5" s="699"/>
      <c r="H5" s="703"/>
      <c r="I5" s="543" t="s">
        <v>1140</v>
      </c>
      <c r="J5" s="543"/>
      <c r="K5" s="543" t="s">
        <v>1141</v>
      </c>
      <c r="L5" s="704"/>
    </row>
    <row r="6" spans="1:13" ht="18.75" thickBot="1" x14ac:dyDescent="0.3">
      <c r="A6" s="698"/>
      <c r="E6" s="699"/>
      <c r="H6" s="703"/>
      <c r="L6" s="704"/>
    </row>
    <row r="7" spans="1:13" ht="18.75" thickBot="1" x14ac:dyDescent="0.3">
      <c r="A7" s="698"/>
      <c r="B7" s="1071"/>
      <c r="C7" s="697" t="s">
        <v>1137</v>
      </c>
      <c r="D7" s="695">
        <f>+B7*100/60</f>
        <v>0</v>
      </c>
      <c r="E7" s="699"/>
      <c r="H7" s="703"/>
      <c r="I7" s="1073"/>
      <c r="J7" s="697" t="s">
        <v>1137</v>
      </c>
      <c r="K7" s="709">
        <f>+I7*J12</f>
        <v>0</v>
      </c>
      <c r="L7" s="704"/>
    </row>
    <row r="8" spans="1:13" ht="18.75" thickBot="1" x14ac:dyDescent="0.3">
      <c r="A8" s="698"/>
      <c r="E8" s="699"/>
      <c r="H8" s="703"/>
      <c r="L8" s="704"/>
    </row>
    <row r="9" spans="1:13" ht="18.75" thickBot="1" x14ac:dyDescent="0.3">
      <c r="A9" s="698"/>
      <c r="B9" s="696">
        <f>+D9*0.6</f>
        <v>0</v>
      </c>
      <c r="C9" s="697" t="s">
        <v>1138</v>
      </c>
      <c r="D9" s="1072"/>
      <c r="E9" s="699"/>
      <c r="H9" s="703"/>
      <c r="I9" s="709">
        <f>+K9/J12</f>
        <v>0</v>
      </c>
      <c r="J9" s="697" t="s">
        <v>1138</v>
      </c>
      <c r="K9" s="1073"/>
      <c r="L9" s="704"/>
    </row>
    <row r="10" spans="1:13" ht="18.75" thickBot="1" x14ac:dyDescent="0.3">
      <c r="A10" s="700"/>
      <c r="B10" s="701"/>
      <c r="C10" s="701"/>
      <c r="D10" s="701"/>
      <c r="E10" s="702"/>
      <c r="H10" s="703"/>
      <c r="L10" s="704"/>
    </row>
    <row r="11" spans="1:13" ht="18.75" thickTop="1" x14ac:dyDescent="0.25">
      <c r="H11" s="703"/>
      <c r="L11" s="704"/>
    </row>
    <row r="12" spans="1:13" ht="18.75" thickBot="1" x14ac:dyDescent="0.3">
      <c r="H12" s="703"/>
      <c r="I12" s="29" t="s">
        <v>1147</v>
      </c>
      <c r="J12" s="969">
        <f>IF(J13="NON",+Identification!$B$71,VLOOKUP(K13,Identification!A78:B81,2,FALSE))</f>
        <v>0.78120000000000001</v>
      </c>
      <c r="K12" s="27" t="s">
        <v>1524</v>
      </c>
      <c r="L12" s="704"/>
    </row>
    <row r="13" spans="1:13" ht="18.75" thickTop="1" x14ac:dyDescent="0.25">
      <c r="A13" s="1646" t="s">
        <v>1139</v>
      </c>
      <c r="B13" s="1647"/>
      <c r="C13" s="1647"/>
      <c r="D13" s="1647"/>
      <c r="E13" s="1648"/>
      <c r="H13" s="703"/>
      <c r="I13" s="29" t="s">
        <v>1142</v>
      </c>
      <c r="J13" s="708" t="s">
        <v>146</v>
      </c>
      <c r="K13" s="1311">
        <v>44927</v>
      </c>
      <c r="L13" s="704"/>
    </row>
    <row r="14" spans="1:13" ht="18.75" thickBot="1" x14ac:dyDescent="0.3">
      <c r="A14" s="967"/>
      <c r="B14" s="358"/>
      <c r="C14" s="358" t="s">
        <v>1324</v>
      </c>
      <c r="D14" s="358"/>
      <c r="E14" s="968"/>
      <c r="H14" s="705"/>
      <c r="I14" s="706"/>
      <c r="J14" s="706"/>
      <c r="K14" s="706"/>
      <c r="L14" s="707"/>
    </row>
    <row r="15" spans="1:13" ht="19.5" thickTop="1" thickBot="1" x14ac:dyDescent="0.3">
      <c r="A15" s="1649" t="s">
        <v>1143</v>
      </c>
      <c r="B15" s="1650"/>
      <c r="C15" s="1650"/>
      <c r="D15" s="1650"/>
      <c r="E15" s="1651"/>
    </row>
    <row r="16" spans="1:13" ht="18.75" thickTop="1" x14ac:dyDescent="0.25">
      <c r="A16" s="703"/>
      <c r="C16" s="1628">
        <v>0.25</v>
      </c>
      <c r="E16" s="704"/>
      <c r="H16" s="1646" t="s">
        <v>1139</v>
      </c>
      <c r="I16" s="1647"/>
      <c r="J16" s="1647"/>
      <c r="K16" s="1647"/>
      <c r="L16" s="1648"/>
    </row>
    <row r="17" spans="1:12" x14ac:dyDescent="0.25">
      <c r="A17" s="703"/>
      <c r="D17" s="710" t="s">
        <v>1146</v>
      </c>
      <c r="E17" s="704"/>
      <c r="H17" s="1649" t="s">
        <v>1143</v>
      </c>
      <c r="I17" s="1650"/>
      <c r="J17" s="1650"/>
      <c r="K17" s="1650"/>
      <c r="L17" s="1651"/>
    </row>
    <row r="18" spans="1:12" x14ac:dyDescent="0.25">
      <c r="A18" s="703"/>
      <c r="B18" s="140" t="s">
        <v>924</v>
      </c>
      <c r="C18" s="1074">
        <v>0</v>
      </c>
      <c r="D18" s="1075" t="s">
        <v>1342</v>
      </c>
      <c r="E18" s="704"/>
      <c r="H18" s="703"/>
      <c r="J18" s="1628">
        <v>0.25</v>
      </c>
      <c r="L18" s="704"/>
    </row>
    <row r="19" spans="1:12" x14ac:dyDescent="0.25">
      <c r="A19" s="703"/>
      <c r="E19" s="704"/>
      <c r="H19" s="703"/>
      <c r="K19" s="710" t="s">
        <v>1146</v>
      </c>
      <c r="L19" s="704"/>
    </row>
    <row r="20" spans="1:12" x14ac:dyDescent="0.25">
      <c r="A20" s="703"/>
      <c r="B20" s="543" t="s">
        <v>1140</v>
      </c>
      <c r="C20" s="543"/>
      <c r="D20" s="543" t="s">
        <v>1141</v>
      </c>
      <c r="E20" s="704"/>
      <c r="H20" s="703"/>
      <c r="I20" s="140" t="s">
        <v>924</v>
      </c>
      <c r="J20" s="1074">
        <v>0</v>
      </c>
      <c r="K20" s="1075" t="s">
        <v>1145</v>
      </c>
      <c r="L20" s="704"/>
    </row>
    <row r="21" spans="1:12" ht="18.75" thickBot="1" x14ac:dyDescent="0.3">
      <c r="A21" s="703"/>
      <c r="C21" s="543" t="s">
        <v>1144</v>
      </c>
      <c r="E21" s="704"/>
      <c r="H21" s="703"/>
      <c r="L21" s="704"/>
    </row>
    <row r="22" spans="1:12" ht="18.75" thickBot="1" x14ac:dyDescent="0.3">
      <c r="A22" s="703"/>
      <c r="B22" s="709">
        <f>IF(D18="Brut",C18*(1+C16),IF(D18="Net",C18/C24*(1+C16),0))</f>
        <v>0</v>
      </c>
      <c r="C22" s="697"/>
      <c r="D22" s="709">
        <f>B22*C24</f>
        <v>0</v>
      </c>
      <c r="E22" s="704"/>
      <c r="H22" s="703"/>
      <c r="I22" s="543" t="s">
        <v>1140</v>
      </c>
      <c r="J22" s="543"/>
      <c r="K22" s="543" t="s">
        <v>1141</v>
      </c>
      <c r="L22" s="704"/>
    </row>
    <row r="23" spans="1:12" ht="18.75" thickBot="1" x14ac:dyDescent="0.3">
      <c r="A23" s="703"/>
      <c r="E23" s="704"/>
      <c r="H23" s="703"/>
      <c r="J23" s="543" t="s">
        <v>1144</v>
      </c>
      <c r="L23" s="704"/>
    </row>
    <row r="24" spans="1:12" ht="18.75" thickBot="1" x14ac:dyDescent="0.3">
      <c r="A24" s="703"/>
      <c r="B24" s="29" t="s">
        <v>1147</v>
      </c>
      <c r="C24" s="969">
        <f>IF(C25="NON",+Identification!$B$71+0.1131,VLOOKUP(D25,Identification!A78:B81,2,TRUE)+0.1131)</f>
        <v>0.89429999999999998</v>
      </c>
      <c r="D24" s="27" t="s">
        <v>1524</v>
      </c>
      <c r="E24" s="704"/>
      <c r="H24" s="703"/>
      <c r="I24" s="709">
        <f>IF(K20="Brut",J20*(1+J18),IF(K20="Net",J20/J26*(1+J18),0))</f>
        <v>0</v>
      </c>
      <c r="J24" s="697"/>
      <c r="K24" s="709">
        <f>I24*J26</f>
        <v>0</v>
      </c>
      <c r="L24" s="704"/>
    </row>
    <row r="25" spans="1:12" x14ac:dyDescent="0.25">
      <c r="A25" s="703"/>
      <c r="B25" s="29" t="s">
        <v>1142</v>
      </c>
      <c r="C25" s="708" t="s">
        <v>146</v>
      </c>
      <c r="D25" s="1311">
        <v>44927</v>
      </c>
      <c r="E25" s="704"/>
      <c r="H25" s="703"/>
      <c r="L25" s="704"/>
    </row>
    <row r="26" spans="1:12" ht="18.75" thickBot="1" x14ac:dyDescent="0.3">
      <c r="A26" s="1640" t="s">
        <v>1325</v>
      </c>
      <c r="B26" s="1641"/>
      <c r="C26" s="1641"/>
      <c r="D26" s="1641"/>
      <c r="E26" s="1642"/>
      <c r="H26" s="703"/>
      <c r="I26" s="29" t="s">
        <v>1147</v>
      </c>
      <c r="J26" s="969">
        <f>IF(J27="NON",+Identification!$B$71,VLOOKUP(K27,Identification!A78:B81,2,FALSE))</f>
        <v>0.78120000000000001</v>
      </c>
      <c r="K26" s="27" t="s">
        <v>1524</v>
      </c>
      <c r="L26" s="704"/>
    </row>
    <row r="27" spans="1:12" ht="18.75" thickTop="1" x14ac:dyDescent="0.25">
      <c r="H27" s="703"/>
      <c r="I27" s="29" t="s">
        <v>1142</v>
      </c>
      <c r="J27" s="708" t="s">
        <v>146</v>
      </c>
      <c r="K27" s="1311">
        <v>44927</v>
      </c>
      <c r="L27" s="704"/>
    </row>
    <row r="28" spans="1:12" ht="18.75" thickBot="1" x14ac:dyDescent="0.3">
      <c r="H28" s="705"/>
      <c r="I28" s="706"/>
      <c r="J28" s="706"/>
      <c r="K28" s="706"/>
      <c r="L28" s="707"/>
    </row>
    <row r="29" spans="1:12" ht="18.75" thickTop="1" x14ac:dyDescent="0.25"/>
  </sheetData>
  <sheetProtection algorithmName="SHA-512" hashValue="4BGhaAyi44C+zfTuyY/jEkBqOr5cx8SAzlr0g/zaOZOAx/SyigF6MYi0mSTN5vfUV06H8iLuS9J/ODDJ4AXnQw==" saltValue="izhOC69/QuGkNeEDe+bsOQ==" spinCount="100000" sheet="1" objects="1" scenarios="1" formatCells="0" formatColumns="0" formatRows="0" insertColumns="0" insertRows="0" insertHyperlinks="0" sort="0" autoFilter="0" pivotTables="0"/>
  <mergeCells count="7">
    <mergeCell ref="A26:E26"/>
    <mergeCell ref="A3:E3"/>
    <mergeCell ref="H3:L3"/>
    <mergeCell ref="H16:L16"/>
    <mergeCell ref="H17:L17"/>
    <mergeCell ref="A13:E13"/>
    <mergeCell ref="A15:E15"/>
  </mergeCells>
  <conditionalFormatting sqref="B7">
    <cfRule type="cellIs" dxfId="1713" priority="8" operator="greaterThan">
      <formula>0</formula>
    </cfRule>
  </conditionalFormatting>
  <conditionalFormatting sqref="B20:B22">
    <cfRule type="expression" dxfId="1712" priority="33">
      <formula>$D$18="Brut"</formula>
    </cfRule>
  </conditionalFormatting>
  <conditionalFormatting sqref="C16">
    <cfRule type="cellIs" dxfId="1711" priority="4" operator="greaterThan">
      <formula>0</formula>
    </cfRule>
  </conditionalFormatting>
  <conditionalFormatting sqref="C18">
    <cfRule type="cellIs" dxfId="1710" priority="3" operator="greaterThan">
      <formula>0</formula>
    </cfRule>
  </conditionalFormatting>
  <conditionalFormatting sqref="D9">
    <cfRule type="cellIs" dxfId="1709" priority="7" operator="greaterThan">
      <formula>0</formula>
    </cfRule>
  </conditionalFormatting>
  <conditionalFormatting sqref="D20:D22">
    <cfRule type="expression" dxfId="1708" priority="32">
      <formula>$D$18="NET"</formula>
    </cfRule>
  </conditionalFormatting>
  <conditionalFormatting sqref="D24:D25">
    <cfRule type="expression" dxfId="1707" priority="28">
      <formula>$C$25="NON"</formula>
    </cfRule>
  </conditionalFormatting>
  <conditionalFormatting sqref="I7">
    <cfRule type="cellIs" dxfId="1706" priority="6" operator="greaterThan">
      <formula>0</formula>
    </cfRule>
  </conditionalFormatting>
  <conditionalFormatting sqref="I22:I24">
    <cfRule type="expression" dxfId="1705" priority="35">
      <formula>$K$20="Brut"</formula>
    </cfRule>
  </conditionalFormatting>
  <conditionalFormatting sqref="J18">
    <cfRule type="cellIs" dxfId="1704" priority="2" operator="greaterThan">
      <formula>0</formula>
    </cfRule>
  </conditionalFormatting>
  <conditionalFormatting sqref="J20">
    <cfRule type="cellIs" dxfId="1703" priority="1" operator="greaterThan">
      <formula>0</formula>
    </cfRule>
  </conditionalFormatting>
  <conditionalFormatting sqref="K9">
    <cfRule type="cellIs" dxfId="1702" priority="5" operator="greaterThan">
      <formula>0</formula>
    </cfRule>
  </conditionalFormatting>
  <conditionalFormatting sqref="K12:K13">
    <cfRule type="expression" dxfId="1701" priority="26">
      <formula>$J$13="NON"</formula>
    </cfRule>
  </conditionalFormatting>
  <conditionalFormatting sqref="K22:K24">
    <cfRule type="expression" dxfId="1700" priority="34">
      <formula>$K$20="NET"</formula>
    </cfRule>
  </conditionalFormatting>
  <conditionalFormatting sqref="K26:K27">
    <cfRule type="expression" dxfId="1699" priority="27">
      <formula>$J$27="NON"</formula>
    </cfRule>
  </conditionalFormatting>
  <dataValidations count="2">
    <dataValidation type="list" allowBlank="1" showInputMessage="1" sqref="J13 J27 C25" xr:uid="{00000000-0002-0000-0300-000000000000}">
      <formula1>"OUI,NON"</formula1>
    </dataValidation>
    <dataValidation type="list" allowBlank="1" showInputMessage="1" showErrorMessage="1" sqref="K20 D18"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D25 K27 K13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E11" sqref="E11:I11"/>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386" t="s">
        <v>875</v>
      </c>
      <c r="B1" s="2386"/>
      <c r="C1" s="2386"/>
      <c r="D1" s="2386"/>
      <c r="E1" s="2386"/>
      <c r="F1" s="2386"/>
      <c r="G1" s="2386"/>
      <c r="H1" s="2386"/>
      <c r="I1" s="2386"/>
      <c r="J1" s="2386"/>
      <c r="K1" s="2386"/>
    </row>
    <row r="2" spans="1:11" x14ac:dyDescent="0.2">
      <c r="D2" s="2333" t="s">
        <v>1457</v>
      </c>
      <c r="E2" s="2333"/>
      <c r="F2" s="2333"/>
      <c r="G2" s="2333"/>
      <c r="H2" s="2333"/>
    </row>
    <row r="4" spans="1:11" x14ac:dyDescent="0.2">
      <c r="C4" s="29" t="s">
        <v>127</v>
      </c>
      <c r="D4" s="1710">
        <f>+Identification!B25</f>
        <v>0</v>
      </c>
      <c r="E4" s="1710"/>
      <c r="F4" s="1710"/>
    </row>
    <row r="6" spans="1:11" x14ac:dyDescent="0.2">
      <c r="B6" s="2388" t="s">
        <v>878</v>
      </c>
      <c r="C6" s="2389"/>
      <c r="D6" s="909" t="s">
        <v>879</v>
      </c>
      <c r="F6" s="468" t="s">
        <v>911</v>
      </c>
      <c r="G6" s="2387" t="s">
        <v>1415</v>
      </c>
      <c r="H6" s="2387"/>
      <c r="I6" s="2387"/>
    </row>
    <row r="7" spans="1:11" x14ac:dyDescent="0.2">
      <c r="A7" s="2392" t="s">
        <v>876</v>
      </c>
      <c r="B7" s="2390" t="str">
        <f>+IF(B8="",VLOOKUP(E7,S.CAL!EM2:EN13,2,FALSE),B8)</f>
        <v>Janvier</v>
      </c>
      <c r="C7" s="2391"/>
      <c r="D7" s="908">
        <f>IF(D8="",+F7,D8)</f>
        <v>1900</v>
      </c>
      <c r="E7" s="24">
        <f>+MONTH(Identification!B28)</f>
        <v>1</v>
      </c>
      <c r="F7" s="24">
        <f>+YEAR(Identification!B28)</f>
        <v>1900</v>
      </c>
      <c r="G7" s="910"/>
      <c r="H7" s="910"/>
    </row>
    <row r="8" spans="1:11" x14ac:dyDescent="0.2">
      <c r="A8" s="2392"/>
      <c r="B8" s="2384"/>
      <c r="C8" s="2385"/>
      <c r="D8" s="1167"/>
    </row>
    <row r="9" spans="1:11" x14ac:dyDescent="0.2">
      <c r="A9" s="39"/>
      <c r="B9" s="24">
        <f>+VLOOKUP(B7,Liste_mois_recherche,2,FALSE)</f>
        <v>1</v>
      </c>
      <c r="C9" s="28">
        <f>+DATE(D7,B9,1)</f>
        <v>1</v>
      </c>
    </row>
    <row r="10" spans="1:11" x14ac:dyDescent="0.2">
      <c r="G10" s="39" t="str">
        <f>+IF(AND(G6="Fin de contrat (Relevé final)",G17&gt;0),"Montant que doit verser l'employeur à l'Assistant(e) Maternel(le) :","")</f>
        <v/>
      </c>
      <c r="H10" s="476" t="str">
        <f>+IF(AND(G6="Fin de contrat (Relevé final)",G17&gt;0),G17,"")</f>
        <v/>
      </c>
    </row>
    <row r="11" spans="1:11" ht="32.25" customHeight="1" x14ac:dyDescent="0.2">
      <c r="B11" s="2382" t="s">
        <v>878</v>
      </c>
      <c r="C11" s="2383"/>
      <c r="D11" s="1440" t="s">
        <v>879</v>
      </c>
      <c r="E11" s="2393" t="str">
        <f>+IF(AND(G6="Fin de contrat (Relevé final)",G17&lt;0),"La régularisation est négative l'employeur ne doit rien à l'assistant(e) maternel(le) et l'assistant(e) maternel(e) ne rembourse rien.","")</f>
        <v/>
      </c>
      <c r="F11" s="2394"/>
      <c r="G11" s="2394"/>
      <c r="H11" s="2394"/>
      <c r="I11" s="2394"/>
    </row>
    <row r="12" spans="1:11" x14ac:dyDescent="0.2">
      <c r="A12" s="2392" t="s">
        <v>877</v>
      </c>
      <c r="B12" s="2390" t="str">
        <f>+IF(B13="",VLOOKUP(E12,S.CAL!EM2:EN13,2,FALSE),B13)</f>
        <v>Décembre</v>
      </c>
      <c r="C12" s="2391"/>
      <c r="D12" s="908">
        <f>IF(D13="",+F12,D13)</f>
        <v>2025</v>
      </c>
      <c r="E12" s="24">
        <f>IF(YEAR(Identification!B95)&lt;YEAR(Identification!B61),12,+MONTH(Identification!B95))</f>
        <v>12</v>
      </c>
      <c r="F12" s="24">
        <f>+IF(YEAR(Identification!B95)&lt;YEAR(Identification!B61),YEAR(Identification!B61),YEAR(Identification!B95))</f>
        <v>2025</v>
      </c>
      <c r="H12" s="477"/>
    </row>
    <row r="13" spans="1:11" x14ac:dyDescent="0.2">
      <c r="A13" s="2392"/>
      <c r="B13" s="2384"/>
      <c r="C13" s="2385"/>
      <c r="D13" s="1167"/>
    </row>
    <row r="14" spans="1:11" x14ac:dyDescent="0.2">
      <c r="C14" s="24">
        <f>+VLOOKUP(B12,Liste_mois_recherche,2,FALSE)</f>
        <v>12</v>
      </c>
      <c r="D14" s="28">
        <f>+DATE(D12,C14,1)</f>
        <v>45992</v>
      </c>
    </row>
    <row r="15" spans="1:11" x14ac:dyDescent="0.2">
      <c r="C15" s="39" t="s">
        <v>908</v>
      </c>
      <c r="D15" s="431">
        <f>SUM(D21:D116)</f>
        <v>0</v>
      </c>
      <c r="F15" s="39" t="s">
        <v>909</v>
      </c>
      <c r="G15" s="431">
        <f>SUM(E21:E116)</f>
        <v>0</v>
      </c>
    </row>
    <row r="16" spans="1:11" x14ac:dyDescent="0.2">
      <c r="B16" s="19"/>
    </row>
    <row r="17" spans="1:8" x14ac:dyDescent="0.2">
      <c r="C17" s="29" t="s">
        <v>1732</v>
      </c>
      <c r="D17" s="1631"/>
      <c r="F17" s="39" t="s">
        <v>910</v>
      </c>
      <c r="G17" s="476">
        <f>SUM(F21:F116)-(SUM(G21:G116))+D17</f>
        <v>0</v>
      </c>
    </row>
    <row r="18" spans="1:8" x14ac:dyDescent="0.2">
      <c r="C18" s="29"/>
      <c r="E18" s="24"/>
      <c r="G18" s="39"/>
      <c r="H18" s="476"/>
    </row>
    <row r="19" spans="1:8" ht="13.5" thickBot="1" x14ac:dyDescent="0.25"/>
    <row r="20" spans="1:8" ht="80.25" customHeight="1" thickBot="1" x14ac:dyDescent="0.25">
      <c r="A20" s="472" t="s">
        <v>894</v>
      </c>
      <c r="B20" s="473" t="s">
        <v>1504</v>
      </c>
      <c r="C20" s="473" t="s">
        <v>1505</v>
      </c>
      <c r="D20" s="473" t="s">
        <v>901</v>
      </c>
      <c r="E20" s="474" t="s">
        <v>1400</v>
      </c>
      <c r="F20" s="475" t="s">
        <v>907</v>
      </c>
      <c r="G20" s="1594" t="s">
        <v>1701</v>
      </c>
      <c r="H20" s="1042" t="s">
        <v>1442</v>
      </c>
    </row>
    <row r="21" spans="1:8" x14ac:dyDescent="0.2">
      <c r="A21" s="478">
        <f>+IFERROR(INDEX(BDDregul!$A$3:$Q$422,MATCH(ROW(A1),BDDregul!$Q$3:$Q$422,0),1),"")</f>
        <v>42005</v>
      </c>
      <c r="B21" s="1205">
        <f>+IFERROR(INDEX(BDDregul!$A$3:$Q$422,MATCH(ROW(A1),BDDregul!$Q$3:$Q$422,0),3)+INDEX(BDDregul!$A$3:$Q$422,MATCH(ROW(A1),BDDregul!$Q$3:$Q$422,0),4),"")</f>
        <v>0</v>
      </c>
      <c r="C21" s="431">
        <f>+IFERROR(INDEX(BDDregul!$A$3:$Q$422,MATCH(ROW(A1),BDDregul!$Q$3:$Q$422,0),14),"")</f>
        <v>0</v>
      </c>
      <c r="D21" s="479">
        <f>+IFERROR(INDEX(BDDregul!$A$3:$Q$422,MATCH(ROW(A1),BDDregul!$Q$3:$Q$422,0),9),"")</f>
        <v>0</v>
      </c>
      <c r="E21" s="479">
        <f>+IFERROR(INDEX(BDDregul!$A$3:$Q$422,MATCH(ROW(A1),BDDregul!$Q$3:$Q$422,0),12),"")</f>
        <v>0</v>
      </c>
      <c r="F21" s="479">
        <f>+IFERROR(INDEX(BDDregul!$A$3:$Q$422,MATCH(ROW(A1),BDDregul!$Q$3:$Q$422,0),13),"")</f>
        <v>0</v>
      </c>
      <c r="G21" s="479">
        <f>+IFERROR(IF(A21=DATE($F$12,$E$12,1),0,INDEX(BDDregul!$A$3:$Q$422,MATCH(ROW(A1),BDDregul!$Q$3:$Q$422,0),15)),"")</f>
        <v>0</v>
      </c>
      <c r="H21" s="479">
        <f>+IF(F21=0,0,F21+D17-G21)</f>
        <v>0</v>
      </c>
    </row>
    <row r="22" spans="1:8" x14ac:dyDescent="0.2">
      <c r="A22" s="478">
        <f>+IFERROR(INDEX(BDDregul!$A$3:$Q$422,MATCH(ROW(A2),BDDregul!$Q$3:$Q$422,0),1),"")</f>
        <v>42036</v>
      </c>
      <c r="B22" s="1206">
        <f>+IFERROR(INDEX(BDDregul!$A$3:$Q$422,MATCH(ROW(A2),BDDregul!$Q$3:$Q$422,0),3)+INDEX(BDDregul!$A$3:$Q$422,MATCH(ROW(A2),BDDregul!$Q$3:$Q$422,0),4),"")</f>
        <v>0</v>
      </c>
      <c r="C22" s="431">
        <f>+IFERROR(INDEX(BDDregul!$A$3:$Q$422,MATCH(ROW(A2),BDDregul!$Q$3:$Q$422,0),14),"")</f>
        <v>0</v>
      </c>
      <c r="D22" s="479">
        <f>+IFERROR(INDEX(BDDregul!$A$3:$Q$422,MATCH(ROW(A2),BDDregul!$Q$3:$Q$422,0),9),"")</f>
        <v>0</v>
      </c>
      <c r="E22" s="479">
        <f>+IFERROR(INDEX(BDDregul!$A$3:$Q$422,MATCH(ROW(A2),BDDregul!$Q$3:$Q$422,0),12),"")</f>
        <v>0</v>
      </c>
      <c r="F22" s="479">
        <f>+IFERROR(INDEX(BDDregul!$A$3:$Q$422,MATCH(ROW(A2),BDDregul!$Q$3:$Q$422,0),13),"")</f>
        <v>0</v>
      </c>
      <c r="G22" s="479">
        <f>+IFERROR(IF(A22=DATE($F$12,$E$12,1),0,INDEX(BDDregul!$A$3:$Q$422,MATCH(ROW(A2),BDDregul!$Q$3:$Q$422,0),15)),"")</f>
        <v>0</v>
      </c>
      <c r="H22" s="479">
        <f>IFERROR(+IF(OR(AND(F22=0,H21&lt;&gt;0),AND(F22&lt;&gt;0,H21&lt;&gt;0)),F22+H21-G22,IF(AND(F22&lt;&gt;0,H21=0),F22+$D$17-G22,0)),"")</f>
        <v>0</v>
      </c>
    </row>
    <row r="23" spans="1:8" x14ac:dyDescent="0.2">
      <c r="A23" s="478">
        <f>+IFERROR(INDEX(BDDregul!$A$3:$Q$422,MATCH(ROW(A3),BDDregul!$Q$3:$Q$422,0),1),"")</f>
        <v>42064</v>
      </c>
      <c r="B23" s="1206">
        <f>+IFERROR(INDEX(BDDregul!$A$3:$Q$422,MATCH(ROW(A3),BDDregul!$Q$3:$Q$422,0),3)+INDEX(BDDregul!$A$3:$Q$422,MATCH(ROW(A3),BDDregul!$Q$3:$Q$422,0),4),"")</f>
        <v>0</v>
      </c>
      <c r="C23" s="431">
        <f>+IFERROR(INDEX(BDDregul!$A$3:$Q$422,MATCH(ROW(A3),BDDregul!$Q$3:$Q$422,0),14),"")</f>
        <v>0</v>
      </c>
      <c r="D23" s="479">
        <f>+IFERROR(INDEX(BDDregul!$A$3:$Q$422,MATCH(ROW(A3),BDDregul!$Q$3:$Q$422,0),9),"")</f>
        <v>0</v>
      </c>
      <c r="E23" s="479">
        <f>+IFERROR(INDEX(BDDregul!$A$3:$Q$422,MATCH(ROW(A3),BDDregul!$Q$3:$Q$422,0),12),"")</f>
        <v>0</v>
      </c>
      <c r="F23" s="479">
        <f>+IFERROR(INDEX(BDDregul!$A$3:$Q$422,MATCH(ROW(A3),BDDregul!$Q$3:$Q$422,0),13),"")</f>
        <v>0</v>
      </c>
      <c r="G23" s="479">
        <f>+IFERROR(IF(A23=DATE($F$12,$E$12,1),0,INDEX(BDDregul!$A$3:$Q$422,MATCH(ROW(A3),BDDregul!$Q$3:$Q$422,0),15)),"")</f>
        <v>0</v>
      </c>
      <c r="H23" s="479">
        <f t="shared" ref="H23:H86" si="0">IFERROR(+IF(OR(AND(F23=0,H22&lt;&gt;0),AND(F23&lt;&gt;0,H22&lt;&gt;0)),F23+H22-G23,IF(AND(F23&lt;&gt;0,H22=0),F23+$D$17-G23,0)),"")</f>
        <v>0</v>
      </c>
    </row>
    <row r="24" spans="1:8" x14ac:dyDescent="0.2">
      <c r="A24" s="478">
        <f>+IFERROR(INDEX(BDDregul!$A$3:$Q$422,MATCH(ROW(A4),BDDregul!$Q$3:$Q$422,0),1),"")</f>
        <v>42095</v>
      </c>
      <c r="B24" s="1206">
        <f>+IFERROR(INDEX(BDDregul!$A$3:$Q$422,MATCH(ROW(A4),BDDregul!$Q$3:$Q$422,0),3)+INDEX(BDDregul!$A$3:$Q$422,MATCH(ROW(A4),BDDregul!$Q$3:$Q$422,0),4),"")</f>
        <v>0</v>
      </c>
      <c r="C24" s="431">
        <f>+IFERROR(INDEX(BDDregul!$A$3:$Q$422,MATCH(ROW(A4),BDDregul!$Q$3:$Q$422,0),14),"")</f>
        <v>0</v>
      </c>
      <c r="D24" s="479">
        <f>+IFERROR(INDEX(BDDregul!$A$3:$Q$422,MATCH(ROW(A4),BDDregul!$Q$3:$Q$422,0),9),"")</f>
        <v>0</v>
      </c>
      <c r="E24" s="479">
        <f>+IFERROR(INDEX(BDDregul!$A$3:$Q$422,MATCH(ROW(A4),BDDregul!$Q$3:$Q$422,0),12),"")</f>
        <v>0</v>
      </c>
      <c r="F24" s="479">
        <f>+IFERROR(INDEX(BDDregul!$A$3:$Q$422,MATCH(ROW(A4),BDDregul!$Q$3:$Q$422,0),13),"")</f>
        <v>0</v>
      </c>
      <c r="G24" s="479">
        <f>+IFERROR(IF(A24=DATE($F$12,$E$12,1),0,INDEX(BDDregul!$A$3:$Q$422,MATCH(ROW(A4),BDDregul!$Q$3:$Q$422,0),15)),"")</f>
        <v>0</v>
      </c>
      <c r="H24" s="479">
        <f t="shared" si="0"/>
        <v>0</v>
      </c>
    </row>
    <row r="25" spans="1:8" x14ac:dyDescent="0.2">
      <c r="A25" s="478">
        <f>+IFERROR(INDEX(BDDregul!$A$3:$Q$422,MATCH(ROW(A5),BDDregul!$Q$3:$Q$422,0),1),"")</f>
        <v>42125</v>
      </c>
      <c r="B25" s="1206">
        <f>+IFERROR(INDEX(BDDregul!$A$3:$Q$422,MATCH(ROW(A5),BDDregul!$Q$3:$Q$422,0),3)+INDEX(BDDregul!$A$3:$Q$422,MATCH(ROW(A5),BDDregul!$Q$3:$Q$422,0),4),"")</f>
        <v>0</v>
      </c>
      <c r="C25" s="431">
        <f>+IFERROR(INDEX(BDDregul!$A$3:$Q$422,MATCH(ROW(A5),BDDregul!$Q$3:$Q$422,0),14),"")</f>
        <v>0</v>
      </c>
      <c r="D25" s="479">
        <f>+IFERROR(INDEX(BDDregul!$A$3:$Q$422,MATCH(ROW(A5),BDDregul!$Q$3:$Q$422,0),9),"")</f>
        <v>0</v>
      </c>
      <c r="E25" s="479">
        <f>+IFERROR(INDEX(BDDregul!$A$3:$Q$422,MATCH(ROW(A5),BDDregul!$Q$3:$Q$422,0),12),"")</f>
        <v>0</v>
      </c>
      <c r="F25" s="479">
        <f>+IFERROR(INDEX(BDDregul!$A$3:$Q$422,MATCH(ROW(A5),BDDregul!$Q$3:$Q$422,0),13),"")</f>
        <v>0</v>
      </c>
      <c r="G25" s="479">
        <f>+IFERROR(IF(A25=DATE($F$12,$E$12,1),0,INDEX(BDDregul!$A$3:$Q$422,MATCH(ROW(A5),BDDregul!$Q$3:$Q$422,0),15)),"")</f>
        <v>0</v>
      </c>
      <c r="H25" s="479">
        <f t="shared" si="0"/>
        <v>0</v>
      </c>
    </row>
    <row r="26" spans="1:8" x14ac:dyDescent="0.2">
      <c r="A26" s="478">
        <f>+IFERROR(INDEX(BDDregul!$A$3:$Q$422,MATCH(ROW(A6),BDDregul!$Q$3:$Q$422,0),1),"")</f>
        <v>42156</v>
      </c>
      <c r="B26" s="1206">
        <f>+IFERROR(INDEX(BDDregul!$A$3:$Q$422,MATCH(ROW(A6),BDDregul!$Q$3:$Q$422,0),3)+INDEX(BDDregul!$A$3:$Q$422,MATCH(ROW(A6),BDDregul!$Q$3:$Q$422,0),4),"")</f>
        <v>0</v>
      </c>
      <c r="C26" s="431">
        <f>+IFERROR(INDEX(BDDregul!$A$3:$Q$422,MATCH(ROW(A6),BDDregul!$Q$3:$Q$422,0),14),"")</f>
        <v>0</v>
      </c>
      <c r="D26" s="479">
        <f>+IFERROR(INDEX(BDDregul!$A$3:$Q$422,MATCH(ROW(A6),BDDregul!$Q$3:$Q$422,0),9),"")</f>
        <v>0</v>
      </c>
      <c r="E26" s="479">
        <f>+IFERROR(INDEX(BDDregul!$A$3:$Q$422,MATCH(ROW(A6),BDDregul!$Q$3:$Q$422,0),12),"")</f>
        <v>0</v>
      </c>
      <c r="F26" s="479">
        <f>+IFERROR(INDEX(BDDregul!$A$3:$Q$422,MATCH(ROW(A6),BDDregul!$Q$3:$Q$422,0),13),"")</f>
        <v>0</v>
      </c>
      <c r="G26" s="479">
        <f>+IFERROR(IF(A26=DATE($F$12,$E$12,1),0,INDEX(BDDregul!$A$3:$Q$422,MATCH(ROW(A6),BDDregul!$Q$3:$Q$422,0),15)),"")</f>
        <v>0</v>
      </c>
      <c r="H26" s="479">
        <f t="shared" si="0"/>
        <v>0</v>
      </c>
    </row>
    <row r="27" spans="1:8" x14ac:dyDescent="0.2">
      <c r="A27" s="478">
        <f>+IFERROR(INDEX(BDDregul!$A$3:$Q$422,MATCH(ROW(A7),BDDregul!$Q$3:$Q$422,0),1),"")</f>
        <v>42186</v>
      </c>
      <c r="B27" s="1206">
        <f>+IFERROR(INDEX(BDDregul!$A$3:$Q$422,MATCH(ROW(A7),BDDregul!$Q$3:$Q$422,0),3)+INDEX(BDDregul!$A$3:$Q$422,MATCH(ROW(A7),BDDregul!$Q$3:$Q$422,0),4),"")</f>
        <v>0</v>
      </c>
      <c r="C27" s="431">
        <f>+IFERROR(INDEX(BDDregul!$A$3:$Q$422,MATCH(ROW(A7),BDDregul!$Q$3:$Q$422,0),14),"")</f>
        <v>0</v>
      </c>
      <c r="D27" s="479">
        <f>+IFERROR(INDEX(BDDregul!$A$3:$Q$422,MATCH(ROW(A7),BDDregul!$Q$3:$Q$422,0),9),"")</f>
        <v>0</v>
      </c>
      <c r="E27" s="479">
        <f>+IFERROR(INDEX(BDDregul!$A$3:$Q$422,MATCH(ROW(A7),BDDregul!$Q$3:$Q$422,0),12),"")</f>
        <v>0</v>
      </c>
      <c r="F27" s="479">
        <f>+IFERROR(INDEX(BDDregul!$A$3:$Q$422,MATCH(ROW(A7),BDDregul!$Q$3:$Q$422,0),13),"")</f>
        <v>0</v>
      </c>
      <c r="G27" s="479">
        <f>+IFERROR(IF(A27=DATE($F$12,$E$12,1),0,INDEX(BDDregul!$A$3:$Q$422,MATCH(ROW(A7),BDDregul!$Q$3:$Q$422,0),15)),"")</f>
        <v>0</v>
      </c>
      <c r="H27" s="479">
        <f t="shared" si="0"/>
        <v>0</v>
      </c>
    </row>
    <row r="28" spans="1:8" x14ac:dyDescent="0.2">
      <c r="A28" s="478">
        <f>+IFERROR(INDEX(BDDregul!$A$3:$Q$422,MATCH(ROW(A8),BDDregul!$Q$3:$Q$422,0),1),"")</f>
        <v>42217</v>
      </c>
      <c r="B28" s="1206">
        <f>+IFERROR(INDEX(BDDregul!$A$3:$Q$422,MATCH(ROW(A8),BDDregul!$Q$3:$Q$422,0),3)+INDEX(BDDregul!$A$3:$Q$422,MATCH(ROW(A8),BDDregul!$Q$3:$Q$422,0),4),"")</f>
        <v>0</v>
      </c>
      <c r="C28" s="431">
        <f>+IFERROR(INDEX(BDDregul!$A$3:$Q$422,MATCH(ROW(A8),BDDregul!$Q$3:$Q$422,0),14),"")</f>
        <v>0</v>
      </c>
      <c r="D28" s="479">
        <f>+IFERROR(INDEX(BDDregul!$A$3:$Q$422,MATCH(ROW(A8),BDDregul!$Q$3:$Q$422,0),9),"")</f>
        <v>0</v>
      </c>
      <c r="E28" s="479">
        <f>+IFERROR(INDEX(BDDregul!$A$3:$Q$422,MATCH(ROW(A8),BDDregul!$Q$3:$Q$422,0),12),"")</f>
        <v>0</v>
      </c>
      <c r="F28" s="479">
        <f>+IFERROR(INDEX(BDDregul!$A$3:$Q$422,MATCH(ROW(A8),BDDregul!$Q$3:$Q$422,0),13),"")</f>
        <v>0</v>
      </c>
      <c r="G28" s="479">
        <f>+IFERROR(IF(A28=DATE($F$12,$E$12,1),0,INDEX(BDDregul!$A$3:$Q$422,MATCH(ROW(A8),BDDregul!$Q$3:$Q$422,0),15)),"")</f>
        <v>0</v>
      </c>
      <c r="H28" s="479">
        <f t="shared" si="0"/>
        <v>0</v>
      </c>
    </row>
    <row r="29" spans="1:8" x14ac:dyDescent="0.2">
      <c r="A29" s="478">
        <f>+IFERROR(INDEX(BDDregul!$A$3:$Q$422,MATCH(ROW(A9),BDDregul!$Q$3:$Q$422,0),1),"")</f>
        <v>42248</v>
      </c>
      <c r="B29" s="1206">
        <f>+IFERROR(INDEX(BDDregul!$A$3:$Q$422,MATCH(ROW(A9),BDDregul!$Q$3:$Q$422,0),3)+INDEX(BDDregul!$A$3:$Q$422,MATCH(ROW(A9),BDDregul!$Q$3:$Q$422,0),4),"")</f>
        <v>0</v>
      </c>
      <c r="C29" s="431">
        <f>+IFERROR(INDEX(BDDregul!$A$3:$Q$422,MATCH(ROW(A9),BDDregul!$Q$3:$Q$422,0),14),"")</f>
        <v>0</v>
      </c>
      <c r="D29" s="479">
        <f>+IFERROR(INDEX(BDDregul!$A$3:$Q$422,MATCH(ROW(A9),BDDregul!$Q$3:$Q$422,0),9),"")</f>
        <v>0</v>
      </c>
      <c r="E29" s="479">
        <f>+IFERROR(INDEX(BDDregul!$A$3:$Q$422,MATCH(ROW(A9),BDDregul!$Q$3:$Q$422,0),12),"")</f>
        <v>0</v>
      </c>
      <c r="F29" s="479">
        <f>+IFERROR(INDEX(BDDregul!$A$3:$Q$422,MATCH(ROW(A9),BDDregul!$Q$3:$Q$422,0),13),"")</f>
        <v>0</v>
      </c>
      <c r="G29" s="479">
        <f>+IFERROR(IF(A29=DATE($F$12,$E$12,1),0,INDEX(BDDregul!$A$3:$Q$422,MATCH(ROW(A9),BDDregul!$Q$3:$Q$422,0),15)),"")</f>
        <v>0</v>
      </c>
      <c r="H29" s="479">
        <f t="shared" si="0"/>
        <v>0</v>
      </c>
    </row>
    <row r="30" spans="1:8" x14ac:dyDescent="0.2">
      <c r="A30" s="478">
        <f>+IFERROR(INDEX(BDDregul!$A$3:$Q$422,MATCH(ROW(A10),BDDregul!$Q$3:$Q$422,0),1),"")</f>
        <v>42278</v>
      </c>
      <c r="B30" s="1206">
        <f>+IFERROR(INDEX(BDDregul!$A$3:$Q$422,MATCH(ROW(A10),BDDregul!$Q$3:$Q$422,0),3)+INDEX(BDDregul!$A$3:$Q$422,MATCH(ROW(A10),BDDregul!$Q$3:$Q$422,0),4),"")</f>
        <v>0</v>
      </c>
      <c r="C30" s="431">
        <f>+IFERROR(INDEX(BDDregul!$A$3:$Q$422,MATCH(ROW(A10),BDDregul!$Q$3:$Q$422,0),14),"")</f>
        <v>0</v>
      </c>
      <c r="D30" s="479">
        <f>+IFERROR(INDEX(BDDregul!$A$3:$Q$422,MATCH(ROW(A10),BDDregul!$Q$3:$Q$422,0),9),"")</f>
        <v>0</v>
      </c>
      <c r="E30" s="479">
        <f>+IFERROR(INDEX(BDDregul!$A$3:$Q$422,MATCH(ROW(A10),BDDregul!$Q$3:$Q$422,0),12),"")</f>
        <v>0</v>
      </c>
      <c r="F30" s="479">
        <f>+IFERROR(INDEX(BDDregul!$A$3:$Q$422,MATCH(ROW(A10),BDDregul!$Q$3:$Q$422,0),13),"")</f>
        <v>0</v>
      </c>
      <c r="G30" s="479">
        <f>+IFERROR(IF(A30=DATE($F$12,$E$12,1),0,INDEX(BDDregul!$A$3:$Q$422,MATCH(ROW(A10),BDDregul!$Q$3:$Q$422,0),15)),"")</f>
        <v>0</v>
      </c>
      <c r="H30" s="479">
        <f t="shared" si="0"/>
        <v>0</v>
      </c>
    </row>
    <row r="31" spans="1:8" x14ac:dyDescent="0.2">
      <c r="A31" s="478">
        <f>+IFERROR(INDEX(BDDregul!$A$3:$Q$422,MATCH(ROW(A11),BDDregul!$Q$3:$Q$422,0),1),"")</f>
        <v>42309</v>
      </c>
      <c r="B31" s="1206">
        <f>+IFERROR(INDEX(BDDregul!$A$3:$Q$422,MATCH(ROW(A11),BDDregul!$Q$3:$Q$422,0),3)+INDEX(BDDregul!$A$3:$Q$422,MATCH(ROW(A11),BDDregul!$Q$3:$Q$422,0),4),"")</f>
        <v>0</v>
      </c>
      <c r="C31" s="431">
        <f>+IFERROR(INDEX(BDDregul!$A$3:$Q$422,MATCH(ROW(A11),BDDregul!$Q$3:$Q$422,0),14),"")</f>
        <v>0</v>
      </c>
      <c r="D31" s="479">
        <f>+IFERROR(INDEX(BDDregul!$A$3:$Q$422,MATCH(ROW(A11),BDDregul!$Q$3:$Q$422,0),9),"")</f>
        <v>0</v>
      </c>
      <c r="E31" s="479">
        <f>+IFERROR(INDEX(BDDregul!$A$3:$Q$422,MATCH(ROW(A11),BDDregul!$Q$3:$Q$422,0),12),"")</f>
        <v>0</v>
      </c>
      <c r="F31" s="479">
        <f>+IFERROR(INDEX(BDDregul!$A$3:$Q$422,MATCH(ROW(A11),BDDregul!$Q$3:$Q$422,0),13),"")</f>
        <v>0</v>
      </c>
      <c r="G31" s="479">
        <f>+IFERROR(IF(A31=DATE($F$12,$E$12,1),0,INDEX(BDDregul!$A$3:$Q$422,MATCH(ROW(A11),BDDregul!$Q$3:$Q$422,0),15)),"")</f>
        <v>0</v>
      </c>
      <c r="H31" s="479">
        <f t="shared" si="0"/>
        <v>0</v>
      </c>
    </row>
    <row r="32" spans="1:8" x14ac:dyDescent="0.2">
      <c r="A32" s="478">
        <f>+IFERROR(INDEX(BDDregul!$A$3:$Q$422,MATCH(ROW(A12),BDDregul!$Q$3:$Q$422,0),1),"")</f>
        <v>42339</v>
      </c>
      <c r="B32" s="1206">
        <f>+IFERROR(INDEX(BDDregul!$A$3:$Q$422,MATCH(ROW(A12),BDDregul!$Q$3:$Q$422,0),3)+INDEX(BDDregul!$A$3:$Q$422,MATCH(ROW(A12),BDDregul!$Q$3:$Q$422,0),4),"")</f>
        <v>0</v>
      </c>
      <c r="C32" s="431">
        <f>+IFERROR(INDEX(BDDregul!$A$3:$Q$422,MATCH(ROW(A12),BDDregul!$Q$3:$Q$422,0),14),"")</f>
        <v>0</v>
      </c>
      <c r="D32" s="479">
        <f>+IFERROR(INDEX(BDDregul!$A$3:$Q$422,MATCH(ROW(A12),BDDregul!$Q$3:$Q$422,0),9),"")</f>
        <v>0</v>
      </c>
      <c r="E32" s="479">
        <f>+IFERROR(INDEX(BDDregul!$A$3:$Q$422,MATCH(ROW(A12),BDDregul!$Q$3:$Q$422,0),12),"")</f>
        <v>0</v>
      </c>
      <c r="F32" s="479">
        <f>+IFERROR(INDEX(BDDregul!$A$3:$Q$422,MATCH(ROW(A12),BDDregul!$Q$3:$Q$422,0),13),"")</f>
        <v>0</v>
      </c>
      <c r="G32" s="479">
        <f>+IFERROR(IF(A32=DATE($F$12,$E$12,1),0,INDEX(BDDregul!$A$3:$Q$422,MATCH(ROW(A12),BDDregul!$Q$3:$Q$422,0),15)),"")</f>
        <v>0</v>
      </c>
      <c r="H32" s="479">
        <f t="shared" si="0"/>
        <v>0</v>
      </c>
    </row>
    <row r="33" spans="1:8" x14ac:dyDescent="0.2">
      <c r="A33" s="478">
        <f>+IFERROR(INDEX(BDDregul!$A$3:$Q$422,MATCH(ROW(A13),BDDregul!$Q$3:$Q$422,0),1),"")</f>
        <v>42370</v>
      </c>
      <c r="B33" s="1206">
        <f>+IFERROR(INDEX(BDDregul!$A$3:$Q$422,MATCH(ROW(A13),BDDregul!$Q$3:$Q$422,0),3)+INDEX(BDDregul!$A$3:$Q$422,MATCH(ROW(A13),BDDregul!$Q$3:$Q$422,0),4),"")</f>
        <v>0</v>
      </c>
      <c r="C33" s="431">
        <f>+IFERROR(INDEX(BDDregul!$A$3:$Q$422,MATCH(ROW(A13),BDDregul!$Q$3:$Q$422,0),14),"")</f>
        <v>0</v>
      </c>
      <c r="D33" s="479">
        <f>+IFERROR(INDEX(BDDregul!$A$3:$Q$422,MATCH(ROW(A13),BDDregul!$Q$3:$Q$422,0),9),"")</f>
        <v>0</v>
      </c>
      <c r="E33" s="479">
        <f>+IFERROR(INDEX(BDDregul!$A$3:$Q$422,MATCH(ROW(A13),BDDregul!$Q$3:$Q$422,0),12),"")</f>
        <v>0</v>
      </c>
      <c r="F33" s="479">
        <f>+IFERROR(INDEX(BDDregul!$A$3:$Q$422,MATCH(ROW(A13),BDDregul!$Q$3:$Q$422,0),13),"")</f>
        <v>0</v>
      </c>
      <c r="G33" s="479">
        <f>+IFERROR(IF(A33=DATE($F$12,$E$12,1),0,INDEX(BDDregul!$A$3:$Q$422,MATCH(ROW(A13),BDDregul!$Q$3:$Q$422,0),15)),"")</f>
        <v>0</v>
      </c>
      <c r="H33" s="479">
        <f t="shared" si="0"/>
        <v>0</v>
      </c>
    </row>
    <row r="34" spans="1:8" x14ac:dyDescent="0.2">
      <c r="A34" s="478">
        <f>+IFERROR(INDEX(BDDregul!$A$3:$Q$422,MATCH(ROW(A14),BDDregul!$Q$3:$Q$422,0),1),"")</f>
        <v>42401</v>
      </c>
      <c r="B34" s="1206">
        <f>+IFERROR(INDEX(BDDregul!$A$3:$Q$422,MATCH(ROW(A14),BDDregul!$Q$3:$Q$422,0),3)+INDEX(BDDregul!$A$3:$Q$422,MATCH(ROW(A14),BDDregul!$Q$3:$Q$422,0),4),"")</f>
        <v>0</v>
      </c>
      <c r="C34" s="431">
        <f>+IFERROR(INDEX(BDDregul!$A$3:$Q$422,MATCH(ROW(A14),BDDregul!$Q$3:$Q$422,0),14),"")</f>
        <v>0</v>
      </c>
      <c r="D34" s="479">
        <f>+IFERROR(INDEX(BDDregul!$A$3:$Q$422,MATCH(ROW(A14),BDDregul!$Q$3:$Q$422,0),9),"")</f>
        <v>0</v>
      </c>
      <c r="E34" s="479">
        <f>+IFERROR(INDEX(BDDregul!$A$3:$Q$422,MATCH(ROW(A14),BDDregul!$Q$3:$Q$422,0),12),"")</f>
        <v>0</v>
      </c>
      <c r="F34" s="479">
        <f>+IFERROR(INDEX(BDDregul!$A$3:$Q$422,MATCH(ROW(A14),BDDregul!$Q$3:$Q$422,0),13),"")</f>
        <v>0</v>
      </c>
      <c r="G34" s="479">
        <f>+IFERROR(IF(A34=DATE($F$12,$E$12,1),0,INDEX(BDDregul!$A$3:$Q$422,MATCH(ROW(A14),BDDregul!$Q$3:$Q$422,0),15)),"")</f>
        <v>0</v>
      </c>
      <c r="H34" s="479">
        <f t="shared" si="0"/>
        <v>0</v>
      </c>
    </row>
    <row r="35" spans="1:8" x14ac:dyDescent="0.2">
      <c r="A35" s="478">
        <f>+IFERROR(INDEX(BDDregul!$A$3:$Q$422,MATCH(ROW(A15),BDDregul!$Q$3:$Q$422,0),1),"")</f>
        <v>42430</v>
      </c>
      <c r="B35" s="1206">
        <f>+IFERROR(INDEX(BDDregul!$A$3:$Q$422,MATCH(ROW(A15),BDDregul!$Q$3:$Q$422,0),3)+INDEX(BDDregul!$A$3:$Q$422,MATCH(ROW(A15),BDDregul!$Q$3:$Q$422,0),4),"")</f>
        <v>0</v>
      </c>
      <c r="C35" s="431">
        <f>+IFERROR(INDEX(BDDregul!$A$3:$Q$422,MATCH(ROW(A15),BDDregul!$Q$3:$Q$422,0),14),"")</f>
        <v>0</v>
      </c>
      <c r="D35" s="479">
        <f>+IFERROR(INDEX(BDDregul!$A$3:$Q$422,MATCH(ROW(A15),BDDregul!$Q$3:$Q$422,0),9),"")</f>
        <v>0</v>
      </c>
      <c r="E35" s="479">
        <f>+IFERROR(INDEX(BDDregul!$A$3:$Q$422,MATCH(ROW(A15),BDDregul!$Q$3:$Q$422,0),12),"")</f>
        <v>0</v>
      </c>
      <c r="F35" s="479">
        <f>+IFERROR(INDEX(BDDregul!$A$3:$Q$422,MATCH(ROW(A15),BDDregul!$Q$3:$Q$422,0),13),"")</f>
        <v>0</v>
      </c>
      <c r="G35" s="479">
        <f>+IFERROR(IF(A35=DATE($F$12,$E$12,1),0,INDEX(BDDregul!$A$3:$Q$422,MATCH(ROW(A15),BDDregul!$Q$3:$Q$422,0),15)),"")</f>
        <v>0</v>
      </c>
      <c r="H35" s="479">
        <f t="shared" si="0"/>
        <v>0</v>
      </c>
    </row>
    <row r="36" spans="1:8" x14ac:dyDescent="0.2">
      <c r="A36" s="478">
        <f>+IFERROR(INDEX(BDDregul!$A$3:$Q$422,MATCH(ROW(A16),BDDregul!$Q$3:$Q$422,0),1),"")</f>
        <v>42461</v>
      </c>
      <c r="B36" s="1206">
        <f>+IFERROR(INDEX(BDDregul!$A$3:$Q$422,MATCH(ROW(A16),BDDregul!$Q$3:$Q$422,0),3)+INDEX(BDDregul!$A$3:$Q$422,MATCH(ROW(A16),BDDregul!$Q$3:$Q$422,0),4),"")</f>
        <v>0</v>
      </c>
      <c r="C36" s="431">
        <f>+IFERROR(INDEX(BDDregul!$A$3:$Q$422,MATCH(ROW(A16),BDDregul!$Q$3:$Q$422,0),14),"")</f>
        <v>0</v>
      </c>
      <c r="D36" s="479">
        <f>+IFERROR(INDEX(BDDregul!$A$3:$Q$422,MATCH(ROW(A16),BDDregul!$Q$3:$Q$422,0),9),"")</f>
        <v>0</v>
      </c>
      <c r="E36" s="479">
        <f>+IFERROR(INDEX(BDDregul!$A$3:$Q$422,MATCH(ROW(A16),BDDregul!$Q$3:$Q$422,0),12),"")</f>
        <v>0</v>
      </c>
      <c r="F36" s="479">
        <f>+IFERROR(INDEX(BDDregul!$A$3:$Q$422,MATCH(ROW(A16),BDDregul!$Q$3:$Q$422,0),13),"")</f>
        <v>0</v>
      </c>
      <c r="G36" s="479">
        <f>+IFERROR(IF(A36=DATE($F$12,$E$12,1),0,INDEX(BDDregul!$A$3:$Q$422,MATCH(ROW(A16),BDDregul!$Q$3:$Q$422,0),15)),"")</f>
        <v>0</v>
      </c>
      <c r="H36" s="479">
        <f t="shared" si="0"/>
        <v>0</v>
      </c>
    </row>
    <row r="37" spans="1:8" x14ac:dyDescent="0.2">
      <c r="A37" s="478">
        <f>+IFERROR(INDEX(BDDregul!$A$3:$Q$422,MATCH(ROW(A17),BDDregul!$Q$3:$Q$422,0),1),"")</f>
        <v>42491</v>
      </c>
      <c r="B37" s="1206">
        <f>+IFERROR(INDEX(BDDregul!$A$3:$Q$422,MATCH(ROW(A17),BDDregul!$Q$3:$Q$422,0),3)+INDEX(BDDregul!$A$3:$Q$422,MATCH(ROW(A17),BDDregul!$Q$3:$Q$422,0),4),"")</f>
        <v>0</v>
      </c>
      <c r="C37" s="431">
        <f>+IFERROR(INDEX(BDDregul!$A$3:$Q$422,MATCH(ROW(A17),BDDregul!$Q$3:$Q$422,0),14),"")</f>
        <v>0</v>
      </c>
      <c r="D37" s="479">
        <f>+IFERROR(INDEX(BDDregul!$A$3:$Q$422,MATCH(ROW(A17),BDDregul!$Q$3:$Q$422,0),9),"")</f>
        <v>0</v>
      </c>
      <c r="E37" s="479">
        <f>+IFERROR(INDEX(BDDregul!$A$3:$Q$422,MATCH(ROW(A17),BDDregul!$Q$3:$Q$422,0),12),"")</f>
        <v>0</v>
      </c>
      <c r="F37" s="479">
        <f>+IFERROR(INDEX(BDDregul!$A$3:$Q$422,MATCH(ROW(A17),BDDregul!$Q$3:$Q$422,0),13),"")</f>
        <v>0</v>
      </c>
      <c r="G37" s="479">
        <f>+IFERROR(IF(A37=DATE($F$12,$E$12,1),0,INDEX(BDDregul!$A$3:$Q$422,MATCH(ROW(A17),BDDregul!$Q$3:$Q$422,0),15)),"")</f>
        <v>0</v>
      </c>
      <c r="H37" s="479">
        <f t="shared" si="0"/>
        <v>0</v>
      </c>
    </row>
    <row r="38" spans="1:8" x14ac:dyDescent="0.2">
      <c r="A38" s="478">
        <f>+IFERROR(INDEX(BDDregul!$A$3:$Q$422,MATCH(ROW(A18),BDDregul!$Q$3:$Q$422,0),1),"")</f>
        <v>42522</v>
      </c>
      <c r="B38" s="1206">
        <f>+IFERROR(INDEX(BDDregul!$A$3:$Q$422,MATCH(ROW(A18),BDDregul!$Q$3:$Q$422,0),3)+INDEX(BDDregul!$A$3:$Q$422,MATCH(ROW(A18),BDDregul!$Q$3:$Q$422,0),4),"")</f>
        <v>0</v>
      </c>
      <c r="C38" s="431">
        <f>+IFERROR(INDEX(BDDregul!$A$3:$Q$422,MATCH(ROW(A18),BDDregul!$Q$3:$Q$422,0),14),"")</f>
        <v>0</v>
      </c>
      <c r="D38" s="479">
        <f>+IFERROR(INDEX(BDDregul!$A$3:$Q$422,MATCH(ROW(A18),BDDregul!$Q$3:$Q$422,0),9),"")</f>
        <v>0</v>
      </c>
      <c r="E38" s="479">
        <f>+IFERROR(INDEX(BDDregul!$A$3:$Q$422,MATCH(ROW(A18),BDDregul!$Q$3:$Q$422,0),12),"")</f>
        <v>0</v>
      </c>
      <c r="F38" s="479">
        <f>+IFERROR(INDEX(BDDregul!$A$3:$Q$422,MATCH(ROW(A18),BDDregul!$Q$3:$Q$422,0),13),"")</f>
        <v>0</v>
      </c>
      <c r="G38" s="479">
        <f>+IFERROR(IF(A38=DATE($F$12,$E$12,1),0,INDEX(BDDregul!$A$3:$Q$422,MATCH(ROW(A18),BDDregul!$Q$3:$Q$422,0),15)),"")</f>
        <v>0</v>
      </c>
      <c r="H38" s="479">
        <f t="shared" si="0"/>
        <v>0</v>
      </c>
    </row>
    <row r="39" spans="1:8" x14ac:dyDescent="0.2">
      <c r="A39" s="478">
        <f>+IFERROR(INDEX(BDDregul!$A$3:$Q$422,MATCH(ROW(A19),BDDregul!$Q$3:$Q$422,0),1),"")</f>
        <v>42552</v>
      </c>
      <c r="B39" s="1206">
        <f>+IFERROR(INDEX(BDDregul!$A$3:$Q$422,MATCH(ROW(A19),BDDregul!$Q$3:$Q$422,0),3)+INDEX(BDDregul!$A$3:$Q$422,MATCH(ROW(A19),BDDregul!$Q$3:$Q$422,0),4),"")</f>
        <v>0</v>
      </c>
      <c r="C39" s="431">
        <f>+IFERROR(INDEX(BDDregul!$A$3:$Q$422,MATCH(ROW(A19),BDDregul!$Q$3:$Q$422,0),14),"")</f>
        <v>0</v>
      </c>
      <c r="D39" s="479">
        <f>+IFERROR(INDEX(BDDregul!$A$3:$Q$422,MATCH(ROW(A19),BDDregul!$Q$3:$Q$422,0),9),"")</f>
        <v>0</v>
      </c>
      <c r="E39" s="479">
        <f>+IFERROR(INDEX(BDDregul!$A$3:$Q$422,MATCH(ROW(A19),BDDregul!$Q$3:$Q$422,0),12),"")</f>
        <v>0</v>
      </c>
      <c r="F39" s="479">
        <f>+IFERROR(INDEX(BDDregul!$A$3:$Q$422,MATCH(ROW(A19),BDDregul!$Q$3:$Q$422,0),13),"")</f>
        <v>0</v>
      </c>
      <c r="G39" s="479">
        <f>+IFERROR(IF(A39=DATE($F$12,$E$12,1),0,INDEX(BDDregul!$A$3:$Q$422,MATCH(ROW(A19),BDDregul!$Q$3:$Q$422,0),15)),"")</f>
        <v>0</v>
      </c>
      <c r="H39" s="479">
        <f t="shared" si="0"/>
        <v>0</v>
      </c>
    </row>
    <row r="40" spans="1:8" x14ac:dyDescent="0.2">
      <c r="A40" s="478">
        <f>+IFERROR(INDEX(BDDregul!$A$3:$Q$422,MATCH(ROW(A20),BDDregul!$Q$3:$Q$422,0),1),"")</f>
        <v>42583</v>
      </c>
      <c r="B40" s="1206">
        <f>+IFERROR(INDEX(BDDregul!$A$3:$Q$422,MATCH(ROW(A20),BDDregul!$Q$3:$Q$422,0),3)+INDEX(BDDregul!$A$3:$Q$422,MATCH(ROW(A20),BDDregul!$Q$3:$Q$422,0),4),"")</f>
        <v>0</v>
      </c>
      <c r="C40" s="431">
        <f>+IFERROR(INDEX(BDDregul!$A$3:$Q$422,MATCH(ROW(A20),BDDregul!$Q$3:$Q$422,0),14),"")</f>
        <v>0</v>
      </c>
      <c r="D40" s="479">
        <f>+IFERROR(INDEX(BDDregul!$A$3:$Q$422,MATCH(ROW(A20),BDDregul!$Q$3:$Q$422,0),9),"")</f>
        <v>0</v>
      </c>
      <c r="E40" s="479">
        <f>+IFERROR(INDEX(BDDregul!$A$3:$Q$422,MATCH(ROW(A20),BDDregul!$Q$3:$Q$422,0),12),"")</f>
        <v>0</v>
      </c>
      <c r="F40" s="479">
        <f>+IFERROR(INDEX(BDDregul!$A$3:$Q$422,MATCH(ROW(A20),BDDregul!$Q$3:$Q$422,0),13),"")</f>
        <v>0</v>
      </c>
      <c r="G40" s="479">
        <f>+IFERROR(IF(A40=DATE($F$12,$E$12,1),0,INDEX(BDDregul!$A$3:$Q$422,MATCH(ROW(A20),BDDregul!$Q$3:$Q$422,0),15)),"")</f>
        <v>0</v>
      </c>
      <c r="H40" s="479">
        <f t="shared" si="0"/>
        <v>0</v>
      </c>
    </row>
    <row r="41" spans="1:8" x14ac:dyDescent="0.2">
      <c r="A41" s="478">
        <f>+IFERROR(INDEX(BDDregul!$A$3:$Q$422,MATCH(ROW(A21),BDDregul!$Q$3:$Q$422,0),1),"")</f>
        <v>42614</v>
      </c>
      <c r="B41" s="1206">
        <f>+IFERROR(INDEX(BDDregul!$A$3:$Q$422,MATCH(ROW(A21),BDDregul!$Q$3:$Q$422,0),3)+INDEX(BDDregul!$A$3:$Q$422,MATCH(ROW(A21),BDDregul!$Q$3:$Q$422,0),4),"")</f>
        <v>0</v>
      </c>
      <c r="C41" s="431">
        <f>+IFERROR(INDEX(BDDregul!$A$3:$Q$422,MATCH(ROW(A21),BDDregul!$Q$3:$Q$422,0),14),"")</f>
        <v>0</v>
      </c>
      <c r="D41" s="479">
        <f>+IFERROR(INDEX(BDDregul!$A$3:$Q$422,MATCH(ROW(A21),BDDregul!$Q$3:$Q$422,0),9),"")</f>
        <v>0</v>
      </c>
      <c r="E41" s="479">
        <f>+IFERROR(INDEX(BDDregul!$A$3:$Q$422,MATCH(ROW(A21),BDDregul!$Q$3:$Q$422,0),12),"")</f>
        <v>0</v>
      </c>
      <c r="F41" s="479">
        <f>+IFERROR(INDEX(BDDregul!$A$3:$Q$422,MATCH(ROW(A21),BDDregul!$Q$3:$Q$422,0),13),"")</f>
        <v>0</v>
      </c>
      <c r="G41" s="479">
        <f>+IFERROR(IF(A41=DATE($F$12,$E$12,1),0,INDEX(BDDregul!$A$3:$Q$422,MATCH(ROW(A21),BDDregul!$Q$3:$Q$422,0),15)),"")</f>
        <v>0</v>
      </c>
      <c r="H41" s="479">
        <f t="shared" si="0"/>
        <v>0</v>
      </c>
    </row>
    <row r="42" spans="1:8" x14ac:dyDescent="0.2">
      <c r="A42" s="478">
        <f>+IFERROR(INDEX(BDDregul!$A$3:$Q$422,MATCH(ROW(A22),BDDregul!$Q$3:$Q$422,0),1),"")</f>
        <v>42644</v>
      </c>
      <c r="B42" s="1206">
        <f>+IFERROR(INDEX(BDDregul!$A$3:$Q$422,MATCH(ROW(A22),BDDregul!$Q$3:$Q$422,0),3)+INDEX(BDDregul!$A$3:$Q$422,MATCH(ROW(A22),BDDregul!$Q$3:$Q$422,0),4),"")</f>
        <v>0</v>
      </c>
      <c r="C42" s="431">
        <f>+IFERROR(INDEX(BDDregul!$A$3:$Q$422,MATCH(ROW(A22),BDDregul!$Q$3:$Q$422,0),14),"")</f>
        <v>0</v>
      </c>
      <c r="D42" s="479">
        <f>+IFERROR(INDEX(BDDregul!$A$3:$Q$422,MATCH(ROW(A22),BDDregul!$Q$3:$Q$422,0),9),"")</f>
        <v>0</v>
      </c>
      <c r="E42" s="479">
        <f>+IFERROR(INDEX(BDDregul!$A$3:$Q$422,MATCH(ROW(A22),BDDregul!$Q$3:$Q$422,0),12),"")</f>
        <v>0</v>
      </c>
      <c r="F42" s="479">
        <f>+IFERROR(INDEX(BDDregul!$A$3:$Q$422,MATCH(ROW(A22),BDDregul!$Q$3:$Q$422,0),13),"")</f>
        <v>0</v>
      </c>
      <c r="G42" s="479">
        <f>+IFERROR(IF(A42=DATE($F$12,$E$12,1),0,INDEX(BDDregul!$A$3:$Q$422,MATCH(ROW(A22),BDDregul!$Q$3:$Q$422,0),15)),"")</f>
        <v>0</v>
      </c>
      <c r="H42" s="479">
        <f t="shared" si="0"/>
        <v>0</v>
      </c>
    </row>
    <row r="43" spans="1:8" x14ac:dyDescent="0.2">
      <c r="A43" s="478">
        <f>+IFERROR(INDEX(BDDregul!$A$3:$Q$422,MATCH(ROW(A23),BDDregul!$Q$3:$Q$422,0),1),"")</f>
        <v>42675</v>
      </c>
      <c r="B43" s="1206">
        <f>+IFERROR(INDEX(BDDregul!$A$3:$Q$422,MATCH(ROW(A23),BDDregul!$Q$3:$Q$422,0),3)+INDEX(BDDregul!$A$3:$Q$422,MATCH(ROW(A23),BDDregul!$Q$3:$Q$422,0),4),"")</f>
        <v>0</v>
      </c>
      <c r="C43" s="431">
        <f>+IFERROR(INDEX(BDDregul!$A$3:$Q$422,MATCH(ROW(A23),BDDregul!$Q$3:$Q$422,0),14),"")</f>
        <v>0</v>
      </c>
      <c r="D43" s="479">
        <f>+IFERROR(INDEX(BDDregul!$A$3:$Q$422,MATCH(ROW(A23),BDDregul!$Q$3:$Q$422,0),9),"")</f>
        <v>0</v>
      </c>
      <c r="E43" s="479">
        <f>+IFERROR(INDEX(BDDregul!$A$3:$Q$422,MATCH(ROW(A23),BDDregul!$Q$3:$Q$422,0),12),"")</f>
        <v>0</v>
      </c>
      <c r="F43" s="479">
        <f>+IFERROR(INDEX(BDDregul!$A$3:$Q$422,MATCH(ROW(A23),BDDregul!$Q$3:$Q$422,0),13),"")</f>
        <v>0</v>
      </c>
      <c r="G43" s="479">
        <f>+IFERROR(IF(A43=DATE($F$12,$E$12,1),0,INDEX(BDDregul!$A$3:$Q$422,MATCH(ROW(A23),BDDregul!$Q$3:$Q$422,0),15)),"")</f>
        <v>0</v>
      </c>
      <c r="H43" s="479">
        <f t="shared" si="0"/>
        <v>0</v>
      </c>
    </row>
    <row r="44" spans="1:8" x14ac:dyDescent="0.2">
      <c r="A44" s="478">
        <f>+IFERROR(INDEX(BDDregul!$A$3:$Q$422,MATCH(ROW(A24),BDDregul!$Q$3:$Q$422,0),1),"")</f>
        <v>42705</v>
      </c>
      <c r="B44" s="1206">
        <f>+IFERROR(INDEX(BDDregul!$A$3:$Q$422,MATCH(ROW(A24),BDDregul!$Q$3:$Q$422,0),3)+INDEX(BDDregul!$A$3:$Q$422,MATCH(ROW(A24),BDDregul!$Q$3:$Q$422,0),4),"")</f>
        <v>0</v>
      </c>
      <c r="C44" s="431">
        <f>+IFERROR(INDEX(BDDregul!$A$3:$Q$422,MATCH(ROW(A24),BDDregul!$Q$3:$Q$422,0),14),"")</f>
        <v>0</v>
      </c>
      <c r="D44" s="479">
        <f>+IFERROR(INDEX(BDDregul!$A$3:$Q$422,MATCH(ROW(A24),BDDregul!$Q$3:$Q$422,0),9),"")</f>
        <v>0</v>
      </c>
      <c r="E44" s="479">
        <f>+IFERROR(INDEX(BDDregul!$A$3:$Q$422,MATCH(ROW(A24),BDDregul!$Q$3:$Q$422,0),12),"")</f>
        <v>0</v>
      </c>
      <c r="F44" s="479">
        <f>+IFERROR(INDEX(BDDregul!$A$3:$Q$422,MATCH(ROW(A24),BDDregul!$Q$3:$Q$422,0),13),"")</f>
        <v>0</v>
      </c>
      <c r="G44" s="479">
        <f>+IFERROR(IF(A44=DATE($F$12,$E$12,1),0,INDEX(BDDregul!$A$3:$Q$422,MATCH(ROW(A24),BDDregul!$Q$3:$Q$422,0),15)),"")</f>
        <v>0</v>
      </c>
      <c r="H44" s="479">
        <f t="shared" si="0"/>
        <v>0</v>
      </c>
    </row>
    <row r="45" spans="1:8" x14ac:dyDescent="0.2">
      <c r="A45" s="478">
        <f>+IFERROR(INDEX(BDDregul!$A$3:$Q$422,MATCH(ROW(A25),BDDregul!$Q$3:$Q$422,0),1),"")</f>
        <v>42736</v>
      </c>
      <c r="B45" s="1206">
        <f>+IFERROR(INDEX(BDDregul!$A$3:$Q$422,MATCH(ROW(A25),BDDregul!$Q$3:$Q$422,0),3)+INDEX(BDDregul!$A$3:$Q$422,MATCH(ROW(A25),BDDregul!$Q$3:$Q$422,0),4),"")</f>
        <v>0</v>
      </c>
      <c r="C45" s="431">
        <f>+IFERROR(INDEX(BDDregul!$A$3:$Q$422,MATCH(ROW(A25),BDDregul!$Q$3:$Q$422,0),14),"")</f>
        <v>0</v>
      </c>
      <c r="D45" s="479">
        <f>+IFERROR(INDEX(BDDregul!$A$3:$Q$422,MATCH(ROW(A25),BDDregul!$Q$3:$Q$422,0),9),"")</f>
        <v>0</v>
      </c>
      <c r="E45" s="479">
        <f>+IFERROR(INDEX(BDDregul!$A$3:$Q$422,MATCH(ROW(A25),BDDregul!$Q$3:$Q$422,0),12),"")</f>
        <v>0</v>
      </c>
      <c r="F45" s="479">
        <f>+IFERROR(INDEX(BDDregul!$A$3:$Q$422,MATCH(ROW(A25),BDDregul!$Q$3:$Q$422,0),13),"")</f>
        <v>0</v>
      </c>
      <c r="G45" s="479">
        <f>+IFERROR(IF(A45=DATE($F$12,$E$12,1),0,INDEX(BDDregul!$A$3:$Q$422,MATCH(ROW(A25),BDDregul!$Q$3:$Q$422,0),15)),"")</f>
        <v>0</v>
      </c>
      <c r="H45" s="479">
        <f t="shared" si="0"/>
        <v>0</v>
      </c>
    </row>
    <row r="46" spans="1:8" x14ac:dyDescent="0.2">
      <c r="A46" s="478">
        <f>+IFERROR(INDEX(BDDregul!$A$3:$Q$422,MATCH(ROW(A26),BDDregul!$Q$3:$Q$422,0),1),"")</f>
        <v>42767</v>
      </c>
      <c r="B46" s="1206">
        <f>+IFERROR(INDEX(BDDregul!$A$3:$Q$422,MATCH(ROW(A26),BDDregul!$Q$3:$Q$422,0),3)+INDEX(BDDregul!$A$3:$Q$422,MATCH(ROW(A26),BDDregul!$Q$3:$Q$422,0),4),"")</f>
        <v>0</v>
      </c>
      <c r="C46" s="431">
        <f>+IFERROR(INDEX(BDDregul!$A$3:$Q$422,MATCH(ROW(A26),BDDregul!$Q$3:$Q$422,0),14),"")</f>
        <v>0</v>
      </c>
      <c r="D46" s="479">
        <f>+IFERROR(INDEX(BDDregul!$A$3:$Q$422,MATCH(ROW(A26),BDDregul!$Q$3:$Q$422,0),9),"")</f>
        <v>0</v>
      </c>
      <c r="E46" s="479">
        <f>+IFERROR(INDEX(BDDregul!$A$3:$Q$422,MATCH(ROW(A26),BDDregul!$Q$3:$Q$422,0),12),"")</f>
        <v>0</v>
      </c>
      <c r="F46" s="479">
        <f>+IFERROR(INDEX(BDDregul!$A$3:$Q$422,MATCH(ROW(A26),BDDregul!$Q$3:$Q$422,0),13),"")</f>
        <v>0</v>
      </c>
      <c r="G46" s="479">
        <f>+IFERROR(IF(A46=DATE($F$12,$E$12,1),0,INDEX(BDDregul!$A$3:$Q$422,MATCH(ROW(A26),BDDregul!$Q$3:$Q$422,0),15)),"")</f>
        <v>0</v>
      </c>
      <c r="H46" s="479">
        <f t="shared" si="0"/>
        <v>0</v>
      </c>
    </row>
    <row r="47" spans="1:8" x14ac:dyDescent="0.2">
      <c r="A47" s="478">
        <f>+IFERROR(INDEX(BDDregul!$A$3:$Q$422,MATCH(ROW(A27),BDDregul!$Q$3:$Q$422,0),1),"")</f>
        <v>42795</v>
      </c>
      <c r="B47" s="1206">
        <f>+IFERROR(INDEX(BDDregul!$A$3:$Q$422,MATCH(ROW(A27),BDDregul!$Q$3:$Q$422,0),3)+INDEX(BDDregul!$A$3:$Q$422,MATCH(ROW(A27),BDDregul!$Q$3:$Q$422,0),4),"")</f>
        <v>0</v>
      </c>
      <c r="C47" s="431">
        <f>+IFERROR(INDEX(BDDregul!$A$3:$Q$422,MATCH(ROW(A27),BDDregul!$Q$3:$Q$422,0),14),"")</f>
        <v>0</v>
      </c>
      <c r="D47" s="479">
        <f>+IFERROR(INDEX(BDDregul!$A$3:$Q$422,MATCH(ROW(A27),BDDregul!$Q$3:$Q$422,0),9),"")</f>
        <v>0</v>
      </c>
      <c r="E47" s="479">
        <f>+IFERROR(INDEX(BDDregul!$A$3:$Q$422,MATCH(ROW(A27),BDDregul!$Q$3:$Q$422,0),12),"")</f>
        <v>0</v>
      </c>
      <c r="F47" s="479">
        <f>+IFERROR(INDEX(BDDregul!$A$3:$Q$422,MATCH(ROW(A27),BDDregul!$Q$3:$Q$422,0),13),"")</f>
        <v>0</v>
      </c>
      <c r="G47" s="479">
        <f>+IFERROR(IF(A47=DATE($F$12,$E$12,1),0,INDEX(BDDregul!$A$3:$Q$422,MATCH(ROW(A27),BDDregul!$Q$3:$Q$422,0),15)),"")</f>
        <v>0</v>
      </c>
      <c r="H47" s="479">
        <f t="shared" si="0"/>
        <v>0</v>
      </c>
    </row>
    <row r="48" spans="1:8" x14ac:dyDescent="0.2">
      <c r="A48" s="478">
        <f>+IFERROR(INDEX(BDDregul!$A$3:$Q$422,MATCH(ROW(A28),BDDregul!$Q$3:$Q$422,0),1),"")</f>
        <v>42826</v>
      </c>
      <c r="B48" s="1206">
        <f>+IFERROR(INDEX(BDDregul!$A$3:$Q$422,MATCH(ROW(A28),BDDregul!$Q$3:$Q$422,0),3)+INDEX(BDDregul!$A$3:$Q$422,MATCH(ROW(A28),BDDregul!$Q$3:$Q$422,0),4),"")</f>
        <v>0</v>
      </c>
      <c r="C48" s="431">
        <f>+IFERROR(INDEX(BDDregul!$A$3:$Q$422,MATCH(ROW(A28),BDDregul!$Q$3:$Q$422,0),14),"")</f>
        <v>0</v>
      </c>
      <c r="D48" s="479">
        <f>+IFERROR(INDEX(BDDregul!$A$3:$Q$422,MATCH(ROW(A28),BDDregul!$Q$3:$Q$422,0),9),"")</f>
        <v>0</v>
      </c>
      <c r="E48" s="479">
        <f>+IFERROR(INDEX(BDDregul!$A$3:$Q$422,MATCH(ROW(A28),BDDregul!$Q$3:$Q$422,0),12),"")</f>
        <v>0</v>
      </c>
      <c r="F48" s="479">
        <f>+IFERROR(INDEX(BDDregul!$A$3:$Q$422,MATCH(ROW(A28),BDDregul!$Q$3:$Q$422,0),13),"")</f>
        <v>0</v>
      </c>
      <c r="G48" s="479">
        <f>+IFERROR(IF(A48=DATE($F$12,$E$12,1),0,INDEX(BDDregul!$A$3:$Q$422,MATCH(ROW(A28),BDDregul!$Q$3:$Q$422,0),15)),"")</f>
        <v>0</v>
      </c>
      <c r="H48" s="479">
        <f t="shared" si="0"/>
        <v>0</v>
      </c>
    </row>
    <row r="49" spans="1:8" x14ac:dyDescent="0.2">
      <c r="A49" s="478">
        <f>+IFERROR(INDEX(BDDregul!$A$3:$Q$422,MATCH(ROW(A29),BDDregul!$Q$3:$Q$422,0),1),"")</f>
        <v>42856</v>
      </c>
      <c r="B49" s="1206">
        <f>+IFERROR(INDEX(BDDregul!$A$3:$Q$422,MATCH(ROW(A29),BDDregul!$Q$3:$Q$422,0),3)+INDEX(BDDregul!$A$3:$Q$422,MATCH(ROW(A29),BDDregul!$Q$3:$Q$422,0),4),"")</f>
        <v>0</v>
      </c>
      <c r="C49" s="431">
        <f>+IFERROR(INDEX(BDDregul!$A$3:$Q$422,MATCH(ROW(A29),BDDregul!$Q$3:$Q$422,0),14),"")</f>
        <v>0</v>
      </c>
      <c r="D49" s="479">
        <f>+IFERROR(INDEX(BDDregul!$A$3:$Q$422,MATCH(ROW(A29),BDDregul!$Q$3:$Q$422,0),9),"")</f>
        <v>0</v>
      </c>
      <c r="E49" s="479">
        <f>+IFERROR(INDEX(BDDregul!$A$3:$Q$422,MATCH(ROW(A29),BDDregul!$Q$3:$Q$422,0),12),"")</f>
        <v>0</v>
      </c>
      <c r="F49" s="479">
        <f>+IFERROR(INDEX(BDDregul!$A$3:$Q$422,MATCH(ROW(A29),BDDregul!$Q$3:$Q$422,0),13),"")</f>
        <v>0</v>
      </c>
      <c r="G49" s="479">
        <f>+IFERROR(IF(A49=DATE($F$12,$E$12,1),0,INDEX(BDDregul!$A$3:$Q$422,MATCH(ROW(A29),BDDregul!$Q$3:$Q$422,0),15)),"")</f>
        <v>0</v>
      </c>
      <c r="H49" s="479">
        <f t="shared" si="0"/>
        <v>0</v>
      </c>
    </row>
    <row r="50" spans="1:8" x14ac:dyDescent="0.2">
      <c r="A50" s="478">
        <f>+IFERROR(INDEX(BDDregul!$A$3:$Q$422,MATCH(ROW(A30),BDDregul!$Q$3:$Q$422,0),1),"")</f>
        <v>42887</v>
      </c>
      <c r="B50" s="1206">
        <f>+IFERROR(INDEX(BDDregul!$A$3:$Q$422,MATCH(ROW(A30),BDDregul!$Q$3:$Q$422,0),3)+INDEX(BDDregul!$A$3:$Q$422,MATCH(ROW(A30),BDDregul!$Q$3:$Q$422,0),4),"")</f>
        <v>0</v>
      </c>
      <c r="C50" s="431">
        <f>+IFERROR(INDEX(BDDregul!$A$3:$Q$422,MATCH(ROW(A30),BDDregul!$Q$3:$Q$422,0),14),"")</f>
        <v>0</v>
      </c>
      <c r="D50" s="479">
        <f>+IFERROR(INDEX(BDDregul!$A$3:$Q$422,MATCH(ROW(A30),BDDregul!$Q$3:$Q$422,0),9),"")</f>
        <v>0</v>
      </c>
      <c r="E50" s="479">
        <f>+IFERROR(INDEX(BDDregul!$A$3:$Q$422,MATCH(ROW(A30),BDDregul!$Q$3:$Q$422,0),12),"")</f>
        <v>0</v>
      </c>
      <c r="F50" s="479">
        <f>+IFERROR(INDEX(BDDregul!$A$3:$Q$422,MATCH(ROW(A30),BDDregul!$Q$3:$Q$422,0),13),"")</f>
        <v>0</v>
      </c>
      <c r="G50" s="479">
        <f>+IFERROR(IF(A50=DATE($F$12,$E$12,1),0,INDEX(BDDregul!$A$3:$Q$422,MATCH(ROW(A30),BDDregul!$Q$3:$Q$422,0),15)),"")</f>
        <v>0</v>
      </c>
      <c r="H50" s="479">
        <f t="shared" si="0"/>
        <v>0</v>
      </c>
    </row>
    <row r="51" spans="1:8" x14ac:dyDescent="0.2">
      <c r="A51" s="478">
        <f>+IFERROR(INDEX(BDDregul!$A$3:$Q$422,MATCH(ROW(A31),BDDregul!$Q$3:$Q$422,0),1),"")</f>
        <v>42917</v>
      </c>
      <c r="B51" s="1206">
        <f>+IFERROR(INDEX(BDDregul!$A$3:$Q$422,MATCH(ROW(A31),BDDregul!$Q$3:$Q$422,0),3)+INDEX(BDDregul!$A$3:$Q$422,MATCH(ROW(A31),BDDregul!$Q$3:$Q$422,0),4),"")</f>
        <v>0</v>
      </c>
      <c r="C51" s="431">
        <f>+IFERROR(INDEX(BDDregul!$A$3:$Q$422,MATCH(ROW(A31),BDDregul!$Q$3:$Q$422,0),14),"")</f>
        <v>0</v>
      </c>
      <c r="D51" s="479">
        <f>+IFERROR(INDEX(BDDregul!$A$3:$Q$422,MATCH(ROW(A31),BDDregul!$Q$3:$Q$422,0),9),"")</f>
        <v>0</v>
      </c>
      <c r="E51" s="479">
        <f>+IFERROR(INDEX(BDDregul!$A$3:$Q$422,MATCH(ROW(A31),BDDregul!$Q$3:$Q$422,0),12),"")</f>
        <v>0</v>
      </c>
      <c r="F51" s="479">
        <f>+IFERROR(INDEX(BDDregul!$A$3:$Q$422,MATCH(ROW(A31),BDDregul!$Q$3:$Q$422,0),13),"")</f>
        <v>0</v>
      </c>
      <c r="G51" s="479">
        <f>+IFERROR(IF(A51=DATE($F$12,$E$12,1),0,INDEX(BDDregul!$A$3:$Q$422,MATCH(ROW(A31),BDDregul!$Q$3:$Q$422,0),15)),"")</f>
        <v>0</v>
      </c>
      <c r="H51" s="479">
        <f t="shared" si="0"/>
        <v>0</v>
      </c>
    </row>
    <row r="52" spans="1:8" x14ac:dyDescent="0.2">
      <c r="A52" s="478">
        <f>+IFERROR(INDEX(BDDregul!$A$3:$Q$422,MATCH(ROW(A32),BDDregul!$Q$3:$Q$422,0),1),"")</f>
        <v>42948</v>
      </c>
      <c r="B52" s="1206">
        <f>+IFERROR(INDEX(BDDregul!$A$3:$Q$422,MATCH(ROW(A32),BDDregul!$Q$3:$Q$422,0),3)+INDEX(BDDregul!$A$3:$Q$422,MATCH(ROW(A32),BDDregul!$Q$3:$Q$422,0),4),"")</f>
        <v>0</v>
      </c>
      <c r="C52" s="431">
        <f>+IFERROR(INDEX(BDDregul!$A$3:$Q$422,MATCH(ROW(A32),BDDregul!$Q$3:$Q$422,0),14),"")</f>
        <v>0</v>
      </c>
      <c r="D52" s="479">
        <f>+IFERROR(INDEX(BDDregul!$A$3:$Q$422,MATCH(ROW(A32),BDDregul!$Q$3:$Q$422,0),9),"")</f>
        <v>0</v>
      </c>
      <c r="E52" s="479">
        <f>+IFERROR(INDEX(BDDregul!$A$3:$Q$422,MATCH(ROW(A32),BDDregul!$Q$3:$Q$422,0),12),"")</f>
        <v>0</v>
      </c>
      <c r="F52" s="479">
        <f>+IFERROR(INDEX(BDDregul!$A$3:$Q$422,MATCH(ROW(A32),BDDregul!$Q$3:$Q$422,0),13),"")</f>
        <v>0</v>
      </c>
      <c r="G52" s="479">
        <f>+IFERROR(IF(A52=DATE($F$12,$E$12,1),0,INDEX(BDDregul!$A$3:$Q$422,MATCH(ROW(A32),BDDregul!$Q$3:$Q$422,0),15)),"")</f>
        <v>0</v>
      </c>
      <c r="H52" s="479">
        <f t="shared" si="0"/>
        <v>0</v>
      </c>
    </row>
    <row r="53" spans="1:8" x14ac:dyDescent="0.2">
      <c r="A53" s="478">
        <f>+IFERROR(INDEX(BDDregul!$A$3:$Q$422,MATCH(ROW(A33),BDDregul!$Q$3:$Q$422,0),1),"")</f>
        <v>42979</v>
      </c>
      <c r="B53" s="1206">
        <f>+IFERROR(INDEX(BDDregul!$A$3:$Q$422,MATCH(ROW(A33),BDDregul!$Q$3:$Q$422,0),3)+INDEX(BDDregul!$A$3:$Q$422,MATCH(ROW(A33),BDDregul!$Q$3:$Q$422,0),4),"")</f>
        <v>0</v>
      </c>
      <c r="C53" s="431">
        <f>+IFERROR(INDEX(BDDregul!$A$3:$Q$422,MATCH(ROW(A33),BDDregul!$Q$3:$Q$422,0),14),"")</f>
        <v>0</v>
      </c>
      <c r="D53" s="479">
        <f>+IFERROR(INDEX(BDDregul!$A$3:$Q$422,MATCH(ROW(A33),BDDregul!$Q$3:$Q$422,0),9),"")</f>
        <v>0</v>
      </c>
      <c r="E53" s="479">
        <f>+IFERROR(INDEX(BDDregul!$A$3:$Q$422,MATCH(ROW(A33),BDDregul!$Q$3:$Q$422,0),12),"")</f>
        <v>0</v>
      </c>
      <c r="F53" s="479">
        <f>+IFERROR(INDEX(BDDregul!$A$3:$Q$422,MATCH(ROW(A33),BDDregul!$Q$3:$Q$422,0),13),"")</f>
        <v>0</v>
      </c>
      <c r="G53" s="479">
        <f>+IFERROR(IF(A53=DATE($F$12,$E$12,1),0,INDEX(BDDregul!$A$3:$Q$422,MATCH(ROW(A33),BDDregul!$Q$3:$Q$422,0),15)),"")</f>
        <v>0</v>
      </c>
      <c r="H53" s="479">
        <f t="shared" si="0"/>
        <v>0</v>
      </c>
    </row>
    <row r="54" spans="1:8" x14ac:dyDescent="0.2">
      <c r="A54" s="478">
        <f>+IFERROR(INDEX(BDDregul!$A$3:$Q$422,MATCH(ROW(A34),BDDregul!$Q$3:$Q$422,0),1),"")</f>
        <v>43009</v>
      </c>
      <c r="B54" s="1206">
        <f>+IFERROR(INDEX(BDDregul!$A$3:$Q$422,MATCH(ROW(A34),BDDregul!$Q$3:$Q$422,0),3)+INDEX(BDDregul!$A$3:$Q$422,MATCH(ROW(A34),BDDregul!$Q$3:$Q$422,0),4),"")</f>
        <v>0</v>
      </c>
      <c r="C54" s="431">
        <f>+IFERROR(INDEX(BDDregul!$A$3:$Q$422,MATCH(ROW(A34),BDDregul!$Q$3:$Q$422,0),14),"")</f>
        <v>0</v>
      </c>
      <c r="D54" s="479">
        <f>+IFERROR(INDEX(BDDregul!$A$3:$Q$422,MATCH(ROW(A34),BDDregul!$Q$3:$Q$422,0),9),"")</f>
        <v>0</v>
      </c>
      <c r="E54" s="479">
        <f>+IFERROR(INDEX(BDDregul!$A$3:$Q$422,MATCH(ROW(A34),BDDregul!$Q$3:$Q$422,0),12),"")</f>
        <v>0</v>
      </c>
      <c r="F54" s="479">
        <f>+IFERROR(INDEX(BDDregul!$A$3:$Q$422,MATCH(ROW(A34),BDDregul!$Q$3:$Q$422,0),13),"")</f>
        <v>0</v>
      </c>
      <c r="G54" s="479">
        <f>+IFERROR(IF(A54=DATE($F$12,$E$12,1),0,INDEX(BDDregul!$A$3:$Q$422,MATCH(ROW(A34),BDDregul!$Q$3:$Q$422,0),15)),"")</f>
        <v>0</v>
      </c>
      <c r="H54" s="479">
        <f t="shared" si="0"/>
        <v>0</v>
      </c>
    </row>
    <row r="55" spans="1:8" x14ac:dyDescent="0.2">
      <c r="A55" s="478">
        <f>+IFERROR(INDEX(BDDregul!$A$3:$Q$422,MATCH(ROW(A35),BDDregul!$Q$3:$Q$422,0),1),"")</f>
        <v>43040</v>
      </c>
      <c r="B55" s="1206">
        <f>+IFERROR(INDEX(BDDregul!$A$3:$Q$422,MATCH(ROW(A35),BDDregul!$Q$3:$Q$422,0),3)+INDEX(BDDregul!$A$3:$Q$422,MATCH(ROW(A35),BDDregul!$Q$3:$Q$422,0),4),"")</f>
        <v>0</v>
      </c>
      <c r="C55" s="431">
        <f>+IFERROR(INDEX(BDDregul!$A$3:$Q$422,MATCH(ROW(A35),BDDregul!$Q$3:$Q$422,0),14),"")</f>
        <v>0</v>
      </c>
      <c r="D55" s="479">
        <f>+IFERROR(INDEX(BDDregul!$A$3:$Q$422,MATCH(ROW(A35),BDDregul!$Q$3:$Q$422,0),9),"")</f>
        <v>0</v>
      </c>
      <c r="E55" s="479">
        <f>+IFERROR(INDEX(BDDregul!$A$3:$Q$422,MATCH(ROW(A35),BDDregul!$Q$3:$Q$422,0),12),"")</f>
        <v>0</v>
      </c>
      <c r="F55" s="479">
        <f>+IFERROR(INDEX(BDDregul!$A$3:$Q$422,MATCH(ROW(A35),BDDregul!$Q$3:$Q$422,0),13),"")</f>
        <v>0</v>
      </c>
      <c r="G55" s="479">
        <f>+IFERROR(IF(A55=DATE($F$12,$E$12,1),0,INDEX(BDDregul!$A$3:$Q$422,MATCH(ROW(A35),BDDregul!$Q$3:$Q$422,0),15)),"")</f>
        <v>0</v>
      </c>
      <c r="H55" s="479">
        <f t="shared" si="0"/>
        <v>0</v>
      </c>
    </row>
    <row r="56" spans="1:8" x14ac:dyDescent="0.2">
      <c r="A56" s="478">
        <f>+IFERROR(INDEX(BDDregul!$A$3:$Q$422,MATCH(ROW(A36),BDDregul!$Q$3:$Q$422,0),1),"")</f>
        <v>43070</v>
      </c>
      <c r="B56" s="1206">
        <f>+IFERROR(INDEX(BDDregul!$A$3:$Q$422,MATCH(ROW(A36),BDDregul!$Q$3:$Q$422,0),3)+INDEX(BDDregul!$A$3:$Q$422,MATCH(ROW(A36),BDDregul!$Q$3:$Q$422,0),4),"")</f>
        <v>0</v>
      </c>
      <c r="C56" s="431">
        <f>+IFERROR(INDEX(BDDregul!$A$3:$Q$422,MATCH(ROW(A36),BDDregul!$Q$3:$Q$422,0),14),"")</f>
        <v>0</v>
      </c>
      <c r="D56" s="479">
        <f>+IFERROR(INDEX(BDDregul!$A$3:$Q$422,MATCH(ROW(A36),BDDregul!$Q$3:$Q$422,0),9),"")</f>
        <v>0</v>
      </c>
      <c r="E56" s="479">
        <f>+IFERROR(INDEX(BDDregul!$A$3:$Q$422,MATCH(ROW(A36),BDDregul!$Q$3:$Q$422,0),12),"")</f>
        <v>0</v>
      </c>
      <c r="F56" s="479">
        <f>+IFERROR(INDEX(BDDregul!$A$3:$Q$422,MATCH(ROW(A36),BDDregul!$Q$3:$Q$422,0),13),"")</f>
        <v>0</v>
      </c>
      <c r="G56" s="479">
        <f>+IFERROR(IF(A56=DATE($F$12,$E$12,1),0,INDEX(BDDregul!$A$3:$Q$422,MATCH(ROW(A36),BDDregul!$Q$3:$Q$422,0),15)),"")</f>
        <v>0</v>
      </c>
      <c r="H56" s="479">
        <f t="shared" si="0"/>
        <v>0</v>
      </c>
    </row>
    <row r="57" spans="1:8" x14ac:dyDescent="0.2">
      <c r="A57" s="478">
        <f>+IFERROR(INDEX(BDDregul!$A$3:$Q$422,MATCH(ROW(A37),BDDregul!$Q$3:$Q$422,0),1),"")</f>
        <v>43101</v>
      </c>
      <c r="B57" s="1206">
        <f>+IFERROR(INDEX(BDDregul!$A$3:$Q$422,MATCH(ROW(A37),BDDregul!$Q$3:$Q$422,0),3)+INDEX(BDDregul!$A$3:$Q$422,MATCH(ROW(A37),BDDregul!$Q$3:$Q$422,0),4),"")</f>
        <v>0</v>
      </c>
      <c r="C57" s="431">
        <f>+IFERROR(INDEX(BDDregul!$A$3:$Q$422,MATCH(ROW(A37),BDDregul!$Q$3:$Q$422,0),14),"")</f>
        <v>0</v>
      </c>
      <c r="D57" s="479">
        <f>+IFERROR(INDEX(BDDregul!$A$3:$Q$422,MATCH(ROW(A37),BDDregul!$Q$3:$Q$422,0),9),"")</f>
        <v>0</v>
      </c>
      <c r="E57" s="479">
        <f>+IFERROR(INDEX(BDDregul!$A$3:$Q$422,MATCH(ROW(A37),BDDregul!$Q$3:$Q$422,0),12),"")</f>
        <v>0</v>
      </c>
      <c r="F57" s="479">
        <f>+IFERROR(INDEX(BDDregul!$A$3:$Q$422,MATCH(ROW(A37),BDDregul!$Q$3:$Q$422,0),13),"")</f>
        <v>0</v>
      </c>
      <c r="G57" s="479">
        <f>+IFERROR(IF(A57=DATE($F$12,$E$12,1),0,INDEX(BDDregul!$A$3:$Q$422,MATCH(ROW(A37),BDDregul!$Q$3:$Q$422,0),15)),"")</f>
        <v>0</v>
      </c>
      <c r="H57" s="479">
        <f t="shared" si="0"/>
        <v>0</v>
      </c>
    </row>
    <row r="58" spans="1:8" x14ac:dyDescent="0.2">
      <c r="A58" s="478">
        <f>+IFERROR(INDEX(BDDregul!$A$3:$Q$422,MATCH(ROW(A38),BDDregul!$Q$3:$Q$422,0),1),"")</f>
        <v>43132</v>
      </c>
      <c r="B58" s="1206">
        <f>+IFERROR(INDEX(BDDregul!$A$3:$Q$422,MATCH(ROW(A38),BDDregul!$Q$3:$Q$422,0),3)+INDEX(BDDregul!$A$3:$Q$422,MATCH(ROW(A38),BDDregul!$Q$3:$Q$422,0),4),"")</f>
        <v>0</v>
      </c>
      <c r="C58" s="431">
        <f>+IFERROR(INDEX(BDDregul!$A$3:$Q$422,MATCH(ROW(A38),BDDregul!$Q$3:$Q$422,0),14),"")</f>
        <v>0</v>
      </c>
      <c r="D58" s="479">
        <f>+IFERROR(INDEX(BDDregul!$A$3:$Q$422,MATCH(ROW(A38),BDDregul!$Q$3:$Q$422,0),9),"")</f>
        <v>0</v>
      </c>
      <c r="E58" s="479">
        <f>+IFERROR(INDEX(BDDregul!$A$3:$Q$422,MATCH(ROW(A38),BDDregul!$Q$3:$Q$422,0),12),"")</f>
        <v>0</v>
      </c>
      <c r="F58" s="479">
        <f>+IFERROR(INDEX(BDDregul!$A$3:$Q$422,MATCH(ROW(A38),BDDregul!$Q$3:$Q$422,0),13),"")</f>
        <v>0</v>
      </c>
      <c r="G58" s="479">
        <f>+IFERROR(IF(A58=DATE($F$12,$E$12,1),0,INDEX(BDDregul!$A$3:$Q$422,MATCH(ROW(A38),BDDregul!$Q$3:$Q$422,0),15)),"")</f>
        <v>0</v>
      </c>
      <c r="H58" s="479">
        <f t="shared" si="0"/>
        <v>0</v>
      </c>
    </row>
    <row r="59" spans="1:8" x14ac:dyDescent="0.2">
      <c r="A59" s="478">
        <f>+IFERROR(INDEX(BDDregul!$A$3:$Q$422,MATCH(ROW(A39),BDDregul!$Q$3:$Q$422,0),1),"")</f>
        <v>43160</v>
      </c>
      <c r="B59" s="1206">
        <f>+IFERROR(INDEX(BDDregul!$A$3:$Q$422,MATCH(ROW(A39),BDDregul!$Q$3:$Q$422,0),3)+INDEX(BDDregul!$A$3:$Q$422,MATCH(ROW(A39),BDDregul!$Q$3:$Q$422,0),4),"")</f>
        <v>0</v>
      </c>
      <c r="C59" s="431">
        <f>+IFERROR(INDEX(BDDregul!$A$3:$Q$422,MATCH(ROW(A39),BDDregul!$Q$3:$Q$422,0),14),"")</f>
        <v>0</v>
      </c>
      <c r="D59" s="479">
        <f>+IFERROR(INDEX(BDDregul!$A$3:$Q$422,MATCH(ROW(A39),BDDregul!$Q$3:$Q$422,0),9),"")</f>
        <v>0</v>
      </c>
      <c r="E59" s="479">
        <f>+IFERROR(INDEX(BDDregul!$A$3:$Q$422,MATCH(ROW(A39),BDDregul!$Q$3:$Q$422,0),12),"")</f>
        <v>0</v>
      </c>
      <c r="F59" s="479">
        <f>+IFERROR(INDEX(BDDregul!$A$3:$Q$422,MATCH(ROW(A39),BDDregul!$Q$3:$Q$422,0),13),"")</f>
        <v>0</v>
      </c>
      <c r="G59" s="479">
        <f>+IFERROR(IF(A59=DATE($F$12,$E$12,1),0,INDEX(BDDregul!$A$3:$Q$422,MATCH(ROW(A39),BDDregul!$Q$3:$Q$422,0),15)),"")</f>
        <v>0</v>
      </c>
      <c r="H59" s="479">
        <f t="shared" si="0"/>
        <v>0</v>
      </c>
    </row>
    <row r="60" spans="1:8" x14ac:dyDescent="0.2">
      <c r="A60" s="478">
        <f>+IFERROR(INDEX(BDDregul!$A$3:$Q$422,MATCH(ROW(A40),BDDregul!$Q$3:$Q$422,0),1),"")</f>
        <v>43191</v>
      </c>
      <c r="B60" s="1206">
        <f>+IFERROR(INDEX(BDDregul!$A$3:$Q$422,MATCH(ROW(A40),BDDregul!$Q$3:$Q$422,0),3)+INDEX(BDDregul!$A$3:$Q$422,MATCH(ROW(A40),BDDregul!$Q$3:$Q$422,0),4),"")</f>
        <v>0</v>
      </c>
      <c r="C60" s="431">
        <f>+IFERROR(INDEX(BDDregul!$A$3:$Q$422,MATCH(ROW(A40),BDDregul!$Q$3:$Q$422,0),14),"")</f>
        <v>0</v>
      </c>
      <c r="D60" s="479">
        <f>+IFERROR(INDEX(BDDregul!$A$3:$Q$422,MATCH(ROW(A40),BDDregul!$Q$3:$Q$422,0),9),"")</f>
        <v>0</v>
      </c>
      <c r="E60" s="479">
        <f>+IFERROR(INDEX(BDDregul!$A$3:$Q$422,MATCH(ROW(A40),BDDregul!$Q$3:$Q$422,0),12),"")</f>
        <v>0</v>
      </c>
      <c r="F60" s="479">
        <f>+IFERROR(INDEX(BDDregul!$A$3:$Q$422,MATCH(ROW(A40),BDDregul!$Q$3:$Q$422,0),13),"")</f>
        <v>0</v>
      </c>
      <c r="G60" s="479">
        <f>+IFERROR(IF(A60=DATE($F$12,$E$12,1),0,INDEX(BDDregul!$A$3:$Q$422,MATCH(ROW(A40),BDDregul!$Q$3:$Q$422,0),15)),"")</f>
        <v>0</v>
      </c>
      <c r="H60" s="479">
        <f t="shared" si="0"/>
        <v>0</v>
      </c>
    </row>
    <row r="61" spans="1:8" x14ac:dyDescent="0.2">
      <c r="A61" s="478">
        <f>+IFERROR(INDEX(BDDregul!$A$3:$Q$422,MATCH(ROW(A41),BDDregul!$Q$3:$Q$422,0),1),"")</f>
        <v>43221</v>
      </c>
      <c r="B61" s="1206">
        <f>+IFERROR(INDEX(BDDregul!$A$3:$Q$422,MATCH(ROW(A41),BDDregul!$Q$3:$Q$422,0),3)+INDEX(BDDregul!$A$3:$Q$422,MATCH(ROW(A41),BDDregul!$Q$3:$Q$422,0),4),"")</f>
        <v>0</v>
      </c>
      <c r="C61" s="431">
        <f>+IFERROR(INDEX(BDDregul!$A$3:$Q$422,MATCH(ROW(A41),BDDregul!$Q$3:$Q$422,0),14),"")</f>
        <v>0</v>
      </c>
      <c r="D61" s="479">
        <f>+IFERROR(INDEX(BDDregul!$A$3:$Q$422,MATCH(ROW(A41),BDDregul!$Q$3:$Q$422,0),9),"")</f>
        <v>0</v>
      </c>
      <c r="E61" s="479">
        <f>+IFERROR(INDEX(BDDregul!$A$3:$Q$422,MATCH(ROW(A41),BDDregul!$Q$3:$Q$422,0),12),"")</f>
        <v>0</v>
      </c>
      <c r="F61" s="479">
        <f>+IFERROR(INDEX(BDDregul!$A$3:$Q$422,MATCH(ROW(A41),BDDregul!$Q$3:$Q$422,0),13),"")</f>
        <v>0</v>
      </c>
      <c r="G61" s="479">
        <f>+IFERROR(IF(A61=DATE($F$12,$E$12,1),0,INDEX(BDDregul!$A$3:$Q$422,MATCH(ROW(A41),BDDregul!$Q$3:$Q$422,0),15)),"")</f>
        <v>0</v>
      </c>
      <c r="H61" s="479">
        <f t="shared" si="0"/>
        <v>0</v>
      </c>
    </row>
    <row r="62" spans="1:8" x14ac:dyDescent="0.2">
      <c r="A62" s="478">
        <f>+IFERROR(INDEX(BDDregul!$A$3:$Q$422,MATCH(ROW(A42),BDDregul!$Q$3:$Q$422,0),1),"")</f>
        <v>43252</v>
      </c>
      <c r="B62" s="1206">
        <f>+IFERROR(INDEX(BDDregul!$A$3:$Q$422,MATCH(ROW(A42),BDDregul!$Q$3:$Q$422,0),3)+INDEX(BDDregul!$A$3:$Q$422,MATCH(ROW(A42),BDDregul!$Q$3:$Q$422,0),4),"")</f>
        <v>0</v>
      </c>
      <c r="C62" s="431">
        <f>+IFERROR(INDEX(BDDregul!$A$3:$Q$422,MATCH(ROW(A42),BDDregul!$Q$3:$Q$422,0),14),"")</f>
        <v>0</v>
      </c>
      <c r="D62" s="479">
        <f>+IFERROR(INDEX(BDDregul!$A$3:$Q$422,MATCH(ROW(A42),BDDregul!$Q$3:$Q$422,0),9),"")</f>
        <v>0</v>
      </c>
      <c r="E62" s="479">
        <f>+IFERROR(INDEX(BDDregul!$A$3:$Q$422,MATCH(ROW(A42),BDDregul!$Q$3:$Q$422,0),12),"")</f>
        <v>0</v>
      </c>
      <c r="F62" s="479">
        <f>+IFERROR(INDEX(BDDregul!$A$3:$Q$422,MATCH(ROW(A42),BDDregul!$Q$3:$Q$422,0),13),"")</f>
        <v>0</v>
      </c>
      <c r="G62" s="479">
        <f>+IFERROR(IF(A62=DATE($F$12,$E$12,1),0,INDEX(BDDregul!$A$3:$Q$422,MATCH(ROW(A42),BDDregul!$Q$3:$Q$422,0),15)),"")</f>
        <v>0</v>
      </c>
      <c r="H62" s="479">
        <f t="shared" si="0"/>
        <v>0</v>
      </c>
    </row>
    <row r="63" spans="1:8" x14ac:dyDescent="0.2">
      <c r="A63" s="478">
        <f>+IFERROR(INDEX(BDDregul!$A$3:$Q$422,MATCH(ROW(A43),BDDregul!$Q$3:$Q$422,0),1),"")</f>
        <v>43282</v>
      </c>
      <c r="B63" s="1206">
        <f>+IFERROR(INDEX(BDDregul!$A$3:$Q$422,MATCH(ROW(A43),BDDregul!$Q$3:$Q$422,0),3)+INDEX(BDDregul!$A$3:$Q$422,MATCH(ROW(A43),BDDregul!$Q$3:$Q$422,0),4),"")</f>
        <v>0</v>
      </c>
      <c r="C63" s="431">
        <f>+IFERROR(INDEX(BDDregul!$A$3:$Q$422,MATCH(ROW(A43),BDDregul!$Q$3:$Q$422,0),14),"")</f>
        <v>0</v>
      </c>
      <c r="D63" s="479">
        <f>+IFERROR(INDEX(BDDregul!$A$3:$Q$422,MATCH(ROW(A43),BDDregul!$Q$3:$Q$422,0),9),"")</f>
        <v>0</v>
      </c>
      <c r="E63" s="479">
        <f>+IFERROR(INDEX(BDDregul!$A$3:$Q$422,MATCH(ROW(A43),BDDregul!$Q$3:$Q$422,0),12),"")</f>
        <v>0</v>
      </c>
      <c r="F63" s="479">
        <f>+IFERROR(INDEX(BDDregul!$A$3:$Q$422,MATCH(ROW(A43),BDDregul!$Q$3:$Q$422,0),13),"")</f>
        <v>0</v>
      </c>
      <c r="G63" s="479">
        <f>+IFERROR(IF(A63=DATE($F$12,$E$12,1),0,INDEX(BDDregul!$A$3:$Q$422,MATCH(ROW(A43),BDDregul!$Q$3:$Q$422,0),15)),"")</f>
        <v>0</v>
      </c>
      <c r="H63" s="479">
        <f t="shared" si="0"/>
        <v>0</v>
      </c>
    </row>
    <row r="64" spans="1:8" x14ac:dyDescent="0.2">
      <c r="A64" s="478">
        <f>+IFERROR(INDEX(BDDregul!$A$3:$Q$422,MATCH(ROW(A44),BDDregul!$Q$3:$Q$422,0),1),"")</f>
        <v>43313</v>
      </c>
      <c r="B64" s="1206">
        <f>+IFERROR(INDEX(BDDregul!$A$3:$Q$422,MATCH(ROW(A44),BDDregul!$Q$3:$Q$422,0),3)+INDEX(BDDregul!$A$3:$Q$422,MATCH(ROW(A44),BDDregul!$Q$3:$Q$422,0),4),"")</f>
        <v>0</v>
      </c>
      <c r="C64" s="431">
        <f>+IFERROR(INDEX(BDDregul!$A$3:$Q$422,MATCH(ROW(A44),BDDregul!$Q$3:$Q$422,0),14),"")</f>
        <v>0</v>
      </c>
      <c r="D64" s="479">
        <f>+IFERROR(INDEX(BDDregul!$A$3:$Q$422,MATCH(ROW(A44),BDDregul!$Q$3:$Q$422,0),9),"")</f>
        <v>0</v>
      </c>
      <c r="E64" s="479">
        <f>+IFERROR(INDEX(BDDregul!$A$3:$Q$422,MATCH(ROW(A44),BDDregul!$Q$3:$Q$422,0),12),"")</f>
        <v>0</v>
      </c>
      <c r="F64" s="479">
        <f>+IFERROR(INDEX(BDDregul!$A$3:$Q$422,MATCH(ROW(A44),BDDregul!$Q$3:$Q$422,0),13),"")</f>
        <v>0</v>
      </c>
      <c r="G64" s="479">
        <f>+IFERROR(IF(A64=DATE($F$12,$E$12,1),0,INDEX(BDDregul!$A$3:$Q$422,MATCH(ROW(A44),BDDregul!$Q$3:$Q$422,0),15)),"")</f>
        <v>0</v>
      </c>
      <c r="H64" s="479">
        <f t="shared" si="0"/>
        <v>0</v>
      </c>
    </row>
    <row r="65" spans="1:8" x14ac:dyDescent="0.2">
      <c r="A65" s="478">
        <f>+IFERROR(INDEX(BDDregul!$A$3:$Q$422,MATCH(ROW(A45),BDDregul!$Q$3:$Q$422,0),1),"")</f>
        <v>43344</v>
      </c>
      <c r="B65" s="1206">
        <f>+IFERROR(INDEX(BDDregul!$A$3:$Q$422,MATCH(ROW(A45),BDDregul!$Q$3:$Q$422,0),3)+INDEX(BDDregul!$A$3:$Q$422,MATCH(ROW(A45),BDDregul!$Q$3:$Q$422,0),4),"")</f>
        <v>0</v>
      </c>
      <c r="C65" s="431">
        <f>+IFERROR(INDEX(BDDregul!$A$3:$Q$422,MATCH(ROW(A45),BDDregul!$Q$3:$Q$422,0),14),"")</f>
        <v>0</v>
      </c>
      <c r="D65" s="479">
        <f>+IFERROR(INDEX(BDDregul!$A$3:$Q$422,MATCH(ROW(A45),BDDregul!$Q$3:$Q$422,0),9),"")</f>
        <v>0</v>
      </c>
      <c r="E65" s="479">
        <f>+IFERROR(INDEX(BDDregul!$A$3:$Q$422,MATCH(ROW(A45),BDDregul!$Q$3:$Q$422,0),12),"")</f>
        <v>0</v>
      </c>
      <c r="F65" s="479">
        <f>+IFERROR(INDEX(BDDregul!$A$3:$Q$422,MATCH(ROW(A45),BDDregul!$Q$3:$Q$422,0),13),"")</f>
        <v>0</v>
      </c>
      <c r="G65" s="479">
        <f>+IFERROR(IF(A65=DATE($F$12,$E$12,1),0,INDEX(BDDregul!$A$3:$Q$422,MATCH(ROW(A45),BDDregul!$Q$3:$Q$422,0),15)),"")</f>
        <v>0</v>
      </c>
      <c r="H65" s="479">
        <f t="shared" si="0"/>
        <v>0</v>
      </c>
    </row>
    <row r="66" spans="1:8" x14ac:dyDescent="0.2">
      <c r="A66" s="478">
        <f>+IFERROR(INDEX(BDDregul!$A$3:$Q$422,MATCH(ROW(A46),BDDregul!$Q$3:$Q$422,0),1),"")</f>
        <v>43374</v>
      </c>
      <c r="B66" s="1206">
        <f>+IFERROR(INDEX(BDDregul!$A$3:$Q$422,MATCH(ROW(A46),BDDregul!$Q$3:$Q$422,0),3)+INDEX(BDDregul!$A$3:$Q$422,MATCH(ROW(A46),BDDregul!$Q$3:$Q$422,0),4),"")</f>
        <v>0</v>
      </c>
      <c r="C66" s="431">
        <f>+IFERROR(INDEX(BDDregul!$A$3:$Q$422,MATCH(ROW(A46),BDDregul!$Q$3:$Q$422,0),14),"")</f>
        <v>0</v>
      </c>
      <c r="D66" s="479">
        <f>+IFERROR(INDEX(BDDregul!$A$3:$Q$422,MATCH(ROW(A46),BDDregul!$Q$3:$Q$422,0),9),"")</f>
        <v>0</v>
      </c>
      <c r="E66" s="479">
        <f>+IFERROR(INDEX(BDDregul!$A$3:$Q$422,MATCH(ROW(A46),BDDregul!$Q$3:$Q$422,0),12),"")</f>
        <v>0</v>
      </c>
      <c r="F66" s="479">
        <f>+IFERROR(INDEX(BDDregul!$A$3:$Q$422,MATCH(ROW(A46),BDDregul!$Q$3:$Q$422,0),13),"")</f>
        <v>0</v>
      </c>
      <c r="G66" s="479">
        <f>+IFERROR(IF(A66=DATE($F$12,$E$12,1),0,INDEX(BDDregul!$A$3:$Q$422,MATCH(ROW(A46),BDDregul!$Q$3:$Q$422,0),15)),"")</f>
        <v>0</v>
      </c>
      <c r="H66" s="479">
        <f t="shared" si="0"/>
        <v>0</v>
      </c>
    </row>
    <row r="67" spans="1:8" x14ac:dyDescent="0.2">
      <c r="A67" s="478">
        <f>+IFERROR(INDEX(BDDregul!$A$3:$Q$422,MATCH(ROW(A47),BDDregul!$Q$3:$Q$422,0),1),"")</f>
        <v>43405</v>
      </c>
      <c r="B67" s="1206">
        <f>+IFERROR(INDEX(BDDregul!$A$3:$Q$422,MATCH(ROW(A47),BDDregul!$Q$3:$Q$422,0),3)+INDEX(BDDregul!$A$3:$Q$422,MATCH(ROW(A47),BDDregul!$Q$3:$Q$422,0),4),"")</f>
        <v>0</v>
      </c>
      <c r="C67" s="431">
        <f>+IFERROR(INDEX(BDDregul!$A$3:$Q$422,MATCH(ROW(A47),BDDregul!$Q$3:$Q$422,0),14),"")</f>
        <v>0</v>
      </c>
      <c r="D67" s="479">
        <f>+IFERROR(INDEX(BDDregul!$A$3:$Q$422,MATCH(ROW(A47),BDDregul!$Q$3:$Q$422,0),9),"")</f>
        <v>0</v>
      </c>
      <c r="E67" s="479">
        <f>+IFERROR(INDEX(BDDregul!$A$3:$Q$422,MATCH(ROW(A47),BDDregul!$Q$3:$Q$422,0),12),"")</f>
        <v>0</v>
      </c>
      <c r="F67" s="479">
        <f>+IFERROR(INDEX(BDDregul!$A$3:$Q$422,MATCH(ROW(A47),BDDregul!$Q$3:$Q$422,0),13),"")</f>
        <v>0</v>
      </c>
      <c r="G67" s="479">
        <f>+IFERROR(IF(A67=DATE($F$12,$E$12,1),0,INDEX(BDDregul!$A$3:$Q$422,MATCH(ROW(A47),BDDregul!$Q$3:$Q$422,0),15)),"")</f>
        <v>0</v>
      </c>
      <c r="H67" s="479">
        <f t="shared" si="0"/>
        <v>0</v>
      </c>
    </row>
    <row r="68" spans="1:8" x14ac:dyDescent="0.2">
      <c r="A68" s="478">
        <f>+IFERROR(INDEX(BDDregul!$A$3:$Q$422,MATCH(ROW(A48),BDDregul!$Q$3:$Q$422,0),1),"")</f>
        <v>43435</v>
      </c>
      <c r="B68" s="1206">
        <f>+IFERROR(INDEX(BDDregul!$A$3:$Q$422,MATCH(ROW(A48),BDDregul!$Q$3:$Q$422,0),3)+INDEX(BDDregul!$A$3:$Q$422,MATCH(ROW(A48),BDDregul!$Q$3:$Q$422,0),4),"")</f>
        <v>0</v>
      </c>
      <c r="C68" s="431">
        <f>+IFERROR(INDEX(BDDregul!$A$3:$Q$422,MATCH(ROW(A48),BDDregul!$Q$3:$Q$422,0),14),"")</f>
        <v>0</v>
      </c>
      <c r="D68" s="479">
        <f>+IFERROR(INDEX(BDDregul!$A$3:$Q$422,MATCH(ROW(A48),BDDregul!$Q$3:$Q$422,0),9),"")</f>
        <v>0</v>
      </c>
      <c r="E68" s="479">
        <f>+IFERROR(INDEX(BDDregul!$A$3:$Q$422,MATCH(ROW(A48),BDDregul!$Q$3:$Q$422,0),12),"")</f>
        <v>0</v>
      </c>
      <c r="F68" s="479">
        <f>+IFERROR(INDEX(BDDregul!$A$3:$Q$422,MATCH(ROW(A48),BDDregul!$Q$3:$Q$422,0),13),"")</f>
        <v>0</v>
      </c>
      <c r="G68" s="479">
        <f>+IFERROR(IF(A68=DATE($F$12,$E$12,1),0,INDEX(BDDregul!$A$3:$Q$422,MATCH(ROW(A48),BDDregul!$Q$3:$Q$422,0),15)),"")</f>
        <v>0</v>
      </c>
      <c r="H68" s="479">
        <f t="shared" si="0"/>
        <v>0</v>
      </c>
    </row>
    <row r="69" spans="1:8" x14ac:dyDescent="0.2">
      <c r="A69" s="478">
        <f>+IFERROR(INDEX(BDDregul!$A$3:$Q$422,MATCH(ROW(A49),BDDregul!$Q$3:$Q$422,0),1),"")</f>
        <v>43466</v>
      </c>
      <c r="B69" s="1206">
        <f>+IFERROR(INDEX(BDDregul!$A$3:$Q$422,MATCH(ROW(A49),BDDregul!$Q$3:$Q$422,0),3)+INDEX(BDDregul!$A$3:$Q$422,MATCH(ROW(A49),BDDregul!$Q$3:$Q$422,0),4),"")</f>
        <v>0</v>
      </c>
      <c r="C69" s="431">
        <f>+IFERROR(INDEX(BDDregul!$A$3:$Q$422,MATCH(ROW(A49),BDDregul!$Q$3:$Q$422,0),14),"")</f>
        <v>0</v>
      </c>
      <c r="D69" s="479">
        <f>+IFERROR(INDEX(BDDregul!$A$3:$Q$422,MATCH(ROW(A49),BDDregul!$Q$3:$Q$422,0),9),"")</f>
        <v>0</v>
      </c>
      <c r="E69" s="479">
        <f>+IFERROR(INDEX(BDDregul!$A$3:$Q$422,MATCH(ROW(A49),BDDregul!$Q$3:$Q$422,0),12),"")</f>
        <v>0</v>
      </c>
      <c r="F69" s="479">
        <f>+IFERROR(INDEX(BDDregul!$A$3:$Q$422,MATCH(ROW(A49),BDDregul!$Q$3:$Q$422,0),13),"")</f>
        <v>0</v>
      </c>
      <c r="G69" s="479">
        <f>+IFERROR(IF(A69=DATE($F$12,$E$12,1),0,INDEX(BDDregul!$A$3:$Q$422,MATCH(ROW(A49),BDDregul!$Q$3:$Q$422,0),15)),"")</f>
        <v>0</v>
      </c>
      <c r="H69" s="479">
        <f t="shared" si="0"/>
        <v>0</v>
      </c>
    </row>
    <row r="70" spans="1:8" x14ac:dyDescent="0.2">
      <c r="A70" s="478">
        <f>+IFERROR(INDEX(BDDregul!$A$3:$Q$422,MATCH(ROW(A50),BDDregul!$Q$3:$Q$422,0),1),"")</f>
        <v>43497</v>
      </c>
      <c r="B70" s="1206">
        <f>+IFERROR(INDEX(BDDregul!$A$3:$Q$422,MATCH(ROW(A50),BDDregul!$Q$3:$Q$422,0),3)+INDEX(BDDregul!$A$3:$Q$422,MATCH(ROW(A50),BDDregul!$Q$3:$Q$422,0),4),"")</f>
        <v>0</v>
      </c>
      <c r="C70" s="431">
        <f>+IFERROR(INDEX(BDDregul!$A$3:$Q$422,MATCH(ROW(A50),BDDregul!$Q$3:$Q$422,0),14),"")</f>
        <v>0</v>
      </c>
      <c r="D70" s="479">
        <f>+IFERROR(INDEX(BDDregul!$A$3:$Q$422,MATCH(ROW(A50),BDDregul!$Q$3:$Q$422,0),9),"")</f>
        <v>0</v>
      </c>
      <c r="E70" s="479">
        <f>+IFERROR(INDEX(BDDregul!$A$3:$Q$422,MATCH(ROW(A50),BDDregul!$Q$3:$Q$422,0),12),"")</f>
        <v>0</v>
      </c>
      <c r="F70" s="479">
        <f>+IFERROR(INDEX(BDDregul!$A$3:$Q$422,MATCH(ROW(A50),BDDregul!$Q$3:$Q$422,0),13),"")</f>
        <v>0</v>
      </c>
      <c r="G70" s="479">
        <f>+IFERROR(IF(A70=DATE($F$12,$E$12,1),0,INDEX(BDDregul!$A$3:$Q$422,MATCH(ROW(A50),BDDregul!$Q$3:$Q$422,0),15)),"")</f>
        <v>0</v>
      </c>
      <c r="H70" s="479">
        <f t="shared" si="0"/>
        <v>0</v>
      </c>
    </row>
    <row r="71" spans="1:8" x14ac:dyDescent="0.2">
      <c r="A71" s="478">
        <f>+IFERROR(INDEX(BDDregul!$A$3:$Q$422,MATCH(ROW(A51),BDDregul!$Q$3:$Q$422,0),1),"")</f>
        <v>43525</v>
      </c>
      <c r="B71" s="1206">
        <f>+IFERROR(INDEX(BDDregul!$A$3:$Q$422,MATCH(ROW(A51),BDDregul!$Q$3:$Q$422,0),3)+INDEX(BDDregul!$A$3:$Q$422,MATCH(ROW(A51),BDDregul!$Q$3:$Q$422,0),4),"")</f>
        <v>0</v>
      </c>
      <c r="C71" s="431">
        <f>+IFERROR(INDEX(BDDregul!$A$3:$Q$422,MATCH(ROW(A51),BDDregul!$Q$3:$Q$422,0),14),"")</f>
        <v>0</v>
      </c>
      <c r="D71" s="479">
        <f>+IFERROR(INDEX(BDDregul!$A$3:$Q$422,MATCH(ROW(A51),BDDregul!$Q$3:$Q$422,0),9),"")</f>
        <v>0</v>
      </c>
      <c r="E71" s="479">
        <f>+IFERROR(INDEX(BDDregul!$A$3:$Q$422,MATCH(ROW(A51),BDDregul!$Q$3:$Q$422,0),12),"")</f>
        <v>0</v>
      </c>
      <c r="F71" s="479">
        <f>+IFERROR(INDEX(BDDregul!$A$3:$Q$422,MATCH(ROW(A51),BDDregul!$Q$3:$Q$422,0),13),"")</f>
        <v>0</v>
      </c>
      <c r="G71" s="479">
        <f>+IFERROR(IF(A71=DATE($F$12,$E$12,1),0,INDEX(BDDregul!$A$3:$Q$422,MATCH(ROW(A51),BDDregul!$Q$3:$Q$422,0),15)),"")</f>
        <v>0</v>
      </c>
      <c r="H71" s="479">
        <f t="shared" si="0"/>
        <v>0</v>
      </c>
    </row>
    <row r="72" spans="1:8" x14ac:dyDescent="0.2">
      <c r="A72" s="478">
        <f>+IFERROR(INDEX(BDDregul!$A$3:$Q$422,MATCH(ROW(A52),BDDregul!$Q$3:$Q$422,0),1),"")</f>
        <v>43556</v>
      </c>
      <c r="B72" s="1206">
        <f>+IFERROR(INDEX(BDDregul!$A$3:$Q$422,MATCH(ROW(A52),BDDregul!$Q$3:$Q$422,0),3)+INDEX(BDDregul!$A$3:$Q$422,MATCH(ROW(A52),BDDregul!$Q$3:$Q$422,0),4),"")</f>
        <v>0</v>
      </c>
      <c r="C72" s="431">
        <f>+IFERROR(INDEX(BDDregul!$A$3:$Q$422,MATCH(ROW(A52),BDDregul!$Q$3:$Q$422,0),14),"")</f>
        <v>0</v>
      </c>
      <c r="D72" s="479">
        <f>+IFERROR(INDEX(BDDregul!$A$3:$Q$422,MATCH(ROW(A52),BDDregul!$Q$3:$Q$422,0),9),"")</f>
        <v>0</v>
      </c>
      <c r="E72" s="479">
        <f>+IFERROR(INDEX(BDDregul!$A$3:$Q$422,MATCH(ROW(A52),BDDregul!$Q$3:$Q$422,0),12),"")</f>
        <v>0</v>
      </c>
      <c r="F72" s="479">
        <f>+IFERROR(INDEX(BDDregul!$A$3:$Q$422,MATCH(ROW(A52),BDDregul!$Q$3:$Q$422,0),13),"")</f>
        <v>0</v>
      </c>
      <c r="G72" s="479">
        <f>+IFERROR(IF(A72=DATE($F$12,$E$12,1),0,INDEX(BDDregul!$A$3:$Q$422,MATCH(ROW(A52),BDDregul!$Q$3:$Q$422,0),15)),"")</f>
        <v>0</v>
      </c>
      <c r="H72" s="479">
        <f t="shared" si="0"/>
        <v>0</v>
      </c>
    </row>
    <row r="73" spans="1:8" x14ac:dyDescent="0.2">
      <c r="A73" s="478">
        <f>+IFERROR(INDEX(BDDregul!$A$3:$Q$422,MATCH(ROW(A53),BDDregul!$Q$3:$Q$422,0),1),"")</f>
        <v>43586</v>
      </c>
      <c r="B73" s="1206">
        <f>+IFERROR(INDEX(BDDregul!$A$3:$Q$422,MATCH(ROW(A53),BDDregul!$Q$3:$Q$422,0),3)+INDEX(BDDregul!$A$3:$Q$422,MATCH(ROW(A53),BDDregul!$Q$3:$Q$422,0),4),"")</f>
        <v>0</v>
      </c>
      <c r="C73" s="431">
        <f>+IFERROR(INDEX(BDDregul!$A$3:$Q$422,MATCH(ROW(A53),BDDregul!$Q$3:$Q$422,0),14),"")</f>
        <v>0</v>
      </c>
      <c r="D73" s="479">
        <f>+IFERROR(INDEX(BDDregul!$A$3:$Q$422,MATCH(ROW(A53),BDDregul!$Q$3:$Q$422,0),9),"")</f>
        <v>0</v>
      </c>
      <c r="E73" s="479">
        <f>+IFERROR(INDEX(BDDregul!$A$3:$Q$422,MATCH(ROW(A53),BDDregul!$Q$3:$Q$422,0),12),"")</f>
        <v>0</v>
      </c>
      <c r="F73" s="479">
        <f>+IFERROR(INDEX(BDDregul!$A$3:$Q$422,MATCH(ROW(A53),BDDregul!$Q$3:$Q$422,0),13),"")</f>
        <v>0</v>
      </c>
      <c r="G73" s="479">
        <f>+IFERROR(IF(A73=DATE($F$12,$E$12,1),0,INDEX(BDDregul!$A$3:$Q$422,MATCH(ROW(A53),BDDregul!$Q$3:$Q$422,0),15)),"")</f>
        <v>0</v>
      </c>
      <c r="H73" s="479">
        <f t="shared" si="0"/>
        <v>0</v>
      </c>
    </row>
    <row r="74" spans="1:8" x14ac:dyDescent="0.2">
      <c r="A74" s="478">
        <f>+IFERROR(INDEX(BDDregul!$A$3:$Q$422,MATCH(ROW(A54),BDDregul!$Q$3:$Q$422,0),1),"")</f>
        <v>43617</v>
      </c>
      <c r="B74" s="1206">
        <f>+IFERROR(INDEX(BDDregul!$A$3:$Q$422,MATCH(ROW(A54),BDDregul!$Q$3:$Q$422,0),3)+INDEX(BDDregul!$A$3:$Q$422,MATCH(ROW(A54),BDDregul!$Q$3:$Q$422,0),4),"")</f>
        <v>0</v>
      </c>
      <c r="C74" s="431">
        <f>+IFERROR(INDEX(BDDregul!$A$3:$Q$422,MATCH(ROW(A54),BDDregul!$Q$3:$Q$422,0),14),"")</f>
        <v>0</v>
      </c>
      <c r="D74" s="479">
        <f>+IFERROR(INDEX(BDDregul!$A$3:$Q$422,MATCH(ROW(A54),BDDregul!$Q$3:$Q$422,0),9),"")</f>
        <v>0</v>
      </c>
      <c r="E74" s="479">
        <f>+IFERROR(INDEX(BDDregul!$A$3:$Q$422,MATCH(ROW(A54),BDDregul!$Q$3:$Q$422,0),12),"")</f>
        <v>0</v>
      </c>
      <c r="F74" s="479">
        <f>+IFERROR(INDEX(BDDregul!$A$3:$Q$422,MATCH(ROW(A54),BDDregul!$Q$3:$Q$422,0),13),"")</f>
        <v>0</v>
      </c>
      <c r="G74" s="479">
        <f>+IFERROR(IF(A74=DATE($F$12,$E$12,1),0,INDEX(BDDregul!$A$3:$Q$422,MATCH(ROW(A54),BDDregul!$Q$3:$Q$422,0),15)),"")</f>
        <v>0</v>
      </c>
      <c r="H74" s="479">
        <f t="shared" si="0"/>
        <v>0</v>
      </c>
    </row>
    <row r="75" spans="1:8" x14ac:dyDescent="0.2">
      <c r="A75" s="478">
        <f>+IFERROR(INDEX(BDDregul!$A$3:$Q$422,MATCH(ROW(A55),BDDregul!$Q$3:$Q$422,0),1),"")</f>
        <v>43647</v>
      </c>
      <c r="B75" s="1206">
        <f>+IFERROR(INDEX(BDDregul!$A$3:$Q$422,MATCH(ROW(A55),BDDregul!$Q$3:$Q$422,0),3)+INDEX(BDDregul!$A$3:$Q$422,MATCH(ROW(A55),BDDregul!$Q$3:$Q$422,0),4),"")</f>
        <v>0</v>
      </c>
      <c r="C75" s="431">
        <f>+IFERROR(INDEX(BDDregul!$A$3:$Q$422,MATCH(ROW(A55),BDDregul!$Q$3:$Q$422,0),14),"")</f>
        <v>0</v>
      </c>
      <c r="D75" s="479">
        <f>+IFERROR(INDEX(BDDregul!$A$3:$Q$422,MATCH(ROW(A55),BDDregul!$Q$3:$Q$422,0),9),"")</f>
        <v>0</v>
      </c>
      <c r="E75" s="479">
        <f>+IFERROR(INDEX(BDDregul!$A$3:$Q$422,MATCH(ROW(A55),BDDregul!$Q$3:$Q$422,0),12),"")</f>
        <v>0</v>
      </c>
      <c r="F75" s="479">
        <f>+IFERROR(INDEX(BDDregul!$A$3:$Q$422,MATCH(ROW(A55),BDDregul!$Q$3:$Q$422,0),13),"")</f>
        <v>0</v>
      </c>
      <c r="G75" s="479">
        <f>+IFERROR(IF(A75=DATE($F$12,$E$12,1),0,INDEX(BDDregul!$A$3:$Q$422,MATCH(ROW(A55),BDDregul!$Q$3:$Q$422,0),15)),"")</f>
        <v>0</v>
      </c>
      <c r="H75" s="479">
        <f t="shared" si="0"/>
        <v>0</v>
      </c>
    </row>
    <row r="76" spans="1:8" x14ac:dyDescent="0.2">
      <c r="A76" s="478">
        <f>+IFERROR(INDEX(BDDregul!$A$3:$Q$422,MATCH(ROW(A56),BDDregul!$Q$3:$Q$422,0),1),"")</f>
        <v>43678</v>
      </c>
      <c r="B76" s="1206">
        <f>+IFERROR(INDEX(BDDregul!$A$3:$Q$422,MATCH(ROW(A56),BDDregul!$Q$3:$Q$422,0),3)+INDEX(BDDregul!$A$3:$Q$422,MATCH(ROW(A56),BDDregul!$Q$3:$Q$422,0),4),"")</f>
        <v>0</v>
      </c>
      <c r="C76" s="431">
        <f>+IFERROR(INDEX(BDDregul!$A$3:$Q$422,MATCH(ROW(A56),BDDregul!$Q$3:$Q$422,0),14),"")</f>
        <v>0</v>
      </c>
      <c r="D76" s="479">
        <f>+IFERROR(INDEX(BDDregul!$A$3:$Q$422,MATCH(ROW(A56),BDDregul!$Q$3:$Q$422,0),9),"")</f>
        <v>0</v>
      </c>
      <c r="E76" s="479">
        <f>+IFERROR(INDEX(BDDregul!$A$3:$Q$422,MATCH(ROW(A56),BDDregul!$Q$3:$Q$422,0),12),"")</f>
        <v>0</v>
      </c>
      <c r="F76" s="479">
        <f>+IFERROR(INDEX(BDDregul!$A$3:$Q$422,MATCH(ROW(A56),BDDregul!$Q$3:$Q$422,0),13),"")</f>
        <v>0</v>
      </c>
      <c r="G76" s="479">
        <f>+IFERROR(IF(A76=DATE($F$12,$E$12,1),0,INDEX(BDDregul!$A$3:$Q$422,MATCH(ROW(A56),BDDregul!$Q$3:$Q$422,0),15)),"")</f>
        <v>0</v>
      </c>
      <c r="H76" s="479">
        <f t="shared" si="0"/>
        <v>0</v>
      </c>
    </row>
    <row r="77" spans="1:8" x14ac:dyDescent="0.2">
      <c r="A77" s="478">
        <f>+IFERROR(INDEX(BDDregul!$A$3:$Q$422,MATCH(ROW(A57),BDDregul!$Q$3:$Q$422,0),1),"")</f>
        <v>43709</v>
      </c>
      <c r="B77" s="1206">
        <f>+IFERROR(INDEX(BDDregul!$A$3:$Q$422,MATCH(ROW(A57),BDDregul!$Q$3:$Q$422,0),3)+INDEX(BDDregul!$A$3:$Q$422,MATCH(ROW(A57),BDDregul!$Q$3:$Q$422,0),4),"")</f>
        <v>0</v>
      </c>
      <c r="C77" s="431">
        <f>+IFERROR(INDEX(BDDregul!$A$3:$Q$422,MATCH(ROW(A57),BDDregul!$Q$3:$Q$422,0),14),"")</f>
        <v>0</v>
      </c>
      <c r="D77" s="479">
        <f>+IFERROR(INDEX(BDDregul!$A$3:$Q$422,MATCH(ROW(A57),BDDregul!$Q$3:$Q$422,0),9),"")</f>
        <v>0</v>
      </c>
      <c r="E77" s="479">
        <f>+IFERROR(INDEX(BDDregul!$A$3:$Q$422,MATCH(ROW(A57),BDDregul!$Q$3:$Q$422,0),12),"")</f>
        <v>0</v>
      </c>
      <c r="F77" s="479">
        <f>+IFERROR(INDEX(BDDregul!$A$3:$Q$422,MATCH(ROW(A57),BDDregul!$Q$3:$Q$422,0),13),"")</f>
        <v>0</v>
      </c>
      <c r="G77" s="479">
        <f>+IFERROR(IF(A77=DATE($F$12,$E$12,1),0,INDEX(BDDregul!$A$3:$Q$422,MATCH(ROW(A57),BDDregul!$Q$3:$Q$422,0),15)),"")</f>
        <v>0</v>
      </c>
      <c r="H77" s="479">
        <f t="shared" si="0"/>
        <v>0</v>
      </c>
    </row>
    <row r="78" spans="1:8" x14ac:dyDescent="0.2">
      <c r="A78" s="478">
        <f>+IFERROR(INDEX(BDDregul!$A$3:$Q$422,MATCH(ROW(A58),BDDregul!$Q$3:$Q$422,0),1),"")</f>
        <v>43739</v>
      </c>
      <c r="B78" s="1206">
        <f>+IFERROR(INDEX(BDDregul!$A$3:$Q$422,MATCH(ROW(A58),BDDregul!$Q$3:$Q$422,0),3)+INDEX(BDDregul!$A$3:$Q$422,MATCH(ROW(A58),BDDregul!$Q$3:$Q$422,0),4),"")</f>
        <v>0</v>
      </c>
      <c r="C78" s="431">
        <f>+IFERROR(INDEX(BDDregul!$A$3:$Q$422,MATCH(ROW(A58),BDDregul!$Q$3:$Q$422,0),14),"")</f>
        <v>0</v>
      </c>
      <c r="D78" s="479">
        <f>+IFERROR(INDEX(BDDregul!$A$3:$Q$422,MATCH(ROW(A58),BDDregul!$Q$3:$Q$422,0),9),"")</f>
        <v>0</v>
      </c>
      <c r="E78" s="479">
        <f>+IFERROR(INDEX(BDDregul!$A$3:$Q$422,MATCH(ROW(A58),BDDregul!$Q$3:$Q$422,0),12),"")</f>
        <v>0</v>
      </c>
      <c r="F78" s="479">
        <f>+IFERROR(INDEX(BDDregul!$A$3:$Q$422,MATCH(ROW(A58),BDDregul!$Q$3:$Q$422,0),13),"")</f>
        <v>0</v>
      </c>
      <c r="G78" s="479">
        <f>+IFERROR(IF(A78=DATE($F$12,$E$12,1),0,INDEX(BDDregul!$A$3:$Q$422,MATCH(ROW(A58),BDDregul!$Q$3:$Q$422,0),15)),"")</f>
        <v>0</v>
      </c>
      <c r="H78" s="479">
        <f t="shared" si="0"/>
        <v>0</v>
      </c>
    </row>
    <row r="79" spans="1:8" x14ac:dyDescent="0.2">
      <c r="A79" s="478">
        <f>+IFERROR(INDEX(BDDregul!$A$3:$Q$422,MATCH(ROW(A59),BDDregul!$Q$3:$Q$422,0),1),"")</f>
        <v>43770</v>
      </c>
      <c r="B79" s="1206">
        <f>+IFERROR(INDEX(BDDregul!$A$3:$Q$422,MATCH(ROW(A59),BDDregul!$Q$3:$Q$422,0),3)+INDEX(BDDregul!$A$3:$Q$422,MATCH(ROW(A59),BDDregul!$Q$3:$Q$422,0),4),"")</f>
        <v>0</v>
      </c>
      <c r="C79" s="431">
        <f>+IFERROR(INDEX(BDDregul!$A$3:$Q$422,MATCH(ROW(A59),BDDregul!$Q$3:$Q$422,0),14),"")</f>
        <v>0</v>
      </c>
      <c r="D79" s="479">
        <f>+IFERROR(INDEX(BDDregul!$A$3:$Q$422,MATCH(ROW(A59),BDDregul!$Q$3:$Q$422,0),9),"")</f>
        <v>0</v>
      </c>
      <c r="E79" s="479">
        <f>+IFERROR(INDEX(BDDregul!$A$3:$Q$422,MATCH(ROW(A59),BDDregul!$Q$3:$Q$422,0),12),"")</f>
        <v>0</v>
      </c>
      <c r="F79" s="479">
        <f>+IFERROR(INDEX(BDDregul!$A$3:$Q$422,MATCH(ROW(A59),BDDregul!$Q$3:$Q$422,0),13),"")</f>
        <v>0</v>
      </c>
      <c r="G79" s="479">
        <f>+IFERROR(IF(A79=DATE($F$12,$E$12,1),0,INDEX(BDDregul!$A$3:$Q$422,MATCH(ROW(A59),BDDregul!$Q$3:$Q$422,0),15)),"")</f>
        <v>0</v>
      </c>
      <c r="H79" s="479">
        <f t="shared" si="0"/>
        <v>0</v>
      </c>
    </row>
    <row r="80" spans="1:8" x14ac:dyDescent="0.2">
      <c r="A80" s="478">
        <f>+IFERROR(INDEX(BDDregul!$A$3:$Q$422,MATCH(ROW(A60),BDDregul!$Q$3:$Q$422,0),1),"")</f>
        <v>43800</v>
      </c>
      <c r="B80" s="1206">
        <f>+IFERROR(INDEX(BDDregul!$A$3:$Q$422,MATCH(ROW(A60),BDDregul!$Q$3:$Q$422,0),3)+INDEX(BDDregul!$A$3:$Q$422,MATCH(ROW(A60),BDDregul!$Q$3:$Q$422,0),4),"")</f>
        <v>0</v>
      </c>
      <c r="C80" s="431">
        <f>+IFERROR(INDEX(BDDregul!$A$3:$Q$422,MATCH(ROW(A60),BDDregul!$Q$3:$Q$422,0),14),"")</f>
        <v>0</v>
      </c>
      <c r="D80" s="479">
        <f>+IFERROR(INDEX(BDDregul!$A$3:$Q$422,MATCH(ROW(A60),BDDregul!$Q$3:$Q$422,0),9),"")</f>
        <v>0</v>
      </c>
      <c r="E80" s="479">
        <f>+IFERROR(INDEX(BDDregul!$A$3:$Q$422,MATCH(ROW(A60),BDDregul!$Q$3:$Q$422,0),12),"")</f>
        <v>0</v>
      </c>
      <c r="F80" s="479">
        <f>+IFERROR(INDEX(BDDregul!$A$3:$Q$422,MATCH(ROW(A60),BDDregul!$Q$3:$Q$422,0),13),"")</f>
        <v>0</v>
      </c>
      <c r="G80" s="479">
        <f>+IFERROR(IF(A80=DATE($F$12,$E$12,1),0,INDEX(BDDregul!$A$3:$Q$422,MATCH(ROW(A60),BDDregul!$Q$3:$Q$422,0),15)),"")</f>
        <v>0</v>
      </c>
      <c r="H80" s="479">
        <f t="shared" si="0"/>
        <v>0</v>
      </c>
    </row>
    <row r="81" spans="1:8" x14ac:dyDescent="0.2">
      <c r="A81" s="478">
        <f>+IFERROR(INDEX(BDDregul!$A$3:$Q$422,MATCH(ROW(A61),BDDregul!$Q$3:$Q$422,0),1),"")</f>
        <v>43831</v>
      </c>
      <c r="B81" s="1206">
        <f>+IFERROR(INDEX(BDDregul!$A$3:$Q$422,MATCH(ROW(A61),BDDregul!$Q$3:$Q$422,0),3)+INDEX(BDDregul!$A$3:$Q$422,MATCH(ROW(A61),BDDregul!$Q$3:$Q$422,0),4),"")</f>
        <v>0</v>
      </c>
      <c r="C81" s="431">
        <f>+IFERROR(INDEX(BDDregul!$A$3:$Q$422,MATCH(ROW(A61),BDDregul!$Q$3:$Q$422,0),14),"")</f>
        <v>0</v>
      </c>
      <c r="D81" s="479">
        <f>+IFERROR(INDEX(BDDregul!$A$3:$Q$422,MATCH(ROW(A61),BDDregul!$Q$3:$Q$422,0),9),"")</f>
        <v>0</v>
      </c>
      <c r="E81" s="479">
        <f>+IFERROR(INDEX(BDDregul!$A$3:$Q$422,MATCH(ROW(A61),BDDregul!$Q$3:$Q$422,0),12),"")</f>
        <v>0</v>
      </c>
      <c r="F81" s="479">
        <f>+IFERROR(INDEX(BDDregul!$A$3:$Q$422,MATCH(ROW(A61),BDDregul!$Q$3:$Q$422,0),13),"")</f>
        <v>0</v>
      </c>
      <c r="G81" s="479">
        <f>+IFERROR(IF(A81=DATE($F$12,$E$12,1),0,INDEX(BDDregul!$A$3:$Q$422,MATCH(ROW(A61),BDDregul!$Q$3:$Q$422,0),15)),"")</f>
        <v>0</v>
      </c>
      <c r="H81" s="479">
        <f t="shared" si="0"/>
        <v>0</v>
      </c>
    </row>
    <row r="82" spans="1:8" x14ac:dyDescent="0.2">
      <c r="A82" s="478">
        <f>+IFERROR(INDEX(BDDregul!$A$3:$Q$422,MATCH(ROW(A62),BDDregul!$Q$3:$Q$422,0),1),"")</f>
        <v>43862</v>
      </c>
      <c r="B82" s="1206">
        <f>+IFERROR(INDEX(BDDregul!$A$3:$Q$422,MATCH(ROW(A62),BDDregul!$Q$3:$Q$422,0),3)+INDEX(BDDregul!$A$3:$Q$422,MATCH(ROW(A62),BDDregul!$Q$3:$Q$422,0),4),"")</f>
        <v>0</v>
      </c>
      <c r="C82" s="431">
        <f>+IFERROR(INDEX(BDDregul!$A$3:$Q$422,MATCH(ROW(A62),BDDregul!$Q$3:$Q$422,0),14),"")</f>
        <v>0</v>
      </c>
      <c r="D82" s="479">
        <f>+IFERROR(INDEX(BDDregul!$A$3:$Q$422,MATCH(ROW(A62),BDDregul!$Q$3:$Q$422,0),9),"")</f>
        <v>0</v>
      </c>
      <c r="E82" s="479">
        <f>+IFERROR(INDEX(BDDregul!$A$3:$Q$422,MATCH(ROW(A62),BDDregul!$Q$3:$Q$422,0),12),"")</f>
        <v>0</v>
      </c>
      <c r="F82" s="479">
        <f>+IFERROR(INDEX(BDDregul!$A$3:$Q$422,MATCH(ROW(A62),BDDregul!$Q$3:$Q$422,0),13),"")</f>
        <v>0</v>
      </c>
      <c r="G82" s="479">
        <f>+IFERROR(IF(A82=DATE($F$12,$E$12,1),0,INDEX(BDDregul!$A$3:$Q$422,MATCH(ROW(A62),BDDregul!$Q$3:$Q$422,0),15)),"")</f>
        <v>0</v>
      </c>
      <c r="H82" s="479">
        <f t="shared" si="0"/>
        <v>0</v>
      </c>
    </row>
    <row r="83" spans="1:8" x14ac:dyDescent="0.2">
      <c r="A83" s="478">
        <f>+IFERROR(INDEX(BDDregul!$A$3:$Q$422,MATCH(ROW(A63),BDDregul!$Q$3:$Q$422,0),1),"")</f>
        <v>43891</v>
      </c>
      <c r="B83" s="1206">
        <f>+IFERROR(INDEX(BDDregul!$A$3:$Q$422,MATCH(ROW(A63),BDDregul!$Q$3:$Q$422,0),3)+INDEX(BDDregul!$A$3:$Q$422,MATCH(ROW(A63),BDDregul!$Q$3:$Q$422,0),4),"")</f>
        <v>0</v>
      </c>
      <c r="C83" s="431">
        <f>+IFERROR(INDEX(BDDregul!$A$3:$Q$422,MATCH(ROW(A63),BDDregul!$Q$3:$Q$422,0),14),"")</f>
        <v>0</v>
      </c>
      <c r="D83" s="479">
        <f>+IFERROR(INDEX(BDDregul!$A$3:$Q$422,MATCH(ROW(A63),BDDregul!$Q$3:$Q$422,0),9),"")</f>
        <v>0</v>
      </c>
      <c r="E83" s="479">
        <f>+IFERROR(INDEX(BDDregul!$A$3:$Q$422,MATCH(ROW(A63),BDDregul!$Q$3:$Q$422,0),12),"")</f>
        <v>0</v>
      </c>
      <c r="F83" s="479">
        <f>+IFERROR(INDEX(BDDregul!$A$3:$Q$422,MATCH(ROW(A63),BDDregul!$Q$3:$Q$422,0),13),"")</f>
        <v>0</v>
      </c>
      <c r="G83" s="479">
        <f>+IFERROR(IF(A83=DATE($F$12,$E$12,1),0,INDEX(BDDregul!$A$3:$Q$422,MATCH(ROW(A63),BDDregul!$Q$3:$Q$422,0),15)),"")</f>
        <v>0</v>
      </c>
      <c r="H83" s="479">
        <f t="shared" si="0"/>
        <v>0</v>
      </c>
    </row>
    <row r="84" spans="1:8" x14ac:dyDescent="0.2">
      <c r="A84" s="478">
        <f>+IFERROR(INDEX(BDDregul!$A$3:$Q$422,MATCH(ROW(A64),BDDregul!$Q$3:$Q$422,0),1),"")</f>
        <v>43922</v>
      </c>
      <c r="B84" s="1206">
        <f>+IFERROR(INDEX(BDDregul!$A$3:$Q$422,MATCH(ROW(A64),BDDregul!$Q$3:$Q$422,0),3)+INDEX(BDDregul!$A$3:$Q$422,MATCH(ROW(A64),BDDregul!$Q$3:$Q$422,0),4),"")</f>
        <v>0</v>
      </c>
      <c r="C84" s="431">
        <f>+IFERROR(INDEX(BDDregul!$A$3:$Q$422,MATCH(ROW(A64),BDDregul!$Q$3:$Q$422,0),14),"")</f>
        <v>0</v>
      </c>
      <c r="D84" s="479">
        <f>+IFERROR(INDEX(BDDregul!$A$3:$Q$422,MATCH(ROW(A64),BDDregul!$Q$3:$Q$422,0),9),"")</f>
        <v>0</v>
      </c>
      <c r="E84" s="479">
        <f>+IFERROR(INDEX(BDDregul!$A$3:$Q$422,MATCH(ROW(A64),BDDregul!$Q$3:$Q$422,0),12),"")</f>
        <v>0</v>
      </c>
      <c r="F84" s="479">
        <f>+IFERROR(INDEX(BDDregul!$A$3:$Q$422,MATCH(ROW(A64),BDDregul!$Q$3:$Q$422,0),13),"")</f>
        <v>0</v>
      </c>
      <c r="G84" s="479">
        <f>+IFERROR(IF(A84=DATE($F$12,$E$12,1),0,INDEX(BDDregul!$A$3:$Q$422,MATCH(ROW(A64),BDDregul!$Q$3:$Q$422,0),15)),"")</f>
        <v>0</v>
      </c>
      <c r="H84" s="479">
        <f t="shared" si="0"/>
        <v>0</v>
      </c>
    </row>
    <row r="85" spans="1:8" x14ac:dyDescent="0.2">
      <c r="A85" s="478">
        <f>+IFERROR(INDEX(BDDregul!$A$3:$Q$422,MATCH(ROW(A65),BDDregul!$Q$3:$Q$422,0),1),"")</f>
        <v>43952</v>
      </c>
      <c r="B85" s="1206">
        <f>+IFERROR(INDEX(BDDregul!$A$3:$Q$422,MATCH(ROW(A65),BDDregul!$Q$3:$Q$422,0),3)+INDEX(BDDregul!$A$3:$Q$422,MATCH(ROW(A65),BDDregul!$Q$3:$Q$422,0),4),"")</f>
        <v>0</v>
      </c>
      <c r="C85" s="431">
        <f>+IFERROR(INDEX(BDDregul!$A$3:$Q$422,MATCH(ROW(A65),BDDregul!$Q$3:$Q$422,0),14),"")</f>
        <v>0</v>
      </c>
      <c r="D85" s="479">
        <f>+IFERROR(INDEX(BDDregul!$A$3:$Q$422,MATCH(ROW(A65),BDDregul!$Q$3:$Q$422,0),9),"")</f>
        <v>0</v>
      </c>
      <c r="E85" s="479">
        <f>+IFERROR(INDEX(BDDregul!$A$3:$Q$422,MATCH(ROW(A65),BDDregul!$Q$3:$Q$422,0),12),"")</f>
        <v>0</v>
      </c>
      <c r="F85" s="479">
        <f>+IFERROR(INDEX(BDDregul!$A$3:$Q$422,MATCH(ROW(A65),BDDregul!$Q$3:$Q$422,0),13),"")</f>
        <v>0</v>
      </c>
      <c r="G85" s="479">
        <f>+IFERROR(IF(A85=DATE($F$12,$E$12,1),0,INDEX(BDDregul!$A$3:$Q$422,MATCH(ROW(A65),BDDregul!$Q$3:$Q$422,0),15)),"")</f>
        <v>0</v>
      </c>
      <c r="H85" s="479">
        <f t="shared" si="0"/>
        <v>0</v>
      </c>
    </row>
    <row r="86" spans="1:8" x14ac:dyDescent="0.2">
      <c r="A86" s="478">
        <f>+IFERROR(INDEX(BDDregul!$A$3:$Q$422,MATCH(ROW(A66),BDDregul!$Q$3:$Q$422,0),1),"")</f>
        <v>43983</v>
      </c>
      <c r="B86" s="1206">
        <f>+IFERROR(INDEX(BDDregul!$A$3:$Q$422,MATCH(ROW(A66),BDDregul!$Q$3:$Q$422,0),3)+INDEX(BDDregul!$A$3:$Q$422,MATCH(ROW(A66),BDDregul!$Q$3:$Q$422,0),4),"")</f>
        <v>0</v>
      </c>
      <c r="C86" s="431">
        <f>+IFERROR(INDEX(BDDregul!$A$3:$Q$422,MATCH(ROW(A66),BDDregul!$Q$3:$Q$422,0),14),"")</f>
        <v>0</v>
      </c>
      <c r="D86" s="479">
        <f>+IFERROR(INDEX(BDDregul!$A$3:$Q$422,MATCH(ROW(A66),BDDregul!$Q$3:$Q$422,0),9),"")</f>
        <v>0</v>
      </c>
      <c r="E86" s="479">
        <f>+IFERROR(INDEX(BDDregul!$A$3:$Q$422,MATCH(ROW(A66),BDDregul!$Q$3:$Q$422,0),12),"")</f>
        <v>0</v>
      </c>
      <c r="F86" s="479">
        <f>+IFERROR(INDEX(BDDregul!$A$3:$Q$422,MATCH(ROW(A66),BDDregul!$Q$3:$Q$422,0),13),"")</f>
        <v>0</v>
      </c>
      <c r="G86" s="479">
        <f>+IFERROR(IF(A86=DATE($F$12,$E$12,1),0,INDEX(BDDregul!$A$3:$Q$422,MATCH(ROW(A66),BDDregul!$Q$3:$Q$422,0),15)),"")</f>
        <v>0</v>
      </c>
      <c r="H86" s="479">
        <f t="shared" si="0"/>
        <v>0</v>
      </c>
    </row>
    <row r="87" spans="1:8" x14ac:dyDescent="0.2">
      <c r="A87" s="478">
        <f>+IFERROR(INDEX(BDDregul!$A$3:$Q$422,MATCH(ROW(A67),BDDregul!$Q$3:$Q$422,0),1),"")</f>
        <v>44013</v>
      </c>
      <c r="B87" s="1206">
        <f>+IFERROR(INDEX(BDDregul!$A$3:$Q$422,MATCH(ROW(A67),BDDregul!$Q$3:$Q$422,0),3)+INDEX(BDDregul!$A$3:$Q$422,MATCH(ROW(A67),BDDregul!$Q$3:$Q$422,0),4),"")</f>
        <v>0</v>
      </c>
      <c r="C87" s="431">
        <f>+IFERROR(INDEX(BDDregul!$A$3:$Q$422,MATCH(ROW(A67),BDDregul!$Q$3:$Q$422,0),14),"")</f>
        <v>0</v>
      </c>
      <c r="D87" s="479">
        <f>+IFERROR(INDEX(BDDregul!$A$3:$Q$422,MATCH(ROW(A67),BDDregul!$Q$3:$Q$422,0),9),"")</f>
        <v>0</v>
      </c>
      <c r="E87" s="479">
        <f>+IFERROR(INDEX(BDDregul!$A$3:$Q$422,MATCH(ROW(A67),BDDregul!$Q$3:$Q$422,0),12),"")</f>
        <v>0</v>
      </c>
      <c r="F87" s="479">
        <f>+IFERROR(INDEX(BDDregul!$A$3:$Q$422,MATCH(ROW(A67),BDDregul!$Q$3:$Q$422,0),13),"")</f>
        <v>0</v>
      </c>
      <c r="G87" s="479">
        <f>+IFERROR(IF(A87=DATE($F$12,$E$12,1),0,INDEX(BDDregul!$A$3:$Q$422,MATCH(ROW(A67),BDDregul!$Q$3:$Q$422,0),15)),"")</f>
        <v>0</v>
      </c>
      <c r="H87" s="479">
        <f t="shared" ref="H87:H116" si="1">IFERROR(+IF(OR(AND(F87=0,H86&lt;&gt;0),AND(F87&lt;&gt;0,H86&lt;&gt;0)),F87+H86-G87,IF(AND(F87&lt;&gt;0,H86=0),F87+$D$17-G87,0)),"")</f>
        <v>0</v>
      </c>
    </row>
    <row r="88" spans="1:8" x14ac:dyDescent="0.2">
      <c r="A88" s="478">
        <f>+IFERROR(INDEX(BDDregul!$A$3:$Q$422,MATCH(ROW(A68),BDDregul!$Q$3:$Q$422,0),1),"")</f>
        <v>44044</v>
      </c>
      <c r="B88" s="1206">
        <f>+IFERROR(INDEX(BDDregul!$A$3:$Q$422,MATCH(ROW(A68),BDDregul!$Q$3:$Q$422,0),3)+INDEX(BDDregul!$A$3:$Q$422,MATCH(ROW(A68),BDDregul!$Q$3:$Q$422,0),4),"")</f>
        <v>0</v>
      </c>
      <c r="C88" s="431">
        <f>+IFERROR(INDEX(BDDregul!$A$3:$Q$422,MATCH(ROW(A68),BDDregul!$Q$3:$Q$422,0),14),"")</f>
        <v>0</v>
      </c>
      <c r="D88" s="479">
        <f>+IFERROR(INDEX(BDDregul!$A$3:$Q$422,MATCH(ROW(A68),BDDregul!$Q$3:$Q$422,0),9),"")</f>
        <v>0</v>
      </c>
      <c r="E88" s="479">
        <f>+IFERROR(INDEX(BDDregul!$A$3:$Q$422,MATCH(ROW(A68),BDDregul!$Q$3:$Q$422,0),12),"")</f>
        <v>0</v>
      </c>
      <c r="F88" s="479">
        <f>+IFERROR(INDEX(BDDregul!$A$3:$Q$422,MATCH(ROW(A68),BDDregul!$Q$3:$Q$422,0),13),"")</f>
        <v>0</v>
      </c>
      <c r="G88" s="479">
        <f>+IFERROR(IF(A88=DATE($F$12,$E$12,1),0,INDEX(BDDregul!$A$3:$Q$422,MATCH(ROW(A68),BDDregul!$Q$3:$Q$422,0),15)),"")</f>
        <v>0</v>
      </c>
      <c r="H88" s="479">
        <f t="shared" si="1"/>
        <v>0</v>
      </c>
    </row>
    <row r="89" spans="1:8" x14ac:dyDescent="0.2">
      <c r="A89" s="478">
        <f>+IFERROR(INDEX(BDDregul!$A$3:$Q$422,MATCH(ROW(A69),BDDregul!$Q$3:$Q$422,0),1),"")</f>
        <v>44075</v>
      </c>
      <c r="B89" s="1206">
        <f>+IFERROR(INDEX(BDDregul!$A$3:$Q$422,MATCH(ROW(A69),BDDregul!$Q$3:$Q$422,0),3)+INDEX(BDDregul!$A$3:$Q$422,MATCH(ROW(A69),BDDregul!$Q$3:$Q$422,0),4),"")</f>
        <v>0</v>
      </c>
      <c r="C89" s="431">
        <f>+IFERROR(INDEX(BDDregul!$A$3:$Q$422,MATCH(ROW(A69),BDDregul!$Q$3:$Q$422,0),14),"")</f>
        <v>0</v>
      </c>
      <c r="D89" s="479">
        <f>+IFERROR(INDEX(BDDregul!$A$3:$Q$422,MATCH(ROW(A69),BDDregul!$Q$3:$Q$422,0),9),"")</f>
        <v>0</v>
      </c>
      <c r="E89" s="479">
        <f>+IFERROR(INDEX(BDDregul!$A$3:$Q$422,MATCH(ROW(A69),BDDregul!$Q$3:$Q$422,0),12),"")</f>
        <v>0</v>
      </c>
      <c r="F89" s="479">
        <f>+IFERROR(INDEX(BDDregul!$A$3:$Q$422,MATCH(ROW(A69),BDDregul!$Q$3:$Q$422,0),13),"")</f>
        <v>0</v>
      </c>
      <c r="G89" s="479">
        <f>+IFERROR(IF(A89=DATE($F$12,$E$12,1),0,INDEX(BDDregul!$A$3:$Q$422,MATCH(ROW(A69),BDDregul!$Q$3:$Q$422,0),15)),"")</f>
        <v>0</v>
      </c>
      <c r="H89" s="479">
        <f t="shared" si="1"/>
        <v>0</v>
      </c>
    </row>
    <row r="90" spans="1:8" x14ac:dyDescent="0.2">
      <c r="A90" s="478">
        <f>+IFERROR(INDEX(BDDregul!$A$3:$Q$422,MATCH(ROW(A70),BDDregul!$Q$3:$Q$422,0),1),"")</f>
        <v>44105</v>
      </c>
      <c r="B90" s="1206">
        <f>+IFERROR(INDEX(BDDregul!$A$3:$Q$422,MATCH(ROW(A70),BDDregul!$Q$3:$Q$422,0),3)+INDEX(BDDregul!$A$3:$Q$422,MATCH(ROW(A70),BDDregul!$Q$3:$Q$422,0),4),"")</f>
        <v>0</v>
      </c>
      <c r="C90" s="431">
        <f>+IFERROR(INDEX(BDDregul!$A$3:$Q$422,MATCH(ROW(A70),BDDregul!$Q$3:$Q$422,0),14),"")</f>
        <v>0</v>
      </c>
      <c r="D90" s="479">
        <f>+IFERROR(INDEX(BDDregul!$A$3:$Q$422,MATCH(ROW(A70),BDDregul!$Q$3:$Q$422,0),9),"")</f>
        <v>0</v>
      </c>
      <c r="E90" s="479">
        <f>+IFERROR(INDEX(BDDregul!$A$3:$Q$422,MATCH(ROW(A70),BDDregul!$Q$3:$Q$422,0),12),"")</f>
        <v>0</v>
      </c>
      <c r="F90" s="479">
        <f>+IFERROR(INDEX(BDDregul!$A$3:$Q$422,MATCH(ROW(A70),BDDregul!$Q$3:$Q$422,0),13),"")</f>
        <v>0</v>
      </c>
      <c r="G90" s="479">
        <f>+IFERROR(IF(A90=DATE($F$12,$E$12,1),0,INDEX(BDDregul!$A$3:$Q$422,MATCH(ROW(A70),BDDregul!$Q$3:$Q$422,0),15)),"")</f>
        <v>0</v>
      </c>
      <c r="H90" s="479">
        <f t="shared" si="1"/>
        <v>0</v>
      </c>
    </row>
    <row r="91" spans="1:8" x14ac:dyDescent="0.2">
      <c r="A91" s="478">
        <f>+IFERROR(INDEX(BDDregul!$A$3:$Q$422,MATCH(ROW(A71),BDDregul!$Q$3:$Q$422,0),1),"")</f>
        <v>44136</v>
      </c>
      <c r="B91" s="1206">
        <f>+IFERROR(INDEX(BDDregul!$A$3:$Q$422,MATCH(ROW(A71),BDDregul!$Q$3:$Q$422,0),3)+INDEX(BDDregul!$A$3:$Q$422,MATCH(ROW(A71),BDDregul!$Q$3:$Q$422,0),4),"")</f>
        <v>0</v>
      </c>
      <c r="C91" s="431">
        <f>+IFERROR(INDEX(BDDregul!$A$3:$Q$422,MATCH(ROW(A71),BDDregul!$Q$3:$Q$422,0),14),"")</f>
        <v>0</v>
      </c>
      <c r="D91" s="479">
        <f>+IFERROR(INDEX(BDDregul!$A$3:$Q$422,MATCH(ROW(A71),BDDregul!$Q$3:$Q$422,0),9),"")</f>
        <v>0</v>
      </c>
      <c r="E91" s="479">
        <f>+IFERROR(INDEX(BDDregul!$A$3:$Q$422,MATCH(ROW(A71),BDDregul!$Q$3:$Q$422,0),12),"")</f>
        <v>0</v>
      </c>
      <c r="F91" s="479">
        <f>+IFERROR(INDEX(BDDregul!$A$3:$Q$422,MATCH(ROW(A71),BDDregul!$Q$3:$Q$422,0),13),"")</f>
        <v>0</v>
      </c>
      <c r="G91" s="479">
        <f>+IFERROR(IF(A91=DATE($F$12,$E$12,1),0,INDEX(BDDregul!$A$3:$Q$422,MATCH(ROW(A71),BDDregul!$Q$3:$Q$422,0),15)),"")</f>
        <v>0</v>
      </c>
      <c r="H91" s="479">
        <f t="shared" si="1"/>
        <v>0</v>
      </c>
    </row>
    <row r="92" spans="1:8" x14ac:dyDescent="0.2">
      <c r="A92" s="478">
        <f>+IFERROR(INDEX(BDDregul!$A$3:$Q$422,MATCH(ROW(A72),BDDregul!$Q$3:$Q$422,0),1),"")</f>
        <v>44166</v>
      </c>
      <c r="B92" s="1206">
        <f>+IFERROR(INDEX(BDDregul!$A$3:$Q$422,MATCH(ROW(A72),BDDregul!$Q$3:$Q$422,0),3)+INDEX(BDDregul!$A$3:$Q$422,MATCH(ROW(A72),BDDregul!$Q$3:$Q$422,0),4),"")</f>
        <v>0</v>
      </c>
      <c r="C92" s="431">
        <f>+IFERROR(INDEX(BDDregul!$A$3:$Q$422,MATCH(ROW(A72),BDDregul!$Q$3:$Q$422,0),14),"")</f>
        <v>0</v>
      </c>
      <c r="D92" s="479">
        <f>+IFERROR(INDEX(BDDregul!$A$3:$Q$422,MATCH(ROW(A72),BDDregul!$Q$3:$Q$422,0),9),"")</f>
        <v>0</v>
      </c>
      <c r="E92" s="479">
        <f>+IFERROR(INDEX(BDDregul!$A$3:$Q$422,MATCH(ROW(A72),BDDregul!$Q$3:$Q$422,0),12),"")</f>
        <v>0</v>
      </c>
      <c r="F92" s="479">
        <f>+IFERROR(INDEX(BDDregul!$A$3:$Q$422,MATCH(ROW(A72),BDDregul!$Q$3:$Q$422,0),13),"")</f>
        <v>0</v>
      </c>
      <c r="G92" s="479">
        <f>+IFERROR(IF(A92=DATE($F$12,$E$12,1),0,INDEX(BDDregul!$A$3:$Q$422,MATCH(ROW(A72),BDDregul!$Q$3:$Q$422,0),15)),"")</f>
        <v>0</v>
      </c>
      <c r="H92" s="479">
        <f t="shared" si="1"/>
        <v>0</v>
      </c>
    </row>
    <row r="93" spans="1:8" x14ac:dyDescent="0.2">
      <c r="A93" s="478">
        <f>+IFERROR(INDEX(BDDregul!$A$3:$Q$422,MATCH(ROW(A73),BDDregul!$Q$3:$Q$422,0),1),"")</f>
        <v>44197</v>
      </c>
      <c r="B93" s="1206">
        <f>+IFERROR(INDEX(BDDregul!$A$3:$Q$422,MATCH(ROW(A73),BDDregul!$Q$3:$Q$422,0),3)+INDEX(BDDregul!$A$3:$Q$422,MATCH(ROW(A73),BDDregul!$Q$3:$Q$422,0),4),"")</f>
        <v>0</v>
      </c>
      <c r="C93" s="431">
        <f>+IFERROR(INDEX(BDDregul!$A$3:$Q$422,MATCH(ROW(A73),BDDregul!$Q$3:$Q$422,0),14),"")</f>
        <v>0</v>
      </c>
      <c r="D93" s="479">
        <f>+IFERROR(INDEX(BDDregul!$A$3:$Q$422,MATCH(ROW(A73),BDDregul!$Q$3:$Q$422,0),9),"")</f>
        <v>0</v>
      </c>
      <c r="E93" s="479">
        <f>+IFERROR(INDEX(BDDregul!$A$3:$Q$422,MATCH(ROW(A73),BDDregul!$Q$3:$Q$422,0),12),"")</f>
        <v>0</v>
      </c>
      <c r="F93" s="479">
        <f>+IFERROR(INDEX(BDDregul!$A$3:$Q$422,MATCH(ROW(A73),BDDregul!$Q$3:$Q$422,0),13),"")</f>
        <v>0</v>
      </c>
      <c r="G93" s="479">
        <f>+IFERROR(IF(A93=DATE($F$12,$E$12,1),0,INDEX(BDDregul!$A$3:$Q$422,MATCH(ROW(A73),BDDregul!$Q$3:$Q$422,0),15)),"")</f>
        <v>0</v>
      </c>
      <c r="H93" s="479">
        <f t="shared" si="1"/>
        <v>0</v>
      </c>
    </row>
    <row r="94" spans="1:8" x14ac:dyDescent="0.2">
      <c r="A94" s="478">
        <f>+IFERROR(INDEX(BDDregul!$A$3:$Q$422,MATCH(ROW(A74),BDDregul!$Q$3:$Q$422,0),1),"")</f>
        <v>44228</v>
      </c>
      <c r="B94" s="1206">
        <f>+IFERROR(INDEX(BDDregul!$A$3:$Q$422,MATCH(ROW(A74),BDDregul!$Q$3:$Q$422,0),3)+INDEX(BDDregul!$A$3:$Q$422,MATCH(ROW(A74),BDDregul!$Q$3:$Q$422,0),4),"")</f>
        <v>0</v>
      </c>
      <c r="C94" s="431">
        <f>+IFERROR(INDEX(BDDregul!$A$3:$Q$422,MATCH(ROW(A74),BDDregul!$Q$3:$Q$422,0),14),"")</f>
        <v>0</v>
      </c>
      <c r="D94" s="479">
        <f>+IFERROR(INDEX(BDDregul!$A$3:$Q$422,MATCH(ROW(A74),BDDregul!$Q$3:$Q$422,0),9),"")</f>
        <v>0</v>
      </c>
      <c r="E94" s="479">
        <f>+IFERROR(INDEX(BDDregul!$A$3:$Q$422,MATCH(ROW(A74),BDDregul!$Q$3:$Q$422,0),12),"")</f>
        <v>0</v>
      </c>
      <c r="F94" s="479">
        <f>+IFERROR(INDEX(BDDregul!$A$3:$Q$422,MATCH(ROW(A74),BDDregul!$Q$3:$Q$422,0),13),"")</f>
        <v>0</v>
      </c>
      <c r="G94" s="479">
        <f>+IFERROR(IF(A94=DATE($F$12,$E$12,1),0,INDEX(BDDregul!$A$3:$Q$422,MATCH(ROW(A74),BDDregul!$Q$3:$Q$422,0),15)),"")</f>
        <v>0</v>
      </c>
      <c r="H94" s="479">
        <f t="shared" si="1"/>
        <v>0</v>
      </c>
    </row>
    <row r="95" spans="1:8" x14ac:dyDescent="0.2">
      <c r="A95" s="478">
        <f>+IFERROR(INDEX(BDDregul!$A$3:$Q$422,MATCH(ROW(A75),BDDregul!$Q$3:$Q$422,0),1),"")</f>
        <v>44256</v>
      </c>
      <c r="B95" s="1206">
        <f>+IFERROR(INDEX(BDDregul!$A$3:$Q$422,MATCH(ROW(A75),BDDregul!$Q$3:$Q$422,0),3)+INDEX(BDDregul!$A$3:$Q$422,MATCH(ROW(A75),BDDregul!$Q$3:$Q$422,0),4),"")</f>
        <v>0</v>
      </c>
      <c r="C95" s="431">
        <f>+IFERROR(INDEX(BDDregul!$A$3:$Q$422,MATCH(ROW(A75),BDDregul!$Q$3:$Q$422,0),14),"")</f>
        <v>0</v>
      </c>
      <c r="D95" s="479">
        <f>+IFERROR(INDEX(BDDregul!$A$3:$Q$422,MATCH(ROW(A75),BDDregul!$Q$3:$Q$422,0),9),"")</f>
        <v>0</v>
      </c>
      <c r="E95" s="479">
        <f>+IFERROR(INDEX(BDDregul!$A$3:$Q$422,MATCH(ROW(A75),BDDregul!$Q$3:$Q$422,0),12),"")</f>
        <v>0</v>
      </c>
      <c r="F95" s="479">
        <f>+IFERROR(INDEX(BDDregul!$A$3:$Q$422,MATCH(ROW(A75),BDDregul!$Q$3:$Q$422,0),13),"")</f>
        <v>0</v>
      </c>
      <c r="G95" s="479">
        <f>+IFERROR(IF(A95=DATE($F$12,$E$12,1),0,INDEX(BDDregul!$A$3:$Q$422,MATCH(ROW(A75),BDDregul!$Q$3:$Q$422,0),15)),"")</f>
        <v>0</v>
      </c>
      <c r="H95" s="479">
        <f t="shared" si="1"/>
        <v>0</v>
      </c>
    </row>
    <row r="96" spans="1:8" x14ac:dyDescent="0.2">
      <c r="A96" s="478">
        <f>+IFERROR(INDEX(BDDregul!$A$3:$Q$422,MATCH(ROW(A76),BDDregul!$Q$3:$Q$422,0),1),"")</f>
        <v>44287</v>
      </c>
      <c r="B96" s="1206">
        <f>+IFERROR(INDEX(BDDregul!$A$3:$Q$422,MATCH(ROW(A76),BDDregul!$Q$3:$Q$422,0),3)+INDEX(BDDregul!$A$3:$Q$422,MATCH(ROW(A76),BDDregul!$Q$3:$Q$422,0),4),"")</f>
        <v>0</v>
      </c>
      <c r="C96" s="431">
        <f>+IFERROR(INDEX(BDDregul!$A$3:$Q$422,MATCH(ROW(A76),BDDregul!$Q$3:$Q$422,0),14),"")</f>
        <v>0</v>
      </c>
      <c r="D96" s="479">
        <f>+IFERROR(INDEX(BDDregul!$A$3:$Q$422,MATCH(ROW(A76),BDDregul!$Q$3:$Q$422,0),9),"")</f>
        <v>0</v>
      </c>
      <c r="E96" s="479">
        <f>+IFERROR(INDEX(BDDregul!$A$3:$Q$422,MATCH(ROW(A76),BDDregul!$Q$3:$Q$422,0),12),"")</f>
        <v>0</v>
      </c>
      <c r="F96" s="479">
        <f>+IFERROR(INDEX(BDDregul!$A$3:$Q$422,MATCH(ROW(A76),BDDregul!$Q$3:$Q$422,0),13),"")</f>
        <v>0</v>
      </c>
      <c r="G96" s="479">
        <f>+IFERROR(IF(A96=DATE($F$12,$E$12,1),0,INDEX(BDDregul!$A$3:$Q$422,MATCH(ROW(A76),BDDregul!$Q$3:$Q$422,0),15)),"")</f>
        <v>0</v>
      </c>
      <c r="H96" s="479">
        <f t="shared" si="1"/>
        <v>0</v>
      </c>
    </row>
    <row r="97" spans="1:8" x14ac:dyDescent="0.2">
      <c r="A97" s="478">
        <f>+IFERROR(INDEX(BDDregul!$A$3:$Q$422,MATCH(ROW(A77),BDDregul!$Q$3:$Q$422,0),1),"")</f>
        <v>44317</v>
      </c>
      <c r="B97" s="1206">
        <f>+IFERROR(INDEX(BDDregul!$A$3:$Q$422,MATCH(ROW(A77),BDDregul!$Q$3:$Q$422,0),3)+INDEX(BDDregul!$A$3:$Q$422,MATCH(ROW(A77),BDDregul!$Q$3:$Q$422,0),4),"")</f>
        <v>0</v>
      </c>
      <c r="C97" s="431">
        <f>+IFERROR(INDEX(BDDregul!$A$3:$Q$422,MATCH(ROW(A77),BDDregul!$Q$3:$Q$422,0),14),"")</f>
        <v>0</v>
      </c>
      <c r="D97" s="479">
        <f>+IFERROR(INDEX(BDDregul!$A$3:$Q$422,MATCH(ROW(A77),BDDregul!$Q$3:$Q$422,0),9),"")</f>
        <v>0</v>
      </c>
      <c r="E97" s="479">
        <f>+IFERROR(INDEX(BDDregul!$A$3:$Q$422,MATCH(ROW(A77),BDDregul!$Q$3:$Q$422,0),12),"")</f>
        <v>0</v>
      </c>
      <c r="F97" s="479">
        <f>+IFERROR(INDEX(BDDregul!$A$3:$Q$422,MATCH(ROW(A77),BDDregul!$Q$3:$Q$422,0),13),"")</f>
        <v>0</v>
      </c>
      <c r="G97" s="479">
        <f>+IFERROR(IF(A97=DATE($F$12,$E$12,1),0,INDEX(BDDregul!$A$3:$Q$422,MATCH(ROW(A77),BDDregul!$Q$3:$Q$422,0),15)),"")</f>
        <v>0</v>
      </c>
      <c r="H97" s="479">
        <f t="shared" si="1"/>
        <v>0</v>
      </c>
    </row>
    <row r="98" spans="1:8" x14ac:dyDescent="0.2">
      <c r="A98" s="478">
        <f>+IFERROR(INDEX(BDDregul!$A$3:$Q$422,MATCH(ROW(A78),BDDregul!$Q$3:$Q$422,0),1),"")</f>
        <v>44348</v>
      </c>
      <c r="B98" s="1206">
        <f>+IFERROR(INDEX(BDDregul!$A$3:$Q$422,MATCH(ROW(A78),BDDregul!$Q$3:$Q$422,0),3)+INDEX(BDDregul!$A$3:$Q$422,MATCH(ROW(A78),BDDregul!$Q$3:$Q$422,0),4),"")</f>
        <v>0</v>
      </c>
      <c r="C98" s="431">
        <f>+IFERROR(INDEX(BDDregul!$A$3:$Q$422,MATCH(ROW(A78),BDDregul!$Q$3:$Q$422,0),14),"")</f>
        <v>0</v>
      </c>
      <c r="D98" s="479">
        <f>+IFERROR(INDEX(BDDregul!$A$3:$Q$422,MATCH(ROW(A78),BDDregul!$Q$3:$Q$422,0),9),"")</f>
        <v>0</v>
      </c>
      <c r="E98" s="479">
        <f>+IFERROR(INDEX(BDDregul!$A$3:$Q$422,MATCH(ROW(A78),BDDregul!$Q$3:$Q$422,0),12),"")</f>
        <v>0</v>
      </c>
      <c r="F98" s="479">
        <f>+IFERROR(INDEX(BDDregul!$A$3:$Q$422,MATCH(ROW(A78),BDDregul!$Q$3:$Q$422,0),13),"")</f>
        <v>0</v>
      </c>
      <c r="G98" s="479">
        <f>+IFERROR(IF(A98=DATE($F$12,$E$12,1),0,INDEX(BDDregul!$A$3:$Q$422,MATCH(ROW(A78),BDDregul!$Q$3:$Q$422,0),15)),"")</f>
        <v>0</v>
      </c>
      <c r="H98" s="479">
        <f t="shared" si="1"/>
        <v>0</v>
      </c>
    </row>
    <row r="99" spans="1:8" x14ac:dyDescent="0.2">
      <c r="A99" s="478">
        <f>+IFERROR(INDEX(BDDregul!$A$3:$Q$422,MATCH(ROW(A79),BDDregul!$Q$3:$Q$422,0),1),"")</f>
        <v>44378</v>
      </c>
      <c r="B99" s="1206">
        <f>+IFERROR(INDEX(BDDregul!$A$3:$Q$422,MATCH(ROW(A79),BDDregul!$Q$3:$Q$422,0),3)+INDEX(BDDregul!$A$3:$Q$422,MATCH(ROW(A79),BDDregul!$Q$3:$Q$422,0),4),"")</f>
        <v>0</v>
      </c>
      <c r="C99" s="431">
        <f>+IFERROR(INDEX(BDDregul!$A$3:$Q$422,MATCH(ROW(A79),BDDregul!$Q$3:$Q$422,0),14),"")</f>
        <v>0</v>
      </c>
      <c r="D99" s="479">
        <f>+IFERROR(INDEX(BDDregul!$A$3:$Q$422,MATCH(ROW(A79),BDDregul!$Q$3:$Q$422,0),9),"")</f>
        <v>0</v>
      </c>
      <c r="E99" s="479">
        <f>+IFERROR(INDEX(BDDregul!$A$3:$Q$422,MATCH(ROW(A79),BDDregul!$Q$3:$Q$422,0),12),"")</f>
        <v>0</v>
      </c>
      <c r="F99" s="479">
        <f>+IFERROR(INDEX(BDDregul!$A$3:$Q$422,MATCH(ROW(A79),BDDregul!$Q$3:$Q$422,0),13),"")</f>
        <v>0</v>
      </c>
      <c r="G99" s="479">
        <f>+IFERROR(IF(A99=DATE($F$12,$E$12,1),0,INDEX(BDDregul!$A$3:$Q$422,MATCH(ROW(A79),BDDregul!$Q$3:$Q$422,0),15)),"")</f>
        <v>0</v>
      </c>
      <c r="H99" s="479">
        <f t="shared" si="1"/>
        <v>0</v>
      </c>
    </row>
    <row r="100" spans="1:8" x14ac:dyDescent="0.2">
      <c r="A100" s="478">
        <f>+IFERROR(INDEX(BDDregul!$A$3:$Q$422,MATCH(ROW(A80),BDDregul!$Q$3:$Q$422,0),1),"")</f>
        <v>44409</v>
      </c>
      <c r="B100" s="1206">
        <f>+IFERROR(INDEX(BDDregul!$A$3:$Q$422,MATCH(ROW(A80),BDDregul!$Q$3:$Q$422,0),3)+INDEX(BDDregul!$A$3:$Q$422,MATCH(ROW(A80),BDDregul!$Q$3:$Q$422,0),4),"")</f>
        <v>0</v>
      </c>
      <c r="C100" s="431">
        <f>+IFERROR(INDEX(BDDregul!$A$3:$Q$422,MATCH(ROW(A80),BDDregul!$Q$3:$Q$422,0),14),"")</f>
        <v>0</v>
      </c>
      <c r="D100" s="479">
        <f>+IFERROR(INDEX(BDDregul!$A$3:$Q$422,MATCH(ROW(A80),BDDregul!$Q$3:$Q$422,0),9),"")</f>
        <v>0</v>
      </c>
      <c r="E100" s="479">
        <f>+IFERROR(INDEX(BDDregul!$A$3:$Q$422,MATCH(ROW(A80),BDDregul!$Q$3:$Q$422,0),12),"")</f>
        <v>0</v>
      </c>
      <c r="F100" s="479">
        <f>+IFERROR(INDEX(BDDregul!$A$3:$Q$422,MATCH(ROW(A80),BDDregul!$Q$3:$Q$422,0),13),"")</f>
        <v>0</v>
      </c>
      <c r="G100" s="479">
        <f>+IFERROR(IF(A100=DATE($F$12,$E$12,1),0,INDEX(BDDregul!$A$3:$Q$422,MATCH(ROW(A80),BDDregul!$Q$3:$Q$422,0),15)),"")</f>
        <v>0</v>
      </c>
      <c r="H100" s="479">
        <f t="shared" si="1"/>
        <v>0</v>
      </c>
    </row>
    <row r="101" spans="1:8" x14ac:dyDescent="0.2">
      <c r="A101" s="478">
        <f>+IFERROR(INDEX(BDDregul!$A$3:$Q$422,MATCH(ROW(A81),BDDregul!$Q$3:$Q$422,0),1),"")</f>
        <v>44440</v>
      </c>
      <c r="B101" s="1206">
        <f>+IFERROR(INDEX(BDDregul!$A$3:$Q$422,MATCH(ROW(A81),BDDregul!$Q$3:$Q$422,0),3)+INDEX(BDDregul!$A$3:$Q$422,MATCH(ROW(A81),BDDregul!$Q$3:$Q$422,0),4),"")</f>
        <v>0</v>
      </c>
      <c r="C101" s="431">
        <f>+IFERROR(INDEX(BDDregul!$A$3:$Q$422,MATCH(ROW(A81),BDDregul!$Q$3:$Q$422,0),14),"")</f>
        <v>0</v>
      </c>
      <c r="D101" s="479">
        <f>+IFERROR(INDEX(BDDregul!$A$3:$Q$422,MATCH(ROW(A81),BDDregul!$Q$3:$Q$422,0),9),"")</f>
        <v>0</v>
      </c>
      <c r="E101" s="479">
        <f>+IFERROR(INDEX(BDDregul!$A$3:$Q$422,MATCH(ROW(A81),BDDregul!$Q$3:$Q$422,0),12),"")</f>
        <v>0</v>
      </c>
      <c r="F101" s="479">
        <f>+IFERROR(INDEX(BDDregul!$A$3:$Q$422,MATCH(ROW(A81),BDDregul!$Q$3:$Q$422,0),13),"")</f>
        <v>0</v>
      </c>
      <c r="G101" s="479">
        <f>+IFERROR(IF(A101=DATE($F$12,$E$12,1),0,INDEX(BDDregul!$A$3:$Q$422,MATCH(ROW(A81),BDDregul!$Q$3:$Q$422,0),15)),"")</f>
        <v>0</v>
      </c>
      <c r="H101" s="479">
        <f t="shared" si="1"/>
        <v>0</v>
      </c>
    </row>
    <row r="102" spans="1:8" x14ac:dyDescent="0.2">
      <c r="A102" s="478">
        <f>+IFERROR(INDEX(BDDregul!$A$3:$Q$422,MATCH(ROW(A82),BDDregul!$Q$3:$Q$422,0),1),"")</f>
        <v>44470</v>
      </c>
      <c r="B102" s="1206">
        <f>+IFERROR(INDEX(BDDregul!$A$3:$Q$422,MATCH(ROW(A82),BDDregul!$Q$3:$Q$422,0),3)+INDEX(BDDregul!$A$3:$Q$422,MATCH(ROW(A82),BDDregul!$Q$3:$Q$422,0),4),"")</f>
        <v>0</v>
      </c>
      <c r="C102" s="431">
        <f>+IFERROR(INDEX(BDDregul!$A$3:$Q$422,MATCH(ROW(A82),BDDregul!$Q$3:$Q$422,0),14),"")</f>
        <v>0</v>
      </c>
      <c r="D102" s="479">
        <f>+IFERROR(INDEX(BDDregul!$A$3:$Q$422,MATCH(ROW(A82),BDDregul!$Q$3:$Q$422,0),9),"")</f>
        <v>0</v>
      </c>
      <c r="E102" s="479">
        <f>+IFERROR(INDEX(BDDregul!$A$3:$Q$422,MATCH(ROW(A82),BDDregul!$Q$3:$Q$422,0),12),"")</f>
        <v>0</v>
      </c>
      <c r="F102" s="479">
        <f>+IFERROR(INDEX(BDDregul!$A$3:$Q$422,MATCH(ROW(A82),BDDregul!$Q$3:$Q$422,0),13),"")</f>
        <v>0</v>
      </c>
      <c r="G102" s="479">
        <f>+IFERROR(IF(A102=DATE($F$12,$E$12,1),0,INDEX(BDDregul!$A$3:$Q$422,MATCH(ROW(A82),BDDregul!$Q$3:$Q$422,0),15)),"")</f>
        <v>0</v>
      </c>
      <c r="H102" s="479">
        <f t="shared" si="1"/>
        <v>0</v>
      </c>
    </row>
    <row r="103" spans="1:8" x14ac:dyDescent="0.2">
      <c r="A103" s="478">
        <f>+IFERROR(INDEX(BDDregul!$A$3:$Q$422,MATCH(ROW(A83),BDDregul!$Q$3:$Q$422,0),1),"")</f>
        <v>44501</v>
      </c>
      <c r="B103" s="1206">
        <f>+IFERROR(INDEX(BDDregul!$A$3:$Q$422,MATCH(ROW(A83),BDDregul!$Q$3:$Q$422,0),3)+INDEX(BDDregul!$A$3:$Q$422,MATCH(ROW(A83),BDDregul!$Q$3:$Q$422,0),4),"")</f>
        <v>0</v>
      </c>
      <c r="C103" s="431">
        <f>+IFERROR(INDEX(BDDregul!$A$3:$Q$422,MATCH(ROW(A83),BDDregul!$Q$3:$Q$422,0),14),"")</f>
        <v>0</v>
      </c>
      <c r="D103" s="479">
        <f>+IFERROR(INDEX(BDDregul!$A$3:$Q$422,MATCH(ROW(A83),BDDregul!$Q$3:$Q$422,0),9),"")</f>
        <v>0</v>
      </c>
      <c r="E103" s="479">
        <f>+IFERROR(INDEX(BDDregul!$A$3:$Q$422,MATCH(ROW(A83),BDDregul!$Q$3:$Q$422,0),12),"")</f>
        <v>0</v>
      </c>
      <c r="F103" s="479">
        <f>+IFERROR(INDEX(BDDregul!$A$3:$Q$422,MATCH(ROW(A83),BDDregul!$Q$3:$Q$422,0),13),"")</f>
        <v>0</v>
      </c>
      <c r="G103" s="479">
        <f>+IFERROR(IF(A103=DATE($F$12,$E$12,1),0,INDEX(BDDregul!$A$3:$Q$422,MATCH(ROW(A83),BDDregul!$Q$3:$Q$422,0),15)),"")</f>
        <v>0</v>
      </c>
      <c r="H103" s="479">
        <f t="shared" si="1"/>
        <v>0</v>
      </c>
    </row>
    <row r="104" spans="1:8" x14ac:dyDescent="0.2">
      <c r="A104" s="478">
        <f>+IFERROR(INDEX(BDDregul!$A$3:$Q$422,MATCH(ROW(A84),BDDregul!$Q$3:$Q$422,0),1),"")</f>
        <v>44531</v>
      </c>
      <c r="B104" s="1206">
        <f>+IFERROR(INDEX(BDDregul!$A$3:$Q$422,MATCH(ROW(A84),BDDregul!$Q$3:$Q$422,0),3)+INDEX(BDDregul!$A$3:$Q$422,MATCH(ROW(A84),BDDregul!$Q$3:$Q$422,0),4),"")</f>
        <v>0</v>
      </c>
      <c r="C104" s="431">
        <f>+IFERROR(INDEX(BDDregul!$A$3:$Q$422,MATCH(ROW(A84),BDDregul!$Q$3:$Q$422,0),14),"")</f>
        <v>0</v>
      </c>
      <c r="D104" s="479">
        <f>+IFERROR(INDEX(BDDregul!$A$3:$Q$422,MATCH(ROW(A84),BDDregul!$Q$3:$Q$422,0),9),"")</f>
        <v>0</v>
      </c>
      <c r="E104" s="479">
        <f>+IFERROR(INDEX(BDDregul!$A$3:$Q$422,MATCH(ROW(A84),BDDregul!$Q$3:$Q$422,0),12),"")</f>
        <v>0</v>
      </c>
      <c r="F104" s="479">
        <f>+IFERROR(INDEX(BDDregul!$A$3:$Q$422,MATCH(ROW(A84),BDDregul!$Q$3:$Q$422,0),13),"")</f>
        <v>0</v>
      </c>
      <c r="G104" s="479">
        <f>+IFERROR(IF(A104=DATE($F$12,$E$12,1),0,INDEX(BDDregul!$A$3:$Q$422,MATCH(ROW(A84),BDDregul!$Q$3:$Q$422,0),15)),"")</f>
        <v>0</v>
      </c>
      <c r="H104" s="479">
        <f t="shared" si="1"/>
        <v>0</v>
      </c>
    </row>
    <row r="105" spans="1:8" x14ac:dyDescent="0.2">
      <c r="A105" s="478">
        <f>+IFERROR(INDEX(BDDregul!$A$3:$Q$422,MATCH(ROW(A85),BDDregul!$Q$3:$Q$422,0),1),"")</f>
        <v>44562</v>
      </c>
      <c r="B105" s="1206">
        <f>+IFERROR(INDEX(BDDregul!$A$3:$Q$422,MATCH(ROW(A85),BDDregul!$Q$3:$Q$422,0),3)+INDEX(BDDregul!$A$3:$Q$422,MATCH(ROW(A85),BDDregul!$Q$3:$Q$422,0),4),"")</f>
        <v>0</v>
      </c>
      <c r="C105" s="431">
        <f>+IFERROR(INDEX(BDDregul!$A$3:$Q$422,MATCH(ROW(A85),BDDregul!$Q$3:$Q$422,0),14),"")</f>
        <v>0</v>
      </c>
      <c r="D105" s="479">
        <f>+IFERROR(INDEX(BDDregul!$A$3:$Q$422,MATCH(ROW(A85),BDDregul!$Q$3:$Q$422,0),9),"")</f>
        <v>0</v>
      </c>
      <c r="E105" s="479">
        <f>+IFERROR(INDEX(BDDregul!$A$3:$Q$422,MATCH(ROW(A85),BDDregul!$Q$3:$Q$422,0),12),"")</f>
        <v>0</v>
      </c>
      <c r="F105" s="479">
        <f>+IFERROR(INDEX(BDDregul!$A$3:$Q$422,MATCH(ROW(A85),BDDregul!$Q$3:$Q$422,0),13),"")</f>
        <v>0</v>
      </c>
      <c r="G105" s="479">
        <f>+IFERROR(IF(A105=DATE($F$12,$E$12,1),0,INDEX(BDDregul!$A$3:$Q$422,MATCH(ROW(A85),BDDregul!$Q$3:$Q$422,0),15)),"")</f>
        <v>0</v>
      </c>
      <c r="H105" s="479">
        <f t="shared" si="1"/>
        <v>0</v>
      </c>
    </row>
    <row r="106" spans="1:8" x14ac:dyDescent="0.2">
      <c r="A106" s="478">
        <f>+IFERROR(INDEX(BDDregul!$A$3:$Q$422,MATCH(ROW(A86),BDDregul!$Q$3:$Q$422,0),1),"")</f>
        <v>44593</v>
      </c>
      <c r="B106" s="1206">
        <f>+IFERROR(INDEX(BDDregul!$A$3:$Q$422,MATCH(ROW(A86),BDDregul!$Q$3:$Q$422,0),3)+INDEX(BDDregul!$A$3:$Q$422,MATCH(ROW(A86),BDDregul!$Q$3:$Q$422,0),4),"")</f>
        <v>0</v>
      </c>
      <c r="C106" s="431">
        <f>+IFERROR(INDEX(BDDregul!$A$3:$Q$422,MATCH(ROW(A86),BDDregul!$Q$3:$Q$422,0),14),"")</f>
        <v>0</v>
      </c>
      <c r="D106" s="479">
        <f>+IFERROR(INDEX(BDDregul!$A$3:$Q$422,MATCH(ROW(A86),BDDregul!$Q$3:$Q$422,0),9),"")</f>
        <v>0</v>
      </c>
      <c r="E106" s="479">
        <f>+IFERROR(INDEX(BDDregul!$A$3:$Q$422,MATCH(ROW(A86),BDDregul!$Q$3:$Q$422,0),12),"")</f>
        <v>0</v>
      </c>
      <c r="F106" s="479">
        <f>+IFERROR(INDEX(BDDregul!$A$3:$Q$422,MATCH(ROW(A86),BDDregul!$Q$3:$Q$422,0),13),"")</f>
        <v>0</v>
      </c>
      <c r="G106" s="479">
        <f>+IFERROR(IF(A106=DATE($F$12,$E$12,1),0,INDEX(BDDregul!$A$3:$Q$422,MATCH(ROW(A86),BDDregul!$Q$3:$Q$422,0),15)),"")</f>
        <v>0</v>
      </c>
      <c r="H106" s="479">
        <f t="shared" si="1"/>
        <v>0</v>
      </c>
    </row>
    <row r="107" spans="1:8" x14ac:dyDescent="0.2">
      <c r="A107" s="478">
        <f>+IFERROR(INDEX(BDDregul!$A$3:$Q$422,MATCH(ROW(A87),BDDregul!$Q$3:$Q$422,0),1),"")</f>
        <v>44621</v>
      </c>
      <c r="B107" s="1206">
        <f>+IFERROR(INDEX(BDDregul!$A$3:$Q$422,MATCH(ROW(A87),BDDregul!$Q$3:$Q$422,0),3)+INDEX(BDDregul!$A$3:$Q$422,MATCH(ROW(A87),BDDregul!$Q$3:$Q$422,0),4),"")</f>
        <v>0</v>
      </c>
      <c r="C107" s="431">
        <f>+IFERROR(INDEX(BDDregul!$A$3:$Q$422,MATCH(ROW(A87),BDDregul!$Q$3:$Q$422,0),14),"")</f>
        <v>0</v>
      </c>
      <c r="D107" s="479">
        <f>+IFERROR(INDEX(BDDregul!$A$3:$Q$422,MATCH(ROW(A87),BDDregul!$Q$3:$Q$422,0),9),"")</f>
        <v>0</v>
      </c>
      <c r="E107" s="479">
        <f>+IFERROR(INDEX(BDDregul!$A$3:$Q$422,MATCH(ROW(A87),BDDregul!$Q$3:$Q$422,0),12),"")</f>
        <v>0</v>
      </c>
      <c r="F107" s="479">
        <f>+IFERROR(INDEX(BDDregul!$A$3:$Q$422,MATCH(ROW(A87),BDDregul!$Q$3:$Q$422,0),13),"")</f>
        <v>0</v>
      </c>
      <c r="G107" s="479">
        <f>+IFERROR(IF(A107=DATE($F$12,$E$12,1),0,INDEX(BDDregul!$A$3:$Q$422,MATCH(ROW(A87),BDDregul!$Q$3:$Q$422,0),15)),"")</f>
        <v>0</v>
      </c>
      <c r="H107" s="479">
        <f t="shared" si="1"/>
        <v>0</v>
      </c>
    </row>
    <row r="108" spans="1:8" x14ac:dyDescent="0.2">
      <c r="A108" s="478">
        <f>+IFERROR(INDEX(BDDregul!$A$3:$Q$422,MATCH(ROW(A88),BDDregul!$Q$3:$Q$422,0),1),"")</f>
        <v>44652</v>
      </c>
      <c r="B108" s="1206">
        <f>+IFERROR(INDEX(BDDregul!$A$3:$Q$422,MATCH(ROW(A88),BDDregul!$Q$3:$Q$422,0),3)+INDEX(BDDregul!$A$3:$Q$422,MATCH(ROW(A88),BDDregul!$Q$3:$Q$422,0),4),"")</f>
        <v>0</v>
      </c>
      <c r="C108" s="431">
        <f>+IFERROR(INDEX(BDDregul!$A$3:$Q$422,MATCH(ROW(A88),BDDregul!$Q$3:$Q$422,0),14),"")</f>
        <v>0</v>
      </c>
      <c r="D108" s="479">
        <f>+IFERROR(INDEX(BDDregul!$A$3:$Q$422,MATCH(ROW(A88),BDDregul!$Q$3:$Q$422,0),9),"")</f>
        <v>0</v>
      </c>
      <c r="E108" s="479">
        <f>+IFERROR(INDEX(BDDregul!$A$3:$Q$422,MATCH(ROW(A88),BDDregul!$Q$3:$Q$422,0),12),"")</f>
        <v>0</v>
      </c>
      <c r="F108" s="479">
        <f>+IFERROR(INDEX(BDDregul!$A$3:$Q$422,MATCH(ROW(A88),BDDregul!$Q$3:$Q$422,0),13),"")</f>
        <v>0</v>
      </c>
      <c r="G108" s="479">
        <f>+IFERROR(IF(A108=DATE($F$12,$E$12,1),0,INDEX(BDDregul!$A$3:$Q$422,MATCH(ROW(A88),BDDregul!$Q$3:$Q$422,0),15)),"")</f>
        <v>0</v>
      </c>
      <c r="H108" s="479">
        <f t="shared" si="1"/>
        <v>0</v>
      </c>
    </row>
    <row r="109" spans="1:8" x14ac:dyDescent="0.2">
      <c r="A109" s="478">
        <f>+IFERROR(INDEX(BDDregul!$A$3:$Q$422,MATCH(ROW(A89),BDDregul!$Q$3:$Q$422,0),1),"")</f>
        <v>44682</v>
      </c>
      <c r="B109" s="1206">
        <f>+IFERROR(INDEX(BDDregul!$A$3:$Q$422,MATCH(ROW(A89),BDDregul!$Q$3:$Q$422,0),3)+INDEX(BDDregul!$A$3:$Q$422,MATCH(ROW(A89),BDDregul!$Q$3:$Q$422,0),4),"")</f>
        <v>0</v>
      </c>
      <c r="C109" s="431">
        <f>+IFERROR(INDEX(BDDregul!$A$3:$Q$422,MATCH(ROW(A89),BDDregul!$Q$3:$Q$422,0),14),"")</f>
        <v>0</v>
      </c>
      <c r="D109" s="479">
        <f>+IFERROR(INDEX(BDDregul!$A$3:$Q$422,MATCH(ROW(A89),BDDregul!$Q$3:$Q$422,0),9),"")</f>
        <v>0</v>
      </c>
      <c r="E109" s="479">
        <f>+IFERROR(INDEX(BDDregul!$A$3:$Q$422,MATCH(ROW(A89),BDDregul!$Q$3:$Q$422,0),12),"")</f>
        <v>0</v>
      </c>
      <c r="F109" s="479">
        <f>+IFERROR(INDEX(BDDregul!$A$3:$Q$422,MATCH(ROW(A89),BDDregul!$Q$3:$Q$422,0),13),"")</f>
        <v>0</v>
      </c>
      <c r="G109" s="479">
        <f>+IFERROR(IF(A109=DATE($F$12,$E$12,1),0,INDEX(BDDregul!$A$3:$Q$422,MATCH(ROW(A89),BDDregul!$Q$3:$Q$422,0),15)),"")</f>
        <v>0</v>
      </c>
      <c r="H109" s="479">
        <f t="shared" si="1"/>
        <v>0</v>
      </c>
    </row>
    <row r="110" spans="1:8" x14ac:dyDescent="0.2">
      <c r="A110" s="478">
        <f>+IFERROR(INDEX(BDDregul!$A$3:$Q$422,MATCH(ROW(A90),BDDregul!$Q$3:$Q$422,0),1),"")</f>
        <v>44713</v>
      </c>
      <c r="B110" s="1206">
        <f>+IFERROR(INDEX(BDDregul!$A$3:$Q$422,MATCH(ROW(A90),BDDregul!$Q$3:$Q$422,0),3)+INDEX(BDDregul!$A$3:$Q$422,MATCH(ROW(A90),BDDregul!$Q$3:$Q$422,0),4),"")</f>
        <v>0</v>
      </c>
      <c r="C110" s="431">
        <f>+IFERROR(INDEX(BDDregul!$A$3:$Q$422,MATCH(ROW(A90),BDDregul!$Q$3:$Q$422,0),14),"")</f>
        <v>0</v>
      </c>
      <c r="D110" s="479">
        <f>+IFERROR(INDEX(BDDregul!$A$3:$Q$422,MATCH(ROW(A90),BDDregul!$Q$3:$Q$422,0),9),"")</f>
        <v>0</v>
      </c>
      <c r="E110" s="479">
        <f>+IFERROR(INDEX(BDDregul!$A$3:$Q$422,MATCH(ROW(A90),BDDregul!$Q$3:$Q$422,0),12),"")</f>
        <v>0</v>
      </c>
      <c r="F110" s="479">
        <f>+IFERROR(INDEX(BDDregul!$A$3:$Q$422,MATCH(ROW(A90),BDDregul!$Q$3:$Q$422,0),13),"")</f>
        <v>0</v>
      </c>
      <c r="G110" s="479">
        <f>+IFERROR(IF(A110=DATE($F$12,$E$12,1),0,INDEX(BDDregul!$A$3:$Q$422,MATCH(ROW(A90),BDDregul!$Q$3:$Q$422,0),15)),"")</f>
        <v>0</v>
      </c>
      <c r="H110" s="479">
        <f t="shared" si="1"/>
        <v>0</v>
      </c>
    </row>
    <row r="111" spans="1:8" x14ac:dyDescent="0.2">
      <c r="A111" s="478">
        <f>+IFERROR(INDEX(BDDregul!$A$3:$Q$422,MATCH(ROW(A91),BDDregul!$Q$3:$Q$422,0),1),"")</f>
        <v>44743</v>
      </c>
      <c r="B111" s="1206">
        <f>+IFERROR(INDEX(BDDregul!$A$3:$Q$422,MATCH(ROW(A91),BDDregul!$Q$3:$Q$422,0),3)+INDEX(BDDregul!$A$3:$Q$422,MATCH(ROW(A91),BDDregul!$Q$3:$Q$422,0),4),"")</f>
        <v>0</v>
      </c>
      <c r="C111" s="431">
        <f>+IFERROR(INDEX(BDDregul!$A$3:$Q$422,MATCH(ROW(A91),BDDregul!$Q$3:$Q$422,0),14),"")</f>
        <v>0</v>
      </c>
      <c r="D111" s="479">
        <f>+IFERROR(INDEX(BDDregul!$A$3:$Q$422,MATCH(ROW(A91),BDDregul!$Q$3:$Q$422,0),9),"")</f>
        <v>0</v>
      </c>
      <c r="E111" s="479">
        <f>+IFERROR(INDEX(BDDregul!$A$3:$Q$422,MATCH(ROW(A91),BDDregul!$Q$3:$Q$422,0),12),"")</f>
        <v>0</v>
      </c>
      <c r="F111" s="479">
        <f>+IFERROR(INDEX(BDDregul!$A$3:$Q$422,MATCH(ROW(A91),BDDregul!$Q$3:$Q$422,0),13),"")</f>
        <v>0</v>
      </c>
      <c r="G111" s="479">
        <f>+IFERROR(IF(A111=DATE($F$12,$E$12,1),0,INDEX(BDDregul!$A$3:$Q$422,MATCH(ROW(A91),BDDregul!$Q$3:$Q$422,0),15)),"")</f>
        <v>0</v>
      </c>
      <c r="H111" s="479">
        <f t="shared" si="1"/>
        <v>0</v>
      </c>
    </row>
    <row r="112" spans="1:8" x14ac:dyDescent="0.2">
      <c r="A112" s="478">
        <f>+IFERROR(INDEX(BDDregul!$A$3:$Q$422,MATCH(ROW(A92),BDDregul!$Q$3:$Q$422,0),1),"")</f>
        <v>44774</v>
      </c>
      <c r="B112" s="1206">
        <f>+IFERROR(INDEX(BDDregul!$A$3:$Q$422,MATCH(ROW(A92),BDDregul!$Q$3:$Q$422,0),3)+INDEX(BDDregul!$A$3:$Q$422,MATCH(ROW(A92),BDDregul!$Q$3:$Q$422,0),4),"")</f>
        <v>0</v>
      </c>
      <c r="C112" s="431">
        <f>+IFERROR(INDEX(BDDregul!$A$3:$Q$422,MATCH(ROW(A92),BDDregul!$Q$3:$Q$422,0),14),"")</f>
        <v>0</v>
      </c>
      <c r="D112" s="479">
        <f>+IFERROR(INDEX(BDDregul!$A$3:$Q$422,MATCH(ROW(A92),BDDregul!$Q$3:$Q$422,0),9),"")</f>
        <v>0</v>
      </c>
      <c r="E112" s="479">
        <f>+IFERROR(INDEX(BDDregul!$A$3:$Q$422,MATCH(ROW(A92),BDDregul!$Q$3:$Q$422,0),12),"")</f>
        <v>0</v>
      </c>
      <c r="F112" s="479">
        <f>+IFERROR(INDEX(BDDregul!$A$3:$Q$422,MATCH(ROW(A92),BDDregul!$Q$3:$Q$422,0),13),"")</f>
        <v>0</v>
      </c>
      <c r="G112" s="479">
        <f>+IFERROR(IF(A112=DATE($F$12,$E$12,1),0,INDEX(BDDregul!$A$3:$Q$422,MATCH(ROW(A92),BDDregul!$Q$3:$Q$422,0),15)),"")</f>
        <v>0</v>
      </c>
      <c r="H112" s="479">
        <f t="shared" si="1"/>
        <v>0</v>
      </c>
    </row>
    <row r="113" spans="1:8" x14ac:dyDescent="0.2">
      <c r="A113" s="478">
        <f>+IFERROR(INDEX(BDDregul!$A$3:$Q$422,MATCH(ROW(A93),BDDregul!$Q$3:$Q$422,0),1),"")</f>
        <v>44805</v>
      </c>
      <c r="B113" s="1206">
        <f>+IFERROR(INDEX(BDDregul!$A$3:$Q$422,MATCH(ROW(A93),BDDregul!$Q$3:$Q$422,0),3)+INDEX(BDDregul!$A$3:$Q$422,MATCH(ROW(A93),BDDregul!$Q$3:$Q$422,0),4),"")</f>
        <v>0</v>
      </c>
      <c r="C113" s="431">
        <f>+IFERROR(INDEX(BDDregul!$A$3:$Q$422,MATCH(ROW(A93),BDDregul!$Q$3:$Q$422,0),14),"")</f>
        <v>0</v>
      </c>
      <c r="D113" s="479">
        <f>+IFERROR(INDEX(BDDregul!$A$3:$Q$422,MATCH(ROW(A93),BDDregul!$Q$3:$Q$422,0),9),"")</f>
        <v>0</v>
      </c>
      <c r="E113" s="479">
        <f>+IFERROR(INDEX(BDDregul!$A$3:$Q$422,MATCH(ROW(A93),BDDregul!$Q$3:$Q$422,0),12),"")</f>
        <v>0</v>
      </c>
      <c r="F113" s="479">
        <f>+IFERROR(INDEX(BDDregul!$A$3:$Q$422,MATCH(ROW(A93),BDDregul!$Q$3:$Q$422,0),13),"")</f>
        <v>0</v>
      </c>
      <c r="G113" s="479">
        <f>+IFERROR(IF(A113=DATE($F$12,$E$12,1),0,INDEX(BDDregul!$A$3:$Q$422,MATCH(ROW(A93),BDDregul!$Q$3:$Q$422,0),15)),"")</f>
        <v>0</v>
      </c>
      <c r="H113" s="479">
        <f t="shared" si="1"/>
        <v>0</v>
      </c>
    </row>
    <row r="114" spans="1:8" x14ac:dyDescent="0.2">
      <c r="A114" s="478">
        <f>+IFERROR(INDEX(BDDregul!$A$3:$Q$422,MATCH(ROW(A94),BDDregul!$Q$3:$Q$422,0),1),"")</f>
        <v>44835</v>
      </c>
      <c r="B114" s="1206">
        <f>+IFERROR(INDEX(BDDregul!$A$3:$Q$422,MATCH(ROW(A94),BDDregul!$Q$3:$Q$422,0),3)+INDEX(BDDregul!$A$3:$Q$422,MATCH(ROW(A94),BDDregul!$Q$3:$Q$422,0),4),"")</f>
        <v>0</v>
      </c>
      <c r="C114" s="431">
        <f>+IFERROR(INDEX(BDDregul!$A$3:$Q$422,MATCH(ROW(A94),BDDregul!$Q$3:$Q$422,0),14),"")</f>
        <v>0</v>
      </c>
      <c r="D114" s="479">
        <f>+IFERROR(INDEX(BDDregul!$A$3:$Q$422,MATCH(ROW(A94),BDDregul!$Q$3:$Q$422,0),9),"")</f>
        <v>0</v>
      </c>
      <c r="E114" s="479">
        <f>+IFERROR(INDEX(BDDregul!$A$3:$Q$422,MATCH(ROW(A94),BDDregul!$Q$3:$Q$422,0),12),"")</f>
        <v>0</v>
      </c>
      <c r="F114" s="479">
        <f>+IFERROR(INDEX(BDDregul!$A$3:$Q$422,MATCH(ROW(A94),BDDregul!$Q$3:$Q$422,0),13),"")</f>
        <v>0</v>
      </c>
      <c r="G114" s="479">
        <f>+IFERROR(IF(A114=DATE($F$12,$E$12,1),0,INDEX(BDDregul!$A$3:$Q$422,MATCH(ROW(A94),BDDregul!$Q$3:$Q$422,0),15)),"")</f>
        <v>0</v>
      </c>
      <c r="H114" s="479">
        <f t="shared" si="1"/>
        <v>0</v>
      </c>
    </row>
    <row r="115" spans="1:8" x14ac:dyDescent="0.2">
      <c r="A115" s="478">
        <f>+IFERROR(INDEX(BDDregul!$A$3:$Q$422,MATCH(ROW(A95),BDDregul!$Q$3:$Q$422,0),1),"")</f>
        <v>44866</v>
      </c>
      <c r="B115" s="1206">
        <f>+IFERROR(INDEX(BDDregul!$A$3:$Q$422,MATCH(ROW(A95),BDDregul!$Q$3:$Q$422,0),3)+INDEX(BDDregul!$A$3:$Q$422,MATCH(ROW(A95),BDDregul!$Q$3:$Q$422,0),4),"")</f>
        <v>0</v>
      </c>
      <c r="C115" s="431">
        <f>+IFERROR(INDEX(BDDregul!$A$3:$Q$422,MATCH(ROW(A95),BDDregul!$Q$3:$Q$422,0),14),"")</f>
        <v>0</v>
      </c>
      <c r="D115" s="479">
        <f>+IFERROR(INDEX(BDDregul!$A$3:$Q$422,MATCH(ROW(A95),BDDregul!$Q$3:$Q$422,0),9),"")</f>
        <v>0</v>
      </c>
      <c r="E115" s="479">
        <f>+IFERROR(INDEX(BDDregul!$A$3:$Q$422,MATCH(ROW(A95),BDDregul!$Q$3:$Q$422,0),12),"")</f>
        <v>0</v>
      </c>
      <c r="F115" s="479">
        <f>+IFERROR(INDEX(BDDregul!$A$3:$Q$422,MATCH(ROW(A95),BDDregul!$Q$3:$Q$422,0),13),"")</f>
        <v>0</v>
      </c>
      <c r="G115" s="479">
        <f>+IFERROR(IF(A115=DATE($F$12,$E$12,1),0,INDEX(BDDregul!$A$3:$Q$422,MATCH(ROW(A95),BDDregul!$Q$3:$Q$422,0),15)),"")</f>
        <v>0</v>
      </c>
      <c r="H115" s="479">
        <f t="shared" si="1"/>
        <v>0</v>
      </c>
    </row>
    <row r="116" spans="1:8" x14ac:dyDescent="0.2">
      <c r="A116" s="478">
        <f>+IFERROR(INDEX(BDDregul!$A$3:$Q$422,MATCH(ROW(A96),BDDregul!$Q$3:$Q$422,0),1),"")</f>
        <v>44896</v>
      </c>
      <c r="B116" s="1206">
        <f>+IFERROR(INDEX(BDDregul!$A$3:$Q$422,MATCH(ROW(A96),BDDregul!$Q$3:$Q$422,0),3)+INDEX(BDDregul!$A$3:$Q$422,MATCH(ROW(A96),BDDregul!$Q$3:$Q$422,0),4),"")</f>
        <v>0</v>
      </c>
      <c r="C116" s="431">
        <f>+IFERROR(INDEX(BDDregul!$A$3:$Q$422,MATCH(ROW(A96),BDDregul!$Q$3:$Q$422,0),14),"")</f>
        <v>0</v>
      </c>
      <c r="D116" s="479">
        <f>+IFERROR(INDEX(BDDregul!$A$3:$Q$422,MATCH(ROW(A96),BDDregul!$Q$3:$Q$422,0),9),"")</f>
        <v>0</v>
      </c>
      <c r="E116" s="479">
        <f>+IFERROR(INDEX(BDDregul!$A$3:$Q$422,MATCH(ROW(A96),BDDregul!$Q$3:$Q$422,0),12),"")</f>
        <v>0</v>
      </c>
      <c r="F116" s="479">
        <f>+IFERROR(INDEX(BDDregul!$A$3:$Q$422,MATCH(ROW(A96),BDDregul!$Q$3:$Q$422,0),13),"")</f>
        <v>0</v>
      </c>
      <c r="G116" s="479">
        <f>+IFERROR(IF(A116=DATE($F$12,$E$12,1),0,INDEX(BDDregul!$A$3:$Q$422,MATCH(ROW(A96),BDDregul!$Q$3:$Q$422,0),15)),"")</f>
        <v>0</v>
      </c>
      <c r="H116" s="479">
        <f t="shared" si="1"/>
        <v>0</v>
      </c>
    </row>
  </sheetData>
  <sheetProtection algorithmName="SHA-512" hashValue="BB/FKCI/ZyXui1RjLLKOIFRlWao6cWmqDoby955ljaPRtA9x6HKJcW6hnA0MRAZaQon0Z0uvMCsVwXRs+Kzs4A==" saltValue="MlwTA01hUyiugxX32TYI3A==" spinCount="100000" sheet="1" objects="1" scenarios="1" formatCells="0" formatColumns="0" formatRows="0" insertColumns="0" insertRows="0" insertHyperlink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J126"/>
  <sheetViews>
    <sheetView showGridLines="0" zoomScale="90" zoomScaleNormal="90" workbookViewId="0">
      <selection activeCell="B6" sqref="B6"/>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62" width="11.42578125" style="16" hidden="1" customWidth="1"/>
    <col min="63" max="70" width="11.42578125" style="16" customWidth="1"/>
    <col min="71"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669</v>
      </c>
      <c r="S1" s="24" t="str">
        <f>+IF(I6&lt;I4,"ROUGE","NON")</f>
        <v>NON</v>
      </c>
      <c r="BD1" s="29"/>
    </row>
    <row r="2" spans="1:60" x14ac:dyDescent="0.2">
      <c r="C2" s="2333" t="s">
        <v>1457</v>
      </c>
      <c r="D2" s="2333"/>
      <c r="E2" s="2333"/>
      <c r="F2" s="2333"/>
      <c r="G2" s="2333"/>
      <c r="H2" s="2333"/>
      <c r="I2" s="2333"/>
      <c r="K2" s="25" t="s">
        <v>1401</v>
      </c>
      <c r="L2" s="25"/>
      <c r="M2" s="25"/>
      <c r="S2" s="24">
        <v>1</v>
      </c>
      <c r="T2" s="24" t="str">
        <f t="shared" ref="T2:T13" si="0">+IF(AND(A50&lt;&gt;"Hors période",B50=0),"JAUNE","NON")</f>
        <v>NON</v>
      </c>
      <c r="BA2" s="29" t="s">
        <v>1337</v>
      </c>
      <c r="BB2" s="30">
        <f>+DATE(YEAR(Identification!B61)-1,4,30)</f>
        <v>45412</v>
      </c>
      <c r="BC2" s="16">
        <f>+DATEDIF(Identification!B49,BB2,"Y")</f>
        <v>124</v>
      </c>
    </row>
    <row r="3" spans="1:60" x14ac:dyDescent="0.2">
      <c r="C3" s="26"/>
      <c r="D3" s="27"/>
      <c r="E3" s="27"/>
      <c r="F3" s="27"/>
      <c r="G3" s="27"/>
      <c r="H3" s="27"/>
      <c r="S3" s="24">
        <v>2</v>
      </c>
      <c r="T3" s="24" t="str">
        <f t="shared" si="0"/>
        <v>NON</v>
      </c>
      <c r="BA3" s="29" t="s">
        <v>1338</v>
      </c>
      <c r="BB3" s="16" t="str">
        <f>+IF(BC2&lt;21,"OUI","NON")</f>
        <v>NON</v>
      </c>
      <c r="BH3" s="30">
        <f>+DATE(YEAR(BH5),6,1)</f>
        <v>153</v>
      </c>
    </row>
    <row r="4" spans="1:60" x14ac:dyDescent="0.2">
      <c r="A4" s="16" t="s">
        <v>605</v>
      </c>
      <c r="B4" s="2334" t="str">
        <f>"Du "&amp;TEXT(BG5,"jj/mm/aaaa")&amp;" au "&amp;TEXT(BH5,"jj/mm/aaaa")</f>
        <v>Du 01/06/3799 au 00/01/1900</v>
      </c>
      <c r="C4" s="2334"/>
      <c r="D4" s="2334"/>
      <c r="H4" s="29" t="s">
        <v>8</v>
      </c>
      <c r="I4" s="30">
        <f>+Identification!B28</f>
        <v>0</v>
      </c>
      <c r="S4" s="24">
        <v>3</v>
      </c>
      <c r="T4" s="24" t="str">
        <f t="shared" si="0"/>
        <v>NON</v>
      </c>
      <c r="BF4" s="29" t="s">
        <v>606</v>
      </c>
      <c r="BG4" s="27" t="s">
        <v>608</v>
      </c>
      <c r="BH4" s="27" t="s">
        <v>607</v>
      </c>
    </row>
    <row r="5" spans="1:60" x14ac:dyDescent="0.2">
      <c r="A5" s="16" t="s">
        <v>29</v>
      </c>
      <c r="B5" s="2321">
        <f>+Identification!B25</f>
        <v>0</v>
      </c>
      <c r="C5" s="2321"/>
      <c r="D5" s="2321"/>
      <c r="S5" s="24">
        <v>4</v>
      </c>
      <c r="T5" s="24" t="str">
        <f t="shared" si="0"/>
        <v>NON</v>
      </c>
      <c r="BF5" s="16">
        <v>1</v>
      </c>
      <c r="BG5" s="30">
        <f>+IF(AND(BH5&lt;BH3,I4&lt;=DATE(YEAR(BH3)-1,6,1)),DATE(YEAR(BH3)-1,6,1),IF(AND(BH5&lt;BH3,I4&gt;=DATE(YEAR(BH3)-1,6,1)),I4,IF(I4&gt;BH3,I4,BH3)))</f>
        <v>693749</v>
      </c>
      <c r="BH5" s="30">
        <f>+I6</f>
        <v>0</v>
      </c>
    </row>
    <row r="6" spans="1:60" x14ac:dyDescent="0.2">
      <c r="E6" s="27" t="s">
        <v>613</v>
      </c>
      <c r="H6" s="29" t="s">
        <v>603</v>
      </c>
      <c r="I6" s="30">
        <f>+Identification!B95</f>
        <v>0</v>
      </c>
      <c r="S6" s="24">
        <v>5</v>
      </c>
      <c r="T6" s="24" t="str">
        <f t="shared" si="0"/>
        <v>NON</v>
      </c>
      <c r="BB6" s="29" t="s">
        <v>1652</v>
      </c>
      <c r="BC6" s="16" t="e">
        <f>+IF(OR(BC14="OUI",BC10=52),"OUI","NON")</f>
        <v>#N/A</v>
      </c>
      <c r="BG6" s="30">
        <f>+IF(AND(I4&gt;=DATE(YEAR(BG5)-1,6,1),BH6&lt;&gt;""),I4,IF(BH6="","",DATE(YEAR(BG5)-1,6,1)))</f>
        <v>693384</v>
      </c>
      <c r="BH6" s="30">
        <f>+IF(AND(I4&lt;DATE(YEAR(BG5),5,31),BG5&lt;&gt;I4),DATE(YEAR(BG5),5,31),"")</f>
        <v>693748</v>
      </c>
    </row>
    <row r="7" spans="1:60" x14ac:dyDescent="0.2">
      <c r="C7" s="29" t="s">
        <v>579</v>
      </c>
      <c r="D7" s="31">
        <f>IFERROR(IF(E7="",+VLOOKUP(BB19,BDD,21,FALSE),E7),0)</f>
        <v>0</v>
      </c>
      <c r="E7" s="1130"/>
      <c r="S7" s="24">
        <v>6</v>
      </c>
      <c r="T7" s="24" t="str">
        <f t="shared" si="0"/>
        <v>NON</v>
      </c>
      <c r="BB7" s="29" t="s">
        <v>1412</v>
      </c>
      <c r="BC7" s="16">
        <f>+IF(AND(BG6="",BH6=""),1,0)</f>
        <v>0</v>
      </c>
    </row>
    <row r="8" spans="1:60" x14ac:dyDescent="0.2">
      <c r="C8" s="29"/>
      <c r="H8" s="29"/>
      <c r="I8" s="30"/>
      <c r="S8" s="24">
        <v>7</v>
      </c>
      <c r="T8" s="24" t="str">
        <f t="shared" si="0"/>
        <v>NON</v>
      </c>
      <c r="BG8" s="29" t="s">
        <v>612</v>
      </c>
    </row>
    <row r="9" spans="1:60" ht="13.5" thickBot="1" x14ac:dyDescent="0.25">
      <c r="C9" s="29" t="s">
        <v>580</v>
      </c>
      <c r="D9" s="31">
        <f>IFERROR(IF(E9="",+VLOOKUP(BB19,BDD,22,FALSE),E9),0)</f>
        <v>0</v>
      </c>
      <c r="E9" s="988"/>
      <c r="S9" s="24">
        <v>8</v>
      </c>
      <c r="T9" s="24" t="str">
        <f t="shared" si="0"/>
        <v>NON</v>
      </c>
      <c r="BB9" s="16" t="s">
        <v>1645</v>
      </c>
      <c r="BC9" s="16" t="e">
        <f>+VLOOKUP(DATE(YEAR(I6),MONTH(I6),1),BDD,87,FALSE)</f>
        <v>#N/A</v>
      </c>
    </row>
    <row r="10" spans="1:60" ht="13.5" thickTop="1" x14ac:dyDescent="0.2">
      <c r="C10" s="29"/>
      <c r="H10" s="1240" t="s">
        <v>631</v>
      </c>
      <c r="I10" s="1241"/>
      <c r="J10" s="1241"/>
      <c r="K10" s="1241"/>
      <c r="L10" s="1241"/>
      <c r="M10" s="1242"/>
      <c r="S10" s="24">
        <v>9</v>
      </c>
      <c r="T10" s="24" t="str">
        <f t="shared" si="0"/>
        <v>NON</v>
      </c>
      <c r="BB10" s="29" t="s">
        <v>1646</v>
      </c>
      <c r="BC10" s="16" t="e">
        <f>+VLOOKUP(DATE(YEAR(I6),MONTH(I6),1),BDD,26,FALSE)</f>
        <v>#N/A</v>
      </c>
    </row>
    <row r="11" spans="1:60" x14ac:dyDescent="0.2">
      <c r="C11" s="29" t="s">
        <v>581</v>
      </c>
      <c r="D11" s="1587">
        <f>IFERROR(IF(E11="",+VLOOKUP(BB19,BDD,26,FALSE),E11),0)</f>
        <v>0</v>
      </c>
      <c r="E11" s="1131"/>
      <c r="H11" s="1243"/>
      <c r="M11" s="1244"/>
      <c r="S11" s="24">
        <v>10</v>
      </c>
      <c r="T11" s="24" t="str">
        <f t="shared" si="0"/>
        <v>NON</v>
      </c>
      <c r="BB11" s="29" t="s">
        <v>1647</v>
      </c>
      <c r="BC11" s="16" t="e">
        <f>+IF(AND(BC9="OUI",BC10=52),"OUI","NON")</f>
        <v>#N/A</v>
      </c>
    </row>
    <row r="12" spans="1:60" x14ac:dyDescent="0.2">
      <c r="H12" s="2322" t="str">
        <f>+B4</f>
        <v>Du 01/06/3799 au 00/01/1900</v>
      </c>
      <c r="I12" s="2321"/>
      <c r="K12" s="355" t="e">
        <f>+G72</f>
        <v>#N/A</v>
      </c>
      <c r="M12" s="1244"/>
      <c r="S12" s="24">
        <v>11</v>
      </c>
      <c r="T12" s="24" t="str">
        <f t="shared" si="0"/>
        <v>NON</v>
      </c>
      <c r="BB12" s="29" t="s">
        <v>1653</v>
      </c>
      <c r="BC12" s="16" t="e">
        <f>+VLOOKUP(DATE(YEAR(I6),MONTH(I6),1),BDD,95,FALSE)</f>
        <v>#N/A</v>
      </c>
    </row>
    <row r="13" spans="1:60" ht="13.5" thickBot="1" x14ac:dyDescent="0.25">
      <c r="C13" s="29" t="s">
        <v>670</v>
      </c>
      <c r="D13" s="31" t="e">
        <f>+IF(BC13="OUI",ROUND(+D7*12/52*BC12/D11,2),IF(BC14="OUI",0,IF(D11,ROUND(+D7*12/D11,2),0)))</f>
        <v>#N/A</v>
      </c>
      <c r="H13" s="2322" t="s">
        <v>982</v>
      </c>
      <c r="I13" s="2321"/>
      <c r="K13" s="430">
        <f>+D92</f>
        <v>0</v>
      </c>
      <c r="M13" s="1244"/>
      <c r="S13" s="24">
        <v>12</v>
      </c>
      <c r="T13" s="24" t="str">
        <f t="shared" si="0"/>
        <v>NON</v>
      </c>
      <c r="BB13" s="16" t="s">
        <v>1649</v>
      </c>
      <c r="BC13" s="16" t="e">
        <f>+VLOOKUP(DATE(YEAR(I6),MONTH(I6),1),BDD,96,FALSE)</f>
        <v>#N/A</v>
      </c>
    </row>
    <row r="14" spans="1:60" x14ac:dyDescent="0.2">
      <c r="H14" s="1278"/>
      <c r="I14" s="63"/>
      <c r="J14" s="39" t="s">
        <v>685</v>
      </c>
      <c r="K14" s="431" t="e">
        <f>+K12-K13</f>
        <v>#N/A</v>
      </c>
      <c r="M14" s="1244"/>
      <c r="BB14" s="29" t="s">
        <v>1650</v>
      </c>
      <c r="BC14" s="16" t="e">
        <f>+VLOOKUP(DATE(YEAR(I6),MONTH(I6),1),BDD,97,FALSE)</f>
        <v>#N/A</v>
      </c>
    </row>
    <row r="15" spans="1:60" x14ac:dyDescent="0.2">
      <c r="A15" s="2323" t="s">
        <v>1515</v>
      </c>
      <c r="B15" s="2323"/>
      <c r="C15" s="2323"/>
      <c r="D15" s="31">
        <f>IF(E15="",IF(I6&lt;=DATE(YEAR(I6),5,31),+'CP Année Incomplète au 31-05'!D15,'CP Année Incomplète au 31-05'!G70),E15)</f>
        <v>0</v>
      </c>
      <c r="E15" s="1130"/>
      <c r="H15" s="1278"/>
      <c r="I15" s="63"/>
      <c r="J15" s="39"/>
      <c r="K15" s="64"/>
      <c r="M15" s="1244"/>
      <c r="BB15" s="16" t="s">
        <v>1722</v>
      </c>
      <c r="BC15" s="16" t="e">
        <f>+VLOOKUP(DATE(YEAR(I6),MONTH(I6),1),BDD,102,FALSE)</f>
        <v>#N/A</v>
      </c>
    </row>
    <row r="16" spans="1:60" x14ac:dyDescent="0.2">
      <c r="A16" s="2323"/>
      <c r="B16" s="2323"/>
      <c r="C16" s="2323"/>
      <c r="D16" s="34"/>
      <c r="H16" s="2322" t="str">
        <f>+B100</f>
        <v>Du 01/06/3798 au 31/05/3799</v>
      </c>
      <c r="I16" s="2321"/>
      <c r="J16" s="29"/>
      <c r="K16" s="355">
        <f ca="1">+F103</f>
        <v>0</v>
      </c>
      <c r="M16" s="1244"/>
    </row>
    <row r="17" spans="1:55" ht="13.5" thickBot="1" x14ac:dyDescent="0.25">
      <c r="H17" s="2322" t="s">
        <v>686</v>
      </c>
      <c r="I17" s="2321"/>
      <c r="J17" s="29"/>
      <c r="K17" s="430">
        <f>+B123</f>
        <v>0</v>
      </c>
      <c r="M17" s="1244"/>
    </row>
    <row r="18" spans="1:55" x14ac:dyDescent="0.2">
      <c r="A18" s="2323" t="s">
        <v>1516</v>
      </c>
      <c r="B18" s="2323"/>
      <c r="C18" s="2323"/>
      <c r="D18" s="1588">
        <f>IF(E18="",IF(I6&lt;=DATE(YEAR(I6),5,31),'CP Année Incomplète au 31-05'!D18,'CP Année Incomplète au 31-05'!M12),E18)</f>
        <v>0</v>
      </c>
      <c r="E18" s="1131"/>
      <c r="H18" s="1278"/>
      <c r="I18" s="27"/>
      <c r="J18" s="39" t="s">
        <v>687</v>
      </c>
      <c r="K18" s="431">
        <f ca="1">+K16-K17</f>
        <v>0</v>
      </c>
      <c r="M18" s="1244"/>
    </row>
    <row r="19" spans="1:55" x14ac:dyDescent="0.2">
      <c r="A19" s="2323"/>
      <c r="B19" s="2323"/>
      <c r="C19" s="2323"/>
      <c r="H19" s="1278"/>
      <c r="I19" s="27"/>
      <c r="J19" s="39"/>
      <c r="K19" s="40"/>
      <c r="M19" s="1244"/>
      <c r="BB19" s="30">
        <f>DATE(YEAR(I6),MONTH(I6),1)</f>
        <v>1</v>
      </c>
      <c r="BC19" s="16" t="e">
        <f>+VLOOKUP(BB19,BDD,87,FALSE)</f>
        <v>#N/A</v>
      </c>
    </row>
    <row r="20" spans="1:55" x14ac:dyDescent="0.2">
      <c r="H20" s="1278"/>
      <c r="I20" s="27"/>
      <c r="J20" s="39" t="s">
        <v>688</v>
      </c>
      <c r="K20" s="431" t="e">
        <f ca="1">+K18+K14</f>
        <v>#N/A</v>
      </c>
      <c r="M20" s="1244"/>
    </row>
    <row r="21" spans="1:55" ht="13.5" thickBot="1" x14ac:dyDescent="0.25">
      <c r="H21" s="1275"/>
      <c r="I21" s="1259"/>
      <c r="J21" s="1276"/>
      <c r="K21" s="1277"/>
      <c r="L21" s="1259"/>
      <c r="M21" s="1269"/>
    </row>
    <row r="22" spans="1:55" ht="13.5" thickTop="1" x14ac:dyDescent="0.2">
      <c r="A22" s="645" t="s">
        <v>582</v>
      </c>
      <c r="B22" s="18"/>
    </row>
    <row r="24" spans="1:55" x14ac:dyDescent="0.2">
      <c r="E24" s="29" t="s">
        <v>1518</v>
      </c>
      <c r="F24" s="1587">
        <f>IFERROR(IF(F25="",+VLOOKUP(BB19,BDD,10,FALSE)+VLOOKUP(BB19,BDD,12,FALSE)+D18/6,F25),0)</f>
        <v>0</v>
      </c>
    </row>
    <row r="25" spans="1:55" x14ac:dyDescent="0.2">
      <c r="E25" s="29" t="s">
        <v>503</v>
      </c>
      <c r="F25" s="1133"/>
    </row>
    <row r="26" spans="1:55" x14ac:dyDescent="0.2">
      <c r="E26" s="29"/>
      <c r="H26" s="46" t="s">
        <v>583</v>
      </c>
      <c r="I26" s="682"/>
    </row>
    <row r="27" spans="1:55" x14ac:dyDescent="0.2">
      <c r="E27" s="29" t="s">
        <v>1667</v>
      </c>
      <c r="F27" s="1588">
        <f>IFERROR(IF(F28="",+VLOOKUP(BB19,BDD,99,FALSE),F28),0)</f>
        <v>0</v>
      </c>
      <c r="H27" s="24">
        <f>ROUND((F24-(D18/6))/4,4)</f>
        <v>0</v>
      </c>
      <c r="I27" s="682"/>
    </row>
    <row r="28" spans="1:55" x14ac:dyDescent="0.2">
      <c r="E28" s="29" t="s">
        <v>503</v>
      </c>
      <c r="F28" s="1133"/>
      <c r="H28" s="682" t="str">
        <f>+"L'AM a travaillé "&amp;F24-(D18/6)&amp;" semaines sur la période de référence (1er juin au 31 mai)"</f>
        <v>L'AM a travaillé 0 semaines sur la période de référence (1er juin au 31 mai)</v>
      </c>
      <c r="I28" s="682"/>
    </row>
    <row r="29" spans="1:55" x14ac:dyDescent="0.2">
      <c r="E29" s="1211"/>
      <c r="F29" s="1317"/>
      <c r="H29" s="682" t="s">
        <v>1527</v>
      </c>
      <c r="I29" s="682"/>
    </row>
    <row r="30" spans="1:55" x14ac:dyDescent="0.2">
      <c r="E30" s="1211" t="s">
        <v>503</v>
      </c>
      <c r="F30" s="1318"/>
      <c r="H30" s="682" t="s">
        <v>1528</v>
      </c>
      <c r="I30" s="682"/>
    </row>
    <row r="31" spans="1:55" x14ac:dyDescent="0.2">
      <c r="C31" s="29" t="s">
        <v>503</v>
      </c>
      <c r="D31" s="1168"/>
      <c r="I31" s="682"/>
    </row>
    <row r="32" spans="1:55" x14ac:dyDescent="0.2">
      <c r="C32" s="29" t="s">
        <v>679</v>
      </c>
      <c r="D32" s="1592">
        <f>+IF(D31="",IF(AND(I6&gt;=DATE(YEAR(Identification!B61),5,31),BG5&lt;DATE(YEAR(Identification!B61),5,31)),Identification!B55*2,0),D31)</f>
        <v>0</v>
      </c>
      <c r="E32" s="16" t="s">
        <v>674</v>
      </c>
      <c r="F32" s="1589">
        <f>+IF(IF(BB3="NON",ROUND(+(MIN(F41,30)-D39),0),F41-D39)&lt;0,0,IF(BB3="NON",ROUND(+(MIN(F41,30)-D39),0),F41-D39))</f>
        <v>0</v>
      </c>
      <c r="H32" s="682" t="str">
        <f>+"On calcule donc un nombre de période avant la prise en compte des cp acquis soit "&amp;(F24-D18/6)&amp;" / 4 = "&amp;ROUND((F24-(D18/6))/4,4)&amp;" période(s)"</f>
        <v>On calcule donc un nombre de période avant la prise en compte des cp acquis soit 0 / 4 = 0 période(s)</v>
      </c>
      <c r="I32" s="682"/>
    </row>
    <row r="33" spans="1:9" x14ac:dyDescent="0.2">
      <c r="C33" s="29" t="s">
        <v>678</v>
      </c>
      <c r="D33" s="1589">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82" t="str">
        <f>+"Les semaines de cp acquis l'année précédente sont "&amp;D18&amp;" jrs ouvrables / 6 jours par semaine = "&amp;ROUND(D18/6,2)&amp;" semaine(s)"</f>
        <v>Les semaines de cp acquis l'année précédente sont 0 jrs ouvrables / 6 jours par semaine = 0 semaine(s)</v>
      </c>
      <c r="I33" s="682"/>
    </row>
    <row r="34" spans="1:9" x14ac:dyDescent="0.2">
      <c r="C34" s="29"/>
      <c r="I34" s="682"/>
    </row>
    <row r="35" spans="1:9" x14ac:dyDescent="0.2">
      <c r="C35" s="29" t="s">
        <v>1397</v>
      </c>
      <c r="D35" s="66">
        <f>ROUND(F24/4,4)</f>
        <v>0</v>
      </c>
      <c r="E35" s="51" t="s">
        <v>588</v>
      </c>
      <c r="F35" s="67">
        <f>+ROUND(D35,2)</f>
        <v>0</v>
      </c>
      <c r="H35"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82"/>
    </row>
    <row r="36" spans="1:9" x14ac:dyDescent="0.2">
      <c r="C36" s="29"/>
      <c r="D36" s="52"/>
      <c r="E36" s="27"/>
      <c r="F36" s="81"/>
      <c r="H36" s="682" t="str">
        <f>+H27&amp;" période(s) + "&amp;ROUND(D18/6/4,4)&amp;" période(s) = "&amp;D35&amp;" arrondi à "&amp;F35&amp;" période(s)"</f>
        <v>0 période(s) + 0 période(s) = 0 arrondi à 0 période(s)</v>
      </c>
      <c r="I36" s="682"/>
    </row>
    <row r="37" spans="1:9" x14ac:dyDescent="0.2">
      <c r="A37" s="24"/>
      <c r="B37" s="24"/>
      <c r="C37" s="183" t="s">
        <v>1398</v>
      </c>
      <c r="D37" s="1010">
        <f>+F35</f>
        <v>0</v>
      </c>
      <c r="E37" s="27"/>
      <c r="F37" s="81"/>
      <c r="H37" s="682" t="s">
        <v>617</v>
      </c>
      <c r="I37" s="682"/>
    </row>
    <row r="38" spans="1:9" x14ac:dyDescent="0.2">
      <c r="H38" s="16" t="s">
        <v>1669</v>
      </c>
      <c r="I38" s="682"/>
    </row>
    <row r="39" spans="1:9" x14ac:dyDescent="0.2">
      <c r="C39" s="29" t="s">
        <v>618</v>
      </c>
      <c r="D39" s="1589">
        <f>ROUNDUP(F35*2.5+F27,0)</f>
        <v>0</v>
      </c>
      <c r="I39" s="682"/>
    </row>
    <row r="40" spans="1:9" x14ac:dyDescent="0.2">
      <c r="H40" s="682"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82"/>
    </row>
    <row r="41" spans="1:9" x14ac:dyDescent="0.2">
      <c r="C41" s="29" t="s">
        <v>587</v>
      </c>
      <c r="D41" s="1589">
        <f>F35*2.5+D32+F27</f>
        <v>0</v>
      </c>
      <c r="E41" s="51" t="s">
        <v>1339</v>
      </c>
      <c r="F41" s="1591">
        <f>IF(BB3="NON",IF(D41&lt;30,ROUNDUP(D41,0),30),IF(AND(BB3="OUI",D39&lt;=5),ROUNDUP(D39+(D32/2),0),ROUNDUP(D41,0)))</f>
        <v>0</v>
      </c>
      <c r="H41" s="682"/>
      <c r="I41" s="682"/>
    </row>
    <row r="42" spans="1:9" x14ac:dyDescent="0.2">
      <c r="H42" s="682" t="s">
        <v>589</v>
      </c>
      <c r="I42" s="682"/>
    </row>
    <row r="43" spans="1:9" x14ac:dyDescent="0.2">
      <c r="A43" s="678" t="s">
        <v>593</v>
      </c>
      <c r="B43" s="679"/>
      <c r="C43" s="680"/>
      <c r="D43" s="432" t="e">
        <f>IF(OR(BC15="OUI",AND(BC9="OUI",BC10=52)),0,ROUND((D13/6)*(F41+D33),2))</f>
        <v>#N/A</v>
      </c>
      <c r="H43" s="682" t="e">
        <f>+"[Salaire hebdomadaire moyen ("&amp;ROUND(D13,2)&amp;" €) / 6 jours] x [ nombre de jours ouvrables de CP ("&amp;F41&amp;" jour(s)) + nombre de jours de fractionnement ("&amp;D33&amp;"  jour(s))]"</f>
        <v>#N/A</v>
      </c>
      <c r="I43" s="682"/>
    </row>
    <row r="44" spans="1:9" x14ac:dyDescent="0.2">
      <c r="A44" s="29"/>
      <c r="B44" s="29"/>
      <c r="C44" s="29"/>
      <c r="D44" s="68"/>
      <c r="H44" s="682" t="e">
        <f>+"soit un maintien de salaire de "&amp;D43&amp;" euros"</f>
        <v>#N/A</v>
      </c>
      <c r="I44" s="682"/>
    </row>
    <row r="45" spans="1:9" x14ac:dyDescent="0.2">
      <c r="H45" s="47"/>
    </row>
    <row r="46" spans="1:9" x14ac:dyDescent="0.2">
      <c r="A46" s="645" t="s">
        <v>594</v>
      </c>
    </row>
    <row r="48" spans="1:9" x14ac:dyDescent="0.2">
      <c r="A48" s="16" t="s">
        <v>595</v>
      </c>
    </row>
    <row r="49" spans="1:13" ht="38.25" x14ac:dyDescent="0.2">
      <c r="B49" s="646" t="s">
        <v>1690</v>
      </c>
      <c r="C49" s="54" t="s">
        <v>614</v>
      </c>
      <c r="D49" s="1301" t="s">
        <v>621</v>
      </c>
      <c r="E49" s="1297" t="s">
        <v>620</v>
      </c>
      <c r="F49" s="1298" t="s">
        <v>630</v>
      </c>
      <c r="G49" s="47"/>
      <c r="H49" s="46" t="s">
        <v>583</v>
      </c>
    </row>
    <row r="50" spans="1:13" x14ac:dyDescent="0.2">
      <c r="A50" s="647" t="str">
        <f>+IF(AND(DATE(YEAR($BG$5),6,30)&gt;=$BG$5,DATE(YEAR($BG$5),6,1)&lt;=$BH$5),DATE(YEAR($BG$5),6,1),"Hors période")</f>
        <v>Hors période</v>
      </c>
      <c r="B50" s="31">
        <f t="shared" ref="B50:B61" si="1">IF(C50="",IFERROR(+VLOOKUP(A50,BDD,2,FALSE)+VLOOKUP(A50,BDD,100,FALSE),0),C50)</f>
        <v>0</v>
      </c>
      <c r="C50" s="1130"/>
      <c r="D50" s="1302">
        <f>ROUND(+(+B50*10%),2)</f>
        <v>0</v>
      </c>
      <c r="E50" s="1306">
        <f t="shared" ref="E50:E61" si="2">IF(F50="",IFERROR(+VLOOKUP(A50,BDD,14,FALSE),0),F50)</f>
        <v>0</v>
      </c>
      <c r="F50" s="1307"/>
      <c r="G50" s="47"/>
      <c r="H50" s="47" t="s">
        <v>619</v>
      </c>
    </row>
    <row r="51" spans="1:13" x14ac:dyDescent="0.2">
      <c r="A51" s="647" t="str">
        <f>+IF(AND(DATE(YEAR($BG$5),7,31)&gt;=$BG$5,DATE(YEAR($BG$5),7,1)&lt;=$BH$5),DATE(YEAR($BG$5),7,1),"Hors période")</f>
        <v>Hors période</v>
      </c>
      <c r="B51" s="31">
        <f t="shared" si="1"/>
        <v>0</v>
      </c>
      <c r="C51" s="1130"/>
      <c r="D51" s="1302">
        <f t="shared" ref="D51:D61" si="3">ROUND(+(+B51*10%),2)</f>
        <v>0</v>
      </c>
      <c r="E51" s="1306">
        <f t="shared" si="2"/>
        <v>0</v>
      </c>
      <c r="F51" s="1307"/>
      <c r="G51" s="47"/>
    </row>
    <row r="52" spans="1:13" x14ac:dyDescent="0.2">
      <c r="A52" s="647" t="str">
        <f>+IF(AND(DATE(YEAR($BG$5),8,31)&gt;=$BG$5,DATE(YEAR($BG$5),8,1)&lt;=$BH$5),DATE(YEAR($BG$5),8,1),"Hors période")</f>
        <v>Hors période</v>
      </c>
      <c r="B52" s="31">
        <f t="shared" si="1"/>
        <v>0</v>
      </c>
      <c r="C52" s="1130"/>
      <c r="D52" s="1302">
        <f t="shared" si="3"/>
        <v>0</v>
      </c>
      <c r="E52" s="1306">
        <f t="shared" si="2"/>
        <v>0</v>
      </c>
      <c r="F52" s="1307"/>
      <c r="G52" s="47"/>
      <c r="H52" s="682" t="s">
        <v>1519</v>
      </c>
    </row>
    <row r="53" spans="1:13" x14ac:dyDescent="0.2">
      <c r="A53" s="647" t="str">
        <f>+IF(AND(DATE(YEAR($BG$5),9,30)&gt;=$BG$5,DATE(YEAR($BG$5),9,1)&lt;=$BH$5),DATE(YEAR($BG$5),9,1),"Hors période")</f>
        <v>Hors période</v>
      </c>
      <c r="B53" s="31">
        <f t="shared" si="1"/>
        <v>0</v>
      </c>
      <c r="C53" s="1130"/>
      <c r="D53" s="1302">
        <f t="shared" si="3"/>
        <v>0</v>
      </c>
      <c r="E53" s="1306">
        <f t="shared" si="2"/>
        <v>0</v>
      </c>
      <c r="F53" s="1307"/>
      <c r="G53" s="47"/>
      <c r="H53" s="47" t="str">
        <f>+"[Salaire du mois ("&amp;B58&amp;" euros) x 10%]"</f>
        <v>[Salaire du mois (0 euros) x 10%]</v>
      </c>
      <c r="I53" s="47"/>
      <c r="J53" s="47"/>
      <c r="K53" s="47"/>
      <c r="L53" s="47"/>
    </row>
    <row r="54" spans="1:13" x14ac:dyDescent="0.2">
      <c r="A54" s="647" t="str">
        <f>+IF(AND(DATE(YEAR($BG$5),10,31)&gt;=$BG$5,DATE(YEAR($BG$5),10,1)&lt;=$BH$5),DATE(YEAR($BG$5),10,1),"Hors période")</f>
        <v>Hors période</v>
      </c>
      <c r="B54" s="31">
        <f t="shared" si="1"/>
        <v>0</v>
      </c>
      <c r="C54" s="1130"/>
      <c r="D54" s="1302">
        <f t="shared" si="3"/>
        <v>0</v>
      </c>
      <c r="E54" s="1306">
        <f t="shared" si="2"/>
        <v>0</v>
      </c>
      <c r="F54" s="1307"/>
      <c r="H54" s="47" t="str">
        <f>+"Soit pour la ligne du mois de Février "&amp;D58&amp;" euros"</f>
        <v>Soit pour la ligne du mois de Février 0 euros</v>
      </c>
      <c r="I54" s="47"/>
      <c r="J54" s="47"/>
      <c r="K54" s="47"/>
      <c r="L54" s="47"/>
    </row>
    <row r="55" spans="1:13" x14ac:dyDescent="0.2">
      <c r="A55" s="647" t="str">
        <f>+IF(AND(DATE(YEAR($BG$5),11,30)&gt;=$BG$5,DATE(YEAR($BG$5),11,1)&lt;=$BH$5),DATE(YEAR($BG$5),11,1),"Hors période")</f>
        <v>Hors période</v>
      </c>
      <c r="B55" s="31">
        <f t="shared" si="1"/>
        <v>0</v>
      </c>
      <c r="C55" s="1130"/>
      <c r="D55" s="1302">
        <f t="shared" si="3"/>
        <v>0</v>
      </c>
      <c r="E55" s="1306">
        <f t="shared" si="2"/>
        <v>0</v>
      </c>
      <c r="F55" s="1307"/>
      <c r="I55" s="47"/>
      <c r="J55" s="47"/>
      <c r="K55" s="47"/>
      <c r="L55" s="47"/>
    </row>
    <row r="56" spans="1:13" x14ac:dyDescent="0.2">
      <c r="A56" s="647" t="str">
        <f>+IF(AND(DATE(YEAR($BG$5),12,31)&gt;=$BG$5,DATE(YEAR($BG$5),12,1)&lt;=$BH$5),DATE(YEAR($BG$5),12,1),"Hors période")</f>
        <v>Hors période</v>
      </c>
      <c r="B56" s="31">
        <f t="shared" si="1"/>
        <v>0</v>
      </c>
      <c r="C56" s="1130"/>
      <c r="D56" s="1302">
        <f t="shared" si="3"/>
        <v>0</v>
      </c>
      <c r="E56" s="1306">
        <f t="shared" si="2"/>
        <v>0</v>
      </c>
      <c r="F56" s="1307"/>
      <c r="H56" s="682"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47" t="str">
        <f>+IF(AND(DATE(YEAR($BG$5)+1,1,31)&gt;=$BG$5,DATE(YEAR($BG$5)+1,1,1)&lt;=$BH$5),DATE(YEAR($BG$5)+1,1,1),+IF(AND(DATE(YEAR($BG$5),1,31)&gt;=$BG$5,DATE(YEAR($BG$5),1,1)&lt;=$BH$5),DATE(YEAR($BG$5),1,1),"Hors période"))</f>
        <v>Hors période</v>
      </c>
      <c r="B57" s="31">
        <f t="shared" si="1"/>
        <v>0</v>
      </c>
      <c r="C57" s="1130"/>
      <c r="D57" s="1302">
        <f t="shared" si="3"/>
        <v>0</v>
      </c>
      <c r="E57" s="1306">
        <f t="shared" si="2"/>
        <v>0</v>
      </c>
      <c r="F57" s="1307"/>
      <c r="I57" s="47"/>
      <c r="J57" s="47"/>
      <c r="K57" s="47"/>
      <c r="L57" s="47"/>
      <c r="M57" s="58"/>
    </row>
    <row r="58" spans="1:13" x14ac:dyDescent="0.2">
      <c r="A58" s="647" t="str">
        <f>+IF(AND(DATE(YEAR($BG$5)+1,2,29)&gt;=$BG$5,DATE(YEAR($BG$5)+1,2,1)&lt;=$BH$5),DATE(YEAR($BG$5)+1,2,1),IF(AND(DATE(YEAR($BG$5),2,29)&gt;=$BG$5,DATE(YEAR($BG$5),2,1)&lt;=$BH$5),DATE(YEAR($BG$5),2,1),"Hors période"))</f>
        <v>Hors période</v>
      </c>
      <c r="B58" s="31">
        <f t="shared" si="1"/>
        <v>0</v>
      </c>
      <c r="C58" s="1130"/>
      <c r="D58" s="1302">
        <f t="shared" si="3"/>
        <v>0</v>
      </c>
      <c r="E58" s="1306">
        <f t="shared" si="2"/>
        <v>0</v>
      </c>
      <c r="F58" s="1307"/>
      <c r="H58" s="682" t="s">
        <v>1540</v>
      </c>
    </row>
    <row r="59" spans="1:13" x14ac:dyDescent="0.2">
      <c r="A59" s="647" t="str">
        <f>+IF(AND(DATE(YEAR($BG$5)+1,3,31)&gt;=$BG$5,DATE(YEAR($BG$5)+1,3,1)&lt;=$BH$5),DATE(YEAR($BG$5)+1,3,1),IF(AND(DATE(YEAR($BG$5),3,31)&gt;=$BG$5,DATE(YEAR($BG$5),3,1)&lt;=$BH$5),DATE(YEAR($BG$5),3,1),"Hors période"))</f>
        <v>Hors période</v>
      </c>
      <c r="B59" s="31">
        <f t="shared" si="1"/>
        <v>0</v>
      </c>
      <c r="C59" s="1130"/>
      <c r="D59" s="1302">
        <f t="shared" si="3"/>
        <v>0</v>
      </c>
      <c r="E59" s="1306">
        <f t="shared" si="2"/>
        <v>0</v>
      </c>
      <c r="F59" s="1307"/>
      <c r="H59" s="47" t="s">
        <v>600</v>
      </c>
      <c r="I59" s="56" t="str">
        <f>+(D62+D64)&amp;" / "&amp;D39&amp;" X ("&amp;F32&amp;" + "&amp;D33&amp;" )"</f>
        <v>0 / 0 X (0 + 0 )</v>
      </c>
      <c r="J59" s="47" t="e">
        <f>"= "&amp;ROUND((D62+D64)/D39*(F32+D33),2)</f>
        <v>#DIV/0!</v>
      </c>
    </row>
    <row r="60" spans="1:13" x14ac:dyDescent="0.2">
      <c r="A60" s="647" t="str">
        <f>+IF(AND(DATE(YEAR($BG$5)+1,4,30)&gt;=$BG$5,DATE(YEAR($BG$5)+1,4,1)&lt;=$BH$5),DATE(YEAR($BG$5)+1,4,1),IF(AND(DATE(YEAR($BG$5),4,30)&gt;=$BG$5,DATE(YEAR($BG$5),4,1)&lt;=$BH$5),DATE(YEAR($BG$5),4,1),"Hors période"))</f>
        <v>Hors période</v>
      </c>
      <c r="B60" s="31">
        <f t="shared" si="1"/>
        <v>0</v>
      </c>
      <c r="C60" s="1130"/>
      <c r="D60" s="1302">
        <f t="shared" si="3"/>
        <v>0</v>
      </c>
      <c r="E60" s="1306">
        <f t="shared" si="2"/>
        <v>0</v>
      </c>
      <c r="F60" s="1307"/>
    </row>
    <row r="61" spans="1:13" x14ac:dyDescent="0.2">
      <c r="A61" s="647" t="str">
        <f>+IF(AND(DATE(YEAR($BG$5)+1,5,31)&gt;=$BG$5,DATE(YEAR($BG$5)+1,5,1)&lt;=$BH$5),DATE(YEAR($BG$5)+1,5,1),IF(AND(DATE(YEAR($BG$5),5,31)&gt;=$BG$5,DATE(YEAR($BG$5),5,1)&lt;=$BH$5),DATE(YEAR($BG$5),5,1),"Hors période"))</f>
        <v>Hors période</v>
      </c>
      <c r="B61" s="31">
        <f t="shared" si="1"/>
        <v>0</v>
      </c>
      <c r="C61" s="1130"/>
      <c r="D61" s="1302">
        <f t="shared" si="3"/>
        <v>0</v>
      </c>
      <c r="E61" s="1306">
        <f t="shared" si="2"/>
        <v>0</v>
      </c>
      <c r="F61" s="1307"/>
    </row>
    <row r="62" spans="1:13" x14ac:dyDescent="0.2">
      <c r="C62" s="38" t="s">
        <v>450</v>
      </c>
      <c r="D62" s="1303">
        <f>ROUND(SUM(D50:D61),2)</f>
        <v>0</v>
      </c>
      <c r="H62" s="47" t="str">
        <f>"Soit  un montant total de "&amp;(D65+D67)&amp;" euros"&amp;" + "&amp;ROUND(D71,2)&amp;" euros = "&amp;ROUND(D73,2)&amp;" euros"</f>
        <v>Soit  un montant total de 0 euros + 0 euros = 0 euros</v>
      </c>
    </row>
    <row r="64" spans="1:13" x14ac:dyDescent="0.2">
      <c r="A64" s="2321" t="s">
        <v>1517</v>
      </c>
      <c r="B64" s="2321"/>
      <c r="C64" s="2321"/>
      <c r="D64" s="1303">
        <f>+D15*0.1</f>
        <v>0</v>
      </c>
    </row>
    <row r="66" spans="1:9" hidden="1" x14ac:dyDescent="0.2">
      <c r="A66" s="2341" t="s">
        <v>623</v>
      </c>
      <c r="B66" s="2341"/>
      <c r="C66" s="2341"/>
      <c r="D66" s="2341"/>
      <c r="E66" s="2399"/>
      <c r="F66" s="436">
        <f>IF(F67="",+IFERROR(VLOOKUP(DATE(YEAR(BB19),6,1),BDD,23,FALSE),0),F67)</f>
        <v>0</v>
      </c>
    </row>
    <row r="67" spans="1:9" hidden="1" x14ac:dyDescent="0.2">
      <c r="E67" s="29" t="s">
        <v>503</v>
      </c>
      <c r="F67" s="1130"/>
    </row>
    <row r="68" spans="1:9" x14ac:dyDescent="0.2">
      <c r="C68" s="29" t="s">
        <v>677</v>
      </c>
      <c r="D68" s="59">
        <f>IF(D39,+(D62+D64)/D39*(F32+D33),0)</f>
        <v>0</v>
      </c>
      <c r="F68" s="59"/>
    </row>
    <row r="70" spans="1:9" x14ac:dyDescent="0.2">
      <c r="A70" s="2325" t="s">
        <v>601</v>
      </c>
      <c r="B70" s="2326"/>
      <c r="C70" s="2327"/>
      <c r="D70" s="432" t="e">
        <f>IF(OR(BC14="OUI",AND(BC9="OUI",BC10=52)),0,ROUND(SUM(D50:D61)+D68+D64,2))</f>
        <v>#N/A</v>
      </c>
    </row>
    <row r="71" spans="1:9" ht="13.5" thickBot="1" x14ac:dyDescent="0.25"/>
    <row r="72" spans="1:9" ht="13.5" thickBot="1" x14ac:dyDescent="0.25">
      <c r="A72" s="1288" t="s">
        <v>602</v>
      </c>
      <c r="B72" s="1289"/>
      <c r="C72" s="1289"/>
      <c r="D72" s="1289"/>
      <c r="E72" s="1289"/>
      <c r="F72" s="1290"/>
      <c r="G72" s="433" t="e">
        <f>+IF(D70&gt;D43,D70,D43)</f>
        <v>#N/A</v>
      </c>
      <c r="I72" s="24" t="e">
        <f>+"La valeur du jour ouvrable pour l'année suivante est "&amp;G72&amp;" / "&amp;F41&amp;" jours ouvrables acquis"</f>
        <v>#N/A</v>
      </c>
    </row>
    <row r="73" spans="1:9" ht="13.5" thickBot="1" x14ac:dyDescent="0.25">
      <c r="A73" s="1291" t="s">
        <v>625</v>
      </c>
      <c r="B73" s="1292"/>
      <c r="C73" s="1292"/>
      <c r="D73" s="1292"/>
      <c r="E73" s="1292"/>
      <c r="F73" s="1293"/>
      <c r="G73" s="1314">
        <f>IF(F41,+G72/F41,0)</f>
        <v>0</v>
      </c>
    </row>
    <row r="76" spans="1:9" x14ac:dyDescent="0.2">
      <c r="A76" s="19" t="s">
        <v>983</v>
      </c>
      <c r="B76" s="19"/>
    </row>
    <row r="77" spans="1:9" x14ac:dyDescent="0.2">
      <c r="A77" s="19"/>
      <c r="B77" s="19"/>
    </row>
    <row r="78" spans="1:9" x14ac:dyDescent="0.2">
      <c r="C78" s="69" t="s">
        <v>503</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626</v>
      </c>
      <c r="D92" s="434">
        <f>ROUND(SUM(B79:B90),2)</f>
        <v>0</v>
      </c>
      <c r="H92" s="29"/>
      <c r="S92" s="16"/>
      <c r="T92" s="16"/>
    </row>
    <row r="93" spans="1:20" x14ac:dyDescent="0.2">
      <c r="H93" s="29"/>
      <c r="S93" s="16"/>
      <c r="T93" s="16"/>
    </row>
    <row r="94" spans="1:20" x14ac:dyDescent="0.2">
      <c r="B94" s="70"/>
      <c r="C94" s="71" t="s">
        <v>627</v>
      </c>
      <c r="D94" s="434" t="e">
        <f>+G72</f>
        <v>#N/A</v>
      </c>
      <c r="S94" s="16"/>
      <c r="T94" s="16"/>
    </row>
    <row r="95" spans="1:20" ht="13.5" thickBot="1" x14ac:dyDescent="0.25">
      <c r="S95" s="16"/>
      <c r="T95" s="16"/>
    </row>
    <row r="96" spans="1:20" ht="13.5" thickBot="1" x14ac:dyDescent="0.25">
      <c r="B96" s="72"/>
      <c r="C96" s="73" t="s">
        <v>628</v>
      </c>
      <c r="D96" s="435"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605</v>
      </c>
      <c r="B100" s="2334" t="str">
        <f>+"Du "&amp;TEXT(BG6,"jj/mm/aaaa")&amp;" au "&amp;TEXT(BH6,"jj/mm/aaaa")</f>
        <v>Du 01/06/3798 au 31/05/3799</v>
      </c>
      <c r="C100" s="2334"/>
      <c r="D100" s="2334"/>
      <c r="S100" s="16"/>
      <c r="T100" s="16"/>
    </row>
    <row r="101" spans="1:20" x14ac:dyDescent="0.2">
      <c r="A101" s="16" t="s">
        <v>29</v>
      </c>
      <c r="B101" s="2321">
        <f>+Identification!B25</f>
        <v>0</v>
      </c>
      <c r="C101" s="2321"/>
      <c r="D101" s="2321"/>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36">
        <f ca="1">IF(F104="",IF(BH6&lt;DATE(YEAR(Identification!B61),5,31),Report!D41,+'CP Année Incomplète au 31-05'!G70),F104)</f>
        <v>0</v>
      </c>
      <c r="G103" s="29"/>
      <c r="S103" s="16"/>
      <c r="T103" s="16"/>
    </row>
    <row r="104" spans="1:20" ht="12.75" customHeight="1" x14ac:dyDescent="0.2">
      <c r="E104" s="29" t="s">
        <v>503</v>
      </c>
      <c r="F104" s="1130"/>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3" t="s">
        <v>682</v>
      </c>
      <c r="C108" s="54" t="s">
        <v>683</v>
      </c>
      <c r="S108" s="16"/>
      <c r="T108" s="16"/>
    </row>
    <row r="109" spans="1:20" hidden="1" x14ac:dyDescent="0.2">
      <c r="A109" s="76" t="s">
        <v>689</v>
      </c>
      <c r="B109" s="2395">
        <f>IF(C109="",IF(BH6&lt;DATE(YEAR(Identification!B61),5,31),Report!D42,+'CP Année Incomplète au 31-05'!D90),C109)</f>
        <v>0</v>
      </c>
      <c r="C109" s="2397"/>
      <c r="S109" s="16"/>
      <c r="T109" s="16"/>
    </row>
    <row r="110" spans="1:20" hidden="1" x14ac:dyDescent="0.2">
      <c r="A110" s="77">
        <f>+BH6</f>
        <v>693748</v>
      </c>
      <c r="B110" s="2396"/>
      <c r="C110" s="2398"/>
      <c r="S110" s="16"/>
      <c r="T110" s="16"/>
    </row>
    <row r="111" spans="1:20" x14ac:dyDescent="0.2">
      <c r="A111" s="1053" t="str">
        <f>+IF(AND(DATE(YEAR($BG$5),6,30)&gt;=$BG$5,DATE(YEAR($BG$5),6,1)&lt;=$BH$5),DATE(YEAR($BG$5),6,1),"Hors période")</f>
        <v>Hors période</v>
      </c>
      <c r="B111" s="31">
        <f t="shared" ref="B111:B122" si="5">IF(C111="",IFERROR(+VLOOKUP(A111,BDD,4,FALSE),0),C111)</f>
        <v>0</v>
      </c>
      <c r="C111" s="1130"/>
      <c r="S111" s="16"/>
      <c r="T111" s="16"/>
    </row>
    <row r="112" spans="1:20" x14ac:dyDescent="0.2">
      <c r="A112" s="55" t="str">
        <f>+IF(AND(DATE(YEAR($BG$5),7,31)&gt;=$BG$5,DATE(YEAR($BG$5),7,1)&lt;=$BH$5),DATE(YEAR($BG$5),7,1),"Hors période")</f>
        <v>Hors période</v>
      </c>
      <c r="B112" s="31">
        <f t="shared" si="5"/>
        <v>0</v>
      </c>
      <c r="C112" s="1130"/>
      <c r="S112" s="16"/>
      <c r="T112" s="16"/>
    </row>
    <row r="113" spans="1:20" x14ac:dyDescent="0.2">
      <c r="A113" s="55" t="str">
        <f>+IF(AND(DATE(YEAR($BG$5),8,31)&gt;=$BG$5,DATE(YEAR($BG$5),8,1)&lt;=$BH$5),DATE(YEAR($BG$5),8,1),"Hors période")</f>
        <v>Hors période</v>
      </c>
      <c r="B113" s="31">
        <f t="shared" si="5"/>
        <v>0</v>
      </c>
      <c r="C113" s="1130"/>
      <c r="S113" s="16"/>
      <c r="T113" s="16"/>
    </row>
    <row r="114" spans="1:20" x14ac:dyDescent="0.2">
      <c r="A114" s="55" t="str">
        <f>+IF(AND(DATE(YEAR($BG$5),9,30)&gt;=$BG$5,DATE(YEAR($BG$5),9,1)&lt;=$BH$5),DATE(YEAR($BG$5),9,1),"Hors période")</f>
        <v>Hors période</v>
      </c>
      <c r="B114" s="31">
        <f t="shared" si="5"/>
        <v>0</v>
      </c>
      <c r="C114" s="1130"/>
      <c r="S114" s="16"/>
      <c r="T114" s="16"/>
    </row>
    <row r="115" spans="1:20" x14ac:dyDescent="0.2">
      <c r="A115" s="55" t="str">
        <f>+IF(AND(DATE(YEAR($BG$5),10,31)&gt;=$BG$5,DATE(YEAR($BG$5),10,1)&lt;=$BH$5),DATE(YEAR($BG$5),10,1),"Hors période")</f>
        <v>Hors période</v>
      </c>
      <c r="B115" s="31">
        <f t="shared" si="5"/>
        <v>0</v>
      </c>
      <c r="C115" s="1130"/>
      <c r="S115" s="16"/>
      <c r="T115" s="16"/>
    </row>
    <row r="116" spans="1:20" x14ac:dyDescent="0.2">
      <c r="A116" s="55" t="str">
        <f>+IF(AND(DATE(YEAR($BG$5),11,30)&gt;=$BG$5,DATE(YEAR($BG$5),11,1)&lt;=$BH$5),DATE(YEAR($BG$5),11,1),"Hors période")</f>
        <v>Hors période</v>
      </c>
      <c r="B116" s="31">
        <f t="shared" si="5"/>
        <v>0</v>
      </c>
      <c r="C116" s="1130"/>
      <c r="S116" s="16"/>
      <c r="T116" s="16"/>
    </row>
    <row r="117" spans="1:20" x14ac:dyDescent="0.2">
      <c r="A117" s="55" t="str">
        <f>+IF(AND(DATE(YEAR($BG$5),12,31)&gt;=$BG$5,DATE(YEAR($BG$5),12,1)&lt;=$BH$5),DATE(YEAR($BG$5),12,1),"Hors période")</f>
        <v>Hors période</v>
      </c>
      <c r="B117" s="31">
        <f t="shared" si="5"/>
        <v>0</v>
      </c>
      <c r="C117" s="1130"/>
      <c r="S117" s="16"/>
      <c r="T117" s="16"/>
    </row>
    <row r="118" spans="1:20" x14ac:dyDescent="0.2">
      <c r="A118" s="55" t="str">
        <f>+IF(AND(DATE(YEAR($BG$5)+1,1,31)&gt;=$BG$5,DATE(YEAR($BG$5)+1,1,1)&lt;=$BH$5),DATE(YEAR($BG$5)+1,1,1),"Hors période")</f>
        <v>Hors période</v>
      </c>
      <c r="B118" s="31">
        <f t="shared" si="5"/>
        <v>0</v>
      </c>
      <c r="C118" s="1130"/>
      <c r="S118" s="16"/>
      <c r="T118" s="16"/>
    </row>
    <row r="119" spans="1:20" x14ac:dyDescent="0.2">
      <c r="A119" s="55" t="str">
        <f>+IF(AND(DATE(YEAR($BG$5)+1,2,29)&gt;=$BG$5,DATE(YEAR($BG$5)+1,2,1)&lt;=$BH$5),DATE(YEAR($BG$5)+1,2,1),"Hors période")</f>
        <v>Hors période</v>
      </c>
      <c r="B119" s="31">
        <f t="shared" si="5"/>
        <v>0</v>
      </c>
      <c r="C119" s="1130"/>
      <c r="S119" s="16"/>
      <c r="T119" s="16"/>
    </row>
    <row r="120" spans="1:20" x14ac:dyDescent="0.2">
      <c r="A120" s="55" t="str">
        <f>+IF(AND(DATE(YEAR($BG$5)+1,3,31)&gt;=$BG$5,DATE(YEAR($BG$5)+1,3,1)&lt;=$BH$5),DATE(YEAR($BG$5)+1,3,1),"Hors période")</f>
        <v>Hors période</v>
      </c>
      <c r="B120" s="31">
        <f t="shared" si="5"/>
        <v>0</v>
      </c>
      <c r="C120" s="1130"/>
    </row>
    <row r="121" spans="1:20" x14ac:dyDescent="0.2">
      <c r="A121" s="55" t="str">
        <f>+IF(AND(DATE(YEAR($BG$5)+1,4,30)&gt;=$BG$5,DATE(YEAR($BG$5)+1,4,1)&lt;=$BH$5),DATE(YEAR($BG$5)+1,4,1),"Hors période")</f>
        <v>Hors période</v>
      </c>
      <c r="B121" s="31">
        <f t="shared" si="5"/>
        <v>0</v>
      </c>
      <c r="C121" s="1130"/>
    </row>
    <row r="122" spans="1:20" x14ac:dyDescent="0.2">
      <c r="A122" s="55" t="str">
        <f>+IF(AND(DATE(YEAR($BG$5)+1,5,31)&gt;=$BG$5,DATE(YEAR($BG$5)+1,5,1)&lt;=$BH$5),DATE(YEAR($BG$5)+1,5,1),"Hors période")</f>
        <v>Hors période</v>
      </c>
      <c r="B122" s="31">
        <f t="shared" si="5"/>
        <v>0</v>
      </c>
      <c r="C122" s="1130"/>
    </row>
    <row r="123" spans="1:20" x14ac:dyDescent="0.2">
      <c r="A123" s="91" t="s">
        <v>450</v>
      </c>
      <c r="B123" s="78">
        <f>SUM(B109:B122)</f>
        <v>0</v>
      </c>
    </row>
    <row r="126" spans="1:20" x14ac:dyDescent="0.2">
      <c r="E126" s="29" t="s">
        <v>684</v>
      </c>
      <c r="F126" s="436">
        <f ca="1">F103-B123</f>
        <v>0</v>
      </c>
    </row>
  </sheetData>
  <sheetProtection algorithmName="SHA-512" hashValue="zWy1wPr5j+EQa8QAJXGqbn0VgrcAnJWqbyEESy0wtxsw518MmW2Infnjcy7ObZVvtNEGV5BqkafxF/DM6y38SQ==" saltValue="LesZ0lfgQmFof36ZCfIuqw==" spinCount="100000" sheet="1" objects="1" scenarios="1" formatCells="0" formatColumns="0" formatRows="0" insertColumns="0" insertRows="0" insertHyperlinks="0" sort="0" autoFilter="0" pivotTables="0"/>
  <mergeCells count="16">
    <mergeCell ref="C2:I2"/>
    <mergeCell ref="A70:C70"/>
    <mergeCell ref="A64:C64"/>
    <mergeCell ref="H16:I16"/>
    <mergeCell ref="H17:I17"/>
    <mergeCell ref="A15:C16"/>
    <mergeCell ref="A18:C19"/>
    <mergeCell ref="A66:E66"/>
    <mergeCell ref="B109:B110"/>
    <mergeCell ref="C109:C110"/>
    <mergeCell ref="B4:D4"/>
    <mergeCell ref="B5:D5"/>
    <mergeCell ref="H12:I12"/>
    <mergeCell ref="H13:I13"/>
    <mergeCell ref="B100:D100"/>
    <mergeCell ref="B101:D101"/>
  </mergeCells>
  <conditionalFormatting sqref="A15">
    <cfRule type="expression" dxfId="2151" priority="8">
      <formula>$T$15="OUI"</formula>
    </cfRule>
  </conditionalFormatting>
  <conditionalFormatting sqref="A64 D64">
    <cfRule type="expression" dxfId="2150" priority="7">
      <formula>$T$15="OUI"</formula>
    </cfRule>
  </conditionalFormatting>
  <conditionalFormatting sqref="A76:D96">
    <cfRule type="expression" dxfId="2149" priority="18">
      <formula>$K$13=0</formula>
    </cfRule>
  </conditionalFormatting>
  <conditionalFormatting sqref="A2:R867">
    <cfRule type="expression" dxfId="2148" priority="5">
      <formula>$BC$6="OUI"</formula>
    </cfRule>
  </conditionalFormatting>
  <conditionalFormatting sqref="C50:C61">
    <cfRule type="expression" dxfId="2147" priority="34">
      <formula>T2="JAUNE"</formula>
    </cfRule>
  </conditionalFormatting>
  <conditionalFormatting sqref="C109">
    <cfRule type="expression" dxfId="2146" priority="21">
      <formula>T63="JAUNE"</formula>
    </cfRule>
  </conditionalFormatting>
  <conditionalFormatting sqref="C111:C122">
    <cfRule type="expression" dxfId="2145" priority="22">
      <formula>T66="JAUNE"</formula>
    </cfRule>
  </conditionalFormatting>
  <conditionalFormatting sqref="D15:E16">
    <cfRule type="expression" dxfId="2144" priority="11">
      <formula>$T$15="OUI"</formula>
    </cfRule>
  </conditionalFormatting>
  <conditionalFormatting sqref="E7 E9 E11 F25 F30 C50:C61 F50:F61 F67">
    <cfRule type="notContainsBlanks" dxfId="2143" priority="50">
      <formula>LEN(TRIM(C7))&gt;0</formula>
    </cfRule>
  </conditionalFormatting>
  <conditionalFormatting sqref="E15">
    <cfRule type="notContainsBlanks" dxfId="2142" priority="12">
      <formula>LEN(TRIM(E15))&gt;0</formula>
    </cfRule>
  </conditionalFormatting>
  <conditionalFormatting sqref="E18">
    <cfRule type="expression" dxfId="2141" priority="9">
      <formula>$T$15="OUI"</formula>
    </cfRule>
    <cfRule type="notContainsBlanks" dxfId="2140" priority="10">
      <formula>LEN(TRIM(E18))&gt;0</formula>
    </cfRule>
  </conditionalFormatting>
  <conditionalFormatting sqref="E27:F27 E28">
    <cfRule type="expression" dxfId="2139" priority="4">
      <formula>$T$15="OUI"</formula>
    </cfRule>
  </conditionalFormatting>
  <conditionalFormatting sqref="F28">
    <cfRule type="expression" dxfId="2138" priority="1">
      <formula>$BC$6="OUI"</formula>
    </cfRule>
    <cfRule type="notContainsBlanks" dxfId="2137" priority="2">
      <formula>LEN(TRIM(F28))&gt;0</formula>
    </cfRule>
  </conditionalFormatting>
  <conditionalFormatting sqref="H49:H50 H52:H54">
    <cfRule type="expression" dxfId="2136" priority="14">
      <formula>$T$15="OUI"</formula>
    </cfRule>
  </conditionalFormatting>
  <conditionalFormatting sqref="H56 H58:H62">
    <cfRule type="expression" dxfId="2135" priority="6">
      <formula>$T$15="OUI"</formula>
    </cfRule>
  </conditionalFormatting>
  <conditionalFormatting sqref="H94:H124 A99:G99 A100:B101 E100:G101 A102:G109 A110 D110:G110 A111:G129">
    <cfRule type="expression" dxfId="2134" priority="15">
      <formula>$BC$7=1</formula>
    </cfRule>
  </conditionalFormatting>
  <conditionalFormatting sqref="H13:I13">
    <cfRule type="expression" dxfId="2133" priority="19">
      <formula>$K$13=0</formula>
    </cfRule>
  </conditionalFormatting>
  <conditionalFormatting sqref="I6">
    <cfRule type="expression" dxfId="2132" priority="48">
      <formula>$S$1="ROUGE"</formula>
    </cfRule>
  </conditionalFormatting>
  <conditionalFormatting sqref="K13">
    <cfRule type="cellIs" dxfId="2131"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S165"/>
  <sheetViews>
    <sheetView showGridLines="0" zoomScale="90" zoomScaleNormal="90" workbookViewId="0">
      <selection activeCell="A2" sqref="A2"/>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95" hidden="1" customWidth="1"/>
    <col min="28" max="29" width="14.5703125" style="395" hidden="1" customWidth="1"/>
    <col min="30" max="30" width="15" style="395" hidden="1" customWidth="1"/>
    <col min="31" max="31" width="12.85546875" style="395" hidden="1" customWidth="1"/>
    <col min="32" max="57" width="11.42578125" style="395" hidden="1" customWidth="1"/>
    <col min="58" max="71" width="11.42578125" style="16" hidden="1" customWidth="1"/>
    <col min="72"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95" t="s">
        <v>665</v>
      </c>
      <c r="AJ1" s="395" t="s">
        <v>362</v>
      </c>
      <c r="AK1" s="47" t="e">
        <f>+"[Salaire hebdomadaire moyen ("&amp;ROUND(D15,2)&amp;" €) / 6 jours] x [ nombre de jours ouvrables de CP ("&amp;F39&amp;" jour(s)) + nombre de jours de fractionnement ("&amp;D31&amp;"  jour(s))]"</f>
        <v>#N/A</v>
      </c>
    </row>
    <row r="2" spans="1:64" x14ac:dyDescent="0.2">
      <c r="C2" s="2333" t="s">
        <v>1457</v>
      </c>
      <c r="D2" s="2333"/>
      <c r="E2" s="2333"/>
      <c r="F2" s="2333"/>
      <c r="G2" s="2333"/>
      <c r="H2" s="2333"/>
      <c r="I2" s="2333"/>
      <c r="K2" s="25" t="s">
        <v>667</v>
      </c>
      <c r="L2" s="25"/>
      <c r="M2" s="25"/>
      <c r="V2" s="395">
        <v>1</v>
      </c>
      <c r="W2" s="395" t="str">
        <f t="shared" ref="W2:W13" si="0">+IF(AND(A58&lt;&gt;"Hors période",B58=0),"JAUNE","NON")</f>
        <v>NON</v>
      </c>
      <c r="AK2" s="47" t="e">
        <f>+"soit un maintien de salaire de "&amp;ROUND(D51,2)&amp;" euros"</f>
        <v>#N/A</v>
      </c>
      <c r="BD2" s="29" t="s">
        <v>1337</v>
      </c>
      <c r="BE2" s="30">
        <f>+DATE(YEAR(Identification!B61)-1,4,30)</f>
        <v>45412</v>
      </c>
      <c r="BF2" s="16">
        <f>+DATEDIF(Identification!B49,BE2,"Y")</f>
        <v>124</v>
      </c>
    </row>
    <row r="3" spans="1:64" x14ac:dyDescent="0.2">
      <c r="C3" s="26"/>
      <c r="D3" s="27"/>
      <c r="E3" s="27"/>
      <c r="F3" s="27"/>
      <c r="G3" s="27"/>
      <c r="H3" s="27"/>
      <c r="V3" s="395">
        <v>2</v>
      </c>
      <c r="W3" s="395" t="str">
        <f t="shared" si="0"/>
        <v>NON</v>
      </c>
      <c r="BD3" s="29" t="s">
        <v>1338</v>
      </c>
      <c r="BE3" s="16" t="str">
        <f>+IF(BF2&lt;21,"OUI","NON")</f>
        <v>NON</v>
      </c>
      <c r="BK3" s="30">
        <f>+DATE(YEAR(BK5),6,1)</f>
        <v>153</v>
      </c>
    </row>
    <row r="4" spans="1:64" x14ac:dyDescent="0.2">
      <c r="A4" s="16" t="s">
        <v>605</v>
      </c>
      <c r="B4" s="2334" t="str">
        <f>"Du "&amp;TEXT(BJ5,"jj/mm/aaaa")&amp;" au "&amp;TEXT(BK5,"jj/mm/aaaa")</f>
        <v>Du 01/06/3799 au 00/01/1900</v>
      </c>
      <c r="C4" s="2334"/>
      <c r="D4" s="2334"/>
      <c r="H4" s="29" t="s">
        <v>8</v>
      </c>
      <c r="I4" s="30">
        <f>+Identification!B28</f>
        <v>0</v>
      </c>
      <c r="V4" s="395">
        <v>3</v>
      </c>
      <c r="W4" s="395" t="str">
        <f t="shared" si="0"/>
        <v>NON</v>
      </c>
      <c r="Y4" s="418" t="s">
        <v>360</v>
      </c>
      <c r="Z4" s="16"/>
      <c r="AA4" s="16"/>
      <c r="AB4" s="29"/>
      <c r="AC4" s="151"/>
      <c r="BI4" s="16" t="s">
        <v>606</v>
      </c>
      <c r="BJ4" s="27" t="s">
        <v>608</v>
      </c>
      <c r="BK4" s="27" t="s">
        <v>607</v>
      </c>
      <c r="BL4" s="27"/>
    </row>
    <row r="5" spans="1:64" x14ac:dyDescent="0.2">
      <c r="A5" s="16" t="s">
        <v>29</v>
      </c>
      <c r="B5" s="2321">
        <f>+Identification!B25</f>
        <v>0</v>
      </c>
      <c r="C5" s="2321"/>
      <c r="D5" s="2321"/>
      <c r="V5" s="395">
        <v>4</v>
      </c>
      <c r="W5" s="395" t="str">
        <f t="shared" si="0"/>
        <v>NON</v>
      </c>
      <c r="Y5" s="16" t="s">
        <v>726</v>
      </c>
      <c r="AB5" s="29"/>
      <c r="AC5" s="417"/>
      <c r="BD5" s="29" t="s">
        <v>1435</v>
      </c>
      <c r="BE5" s="16" t="e">
        <f>+IF(AND(BF9="OUI",AND(BF10&lt;&gt;52,BF10&gt;0)),"OUI","NON")</f>
        <v>#N/A</v>
      </c>
      <c r="BI5" s="16">
        <v>1</v>
      </c>
      <c r="BJ5" s="30">
        <f>+IF(AND(BK5&lt;BK3,I4&lt;=DATE(YEAR(BK3)-1,6,1)),DATE(YEAR(BK3)-1,6,1),IF(AND(BK5&lt;BK3,I4&gt;=DATE(YEAR(BK3)-1,6,1)),I4,IF(I4&gt;BK3,I4,BK3)))</f>
        <v>693749</v>
      </c>
      <c r="BK5" s="30">
        <f>+I6</f>
        <v>0</v>
      </c>
    </row>
    <row r="6" spans="1:64" x14ac:dyDescent="0.2">
      <c r="E6" s="27" t="s">
        <v>613</v>
      </c>
      <c r="H6" s="29" t="s">
        <v>603</v>
      </c>
      <c r="I6" s="30">
        <f>+Identification!B95</f>
        <v>0</v>
      </c>
      <c r="V6" s="395">
        <v>5</v>
      </c>
      <c r="W6" s="395" t="str">
        <f t="shared" si="0"/>
        <v>NON</v>
      </c>
      <c r="AJ6" s="395" t="s">
        <v>452</v>
      </c>
      <c r="AK6" s="16" t="s">
        <v>749</v>
      </c>
      <c r="BD6" s="1023" t="s">
        <v>1413</v>
      </c>
      <c r="BE6" s="1023">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579</v>
      </c>
      <c r="D7" s="31">
        <f>IFERROR(IF(E7="",+VLOOKUP(BK8,BDD,21,FALSE),E7),0)</f>
        <v>0</v>
      </c>
      <c r="E7" s="1130"/>
      <c r="V7" s="395">
        <v>6</v>
      </c>
      <c r="W7" s="395" t="str">
        <f t="shared" si="0"/>
        <v>NON</v>
      </c>
    </row>
    <row r="8" spans="1:64" x14ac:dyDescent="0.2">
      <c r="C8" s="29"/>
      <c r="H8" s="29"/>
      <c r="I8" s="30"/>
      <c r="V8" s="395">
        <v>7</v>
      </c>
      <c r="W8" s="395" t="str">
        <f t="shared" si="0"/>
        <v>NON</v>
      </c>
      <c r="Y8" s="16"/>
      <c r="Z8" s="29"/>
      <c r="AA8" s="2400" t="s">
        <v>796</v>
      </c>
      <c r="AB8" s="2400" t="s">
        <v>335</v>
      </c>
      <c r="AC8" s="2400" t="s">
        <v>736</v>
      </c>
      <c r="AD8" s="2402" t="s">
        <v>337</v>
      </c>
      <c r="AE8" s="2400" t="s">
        <v>357</v>
      </c>
      <c r="AF8" s="2404" t="s">
        <v>358</v>
      </c>
      <c r="BJ8" s="29" t="s">
        <v>612</v>
      </c>
      <c r="BK8" s="30">
        <f>DATE(YEAR(I6),MONTH(I6),1)</f>
        <v>1</v>
      </c>
    </row>
    <row r="9" spans="1:64" ht="13.5" thickBot="1" x14ac:dyDescent="0.25">
      <c r="C9" s="29" t="s">
        <v>580</v>
      </c>
      <c r="D9" s="31">
        <f>IFERROR(IF(E9="",+VLOOKUP(BK8,BDD,22,FALSE),E9),0)</f>
        <v>0</v>
      </c>
      <c r="E9" s="989"/>
      <c r="V9" s="395">
        <v>8</v>
      </c>
      <c r="W9" s="395" t="str">
        <f t="shared" si="0"/>
        <v>NON</v>
      </c>
      <c r="Y9" s="16"/>
      <c r="Z9" s="16"/>
      <c r="AA9" s="2401"/>
      <c r="AB9" s="2401"/>
      <c r="AC9" s="2400"/>
      <c r="AD9" s="2403"/>
      <c r="AE9" s="2401"/>
      <c r="AF9" s="2405"/>
      <c r="BE9" s="29" t="s">
        <v>1645</v>
      </c>
      <c r="BF9" s="16" t="e">
        <f>+VLOOKUP(DATE(YEAR(I6),MONTH(I6),1),BDD,87,FALSE)</f>
        <v>#N/A</v>
      </c>
      <c r="BL9" s="16" t="e">
        <f>+VLOOKUP(DATE(YEAR(I6),MONTH(I6),1),BDD,94,FALSE)</f>
        <v>#N/A</v>
      </c>
    </row>
    <row r="10" spans="1:64" ht="13.5" thickTop="1" x14ac:dyDescent="0.2">
      <c r="C10" s="29"/>
      <c r="H10" s="1240" t="s">
        <v>615</v>
      </c>
      <c r="I10" s="1241"/>
      <c r="J10" s="1241"/>
      <c r="K10" s="1241"/>
      <c r="L10" s="1241"/>
      <c r="M10" s="1242"/>
      <c r="V10" s="395">
        <v>9</v>
      </c>
      <c r="W10" s="395" t="str">
        <f t="shared" si="0"/>
        <v>NON</v>
      </c>
      <c r="Y10" s="185"/>
      <c r="Z10" s="158" t="s">
        <v>321</v>
      </c>
      <c r="AA10" s="367" t="e">
        <f>+C46*AB10/6</f>
        <v>#N/A</v>
      </c>
      <c r="AB10" s="160" t="e">
        <f>+IF(AC10="",VLOOKUP($BK$8,BDD,30,FALSE),AC10)</f>
        <v>#N/A</v>
      </c>
      <c r="AC10" s="407"/>
      <c r="AD10" s="187" t="e">
        <f>+IF(AA10&gt;0,AA10*AB10/AB10,0)</f>
        <v>#N/A</v>
      </c>
      <c r="AE10" s="401" t="e">
        <f>+IF(AB10&gt;45,AD10*(1-((AB10-45)/AB10)),AD10)</f>
        <v>#N/A</v>
      </c>
      <c r="AF10" s="401" t="e">
        <f>+AD10-AE10</f>
        <v>#N/A</v>
      </c>
      <c r="BE10" s="29" t="s">
        <v>1646</v>
      </c>
      <c r="BF10" s="16" t="e">
        <f>+VLOOKUP(DATE(YEAR(I6),MONTH(I6),1),BDD,26,FALSE)</f>
        <v>#N/A</v>
      </c>
    </row>
    <row r="11" spans="1:64" x14ac:dyDescent="0.2">
      <c r="C11" s="29" t="s">
        <v>1402</v>
      </c>
      <c r="D11" s="31">
        <f>IFERROR(IF(E11="",+VLOOKUP(BK8,BDD,38,FALSE),E11),0)</f>
        <v>0</v>
      </c>
      <c r="E11" s="989"/>
      <c r="H11" s="1243"/>
      <c r="M11" s="1244"/>
      <c r="V11" s="395">
        <v>10</v>
      </c>
      <c r="W11" s="395" t="str">
        <f t="shared" si="0"/>
        <v>NON</v>
      </c>
      <c r="Y11" s="188"/>
      <c r="Z11" s="29" t="s">
        <v>322</v>
      </c>
      <c r="AA11" s="406" t="e">
        <f>+C47*AB11/6</f>
        <v>#N/A</v>
      </c>
      <c r="AB11" s="166" t="e">
        <f>+IF(AC11="",VLOOKUP($BK$8,BDD,31,FALSE),AC11)</f>
        <v>#N/A</v>
      </c>
      <c r="AC11" s="408"/>
      <c r="AD11" s="359" t="e">
        <f t="shared" ref="AD11:AD17" si="1">+IF(AA11&gt;0,AA11*AB11/AB11,0)</f>
        <v>#N/A</v>
      </c>
      <c r="AE11" s="402" t="e">
        <f>+IF(AB11&gt;45,AD11*(1-((AB11-45)/AB11)),AD11)</f>
        <v>#N/A</v>
      </c>
      <c r="AF11" s="402" t="e">
        <f>+AD11-AE11</f>
        <v>#N/A</v>
      </c>
      <c r="BE11" s="29" t="s">
        <v>1647</v>
      </c>
      <c r="BF11" s="16" t="e">
        <f>+IF(AND(BF9="OUI",BF10&lt;&gt;52),"OUI","NON")</f>
        <v>#N/A</v>
      </c>
    </row>
    <row r="12" spans="1:64" x14ac:dyDescent="0.2">
      <c r="H12" s="2322" t="str">
        <f>+B4</f>
        <v>Du 01/06/3799 au 00/01/1900</v>
      </c>
      <c r="I12" s="2321"/>
      <c r="K12" s="355" t="e">
        <f>+G80</f>
        <v>#N/A</v>
      </c>
      <c r="M12" s="1244"/>
      <c r="V12" s="395">
        <v>11</v>
      </c>
      <c r="W12" s="395" t="str">
        <f t="shared" si="0"/>
        <v>NON</v>
      </c>
      <c r="Y12" s="188"/>
      <c r="Z12" s="95" t="s">
        <v>323</v>
      </c>
      <c r="AA12" s="406" t="e">
        <f>+C48*AB12/6</f>
        <v>#N/A</v>
      </c>
      <c r="AB12" s="166" t="e">
        <f>+IF(AC12="",VLOOKUP($BK$8,BDD,32,FALSE),AC12)</f>
        <v>#N/A</v>
      </c>
      <c r="AC12" s="408"/>
      <c r="AD12" s="359" t="e">
        <f t="shared" si="1"/>
        <v>#N/A</v>
      </c>
      <c r="AE12" s="402" t="e">
        <f t="shared" ref="AE12:AE17" si="2">+IF(AB12&gt;45,AD12*(1-((AB12-45)/AB12)),AD12)</f>
        <v>#N/A</v>
      </c>
      <c r="AF12" s="402" t="e">
        <f t="shared" ref="AF12:AF17" si="3">+AD12-AE12</f>
        <v>#N/A</v>
      </c>
      <c r="BE12" s="29" t="s">
        <v>1650</v>
      </c>
      <c r="BF12" s="16" t="e">
        <f>+VLOOKUP(DATE(YEAR(I6),MONTH(I6),1),BDD,97,FALSE)</f>
        <v>#N/A</v>
      </c>
    </row>
    <row r="13" spans="1:64" ht="13.5" thickBot="1" x14ac:dyDescent="0.25">
      <c r="C13" s="29" t="s">
        <v>581</v>
      </c>
      <c r="D13" s="1587">
        <v>52</v>
      </c>
      <c r="H13" s="2322" t="str">
        <f>+B90</f>
        <v>Du 01/06/3798 au 31/05/3799</v>
      </c>
      <c r="I13" s="2321"/>
      <c r="K13" s="430" t="e">
        <f>+G164</f>
        <v>#N/A</v>
      </c>
      <c r="M13" s="1244"/>
      <c r="V13" s="395">
        <v>12</v>
      </c>
      <c r="W13" s="395" t="str">
        <f t="shared" si="0"/>
        <v>NON</v>
      </c>
      <c r="Y13" s="188"/>
      <c r="Z13" s="95" t="s">
        <v>324</v>
      </c>
      <c r="AA13" s="406" t="e">
        <f>+C49*AB13/6</f>
        <v>#N/A</v>
      </c>
      <c r="AB13" s="166" t="e">
        <f>+IF(AC13="",VLOOKUP($BK$8,BDD,33,FALSE),AC13)</f>
        <v>#N/A</v>
      </c>
      <c r="AC13" s="408"/>
      <c r="AD13" s="359" t="e">
        <f t="shared" si="1"/>
        <v>#N/A</v>
      </c>
      <c r="AE13" s="402" t="e">
        <f t="shared" si="2"/>
        <v>#N/A</v>
      </c>
      <c r="AF13" s="402" t="e">
        <f t="shared" si="3"/>
        <v>#N/A</v>
      </c>
      <c r="BE13" s="29" t="s">
        <v>1725</v>
      </c>
      <c r="BF13" s="16" t="e">
        <f>+VLOOKUP(DATE(YEAR(I6),MONTH(I6),1),BDD,102,FALSE)</f>
        <v>#N/A</v>
      </c>
    </row>
    <row r="14" spans="1:64" x14ac:dyDescent="0.2">
      <c r="H14" s="1243"/>
      <c r="J14" s="39" t="s">
        <v>616</v>
      </c>
      <c r="K14" s="431" t="e">
        <f>+K13+K12</f>
        <v>#N/A</v>
      </c>
      <c r="M14" s="1244"/>
      <c r="Y14" s="188"/>
      <c r="Z14" s="95" t="s">
        <v>325</v>
      </c>
      <c r="AA14" s="406" t="e">
        <f>+E46*AB14/6</f>
        <v>#N/A</v>
      </c>
      <c r="AB14" s="166" t="e">
        <f>+IF(AC14="",VLOOKUP($BK$8,BDD,34,FALSE),AC14)</f>
        <v>#N/A</v>
      </c>
      <c r="AC14" s="408"/>
      <c r="AD14" s="359" t="e">
        <f t="shared" si="1"/>
        <v>#N/A</v>
      </c>
      <c r="AE14" s="402" t="e">
        <f t="shared" si="2"/>
        <v>#N/A</v>
      </c>
      <c r="AF14" s="402" t="e">
        <f t="shared" si="3"/>
        <v>#N/A</v>
      </c>
    </row>
    <row r="15" spans="1:64" ht="13.5" thickBot="1" x14ac:dyDescent="0.25">
      <c r="C15" s="29" t="s">
        <v>670</v>
      </c>
      <c r="D15" s="41" t="e">
        <f>IF(BF12="OUI",0,ROUND(+D7*12/D13,2))</f>
        <v>#N/A</v>
      </c>
      <c r="H15" s="1275"/>
      <c r="I15" s="1259"/>
      <c r="J15" s="1259"/>
      <c r="K15" s="1259"/>
      <c r="L15" s="1259"/>
      <c r="M15" s="1269"/>
      <c r="Y15" s="188"/>
      <c r="Z15" s="95" t="s">
        <v>326</v>
      </c>
      <c r="AA15" s="406" t="e">
        <f>+E47*AB15/6</f>
        <v>#N/A</v>
      </c>
      <c r="AB15" s="166" t="e">
        <f>+IF(AC15="",VLOOKUP($BK$8,BDD,35,FALSE),AC15)</f>
        <v>#N/A</v>
      </c>
      <c r="AC15" s="408"/>
      <c r="AD15" s="359" t="e">
        <f t="shared" si="1"/>
        <v>#N/A</v>
      </c>
      <c r="AE15" s="402" t="e">
        <f t="shared" si="2"/>
        <v>#N/A</v>
      </c>
      <c r="AF15" s="402" t="e">
        <f t="shared" si="3"/>
        <v>#N/A</v>
      </c>
    </row>
    <row r="16" spans="1:64" ht="13.5" thickTop="1" x14ac:dyDescent="0.2">
      <c r="V16" s="395" t="s">
        <v>668</v>
      </c>
      <c r="W16" s="395" t="str">
        <f>+IF(BK6="","NON","OUI")</f>
        <v>OUI</v>
      </c>
      <c r="Y16" s="188"/>
      <c r="Z16" s="95" t="s">
        <v>327</v>
      </c>
      <c r="AA16" s="406" t="e">
        <f>+E48*AB16/6</f>
        <v>#N/A</v>
      </c>
      <c r="AB16" s="166" t="e">
        <f>+IF(AC16="",VLOOKUP($BK$8,BDD,36,FALSE),AC16)</f>
        <v>#N/A</v>
      </c>
      <c r="AC16" s="408"/>
      <c r="AD16" s="359" t="e">
        <f t="shared" si="1"/>
        <v>#N/A</v>
      </c>
      <c r="AE16" s="402" t="e">
        <f t="shared" si="2"/>
        <v>#N/A</v>
      </c>
      <c r="AF16" s="402" t="e">
        <f t="shared" si="3"/>
        <v>#N/A</v>
      </c>
    </row>
    <row r="17" spans="1:32" x14ac:dyDescent="0.2">
      <c r="A17" s="645" t="s">
        <v>582</v>
      </c>
      <c r="B17" s="18" t="e">
        <f>+IF(BF12="OUI","Contrat occasionnel, on utilise que la méthode des 10%","")</f>
        <v>#N/A</v>
      </c>
      <c r="H17" s="46" t="s">
        <v>583</v>
      </c>
      <c r="V17" s="395">
        <v>1</v>
      </c>
      <c r="W17" s="395" t="str">
        <f t="shared" ref="W17:W23" si="4">+IF(AND($W$16="OUI",A143&lt;&gt;"Hors période",B143=0),"JAUNE","NON")</f>
        <v>JAUNE</v>
      </c>
      <c r="Y17" s="189"/>
      <c r="Z17" s="175" t="s">
        <v>328</v>
      </c>
      <c r="AA17" s="368" t="e">
        <f>+E49*AB17/6</f>
        <v>#N/A</v>
      </c>
      <c r="AB17" s="176" t="e">
        <f>+IF(AC17="",VLOOKUP($BK$8,BDD,37,FALSE),AC17)</f>
        <v>#N/A</v>
      </c>
      <c r="AC17" s="409"/>
      <c r="AD17" s="190" t="e">
        <f t="shared" si="1"/>
        <v>#N/A</v>
      </c>
      <c r="AE17" s="403" t="e">
        <f t="shared" si="2"/>
        <v>#N/A</v>
      </c>
      <c r="AF17" s="403" t="e">
        <f t="shared" si="3"/>
        <v>#N/A</v>
      </c>
    </row>
    <row r="18" spans="1:32" x14ac:dyDescent="0.2">
      <c r="H18" s="47"/>
      <c r="V18" s="395">
        <v>2</v>
      </c>
      <c r="W18" s="395" t="str">
        <f t="shared" si="4"/>
        <v>JAUNE</v>
      </c>
      <c r="Y18" s="16"/>
      <c r="Z18" s="16"/>
      <c r="AA18" s="16"/>
      <c r="AB18" s="16"/>
      <c r="AC18" s="16"/>
      <c r="AD18" s="191"/>
      <c r="AE18" s="360"/>
    </row>
    <row r="19" spans="1:32" x14ac:dyDescent="0.2">
      <c r="E19" s="29" t="s">
        <v>584</v>
      </c>
      <c r="F19" s="41">
        <f>IFERROR(IF(F20="",+VLOOKUP(BK8,BDD,9,FALSE)+VLOOKUP(BK8,BDD,11,FALSE),F20),0)</f>
        <v>0</v>
      </c>
      <c r="H19" s="47" t="str">
        <f>+"L'AM a travaillé "&amp;F19&amp;" mois sur la période de référence (1er juin au 31 mai)"</f>
        <v>L'AM a travaillé 0 mois sur la période de référence (1er juin au 31 mai)</v>
      </c>
      <c r="V19" s="395">
        <v>3</v>
      </c>
      <c r="W19" s="395" t="str">
        <f t="shared" si="4"/>
        <v>JAUNE</v>
      </c>
      <c r="Y19" s="16"/>
      <c r="Z19" s="29"/>
      <c r="AA19" s="34"/>
      <c r="AB19" s="16"/>
      <c r="AC19" s="16"/>
      <c r="AD19" s="191"/>
      <c r="AE19" s="191"/>
    </row>
    <row r="20" spans="1:32" x14ac:dyDescent="0.2">
      <c r="E20" s="29" t="s">
        <v>503</v>
      </c>
      <c r="F20" s="1169"/>
      <c r="H20" s="47" t="str">
        <f>+"Elle a pris "&amp;D37&amp;" jour(s) ouvrable(s) de congés payés sur la période de référence."</f>
        <v>Elle a pris 0 jour(s) ouvrable(s) de congés payés sur la période de référence.</v>
      </c>
      <c r="V20" s="395">
        <v>4</v>
      </c>
      <c r="W20" s="395" t="str">
        <f t="shared" si="4"/>
        <v>JAUNE</v>
      </c>
      <c r="Y20" s="16"/>
      <c r="Z20" s="29"/>
      <c r="AA20" s="34"/>
      <c r="AB20" s="16"/>
      <c r="AC20" s="16"/>
      <c r="AD20" s="191"/>
      <c r="AE20" s="191"/>
    </row>
    <row r="21" spans="1:32" x14ac:dyDescent="0.2">
      <c r="E21" s="29"/>
      <c r="F21" s="49"/>
      <c r="H21" s="47"/>
      <c r="V21" s="395">
        <v>5</v>
      </c>
      <c r="W21" s="395" t="str">
        <f t="shared" si="4"/>
        <v>JAUNE</v>
      </c>
      <c r="Y21" s="19"/>
      <c r="Z21" s="39"/>
      <c r="AA21" s="195"/>
      <c r="AB21" s="16"/>
      <c r="AC21" s="16"/>
      <c r="AD21" s="29" t="s">
        <v>797</v>
      </c>
      <c r="AE21" s="196" t="e">
        <f>ROUND(SUM(AE10:AE17),2)</f>
        <v>#N/A</v>
      </c>
    </row>
    <row r="22" spans="1:32" x14ac:dyDescent="0.2">
      <c r="E22" s="29"/>
      <c r="F22" s="80"/>
      <c r="H22" s="682" t="s">
        <v>586</v>
      </c>
      <c r="V22" s="395">
        <v>6</v>
      </c>
      <c r="W22" s="395" t="str">
        <f t="shared" si="4"/>
        <v>JAUNE</v>
      </c>
      <c r="Y22" s="19"/>
      <c r="Z22" s="39"/>
      <c r="AA22" s="196"/>
      <c r="AB22" s="16"/>
      <c r="AC22" s="16"/>
      <c r="AD22" s="16"/>
      <c r="AE22" s="16"/>
    </row>
    <row r="23" spans="1:32" x14ac:dyDescent="0.2">
      <c r="E23" s="29" t="s">
        <v>1579</v>
      </c>
      <c r="F23" s="41">
        <f>MIN(12,F19)</f>
        <v>0</v>
      </c>
      <c r="H23" s="644"/>
      <c r="V23" s="395">
        <v>7</v>
      </c>
      <c r="W23" s="395" t="str">
        <f t="shared" si="4"/>
        <v>JAUNE</v>
      </c>
      <c r="Y23" s="16"/>
      <c r="Z23" s="16"/>
      <c r="AA23" s="16"/>
      <c r="AB23" s="16"/>
      <c r="AC23" s="16"/>
      <c r="AD23" s="29" t="s">
        <v>798</v>
      </c>
      <c r="AE23" s="196" t="e">
        <f>ROUND(SUM(AF10:AF17),2)</f>
        <v>#N/A</v>
      </c>
    </row>
    <row r="24" spans="1:32" x14ac:dyDescent="0.2">
      <c r="E24" s="29"/>
      <c r="F24" s="34"/>
      <c r="H24" s="47" t="s">
        <v>676</v>
      </c>
      <c r="Y24" s="16"/>
      <c r="Z24" s="16"/>
      <c r="AA24" s="16"/>
      <c r="AB24" s="16"/>
      <c r="AC24" s="16"/>
      <c r="AD24" s="29"/>
      <c r="AE24" s="196"/>
    </row>
    <row r="25" spans="1:32" x14ac:dyDescent="0.2">
      <c r="E25" s="29" t="s">
        <v>1667</v>
      </c>
      <c r="F25" s="1588">
        <f>IFERROR(IF(F26="",+VLOOKUP(BK8,BDD,99,FALSE),F26),0)</f>
        <v>0</v>
      </c>
      <c r="H25" s="1547" t="s">
        <v>1669</v>
      </c>
      <c r="Y25" s="16"/>
      <c r="Z25" s="16"/>
      <c r="AA25" s="16"/>
      <c r="AB25" s="16"/>
      <c r="AC25" s="16"/>
      <c r="AD25" s="29"/>
      <c r="AE25" s="196"/>
    </row>
    <row r="26" spans="1:32" x14ac:dyDescent="0.2">
      <c r="E26" s="29" t="s">
        <v>503</v>
      </c>
      <c r="F26" s="1169"/>
      <c r="V26" s="395">
        <v>8</v>
      </c>
      <c r="W26" s="395" t="str">
        <f t="shared" ref="W26:W28" si="5">+IF(AND($W$16="OUI",A150&lt;&gt;"Hors période",B150=0),"JAUNE","NON")</f>
        <v>JAUNE</v>
      </c>
      <c r="Y26" s="16"/>
      <c r="Z26" s="16"/>
      <c r="AA26" s="16"/>
      <c r="AB26" s="16"/>
      <c r="AC26" s="16"/>
      <c r="AD26" s="16"/>
      <c r="AE26" s="16"/>
    </row>
    <row r="27" spans="1:32" x14ac:dyDescent="0.2">
      <c r="C27" s="29"/>
      <c r="H27" s="47"/>
      <c r="V27" s="395">
        <v>9</v>
      </c>
      <c r="W27" s="395"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95">
        <v>10</v>
      </c>
      <c r="W28" s="395" t="str">
        <f t="shared" si="5"/>
        <v>JAUNE</v>
      </c>
      <c r="Y28" s="16"/>
      <c r="Z28" s="16"/>
      <c r="AA28" s="16"/>
      <c r="AB28" s="16"/>
      <c r="AC28" s="16"/>
      <c r="AD28" s="16"/>
      <c r="AE28" s="16"/>
    </row>
    <row r="29" spans="1:32" x14ac:dyDescent="0.2">
      <c r="C29" s="29" t="s">
        <v>503</v>
      </c>
      <c r="D29" s="1168"/>
      <c r="H29" s="47" t="str">
        <f>+"soit "&amp;F35&amp;" jour(s) ouvrable(s) maximum acquis."</f>
        <v>soit 0 jour(s) ouvrable(s) maximum acquis.</v>
      </c>
      <c r="Y29" s="16"/>
      <c r="Z29" s="16"/>
      <c r="AA29" s="16"/>
      <c r="AB29" s="16"/>
      <c r="AC29" s="16"/>
      <c r="AD29" s="16"/>
      <c r="AE29" s="16"/>
    </row>
    <row r="30" spans="1:32" x14ac:dyDescent="0.2">
      <c r="C30" s="29" t="s">
        <v>679</v>
      </c>
      <c r="D30" s="1592">
        <f>+IF(D29="",IF(AND(I6&gt;=DATE(YEAR(Identification!B61),5,31),BJ5&lt;DATE(YEAR(Identification!B61),5,31)),Identification!B55*2,0),D29)</f>
        <v>0</v>
      </c>
      <c r="E30" s="16" t="s">
        <v>674</v>
      </c>
      <c r="F30" s="1589">
        <f>IF(BE3="NON",ROUND(+(MIN(F35,30)-D33),0),F35-D33)</f>
        <v>0</v>
      </c>
      <c r="H30" s="47"/>
      <c r="V30" s="395">
        <v>11</v>
      </c>
      <c r="W30" s="395" t="str">
        <f>+IF(AND($W$16="OUI",A153&lt;&gt;"Hors période",B153=0),"JAUNE","NON")</f>
        <v>JAUNE</v>
      </c>
      <c r="Y30" s="16"/>
      <c r="Z30" s="16"/>
      <c r="AA30" s="16"/>
      <c r="AB30" s="16" t="s">
        <v>746</v>
      </c>
      <c r="AC30" s="16"/>
      <c r="AD30" s="16"/>
      <c r="AE30" s="16"/>
    </row>
    <row r="31" spans="1:32" x14ac:dyDescent="0.2">
      <c r="C31" s="29" t="s">
        <v>678</v>
      </c>
      <c r="D31" s="1589">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95">
        <v>12</v>
      </c>
      <c r="W31" s="395" t="str">
        <f>+IF(AND($W$16="OUI",A154&lt;&gt;"Hors période",B154=0),"JAUNE","NON")</f>
        <v>JAUNE</v>
      </c>
      <c r="Y31" s="16"/>
      <c r="Z31" s="16"/>
      <c r="AA31" s="16"/>
      <c r="AB31" s="29" t="e">
        <f>+AE21&amp;" heure(s) X "&amp;D9&amp;" € ="</f>
        <v>#N/A</v>
      </c>
      <c r="AC31" s="357" t="e">
        <f>ROUND(+AE21*D9,2)</f>
        <v>#N/A</v>
      </c>
      <c r="AD31" s="16"/>
      <c r="AE31" s="16"/>
    </row>
    <row r="32" spans="1:32" x14ac:dyDescent="0.2">
      <c r="C32" s="29"/>
      <c r="D32" s="34"/>
      <c r="H32" s="16" t="str">
        <f>+"Il lui reste "&amp;F39&amp;" jour(s) et "&amp;D31&amp;" jour(s) de fractionnement"</f>
        <v>Il lui reste 0 jour(s) et 0 jour(s) de fractionnement</v>
      </c>
      <c r="V32" s="395" t="s">
        <v>669</v>
      </c>
      <c r="W32" s="395" t="str">
        <f>+IF(I6&lt;I4,"ROUGE","NON")</f>
        <v>NON</v>
      </c>
      <c r="Y32" s="16"/>
      <c r="Z32" s="16"/>
      <c r="AA32" s="16"/>
      <c r="AB32" s="16"/>
      <c r="AC32" s="16"/>
      <c r="AD32" s="16"/>
      <c r="AE32" s="16"/>
    </row>
    <row r="33" spans="2:31" x14ac:dyDescent="0.2">
      <c r="C33" s="29" t="s">
        <v>675</v>
      </c>
      <c r="D33" s="34">
        <f>ROUNDUP(IF(+F23*2.5+F25&lt;30,+F23*2.5+F25,30),0)</f>
        <v>0</v>
      </c>
      <c r="Y33" s="16"/>
      <c r="Z33" s="16"/>
      <c r="AA33" s="16"/>
      <c r="AB33" s="16" t="s">
        <v>745</v>
      </c>
      <c r="AC33" s="16"/>
      <c r="AD33" s="16"/>
      <c r="AE33" s="16"/>
    </row>
    <row r="34" spans="2:31" x14ac:dyDescent="0.2">
      <c r="C34" s="29"/>
      <c r="D34" s="29"/>
      <c r="H34" s="47" t="s">
        <v>589</v>
      </c>
      <c r="Y34" s="16"/>
      <c r="Z34" s="16"/>
      <c r="AA34" s="16"/>
      <c r="AB34" s="29" t="e">
        <f>+AE23&amp;" heure(s) X "&amp;D11&amp;" € ="</f>
        <v>#N/A</v>
      </c>
      <c r="AC34" s="357" t="e">
        <f>+ROUND(AE23*D11,2)</f>
        <v>#N/A</v>
      </c>
      <c r="AD34" s="16"/>
      <c r="AE34" s="16"/>
    </row>
    <row r="35" spans="2:31" x14ac:dyDescent="0.2">
      <c r="C35" s="29" t="s">
        <v>587</v>
      </c>
      <c r="D35" s="1589">
        <f>ROUND(+F23*2.5+D30+F25,2)</f>
        <v>0</v>
      </c>
      <c r="E35" s="51" t="s">
        <v>588</v>
      </c>
      <c r="F35" s="1591">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590</v>
      </c>
      <c r="D37" s="1589">
        <f>IFERROR(IF(D38="",+VLOOKUP(BK8,BDD,16,FALSE)+VLOOKUP(BK8,BDD,15,FALSE),D38),0)</f>
        <v>0</v>
      </c>
      <c r="E37" s="16" t="s">
        <v>591</v>
      </c>
      <c r="H37" s="16" t="e">
        <f>+IF(C41="Méthode 1",AK2,"")</f>
        <v>#N/A</v>
      </c>
      <c r="Y37" s="16"/>
      <c r="Z37" s="16"/>
      <c r="AA37" s="16"/>
      <c r="AB37" s="16"/>
      <c r="AC37" s="16"/>
      <c r="AD37" s="16"/>
      <c r="AE37" s="16"/>
    </row>
    <row r="38" spans="2:31" x14ac:dyDescent="0.2">
      <c r="C38" s="29" t="s">
        <v>680</v>
      </c>
      <c r="D38" s="1170"/>
      <c r="H38" s="47"/>
      <c r="Y38" s="16"/>
      <c r="Z38" s="16"/>
      <c r="AA38" s="16"/>
      <c r="AB38" s="16"/>
      <c r="AC38" s="16"/>
      <c r="AD38" s="16"/>
      <c r="AE38" s="16"/>
    </row>
    <row r="39" spans="2:31" x14ac:dyDescent="0.2">
      <c r="C39" s="29" t="s">
        <v>592</v>
      </c>
      <c r="D39" s="1589">
        <f>F35-D37</f>
        <v>0</v>
      </c>
      <c r="E39" s="51" t="s">
        <v>588</v>
      </c>
      <c r="F39" s="1591">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1403</v>
      </c>
      <c r="C41" s="69" t="str">
        <f>IFERROR(+IF(C42="",VLOOKUP(BK8,BDD,39,FALSE),C42),"")</f>
        <v>Méthode 1</v>
      </c>
      <c r="D41" s="34"/>
      <c r="E41" s="27"/>
      <c r="F41" s="53"/>
    </row>
    <row r="42" spans="2:31" hidden="1" x14ac:dyDescent="0.2">
      <c r="B42" s="29" t="s">
        <v>503</v>
      </c>
      <c r="C42" s="1091" t="s">
        <v>362</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737</v>
      </c>
      <c r="C46" s="1170"/>
      <c r="D46" s="29" t="s">
        <v>741</v>
      </c>
      <c r="E46" s="1170"/>
      <c r="F46" s="53"/>
    </row>
    <row r="47" spans="2:31" x14ac:dyDescent="0.2">
      <c r="B47" s="29" t="s">
        <v>738</v>
      </c>
      <c r="C47" s="1170"/>
      <c r="D47" s="29" t="s">
        <v>742</v>
      </c>
      <c r="E47" s="1170"/>
      <c r="F47" s="53"/>
    </row>
    <row r="48" spans="2:31" x14ac:dyDescent="0.2">
      <c r="B48" s="29" t="s">
        <v>739</v>
      </c>
      <c r="C48" s="1170"/>
      <c r="D48" s="29" t="s">
        <v>743</v>
      </c>
      <c r="E48" s="1170"/>
      <c r="F48" s="53"/>
    </row>
    <row r="49" spans="1:8" x14ac:dyDescent="0.2">
      <c r="B49" s="29" t="s">
        <v>740</v>
      </c>
      <c r="C49" s="1133"/>
      <c r="D49" s="29" t="s">
        <v>744</v>
      </c>
      <c r="E49" s="1133"/>
      <c r="F49" s="53"/>
    </row>
    <row r="51" spans="1:8" x14ac:dyDescent="0.2">
      <c r="A51" s="678" t="s">
        <v>593</v>
      </c>
      <c r="B51" s="679"/>
      <c r="C51" s="680"/>
      <c r="D51" s="432" t="e">
        <f>IF(OR(BF13="OUI",AND(BF9="OUI",BF10&lt;&gt;52)),0,IFERROR(ROUND(IF(C41="Méthode 1",+(D15/6)*(F39+D31),AC31+AC34),2),0))</f>
        <v>#N/A</v>
      </c>
    </row>
    <row r="52" spans="1:8" x14ac:dyDescent="0.2">
      <c r="A52" s="39"/>
      <c r="B52" s="39"/>
      <c r="C52" s="39"/>
      <c r="D52" s="681"/>
    </row>
    <row r="54" spans="1:8" x14ac:dyDescent="0.2">
      <c r="A54" s="645" t="s">
        <v>594</v>
      </c>
    </row>
    <row r="56" spans="1:8" x14ac:dyDescent="0.2">
      <c r="A56" s="16" t="s">
        <v>595</v>
      </c>
      <c r="H56" s="46" t="s">
        <v>583</v>
      </c>
    </row>
    <row r="57" spans="1:8" ht="38.25" x14ac:dyDescent="0.2">
      <c r="B57" s="494" t="s">
        <v>1690</v>
      </c>
      <c r="C57" s="54" t="s">
        <v>614</v>
      </c>
      <c r="D57" s="494" t="s">
        <v>596</v>
      </c>
      <c r="H57" s="47" t="s">
        <v>597</v>
      </c>
    </row>
    <row r="58" spans="1:8" x14ac:dyDescent="0.2">
      <c r="A58" s="647" t="str">
        <f>+IF(AND(DATE(YEAR($BJ$5),6,30)&gt;=$BJ$5,DATE(YEAR($BJ$5),6,1)&lt;=$BK$5),DATE(YEAR($BJ$5),6,1),"Hors période")</f>
        <v>Hors période</v>
      </c>
      <c r="B58" s="31">
        <f t="shared" ref="B58:B69" si="6">IF(C58="",IFERROR(+VLOOKUP(A58,BDD,2,FALSE)+VLOOKUP(A58,BDD,100,FALSE),0),C58)</f>
        <v>0</v>
      </c>
      <c r="C58" s="1130"/>
      <c r="D58" s="31">
        <f>+ROUND((+B58*10%),2)</f>
        <v>0</v>
      </c>
      <c r="H58" s="47"/>
    </row>
    <row r="59" spans="1:8" x14ac:dyDescent="0.2">
      <c r="A59" s="647" t="str">
        <f>+IF(AND(DATE(YEAR($BJ$5),7,31)&gt;=$BJ$5,DATE(YEAR($BJ$5),7,1)&lt;=$BK$5),DATE(YEAR($BJ$5),7,1),"Hors période")</f>
        <v>Hors période</v>
      </c>
      <c r="B59" s="31">
        <f t="shared" si="6"/>
        <v>0</v>
      </c>
      <c r="C59" s="1130"/>
      <c r="D59" s="31">
        <f t="shared" ref="D59:D69" si="7">+ROUND((+B59*10%),2)</f>
        <v>0</v>
      </c>
      <c r="H59" s="47" t="s">
        <v>598</v>
      </c>
    </row>
    <row r="60" spans="1:8" x14ac:dyDescent="0.2">
      <c r="A60" s="647" t="str">
        <f>+IF(AND(DATE(YEAR($BJ$5),8,31)&gt;=$BJ$5,DATE(YEAR($BJ$5),8,1)&lt;=$BK$5),DATE(YEAR($BJ$5),8,1),"Hors période")</f>
        <v>Hors période</v>
      </c>
      <c r="B60" s="31">
        <f t="shared" si="6"/>
        <v>0</v>
      </c>
      <c r="C60" s="1130"/>
      <c r="D60" s="31">
        <f t="shared" si="7"/>
        <v>0</v>
      </c>
      <c r="H60" s="47" t="str">
        <f>+"[Salaire du mois ("&amp;B69&amp;" euros) x 10%]"</f>
        <v>[Salaire du mois (0 euros) x 10%]</v>
      </c>
    </row>
    <row r="61" spans="1:8" x14ac:dyDescent="0.2">
      <c r="A61" s="647" t="str">
        <f>+IF(AND(DATE(YEAR($BJ$5),9,30)&gt;=$BJ$5,DATE(YEAR($BJ$5),9,1)&lt;=$BK$5),DATE(YEAR($BJ$5),9,1),"Hors période")</f>
        <v>Hors période</v>
      </c>
      <c r="B61" s="31">
        <f t="shared" si="6"/>
        <v>0</v>
      </c>
      <c r="C61" s="1130"/>
      <c r="D61" s="31">
        <f t="shared" si="7"/>
        <v>0</v>
      </c>
      <c r="H61" s="47" t="str">
        <f>+"Soit pour la ligne du mois de Mai "&amp;ROUND(D69,2)&amp;" euros"</f>
        <v>Soit pour la ligne du mois de Mai 0 euros</v>
      </c>
    </row>
    <row r="62" spans="1:8" x14ac:dyDescent="0.2">
      <c r="A62" s="647" t="str">
        <f>+IF(AND(DATE(YEAR($BJ$5),10,31)&gt;=$BJ$5,DATE(YEAR($BJ$5),10,1)&lt;=$BK$5),DATE(YEAR($BJ$5),10,1),"Hors période")</f>
        <v>Hors période</v>
      </c>
      <c r="B62" s="31">
        <f t="shared" si="6"/>
        <v>0</v>
      </c>
      <c r="C62" s="1130"/>
      <c r="D62" s="31">
        <f t="shared" si="7"/>
        <v>0</v>
      </c>
      <c r="H62" s="47"/>
    </row>
    <row r="63" spans="1:8" x14ac:dyDescent="0.2">
      <c r="A63" s="647" t="str">
        <f>+IF(AND(DATE(YEAR($BJ$5),11,30)&gt;=$BJ$5,DATE(YEAR($BJ$5),11,1)&lt;=$BK$5),DATE(YEAR($BJ$5),11,1),"Hors période")</f>
        <v>Hors période</v>
      </c>
      <c r="B63" s="31">
        <f t="shared" si="6"/>
        <v>0</v>
      </c>
      <c r="C63" s="1130"/>
      <c r="D63" s="31">
        <f t="shared" si="7"/>
        <v>0</v>
      </c>
      <c r="H63" s="47" t="str">
        <f>+"Soit pour tous les mois un montant total de "&amp;ROUND(D70,2)&amp;" euros"</f>
        <v>Soit pour tous les mois un montant total de 0 euros</v>
      </c>
    </row>
    <row r="64" spans="1:8" x14ac:dyDescent="0.2">
      <c r="A64" s="647" t="str">
        <f>+IF(AND(DATE(YEAR($BJ$5),12,31)&gt;=$BJ$5,DATE(YEAR($BJ$5),12,1)&lt;=$BK$5),DATE(YEAR($BJ$5),12,1),"Hors période")</f>
        <v>Hors période</v>
      </c>
      <c r="B64" s="31">
        <f t="shared" si="6"/>
        <v>0</v>
      </c>
      <c r="C64" s="1130"/>
      <c r="D64" s="31">
        <f t="shared" si="7"/>
        <v>0</v>
      </c>
      <c r="H64" s="47"/>
    </row>
    <row r="65" spans="1:10" x14ac:dyDescent="0.2">
      <c r="A65" s="647" t="str">
        <f>+IF(AND(DATE(YEAR($BJ$5)+1,1,31)&gt;=$BJ$5,DATE(YEAR($BJ$5)+1,1,1)&lt;=$BK$5),DATE(YEAR($BJ$5)+1,1,1),+IF(AND(DATE(YEAR($BJ$5),1,31)&gt;=$BJ$5,DATE(YEAR($BJ$5),1,1)&lt;=$BK$5),DATE(YEAR($BJ$5),1,1),"Hors période"))</f>
        <v>Hors période</v>
      </c>
      <c r="B65" s="31">
        <f t="shared" si="6"/>
        <v>0</v>
      </c>
      <c r="C65" s="1130"/>
      <c r="D65" s="31">
        <f t="shared" si="7"/>
        <v>0</v>
      </c>
      <c r="H65" s="1564" t="s">
        <v>599</v>
      </c>
      <c r="I65" s="47"/>
    </row>
    <row r="66" spans="1:10" x14ac:dyDescent="0.2">
      <c r="A66" s="647" t="str">
        <f>+IF(AND(DATE(YEAR($BJ$5)+1,2,29)&gt;=$BJ$5,DATE(YEAR($BJ$5)+1,2,1)&lt;=$BK$5),DATE(YEAR($BJ$5)+1,2,1),IF(AND(DATE(YEAR($BJ$5),2,29)&gt;=$BJ$5,DATE(YEAR($BJ$5),2,1)&lt;=$BK$5),DATE(YEAR($BJ$5),2,1),"Hors période"))</f>
        <v>Hors période</v>
      </c>
      <c r="B66" s="31">
        <f t="shared" si="6"/>
        <v>0</v>
      </c>
      <c r="C66" s="1130"/>
      <c r="D66" s="31">
        <f t="shared" si="7"/>
        <v>0</v>
      </c>
      <c r="H66" s="1564" t="s">
        <v>600</v>
      </c>
    </row>
    <row r="67" spans="1:10" x14ac:dyDescent="0.2">
      <c r="A67" s="647" t="str">
        <f>+IF(AND(DATE(YEAR($BJ$5)+1,3,31)&gt;=$BJ$5,DATE(YEAR($BJ$5)+1,3,1)&lt;=$BK$5),DATE(YEAR($BJ$5)+1,3,1),IF(AND(DATE(YEAR($BJ$5),3,31)&gt;=$BJ$5,DATE(YEAR($BJ$5),3,1)&lt;=$BK$5),DATE(YEAR($BJ$5),3,1),"Hors période"))</f>
        <v>Hors période</v>
      </c>
      <c r="B67" s="31">
        <f t="shared" si="6"/>
        <v>0</v>
      </c>
      <c r="C67" s="1130"/>
      <c r="D67" s="31">
        <f t="shared" si="7"/>
        <v>0</v>
      </c>
      <c r="I67" s="56" t="str">
        <f>+D70&amp;" / "&amp;D33&amp;" X "&amp;F30</f>
        <v>0 / 0 X 0</v>
      </c>
      <c r="J67" s="47" t="str">
        <f>"= "&amp;IFERROR(ROUND(D70/D33*(F30),2),0)</f>
        <v>= 0</v>
      </c>
    </row>
    <row r="68" spans="1:10" x14ac:dyDescent="0.2">
      <c r="A68" s="647" t="str">
        <f>+IF(AND(DATE(YEAR($BJ$5)+1,4,30)&gt;=$BJ$5,DATE(YEAR($BJ$5)+1,4,1)&lt;=$BK$5),DATE(YEAR($BJ$5)+1,4,1),IF(AND(DATE(YEAR($BJ$5),4,30)&gt;=$BJ$5,DATE(YEAR($BJ$5),4,1)&lt;=$BK$5),DATE(YEAR($BJ$5),4,1),"Hors période"))</f>
        <v>Hors période</v>
      </c>
      <c r="B68" s="31">
        <f t="shared" si="6"/>
        <v>0</v>
      </c>
      <c r="C68" s="1130"/>
      <c r="D68" s="31">
        <f t="shared" si="7"/>
        <v>0</v>
      </c>
      <c r="H68" s="47"/>
    </row>
    <row r="69" spans="1:10" x14ac:dyDescent="0.2">
      <c r="A69" s="647" t="str">
        <f>+IF(AND(DATE(YEAR($BJ$5)+1,5,31)&gt;=$BJ$5,DATE(YEAR($BJ$5)+1,5,1)&lt;=$BK$5),DATE(YEAR($BJ$5)+1,5,1),IF(AND(DATE(YEAR($BJ$5),5,31)&gt;=$BJ$5,DATE(YEAR($BJ$5),5,1)&lt;=$BK$5),DATE(YEAR($BJ$5),5,1),"Hors période"))</f>
        <v>Hors période</v>
      </c>
      <c r="B69" s="31">
        <f t="shared" si="6"/>
        <v>0</v>
      </c>
      <c r="C69" s="1130"/>
      <c r="D69" s="31">
        <f t="shared" si="7"/>
        <v>0</v>
      </c>
      <c r="H69" s="1564" t="s">
        <v>1692</v>
      </c>
      <c r="I69" s="47"/>
    </row>
    <row r="70" spans="1:10" x14ac:dyDescent="0.2">
      <c r="C70" s="38" t="s">
        <v>450</v>
      </c>
      <c r="D70" s="57">
        <f>ROUND(SUM(D58:D69),2)</f>
        <v>0</v>
      </c>
      <c r="H70" s="1564" t="s">
        <v>1693</v>
      </c>
    </row>
    <row r="71" spans="1:10" x14ac:dyDescent="0.2">
      <c r="D71" s="58"/>
      <c r="I71" s="56" t="str">
        <f>+D70&amp;" / "&amp;D33&amp;" X "&amp;D31</f>
        <v>0 / 0 X 0</v>
      </c>
      <c r="J71" s="47" t="str">
        <f>"= "&amp;IFERROR(ROUND(D70/D33*(D31),2),0)</f>
        <v>= 0</v>
      </c>
    </row>
    <row r="72" spans="1:10" x14ac:dyDescent="0.2">
      <c r="C72" s="29" t="s">
        <v>750</v>
      </c>
      <c r="D72" s="57">
        <f>ROUND(IF(D33,+D70/D33*(F30+D31),0),2)</f>
        <v>0</v>
      </c>
      <c r="H72" s="47"/>
    </row>
    <row r="73" spans="1:10" x14ac:dyDescent="0.2">
      <c r="C73" s="29" t="s">
        <v>1691</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590</v>
      </c>
      <c r="E75" s="1589">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347" t="s">
        <v>601</v>
      </c>
      <c r="B78" s="2347"/>
      <c r="C78" s="2347"/>
      <c r="D78" s="432" t="e">
        <f>IF(AND(BF9="OUI",BF10&lt;&gt;52),0,IF(F35,ROUND((SUM(D58:D69)+D72)/F35*F39,2),SUM(D58:D69)+D72))</f>
        <v>#N/A</v>
      </c>
    </row>
    <row r="79" spans="1:10" ht="13.5" thickBot="1" x14ac:dyDescent="0.25"/>
    <row r="80" spans="1:10" x14ac:dyDescent="0.2">
      <c r="A80" s="2406" t="s">
        <v>602</v>
      </c>
      <c r="B80" s="2407"/>
      <c r="C80" s="2407"/>
      <c r="D80" s="2407"/>
      <c r="E80" s="2407"/>
      <c r="F80" s="2408"/>
      <c r="G80" s="437"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 + nombre de jours de fractionnement ("&amp;D116&amp;"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33" t="s">
        <v>1457</v>
      </c>
      <c r="D88" s="2333"/>
      <c r="E88" s="2333"/>
      <c r="F88" s="2333"/>
      <c r="G88" s="2333"/>
      <c r="H88" s="2333"/>
      <c r="I88" s="2333"/>
    </row>
    <row r="89" spans="1:37" x14ac:dyDescent="0.2">
      <c r="C89" s="26"/>
      <c r="D89" s="27"/>
      <c r="E89" s="27"/>
      <c r="F89" s="27"/>
      <c r="G89" s="27"/>
      <c r="H89" s="27"/>
    </row>
    <row r="90" spans="1:37" x14ac:dyDescent="0.2">
      <c r="A90" s="16" t="s">
        <v>604</v>
      </c>
      <c r="B90" s="2334" t="str">
        <f>"Du "&amp;TEXT(BJ6,"jj/mm/aaaa")&amp;" au "&amp;TEXT(BK6,"jj/mm/aaaa")</f>
        <v>Du 01/06/3798 au 31/05/3799</v>
      </c>
      <c r="C90" s="2334"/>
      <c r="D90" s="2334"/>
    </row>
    <row r="91" spans="1:37" x14ac:dyDescent="0.2">
      <c r="A91" s="16" t="s">
        <v>29</v>
      </c>
      <c r="B91" s="2321">
        <f>+Identification!B25</f>
        <v>0</v>
      </c>
      <c r="C91" s="2321"/>
      <c r="D91" s="2321"/>
      <c r="H91" s="29"/>
      <c r="I91" s="30"/>
      <c r="AK91" s="16" t="s">
        <v>749</v>
      </c>
    </row>
    <row r="92" spans="1:37" x14ac:dyDescent="0.2">
      <c r="E92" s="16" t="s">
        <v>613</v>
      </c>
    </row>
    <row r="93" spans="1:37" x14ac:dyDescent="0.2">
      <c r="C93" s="29" t="s">
        <v>579</v>
      </c>
      <c r="D93" s="31">
        <f>IFERROR(IF(E93="",VLOOKUP(BK8,BDD,21,FALSE),E93),0)</f>
        <v>0</v>
      </c>
      <c r="E93" s="1130"/>
    </row>
    <row r="94" spans="1:37" x14ac:dyDescent="0.2">
      <c r="C94" s="29"/>
      <c r="Y94" s="418" t="s">
        <v>360</v>
      </c>
      <c r="Z94" s="16"/>
      <c r="AA94" s="16"/>
      <c r="AB94" s="29"/>
      <c r="AC94" s="151"/>
    </row>
    <row r="95" spans="1:37" x14ac:dyDescent="0.2">
      <c r="C95" s="29" t="s">
        <v>580</v>
      </c>
      <c r="D95" s="31">
        <f>IFERROR(+IF(E95="",VLOOKUP(BK8,BDD,22,FALSE),E95),0)</f>
        <v>0</v>
      </c>
      <c r="E95" s="1130"/>
      <c r="Y95" s="16" t="s">
        <v>726</v>
      </c>
      <c r="AB95" s="29"/>
      <c r="AC95" s="417"/>
    </row>
    <row r="96" spans="1:37" x14ac:dyDescent="0.2">
      <c r="C96" s="29"/>
    </row>
    <row r="97" spans="1:32" x14ac:dyDescent="0.2">
      <c r="C97" s="29"/>
      <c r="D97" s="34"/>
    </row>
    <row r="98" spans="1:32" x14ac:dyDescent="0.2">
      <c r="Y98" s="16"/>
      <c r="Z98" s="29"/>
      <c r="AA98" s="2400" t="s">
        <v>334</v>
      </c>
      <c r="AB98" s="2400" t="s">
        <v>335</v>
      </c>
      <c r="AC98" s="2400" t="s">
        <v>736</v>
      </c>
      <c r="AD98" s="2402" t="s">
        <v>337</v>
      </c>
      <c r="AE98" s="2400" t="s">
        <v>357</v>
      </c>
      <c r="AF98" s="2404" t="s">
        <v>358</v>
      </c>
    </row>
    <row r="99" spans="1:32" x14ac:dyDescent="0.2">
      <c r="C99" s="29" t="s">
        <v>581</v>
      </c>
      <c r="D99" s="38">
        <v>52</v>
      </c>
      <c r="Y99" s="16"/>
      <c r="Z99" s="16"/>
      <c r="AA99" s="2401"/>
      <c r="AB99" s="2401"/>
      <c r="AC99" s="2400"/>
      <c r="AD99" s="2403"/>
      <c r="AE99" s="2401"/>
      <c r="AF99" s="2405"/>
    </row>
    <row r="100" spans="1:32" x14ac:dyDescent="0.2">
      <c r="Y100" s="185"/>
      <c r="Z100" s="158" t="s">
        <v>321</v>
      </c>
      <c r="AA100" s="367" t="e">
        <f>+C132*AB100/6</f>
        <v>#N/A</v>
      </c>
      <c r="AB100" s="160" t="e">
        <f>+IF(AC100="",VLOOKUP($BK$8,BDD,30,FALSE),AC100)</f>
        <v>#N/A</v>
      </c>
      <c r="AC100" s="407"/>
      <c r="AD100" s="187" t="e">
        <f>+IF(AA100&gt;0,AA100*AB100/AB100,0)</f>
        <v>#N/A</v>
      </c>
      <c r="AE100" s="401" t="e">
        <f>+IF(AB100&gt;45,AD100*(1-((AB100-45)/AB100)),AD100)</f>
        <v>#N/A</v>
      </c>
      <c r="AF100" s="401" t="e">
        <f>+AD100-AE100</f>
        <v>#N/A</v>
      </c>
    </row>
    <row r="101" spans="1:32" x14ac:dyDescent="0.2">
      <c r="C101" s="29" t="s">
        <v>670</v>
      </c>
      <c r="D101" s="41" t="e">
        <f>IF(BF12="OUI",0,ROUND(+D93*12/D99,2))</f>
        <v>#N/A</v>
      </c>
      <c r="Y101" s="188"/>
      <c r="Z101" s="29" t="s">
        <v>322</v>
      </c>
      <c r="AA101" s="406" t="e">
        <f>+C133*AB101/6</f>
        <v>#N/A</v>
      </c>
      <c r="AB101" s="166" t="e">
        <f>+IF(AC101="",VLOOKUP($BK$8,BDD,31,FALSE),AC101)</f>
        <v>#N/A</v>
      </c>
      <c r="AC101" s="408"/>
      <c r="AD101" s="359" t="e">
        <f t="shared" ref="AD101:AD107" si="8">+IF(AA101&gt;0,AA101*AB101/AB101,0)</f>
        <v>#N/A</v>
      </c>
      <c r="AE101" s="402" t="e">
        <f>+IF(AB101&gt;45,AD101*(1-((AB101-45)/AB101)),AD101)</f>
        <v>#N/A</v>
      </c>
      <c r="AF101" s="402" t="e">
        <f>+AD101-AE101</f>
        <v>#N/A</v>
      </c>
    </row>
    <row r="102" spans="1:32" x14ac:dyDescent="0.2">
      <c r="Y102" s="188"/>
      <c r="Z102" s="95" t="s">
        <v>323</v>
      </c>
      <c r="AA102" s="406" t="e">
        <f>+C134*AB102/6</f>
        <v>#N/A</v>
      </c>
      <c r="AB102" s="166" t="e">
        <f>+IF(AC102="",VLOOKUP($BK$8,BDD,32,FALSE),AC102)</f>
        <v>#N/A</v>
      </c>
      <c r="AC102" s="408"/>
      <c r="AD102" s="359" t="e">
        <f t="shared" si="8"/>
        <v>#N/A</v>
      </c>
      <c r="AE102" s="402" t="e">
        <f t="shared" ref="AE102:AE107" si="9">+IF(AB102&gt;45,AD102*(1-((AB102-45)/AB102)),AD102)</f>
        <v>#N/A</v>
      </c>
      <c r="AF102" s="402" t="e">
        <f t="shared" ref="AF102:AF107" si="10">+AD102-AE102</f>
        <v>#N/A</v>
      </c>
    </row>
    <row r="103" spans="1:32" x14ac:dyDescent="0.2">
      <c r="A103" s="645" t="s">
        <v>582</v>
      </c>
      <c r="B103" s="18" t="e">
        <f>+IF(BF12="OUI","Contrat occasionnel, on utilise que la méthode des 10%","")</f>
        <v>#N/A</v>
      </c>
      <c r="H103" s="46" t="s">
        <v>583</v>
      </c>
      <c r="Y103" s="188"/>
      <c r="Z103" s="95" t="s">
        <v>324</v>
      </c>
      <c r="AA103" s="406" t="e">
        <f>+C135*AB103/6</f>
        <v>#N/A</v>
      </c>
      <c r="AB103" s="166" t="e">
        <f>+IF(AC103="",VLOOKUP($BK$8,BDD,33,FALSE),AC103)</f>
        <v>#N/A</v>
      </c>
      <c r="AC103" s="408"/>
      <c r="AD103" s="359" t="e">
        <f t="shared" si="8"/>
        <v>#N/A</v>
      </c>
      <c r="AE103" s="402" t="e">
        <f t="shared" si="9"/>
        <v>#N/A</v>
      </c>
      <c r="AF103" s="402" t="e">
        <f t="shared" si="10"/>
        <v>#N/A</v>
      </c>
    </row>
    <row r="104" spans="1:32" x14ac:dyDescent="0.2">
      <c r="H104" s="47"/>
      <c r="Y104" s="188"/>
      <c r="Z104" s="95" t="s">
        <v>325</v>
      </c>
      <c r="AA104" s="406" t="e">
        <f>+E132*AB104/6</f>
        <v>#N/A</v>
      </c>
      <c r="AB104" s="166" t="e">
        <f>+IF(AC104="",VLOOKUP($BK$8,BDD,34,FALSE),AC104)</f>
        <v>#N/A</v>
      </c>
      <c r="AC104" s="408"/>
      <c r="AD104" s="359" t="e">
        <f t="shared" si="8"/>
        <v>#N/A</v>
      </c>
      <c r="AE104" s="402" t="e">
        <f t="shared" si="9"/>
        <v>#N/A</v>
      </c>
      <c r="AF104" s="402" t="e">
        <f t="shared" si="10"/>
        <v>#N/A</v>
      </c>
    </row>
    <row r="105" spans="1:32" x14ac:dyDescent="0.2">
      <c r="E105" s="29" t="s">
        <v>584</v>
      </c>
      <c r="F105" s="48">
        <f>+IF(F106="",(IFERROR(VLOOKUP(BL6,BDD,27,FALSE),0)),F106)</f>
        <v>0</v>
      </c>
      <c r="H105" s="47" t="str">
        <f>+"L'AM a travaillé "&amp;F105&amp;" mois sur la période de référence (1er juin au 31 mai)"</f>
        <v>L'AM a travaillé 0 mois sur la période de référence (1er juin au 31 mai)</v>
      </c>
      <c r="Y105" s="188"/>
      <c r="Z105" s="95" t="s">
        <v>326</v>
      </c>
      <c r="AA105" s="406" t="e">
        <f>+E133*AB105/6</f>
        <v>#N/A</v>
      </c>
      <c r="AB105" s="166" t="e">
        <f>+IF(AC105="",VLOOKUP($BK$8,BDD,35,FALSE),AC105)</f>
        <v>#N/A</v>
      </c>
      <c r="AC105" s="408"/>
      <c r="AD105" s="359" t="e">
        <f t="shared" si="8"/>
        <v>#N/A</v>
      </c>
      <c r="AE105" s="402" t="e">
        <f t="shared" si="9"/>
        <v>#N/A</v>
      </c>
      <c r="AF105" s="402" t="e">
        <f t="shared" si="10"/>
        <v>#N/A</v>
      </c>
    </row>
    <row r="106" spans="1:32" x14ac:dyDescent="0.2">
      <c r="E106" s="29" t="s">
        <v>503</v>
      </c>
      <c r="F106" s="1199"/>
      <c r="H106" s="47"/>
      <c r="Y106" s="188"/>
      <c r="Z106" s="95" t="s">
        <v>327</v>
      </c>
      <c r="AA106" s="406" t="e">
        <f>+E134*AB106/6</f>
        <v>#N/A</v>
      </c>
      <c r="AB106" s="166" t="e">
        <f>+IF(AC106="",VLOOKUP($BK$8,BDD,36,FALSE),AC106)</f>
        <v>#N/A</v>
      </c>
      <c r="AC106" s="408"/>
      <c r="AD106" s="359" t="e">
        <f t="shared" si="8"/>
        <v>#N/A</v>
      </c>
      <c r="AE106" s="402" t="e">
        <f t="shared" si="9"/>
        <v>#N/A</v>
      </c>
      <c r="AF106" s="402"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9"/>
      <c r="Z107" s="175" t="s">
        <v>328</v>
      </c>
      <c r="AA107" s="368" t="e">
        <f>+E135*AB107/6</f>
        <v>#N/A</v>
      </c>
      <c r="AB107" s="176" t="e">
        <f>+IF(AC107="",VLOOKUP($BK$8,BDD,37,FALSE),AC107)</f>
        <v>#N/A</v>
      </c>
      <c r="AC107" s="409"/>
      <c r="AD107" s="190" t="e">
        <f t="shared" si="8"/>
        <v>#N/A</v>
      </c>
      <c r="AE107" s="403" t="e">
        <f t="shared" si="9"/>
        <v>#N/A</v>
      </c>
      <c r="AF107" s="403" t="e">
        <f t="shared" si="10"/>
        <v>#N/A</v>
      </c>
    </row>
    <row r="108" spans="1:32" x14ac:dyDescent="0.2">
      <c r="E108" s="29"/>
      <c r="F108" s="80"/>
      <c r="H108" s="47"/>
      <c r="Y108" s="16"/>
      <c r="Z108" s="16"/>
      <c r="AA108" s="16"/>
      <c r="AB108" s="16"/>
      <c r="AC108" s="16"/>
      <c r="AD108" s="191"/>
      <c r="AE108" s="360"/>
    </row>
    <row r="109" spans="1:32" x14ac:dyDescent="0.2">
      <c r="E109" s="29" t="s">
        <v>1116</v>
      </c>
      <c r="F109" s="65">
        <f>IF(BE6=1,0,F105)</f>
        <v>0</v>
      </c>
      <c r="H109" s="47" t="s">
        <v>586</v>
      </c>
      <c r="Y109" s="16"/>
      <c r="Z109" s="29"/>
      <c r="AA109" s="34"/>
      <c r="AB109" s="16"/>
      <c r="AC109" s="16"/>
      <c r="AD109" s="191"/>
      <c r="AE109" s="191"/>
    </row>
    <row r="110" spans="1:32" x14ac:dyDescent="0.2">
      <c r="H110" s="47"/>
      <c r="Y110" s="16"/>
      <c r="Z110" s="29"/>
      <c r="AA110" s="34"/>
      <c r="AB110" s="16"/>
      <c r="AC110" s="16"/>
      <c r="AD110" s="191"/>
      <c r="AE110" s="191"/>
    </row>
    <row r="111" spans="1:32" x14ac:dyDescent="0.2">
      <c r="E111" s="29" t="s">
        <v>1667</v>
      </c>
      <c r="F111" s="1588">
        <f>+IF(F112="",(IFERROR(VLOOKUP(BL6,BDD,99,FALSE),0)),F112)</f>
        <v>0</v>
      </c>
      <c r="H111" s="47" t="s">
        <v>676</v>
      </c>
      <c r="Y111" s="16"/>
      <c r="Z111" s="29"/>
      <c r="AA111" s="34"/>
      <c r="AB111" s="16"/>
      <c r="AC111" s="16"/>
      <c r="AD111" s="191"/>
      <c r="AE111" s="191"/>
    </row>
    <row r="112" spans="1:32" x14ac:dyDescent="0.2">
      <c r="E112" s="29" t="s">
        <v>503</v>
      </c>
      <c r="F112" s="1169"/>
      <c r="H112" s="1547" t="s">
        <v>1669</v>
      </c>
      <c r="Y112" s="16"/>
      <c r="Z112" s="29"/>
      <c r="AA112" s="34"/>
      <c r="AB112" s="16"/>
      <c r="AC112" s="16"/>
      <c r="AD112" s="191"/>
      <c r="AE112" s="191"/>
    </row>
    <row r="113" spans="2:31" x14ac:dyDescent="0.2">
      <c r="Y113" s="19"/>
      <c r="Z113" s="39"/>
      <c r="AA113" s="195"/>
      <c r="AB113" s="16"/>
      <c r="AC113" s="16"/>
      <c r="AD113" s="95" t="s">
        <v>130</v>
      </c>
      <c r="AE113" s="196"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6"/>
      <c r="AB114" s="16"/>
      <c r="AC114" s="16"/>
      <c r="AD114" s="16"/>
      <c r="AE114" s="16"/>
    </row>
    <row r="115" spans="2:31" x14ac:dyDescent="0.2">
      <c r="C115" s="29" t="s">
        <v>679</v>
      </c>
      <c r="D115" s="1593">
        <f>IF((BK6=DATE(YEAR(Identification!B61),5,31)),'CP Année Complète au 31-05'!D28,Janvier!AH87)</f>
        <v>0</v>
      </c>
      <c r="E115" s="16" t="s">
        <v>674</v>
      </c>
      <c r="F115" s="1589">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131</v>
      </c>
      <c r="AE115" s="196"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675</v>
      </c>
      <c r="D119" s="1590">
        <f>ROUNDUP(IF(+F109*2.5+F111&lt;30,+F109*2.5+F111,30),0)</f>
        <v>0</v>
      </c>
      <c r="H119" s="16" t="str">
        <f>+"Il lui reste "&amp;F125&amp;" jour(s)"</f>
        <v>Il lui reste 0 jour(s)</v>
      </c>
      <c r="Y119" s="16"/>
      <c r="Z119" s="16"/>
      <c r="AA119" s="16"/>
      <c r="AB119" s="16" t="s">
        <v>746</v>
      </c>
      <c r="AC119" s="16"/>
      <c r="AD119" s="16"/>
      <c r="AE119" s="16"/>
    </row>
    <row r="120" spans="2:31" x14ac:dyDescent="0.2">
      <c r="C120" s="29"/>
      <c r="D120" s="29"/>
      <c r="Y120" s="16"/>
      <c r="Z120" s="16"/>
      <c r="AA120" s="16"/>
      <c r="AB120" s="29" t="e">
        <f>+AE113&amp;" heure(s) X "&amp;D9&amp;" € ="</f>
        <v>#N/A</v>
      </c>
      <c r="AC120" s="357" t="e">
        <f>ROUND(+AE113*D9,2)</f>
        <v>#N/A</v>
      </c>
      <c r="AD120" s="16"/>
      <c r="AE120" s="16"/>
    </row>
    <row r="121" spans="2:31" x14ac:dyDescent="0.2">
      <c r="C121" s="29" t="s">
        <v>587</v>
      </c>
      <c r="D121" s="1589">
        <f>ROUND(+F109*2.5+D115+F111,2)</f>
        <v>0</v>
      </c>
      <c r="E121" s="51" t="s">
        <v>588</v>
      </c>
      <c r="F121" s="1591">
        <f>IF(D121&lt;30,ROUNDUP(D121,0),30)</f>
        <v>0</v>
      </c>
      <c r="Y121" s="16"/>
      <c r="Z121" s="16"/>
      <c r="AA121" s="16"/>
      <c r="AB121" s="16"/>
      <c r="AC121" s="16"/>
      <c r="AD121" s="16"/>
      <c r="AE121" s="16"/>
    </row>
    <row r="122" spans="2:31" x14ac:dyDescent="0.2">
      <c r="C122" s="29"/>
      <c r="D122" s="52"/>
      <c r="E122" s="27"/>
      <c r="F122" s="53"/>
      <c r="Y122" s="16"/>
      <c r="Z122" s="16"/>
      <c r="AA122" s="16"/>
      <c r="AB122" s="16" t="s">
        <v>745</v>
      </c>
      <c r="AC122" s="16"/>
      <c r="AD122" s="16"/>
      <c r="AE122" s="16"/>
    </row>
    <row r="123" spans="2:31" x14ac:dyDescent="0.2">
      <c r="C123" s="29" t="s">
        <v>590</v>
      </c>
      <c r="D123" s="1589">
        <f>IFERROR(+IF(D124="",VLOOKUP(BK8,BDD,13,FALSE)+VLOOKUP(BK8,BDD,14,FALSE),D124),0)</f>
        <v>0</v>
      </c>
      <c r="E123" s="16" t="s">
        <v>591</v>
      </c>
      <c r="H123" s="47" t="s">
        <v>589</v>
      </c>
      <c r="Y123" s="16"/>
      <c r="Z123" s="16"/>
      <c r="AA123" s="16"/>
      <c r="AB123" s="29" t="e">
        <f>+AE115&amp;" heure(s) X "&amp;D11&amp;" € ="</f>
        <v>#N/A</v>
      </c>
      <c r="AC123" s="357" t="e">
        <f>+ROUND(AE115*D11,2)</f>
        <v>#N/A</v>
      </c>
      <c r="AD123" s="16"/>
      <c r="AE123" s="16"/>
    </row>
    <row r="124" spans="2:31" x14ac:dyDescent="0.2">
      <c r="C124" s="29"/>
      <c r="D124" s="1170"/>
    </row>
    <row r="125" spans="2:31" x14ac:dyDescent="0.2">
      <c r="C125" s="29" t="s">
        <v>592</v>
      </c>
      <c r="D125" s="1589">
        <f>F121-D123</f>
        <v>0</v>
      </c>
      <c r="E125" s="51" t="s">
        <v>588</v>
      </c>
      <c r="F125" s="1591">
        <f>IF(D125&lt;30,ROUNDUP(D125,0),30)</f>
        <v>0</v>
      </c>
      <c r="H125" s="16" t="e">
        <f>+IF(C127="Méthode 1",AK86,"")</f>
        <v>#N/A</v>
      </c>
    </row>
    <row r="126" spans="2:31" x14ac:dyDescent="0.2">
      <c r="H126" s="16" t="e">
        <f>+IF(C127="Méthode 1",AK87,"")</f>
        <v>#N/A</v>
      </c>
    </row>
    <row r="127" spans="2:31" x14ac:dyDescent="0.2">
      <c r="B127" s="29" t="s">
        <v>1403</v>
      </c>
      <c r="C127" s="69" t="str">
        <f>IFERROR(+IF(C128="",VLOOKUP(BK8,BDD,39,FALSE),C128),"")</f>
        <v>Méthode 1</v>
      </c>
      <c r="D127" s="34"/>
      <c r="E127" s="27"/>
      <c r="F127" s="53"/>
      <c r="H127" s="47"/>
    </row>
    <row r="128" spans="2:31" hidden="1" x14ac:dyDescent="0.2">
      <c r="B128" s="29" t="s">
        <v>503</v>
      </c>
      <c r="C128" s="1091" t="s">
        <v>362</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737</v>
      </c>
      <c r="C132" s="1170"/>
      <c r="D132" s="29" t="s">
        <v>741</v>
      </c>
      <c r="E132" s="1170"/>
      <c r="F132" s="53"/>
      <c r="H132" s="47"/>
    </row>
    <row r="133" spans="1:23" x14ac:dyDescent="0.2">
      <c r="B133" s="29" t="s">
        <v>738</v>
      </c>
      <c r="C133" s="1170"/>
      <c r="D133" s="29" t="s">
        <v>742</v>
      </c>
      <c r="E133" s="1170"/>
      <c r="F133" s="53"/>
    </row>
    <row r="134" spans="1:23" x14ac:dyDescent="0.2">
      <c r="B134" s="29" t="s">
        <v>739</v>
      </c>
      <c r="C134" s="1170"/>
      <c r="D134" s="29" t="s">
        <v>743</v>
      </c>
      <c r="E134" s="1170"/>
      <c r="F134" s="53"/>
    </row>
    <row r="135" spans="1:23" x14ac:dyDescent="0.2">
      <c r="B135" s="29" t="s">
        <v>740</v>
      </c>
      <c r="C135" s="1133"/>
      <c r="D135" s="29" t="s">
        <v>744</v>
      </c>
      <c r="E135" s="1133"/>
      <c r="F135" s="53"/>
    </row>
    <row r="136" spans="1:23" x14ac:dyDescent="0.2">
      <c r="B136" s="29"/>
      <c r="C136" s="34"/>
      <c r="D136" s="29"/>
      <c r="E136" s="34"/>
      <c r="F136" s="53"/>
    </row>
    <row r="137" spans="1:23" x14ac:dyDescent="0.2">
      <c r="A137" s="2409" t="s">
        <v>593</v>
      </c>
      <c r="B137" s="2410"/>
      <c r="C137" s="2411" t="s">
        <v>593</v>
      </c>
      <c r="D137" s="432" t="e">
        <f>IF(OR(BF12="OUI",AND(BF9="OUI",BF10&lt;&gt;52)),0,IFERROR(ROUND(IF(C127="Méthode 1",+ROUND((D101/6)*(F125+D116),2),AC120+AC123),2),0))</f>
        <v>#N/A</v>
      </c>
      <c r="E137" s="34"/>
      <c r="F137" s="53"/>
    </row>
    <row r="139" spans="1:23" x14ac:dyDescent="0.2">
      <c r="A139" s="645" t="s">
        <v>594</v>
      </c>
    </row>
    <row r="141" spans="1:23" x14ac:dyDescent="0.2">
      <c r="A141" s="16" t="s">
        <v>595</v>
      </c>
      <c r="H141" s="46" t="s">
        <v>583</v>
      </c>
    </row>
    <row r="142" spans="1:23" ht="38.25" x14ac:dyDescent="0.2">
      <c r="B142" s="1034" t="s">
        <v>1690</v>
      </c>
      <c r="C142" s="1035" t="s">
        <v>614</v>
      </c>
      <c r="D142" s="494" t="s">
        <v>596</v>
      </c>
      <c r="H142" s="47" t="s">
        <v>597</v>
      </c>
    </row>
    <row r="143" spans="1:23" x14ac:dyDescent="0.2">
      <c r="A143" s="647">
        <f>IFERROR(+IF(AND(DATE(YEAR($BJ$6),6,30)&gt;=$BJ$6,DATE(YEAR($BJ$6),6,1)&lt;=$BK$6),DATE(YEAR($BJ$6),6,1),"Hors période"),"")</f>
        <v>693384</v>
      </c>
      <c r="B143" s="987">
        <f t="shared" ref="B143:B154" si="11">IF(C143="",IFERROR(+VLOOKUP(A143,BDD,2,FALSE)+VLOOKUP(A143,BDD,100,FALSE),0),C143)</f>
        <v>0</v>
      </c>
      <c r="C143" s="1198"/>
      <c r="D143" s="31">
        <f>+ROUND((+B143*10%),2)</f>
        <v>0</v>
      </c>
      <c r="H143" s="47"/>
      <c r="V143" s="395">
        <v>1</v>
      </c>
      <c r="W143" s="395" t="str">
        <f>+IF(AND(A143&lt;&gt;"Hors période",B143=0),"JAUNE","NON")</f>
        <v>JAUNE</v>
      </c>
    </row>
    <row r="144" spans="1:23" x14ac:dyDescent="0.2">
      <c r="A144" s="647">
        <f>IFERROR(+IF(AND(DATE(YEAR($BJ$6),7,31)&gt;=$BJ$6,DATE(YEAR($BJ$6),7,1)&lt;=$BK$6),DATE(YEAR($BJ$6),7,1),"Hors période"),"")</f>
        <v>693414</v>
      </c>
      <c r="B144" s="987">
        <f t="shared" si="11"/>
        <v>0</v>
      </c>
      <c r="C144" s="1198"/>
      <c r="D144" s="31">
        <f t="shared" ref="D144:D154" si="12">+ROUND((+B144*10%),2)</f>
        <v>0</v>
      </c>
      <c r="H144" s="47" t="s">
        <v>598</v>
      </c>
      <c r="V144" s="395">
        <v>2</v>
      </c>
      <c r="W144" s="395" t="str">
        <f t="shared" ref="W144:W154" si="13">+IF(AND(A144&lt;&gt;"Hors période",B144=0),"JAUNE","NON")</f>
        <v>JAUNE</v>
      </c>
    </row>
    <row r="145" spans="1:23" x14ac:dyDescent="0.2">
      <c r="A145" s="647">
        <f>IFERROR(+IF(AND(DATE(YEAR($BJ$6),8,31)&gt;=$BJ$6,DATE(YEAR($BJ$6),8,1)&lt;=$BK$6),DATE(YEAR($BJ$6),8,1),"Hors période"),"")</f>
        <v>693445</v>
      </c>
      <c r="B145" s="987">
        <f t="shared" si="11"/>
        <v>0</v>
      </c>
      <c r="C145" s="1198"/>
      <c r="D145" s="31">
        <f t="shared" si="12"/>
        <v>0</v>
      </c>
      <c r="H145" s="47" t="str">
        <f>+"[Salaire du mois ("&amp;B154&amp;" euros) x 10%]"</f>
        <v>[Salaire du mois (0 euros) x 10%]</v>
      </c>
      <c r="V145" s="395">
        <v>3</v>
      </c>
      <c r="W145" s="395" t="str">
        <f t="shared" si="13"/>
        <v>JAUNE</v>
      </c>
    </row>
    <row r="146" spans="1:23" x14ac:dyDescent="0.2">
      <c r="A146" s="647">
        <f>IFERROR(+IF(AND(DATE(YEAR($BJ$6),9,30)&gt;=$BJ$6,DATE(YEAR($BJ$6),9,1)&lt;=$BK$6),DATE(YEAR($BJ$6),9,1),"Hors période"),"")</f>
        <v>693476</v>
      </c>
      <c r="B146" s="987">
        <f t="shared" si="11"/>
        <v>0</v>
      </c>
      <c r="C146" s="1198"/>
      <c r="D146" s="31">
        <f t="shared" si="12"/>
        <v>0</v>
      </c>
      <c r="H146" s="47" t="str">
        <f>+"Soit pour la ligne du mois de Mai "&amp;ROUND(D154,2)&amp;" euros"</f>
        <v>Soit pour la ligne du mois de Mai 0 euros</v>
      </c>
      <c r="V146" s="395">
        <v>4</v>
      </c>
      <c r="W146" s="395" t="str">
        <f t="shared" si="13"/>
        <v>JAUNE</v>
      </c>
    </row>
    <row r="147" spans="1:23" x14ac:dyDescent="0.2">
      <c r="A147" s="647">
        <f>IFERROR(+IF(AND(DATE(YEAR($BJ$6),10,31)&gt;=$BJ$6,DATE(YEAR($BJ$6),10,1)&lt;=$BK$6),DATE(YEAR($BJ$6),10,1),"Hors période"),"")</f>
        <v>693506</v>
      </c>
      <c r="B147" s="987">
        <f t="shared" si="11"/>
        <v>0</v>
      </c>
      <c r="C147" s="1198"/>
      <c r="D147" s="31">
        <f t="shared" si="12"/>
        <v>0</v>
      </c>
      <c r="H147" s="47"/>
      <c r="V147" s="395">
        <v>5</v>
      </c>
      <c r="W147" s="395" t="str">
        <f t="shared" si="13"/>
        <v>JAUNE</v>
      </c>
    </row>
    <row r="148" spans="1:23" x14ac:dyDescent="0.2">
      <c r="A148" s="647">
        <f>IFERROR(+IF(AND(DATE(YEAR($BJ$6),11,30)&gt;=$BJ$6,DATE(YEAR($BJ$6),11,1)&lt;=$BK$6),DATE(YEAR($BJ$6),11,1),"Hors période"),"")</f>
        <v>693537</v>
      </c>
      <c r="B148" s="987">
        <f t="shared" si="11"/>
        <v>0</v>
      </c>
      <c r="C148" s="1198"/>
      <c r="D148" s="31">
        <f t="shared" si="12"/>
        <v>0</v>
      </c>
      <c r="H148" s="47" t="str">
        <f>+"Soit pour tous les mois un montant total de "&amp;ROUND(D155,2)&amp;" euros"</f>
        <v>Soit pour tous les mois un montant total de 0 euros</v>
      </c>
      <c r="V148" s="395">
        <v>6</v>
      </c>
      <c r="W148" s="395" t="str">
        <f t="shared" si="13"/>
        <v>JAUNE</v>
      </c>
    </row>
    <row r="149" spans="1:23" x14ac:dyDescent="0.2">
      <c r="A149" s="647">
        <f>IFERROR(+IF(AND(DATE(YEAR($BJ$6),12,31)&gt;=$BJ$6,DATE(YEAR($BJ$6),12,1)&lt;=$BK$6),DATE(YEAR($BJ$6),12,1),"Hors période"),"")</f>
        <v>693567</v>
      </c>
      <c r="B149" s="987">
        <f t="shared" si="11"/>
        <v>0</v>
      </c>
      <c r="C149" s="1198"/>
      <c r="D149" s="31">
        <f t="shared" si="12"/>
        <v>0</v>
      </c>
      <c r="H149" s="47"/>
      <c r="V149" s="395">
        <v>7</v>
      </c>
      <c r="W149" s="395" t="str">
        <f t="shared" si="13"/>
        <v>JAUNE</v>
      </c>
    </row>
    <row r="150" spans="1:23" x14ac:dyDescent="0.2">
      <c r="A150" s="648">
        <f>IFERROR(+IF(AND(DATE(YEAR($BK$6),1,31)&gt;=$BJ$6,DATE(YEAR($BK$6),1,1)&lt;=$BK$6),DATE(YEAR($BK$6),1,1),"Hors période"),"")</f>
        <v>693598</v>
      </c>
      <c r="B150" s="987">
        <f t="shared" si="11"/>
        <v>0</v>
      </c>
      <c r="C150" s="1198"/>
      <c r="D150" s="31">
        <f t="shared" si="12"/>
        <v>0</v>
      </c>
      <c r="H150" s="682" t="s">
        <v>599</v>
      </c>
      <c r="I150" s="47"/>
      <c r="V150" s="395">
        <v>8</v>
      </c>
      <c r="W150" s="395" t="str">
        <f t="shared" si="13"/>
        <v>JAUNE</v>
      </c>
    </row>
    <row r="151" spans="1:23" x14ac:dyDescent="0.2">
      <c r="A151" s="648">
        <f>IFERROR(+IF(AND(DATE(YEAR($BK$6),2,29)&gt;=$BJ$6,DATE(YEAR($BK$6),2,1)&lt;=$BK$6),DATE(YEAR($BK$6),2,1),"Hors période"),"")</f>
        <v>693629</v>
      </c>
      <c r="B151" s="987">
        <f t="shared" si="11"/>
        <v>0</v>
      </c>
      <c r="C151" s="1198"/>
      <c r="D151" s="31">
        <f t="shared" si="12"/>
        <v>0</v>
      </c>
      <c r="H151" s="47" t="s">
        <v>751</v>
      </c>
      <c r="V151" s="395">
        <v>9</v>
      </c>
      <c r="W151" s="395" t="str">
        <f t="shared" si="13"/>
        <v>JAUNE</v>
      </c>
    </row>
    <row r="152" spans="1:23" x14ac:dyDescent="0.2">
      <c r="A152" s="648">
        <f>IFERROR(+IF(AND(DATE(YEAR($BK$6),3,31)&gt;=$BJ$6,DATE(YEAR($BK$6),3,1)&lt;=$BK$6),DATE(YEAR($BK$6),3,1),"Hors période"),"")</f>
        <v>693657</v>
      </c>
      <c r="B152" s="987">
        <f t="shared" si="11"/>
        <v>0</v>
      </c>
      <c r="C152" s="1198"/>
      <c r="D152" s="31">
        <f t="shared" si="12"/>
        <v>0</v>
      </c>
      <c r="I152" s="56" t="str">
        <f>+D155&amp;" / "&amp;D119&amp;" X "&amp;F115</f>
        <v>0 / 0 X 0</v>
      </c>
      <c r="J152" s="47" t="str">
        <f>"= "&amp;IFERROR(ROUND(D155/D119*(F115),2),0)</f>
        <v>= 0</v>
      </c>
      <c r="V152" s="395">
        <v>10</v>
      </c>
      <c r="W152" s="395" t="str">
        <f t="shared" si="13"/>
        <v>JAUNE</v>
      </c>
    </row>
    <row r="153" spans="1:23" x14ac:dyDescent="0.2">
      <c r="A153" s="648">
        <f>IFERROR(+IF(AND(DATE(YEAR($BK$6),4,30)&gt;=$BJ$6,DATE(YEAR($BK$6),4,1)&lt;=$BK$6),DATE(YEAR($BK$6),4,1),"Hors période"),"")</f>
        <v>693688</v>
      </c>
      <c r="B153" s="987">
        <f t="shared" si="11"/>
        <v>0</v>
      </c>
      <c r="C153" s="1198"/>
      <c r="D153" s="31">
        <f t="shared" si="12"/>
        <v>0</v>
      </c>
      <c r="H153" s="47"/>
      <c r="V153" s="395">
        <v>11</v>
      </c>
      <c r="W153" s="395" t="str">
        <f t="shared" si="13"/>
        <v>JAUNE</v>
      </c>
    </row>
    <row r="154" spans="1:23" x14ac:dyDescent="0.2">
      <c r="A154" s="648">
        <f>IFERROR(+IF(AND(DATE(YEAR($BK$6),5,31)&gt;=$BJ$6,DATE(YEAR($BK$6),5,1)&lt;=$BK$6),DATE(YEAR($BK$6),5,1),"Hors période"),"")</f>
        <v>693718</v>
      </c>
      <c r="B154" s="987">
        <f t="shared" si="11"/>
        <v>0</v>
      </c>
      <c r="C154" s="1198"/>
      <c r="D154" s="31">
        <f t="shared" si="12"/>
        <v>0</v>
      </c>
      <c r="H154" s="47" t="str">
        <f>+"L'AM a déjà pris "&amp;E159&amp;" jour(s) sur les "&amp;F121&amp;" jour(s) acquis. Il lui reste "&amp;F125&amp;" jour(s) à prendre."</f>
        <v>L'AM a déjà pris 0 jour(s) sur les 0 jour(s) acquis. Il lui reste 0 jour(s) à prendre.</v>
      </c>
      <c r="V154" s="395">
        <v>12</v>
      </c>
      <c r="W154" s="395" t="str">
        <f t="shared" si="13"/>
        <v>JAUNE</v>
      </c>
    </row>
    <row r="155" spans="1:23" x14ac:dyDescent="0.2">
      <c r="C155" s="29" t="s">
        <v>450</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750</v>
      </c>
      <c r="D157" s="57">
        <f>IF(D119,ROUND(D155/D119*(F115),2),0)</f>
        <v>0</v>
      </c>
      <c r="H157" s="47"/>
    </row>
    <row r="159" spans="1:23" x14ac:dyDescent="0.2">
      <c r="D159" s="29" t="s">
        <v>590</v>
      </c>
      <c r="E159" s="1589">
        <f>+D123</f>
        <v>0</v>
      </c>
      <c r="F159" s="59"/>
    </row>
    <row r="160" spans="1:23" x14ac:dyDescent="0.2">
      <c r="D160" s="29"/>
      <c r="E160" s="58"/>
      <c r="F160" s="59"/>
    </row>
    <row r="162" spans="1:7" x14ac:dyDescent="0.2">
      <c r="A162" s="2347" t="s">
        <v>601</v>
      </c>
      <c r="B162" s="2347"/>
      <c r="C162" s="2347"/>
      <c r="D162" s="432" t="e">
        <f>IF(AND(BF9="OUI",BF10&lt;&gt;52),0,IFERROR(ROUND((SUM(D143:D154)+D157)/F121*F125,2),(SUM(D143:D154)+D157)))</f>
        <v>#N/A</v>
      </c>
    </row>
    <row r="163" spans="1:7" ht="13.5" thickBot="1" x14ac:dyDescent="0.25"/>
    <row r="164" spans="1:7" x14ac:dyDescent="0.2">
      <c r="A164" s="2406" t="s">
        <v>602</v>
      </c>
      <c r="B164" s="2407"/>
      <c r="C164" s="2407"/>
      <c r="D164" s="2407"/>
      <c r="E164" s="2407"/>
      <c r="F164" s="2408"/>
      <c r="G164" s="437" t="e">
        <f>IF(BE6=1,0,+IF(D162&gt;D137,D162,D137))</f>
        <v>#N/A</v>
      </c>
    </row>
    <row r="165" spans="1:7" ht="13.5" thickBot="1" x14ac:dyDescent="0.25">
      <c r="A165" s="60"/>
      <c r="B165" s="61"/>
      <c r="C165" s="61"/>
      <c r="D165" s="61"/>
      <c r="E165" s="61"/>
      <c r="F165" s="61"/>
      <c r="G165" s="62"/>
    </row>
  </sheetData>
  <sheetProtection algorithmName="SHA-512" hashValue="do60HSRbwzTcITMi7SDJFhaV5xlyHfEsx18FioLcUfpkSoj45Q4ny9XxIWekM6YXl/xQNUx9jx6me0pMQSWbJg==" saltValue="lpgHfwipooBTwLuYKJfvNg==" spinCount="100000" sheet="1" objects="1" scenarios="1" formatCells="0" formatColumns="0" formatRows="0" insertColumns="0" insertRows="0" insertHyperlinks="0" sort="0" autoFilter="0" pivotTables="0"/>
  <mergeCells count="25">
    <mergeCell ref="AF98:AF99"/>
    <mergeCell ref="AA98:AA99"/>
    <mergeCell ref="AB98:AB99"/>
    <mergeCell ref="AC98:AC99"/>
    <mergeCell ref="AD98:AD99"/>
    <mergeCell ref="AE98:AE99"/>
    <mergeCell ref="C2:I2"/>
    <mergeCell ref="A164:F164"/>
    <mergeCell ref="A137:C137"/>
    <mergeCell ref="A162:C162"/>
    <mergeCell ref="H12:I12"/>
    <mergeCell ref="H13:I13"/>
    <mergeCell ref="A80:F80"/>
    <mergeCell ref="B91:D91"/>
    <mergeCell ref="B4:D4"/>
    <mergeCell ref="B5:D5"/>
    <mergeCell ref="B90:D90"/>
    <mergeCell ref="A78:C78"/>
    <mergeCell ref="C88:I88"/>
    <mergeCell ref="AA8:AA9"/>
    <mergeCell ref="AB8:AB9"/>
    <mergeCell ref="AD8:AD9"/>
    <mergeCell ref="AE8:AE9"/>
    <mergeCell ref="AF8:AF9"/>
    <mergeCell ref="AC8:AC9"/>
  </mergeCells>
  <conditionalFormatting sqref="A44:E49">
    <cfRule type="expression" dxfId="2129" priority="32">
      <formula>$C$41="Méthode 1"</formula>
    </cfRule>
  </conditionalFormatting>
  <conditionalFormatting sqref="A132:F135 C130 A131:B131 D131:F131">
    <cfRule type="expression" dxfId="2128" priority="35">
      <formula>$C$127="Méthode 1"</formula>
    </cfRule>
  </conditionalFormatting>
  <conditionalFormatting sqref="A2:Q72 A78:Q166 H73:N75 A73:G77 O73:Q77">
    <cfRule type="expression" dxfId="2127" priority="9">
      <formula>$BE$5="OUI"</formula>
    </cfRule>
  </conditionalFormatting>
  <conditionalFormatting sqref="A87:Q87 A88:B88 J88:Q88 A89:Q110 G111:Q112 A111:D113 G113 I113:Q113 H114 I114:P116 A114:G138 Q114:Q138 H116 H117:P136 A139:Q166">
    <cfRule type="expression" dxfId="2126" priority="10">
      <formula>$BE$6=1</formula>
    </cfRule>
  </conditionalFormatting>
  <conditionalFormatting sqref="B142">
    <cfRule type="expression" dxfId="2125" priority="23">
      <formula>$BE$6=1</formula>
    </cfRule>
  </conditionalFormatting>
  <conditionalFormatting sqref="C58:C69">
    <cfRule type="expression" dxfId="2124" priority="40">
      <formula>W2="JAUNE"</formula>
    </cfRule>
  </conditionalFormatting>
  <conditionalFormatting sqref="C143:C154">
    <cfRule type="notContainsBlanks" dxfId="2123" priority="11">
      <formula>LEN(TRIM(C143))&gt;0</formula>
    </cfRule>
    <cfRule type="expression" dxfId="2122" priority="24">
      <formula>W143="JAUNE"</formula>
    </cfRule>
  </conditionalFormatting>
  <conditionalFormatting sqref="C144:C154">
    <cfRule type="expression" dxfId="2121" priority="12">
      <formula>W88="JAUNE"</formula>
    </cfRule>
  </conditionalFormatting>
  <conditionalFormatting sqref="E93 E95 D124 C128 C132:C135 E132:E135 E7 E9 E11 F20 D38 C42 C46:C49 E46:E49 C58:C69 AC10:AC17 AC100:AC107">
    <cfRule type="notContainsBlanks" dxfId="2120" priority="29">
      <formula>LEN(TRIM(C7))&gt;0</formula>
    </cfRule>
  </conditionalFormatting>
  <conditionalFormatting sqref="E25:F25 E26 E112">
    <cfRule type="expression" dxfId="2119" priority="8">
      <formula>$BF$4="OUI"</formula>
    </cfRule>
  </conditionalFormatting>
  <conditionalFormatting sqref="E111:F111">
    <cfRule type="expression" dxfId="2118" priority="4">
      <formula>$BF$4="OUI"</formula>
    </cfRule>
  </conditionalFormatting>
  <conditionalFormatting sqref="F26">
    <cfRule type="notContainsBlanks" dxfId="2117" priority="6">
      <formula>LEN(TRIM(F26))&gt;0</formula>
    </cfRule>
  </conditionalFormatting>
  <conditionalFormatting sqref="F106">
    <cfRule type="expression" dxfId="2116" priority="25">
      <formula>AND(BE6&lt;&gt;1,F105=0)</formula>
    </cfRule>
    <cfRule type="notContainsBlanks" dxfId="2115" priority="26">
      <formula>LEN(TRIM(F106))&gt;0</formula>
    </cfRule>
  </conditionalFormatting>
  <conditionalFormatting sqref="F112">
    <cfRule type="expression" dxfId="2114" priority="1">
      <formula>$BE$5="OUI"</formula>
    </cfRule>
    <cfRule type="notContainsBlanks" dxfId="2113" priority="2">
      <formula>LEN(TRIM(F112))&gt;0</formula>
    </cfRule>
  </conditionalFormatting>
  <conditionalFormatting sqref="F26:G26">
    <cfRule type="expression" dxfId="2112" priority="5">
      <formula>$BE$5="OUI"</formula>
    </cfRule>
  </conditionalFormatting>
  <conditionalFormatting sqref="I6">
    <cfRule type="expression" dxfId="2111" priority="180">
      <formula>$W$32="ROUGE"</formula>
    </cfRule>
  </conditionalFormatting>
  <conditionalFormatting sqref="Y4:AF34">
    <cfRule type="expression" dxfId="2110" priority="1797">
      <formula>$C$41="Méthode 1"</formula>
    </cfRule>
  </conditionalFormatting>
  <conditionalFormatting sqref="Y94:AF123">
    <cfRule type="expression" dxfId="2109" priority="30">
      <formula>$C$127="Méthode 1"</formula>
    </cfRule>
  </conditionalFormatting>
  <conditionalFormatting sqref="AC31 AC34 AC120 AC123">
    <cfRule type="expression" dxfId="2108"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C15" sqref="C15"/>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81" t="s">
        <v>1427</v>
      </c>
      <c r="H1" s="1057" t="s">
        <v>1457</v>
      </c>
      <c r="AO1" s="30" t="str">
        <f>+A15</f>
        <v>Hors période</v>
      </c>
      <c r="AP1" s="37">
        <f>+$I$31</f>
        <v>0</v>
      </c>
      <c r="AQ1" s="16">
        <f t="shared" ref="AQ1:AQ12" si="0">+$I$70</f>
        <v>0</v>
      </c>
    </row>
    <row r="2" spans="1:43" ht="12.75" customHeight="1" x14ac:dyDescent="0.25">
      <c r="A2" s="17"/>
      <c r="AO2" s="30" t="str">
        <f t="shared" ref="AO2:AO12" si="1">+A16</f>
        <v>Hors période</v>
      </c>
      <c r="AP2" s="37">
        <f t="shared" ref="AP2:AP12" si="2">+$I$31</f>
        <v>0</v>
      </c>
      <c r="AQ2" s="16">
        <f t="shared" si="0"/>
        <v>0</v>
      </c>
    </row>
    <row r="3" spans="1:43" ht="12.75" customHeight="1" x14ac:dyDescent="0.25">
      <c r="A3" s="17"/>
      <c r="C3" s="29" t="s">
        <v>127</v>
      </c>
      <c r="D3" s="16">
        <f>+Identification!B25</f>
        <v>0</v>
      </c>
      <c r="K3" s="25" t="s">
        <v>1401</v>
      </c>
      <c r="L3" s="25"/>
      <c r="M3" s="25"/>
      <c r="AO3" s="30" t="str">
        <f t="shared" si="1"/>
        <v>Hors période</v>
      </c>
      <c r="AP3" s="37">
        <f t="shared" si="2"/>
        <v>0</v>
      </c>
      <c r="AQ3" s="16">
        <f t="shared" si="0"/>
        <v>0</v>
      </c>
    </row>
    <row r="4" spans="1:43" ht="12.75" customHeight="1" x14ac:dyDescent="0.2">
      <c r="AO4" s="30" t="str">
        <f t="shared" si="1"/>
        <v>Hors période</v>
      </c>
      <c r="AP4" s="37">
        <f t="shared" si="2"/>
        <v>0</v>
      </c>
      <c r="AQ4" s="16">
        <f t="shared" si="0"/>
        <v>0</v>
      </c>
    </row>
    <row r="5" spans="1:43" ht="12.75" customHeight="1" x14ac:dyDescent="0.2">
      <c r="C5" s="29" t="s">
        <v>8</v>
      </c>
      <c r="D5" s="582">
        <f>+Identification!B28</f>
        <v>0</v>
      </c>
      <c r="F5" s="29" t="s">
        <v>188</v>
      </c>
      <c r="G5" s="85">
        <f>+Identification!B95</f>
        <v>0</v>
      </c>
      <c r="I5" s="19" t="s">
        <v>1420</v>
      </c>
      <c r="K5" s="1022"/>
      <c r="L5" s="1021" t="s">
        <v>1410</v>
      </c>
      <c r="M5" s="980"/>
      <c r="N5" s="980"/>
      <c r="O5" s="980"/>
      <c r="P5" s="980"/>
      <c r="Q5" s="980"/>
      <c r="AO5" s="30" t="str">
        <f t="shared" si="1"/>
        <v>Hors période</v>
      </c>
      <c r="AP5" s="37">
        <f t="shared" si="2"/>
        <v>0</v>
      </c>
      <c r="AQ5" s="16">
        <f t="shared" si="0"/>
        <v>0</v>
      </c>
    </row>
    <row r="6" spans="1:43" ht="12.75" customHeight="1" x14ac:dyDescent="0.2">
      <c r="C6" s="29"/>
      <c r="D6" s="85"/>
      <c r="F6" s="29" t="s">
        <v>1458</v>
      </c>
      <c r="G6" s="582">
        <f>+Identification!B99</f>
        <v>0</v>
      </c>
      <c r="J6" s="39" t="s">
        <v>1421</v>
      </c>
      <c r="K6" s="1279" t="str">
        <f>+IF(Identification!B102=S.CAL!FO1,"OUI","NON")</f>
        <v>NON</v>
      </c>
      <c r="L6" s="1021" t="s">
        <v>1411</v>
      </c>
      <c r="M6" s="980"/>
      <c r="N6" s="980"/>
      <c r="O6" s="980"/>
      <c r="P6" s="980"/>
      <c r="Q6" s="980"/>
      <c r="AO6" s="30" t="str">
        <f t="shared" si="1"/>
        <v>Hors période</v>
      </c>
      <c r="AP6" s="37">
        <f t="shared" si="2"/>
        <v>0</v>
      </c>
      <c r="AQ6" s="16">
        <f t="shared" si="0"/>
        <v>0</v>
      </c>
    </row>
    <row r="7" spans="1:43" x14ac:dyDescent="0.2">
      <c r="AO7" s="30" t="str">
        <f t="shared" si="1"/>
        <v>Hors période</v>
      </c>
      <c r="AP7" s="37">
        <f t="shared" si="2"/>
        <v>0</v>
      </c>
      <c r="AQ7" s="16">
        <f t="shared" si="0"/>
        <v>0</v>
      </c>
    </row>
    <row r="8" spans="1:43" x14ac:dyDescent="0.2">
      <c r="C8" s="29" t="s">
        <v>176</v>
      </c>
      <c r="D8" s="2423" t="s">
        <v>1167</v>
      </c>
      <c r="E8" s="2423"/>
      <c r="F8" s="29" t="s">
        <v>178</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f t="shared" si="2"/>
        <v>0</v>
      </c>
      <c r="AQ8" s="16">
        <f t="shared" si="0"/>
        <v>0</v>
      </c>
    </row>
    <row r="9" spans="1:43" x14ac:dyDescent="0.2">
      <c r="C9" s="29" t="s">
        <v>915</v>
      </c>
      <c r="D9" s="2321" t="str">
        <f>+VLOOKUP(D8,A40:F44,4,FALSE)</f>
        <v>Salaire brut</v>
      </c>
      <c r="E9" s="2321"/>
      <c r="G9" s="29"/>
      <c r="I9" s="16" t="s">
        <v>1052</v>
      </c>
      <c r="K9" s="1280" t="str">
        <f>+IF(L9&gt;=M9,"OUI","NON")</f>
        <v>NON</v>
      </c>
      <c r="L9" s="581">
        <f>IF(G6=EOMONTH(G6,0),+DATEDIF(D5,G6,"m")+1,+DATEDIF(D5,G6,"m"))</f>
        <v>0</v>
      </c>
      <c r="M9" s="581">
        <f>+VLOOKUP(D8,A40:F44,5,FALSE)</f>
        <v>9</v>
      </c>
      <c r="N9" s="24"/>
      <c r="AO9" s="30" t="str">
        <f t="shared" si="1"/>
        <v>Hors période</v>
      </c>
      <c r="AP9" s="37">
        <f t="shared" si="2"/>
        <v>0</v>
      </c>
      <c r="AQ9" s="16">
        <f t="shared" si="0"/>
        <v>0</v>
      </c>
    </row>
    <row r="10" spans="1:43" x14ac:dyDescent="0.2">
      <c r="F10" s="2421" t="str">
        <f>+IF(D9=S.CAL!$CP$1,"Attention il faut noter le SALAIRE NET",IF(D9=S.CAL!$CP$2,"Attention il faut noter le SALAIRE BRUT",""))</f>
        <v>Attention il faut noter le SALAIRE BRUT</v>
      </c>
      <c r="G10" s="2421"/>
      <c r="H10" s="2421"/>
      <c r="I10" s="2421"/>
      <c r="J10" s="2421"/>
      <c r="K10" s="2421"/>
      <c r="L10" s="2421"/>
      <c r="M10" s="2421"/>
      <c r="N10" s="2421"/>
      <c r="AO10" s="30" t="str">
        <f t="shared" si="1"/>
        <v>Hors période</v>
      </c>
      <c r="AP10" s="37">
        <f t="shared" si="2"/>
        <v>0</v>
      </c>
      <c r="AQ10" s="16">
        <f t="shared" si="0"/>
        <v>0</v>
      </c>
    </row>
    <row r="11" spans="1:43" x14ac:dyDescent="0.2">
      <c r="F11" s="2422"/>
      <c r="G11" s="2422"/>
      <c r="H11" s="2422"/>
      <c r="I11" s="2422"/>
      <c r="J11" s="2422"/>
      <c r="K11" s="2422"/>
      <c r="L11" s="2422"/>
      <c r="M11" s="2422"/>
      <c r="N11" s="2422"/>
      <c r="AO11" s="30" t="str">
        <f t="shared" si="1"/>
        <v>Hors période</v>
      </c>
      <c r="AP11" s="37">
        <f t="shared" si="2"/>
        <v>0</v>
      </c>
      <c r="AQ11" s="16">
        <f t="shared" si="0"/>
        <v>0</v>
      </c>
    </row>
    <row r="12" spans="1:43" x14ac:dyDescent="0.2">
      <c r="A12" s="2418" t="s">
        <v>79</v>
      </c>
      <c r="B12" s="2419"/>
      <c r="C12" s="2420"/>
      <c r="D12" s="2412" t="s">
        <v>180</v>
      </c>
      <c r="E12" s="2413"/>
      <c r="F12" s="2414"/>
      <c r="G12" s="2418" t="s">
        <v>181</v>
      </c>
      <c r="H12" s="2419"/>
      <c r="I12" s="2420"/>
      <c r="J12" s="2412" t="s">
        <v>182</v>
      </c>
      <c r="K12" s="2413"/>
      <c r="L12" s="2414"/>
      <c r="M12" s="2418" t="s">
        <v>183</v>
      </c>
      <c r="N12" s="2419"/>
      <c r="O12" s="2420"/>
      <c r="P12" s="2412" t="s">
        <v>184</v>
      </c>
      <c r="Q12" s="2413"/>
      <c r="R12" s="2414"/>
      <c r="S12" s="2418" t="s">
        <v>185</v>
      </c>
      <c r="T12" s="2419"/>
      <c r="U12" s="2420"/>
      <c r="V12" s="2412" t="s">
        <v>186</v>
      </c>
      <c r="W12" s="2413"/>
      <c r="X12" s="2414"/>
      <c r="AO12" s="30" t="str">
        <f t="shared" si="1"/>
        <v>Hors période</v>
      </c>
      <c r="AP12" s="37">
        <f t="shared" si="2"/>
        <v>0</v>
      </c>
      <c r="AQ12" s="16">
        <f t="shared" si="0"/>
        <v>0</v>
      </c>
    </row>
    <row r="13" spans="1:43" x14ac:dyDescent="0.2">
      <c r="A13" s="2415">
        <f>+Identification!B60</f>
        <v>2025</v>
      </c>
      <c r="B13" s="2416"/>
      <c r="C13" s="2417"/>
      <c r="D13" s="2415">
        <f>+A13-1</f>
        <v>2024</v>
      </c>
      <c r="E13" s="2416"/>
      <c r="F13" s="2417"/>
      <c r="G13" s="2415">
        <f>+D13-1</f>
        <v>2023</v>
      </c>
      <c r="H13" s="2416"/>
      <c r="I13" s="2417"/>
      <c r="J13" s="2415">
        <f>+G13-1</f>
        <v>2022</v>
      </c>
      <c r="K13" s="2416"/>
      <c r="L13" s="2417"/>
      <c r="M13" s="2415">
        <f>+J13-1</f>
        <v>2021</v>
      </c>
      <c r="N13" s="2416"/>
      <c r="O13" s="2417"/>
      <c r="P13" s="2415">
        <f>+M13-1</f>
        <v>2020</v>
      </c>
      <c r="Q13" s="2416"/>
      <c r="R13" s="2417"/>
      <c r="S13" s="2415">
        <f>+P13-1</f>
        <v>2019</v>
      </c>
      <c r="T13" s="2416"/>
      <c r="U13" s="2417"/>
      <c r="V13" s="2415">
        <f>+S13-1</f>
        <v>2018</v>
      </c>
      <c r="W13" s="2416"/>
      <c r="X13" s="2417"/>
    </row>
    <row r="14" spans="1:43" x14ac:dyDescent="0.2">
      <c r="A14" s="649" t="s">
        <v>30</v>
      </c>
      <c r="B14" s="651" t="str">
        <f>+D9</f>
        <v>Salaire brut</v>
      </c>
      <c r="C14" s="87" t="s">
        <v>503</v>
      </c>
      <c r="D14" s="650" t="s">
        <v>30</v>
      </c>
      <c r="E14" s="652" t="str">
        <f>+D9</f>
        <v>Salaire brut</v>
      </c>
      <c r="F14" s="87" t="s">
        <v>671</v>
      </c>
      <c r="G14" s="650" t="s">
        <v>30</v>
      </c>
      <c r="H14" s="652" t="str">
        <f>+D9</f>
        <v>Salaire brut</v>
      </c>
      <c r="I14" s="87" t="s">
        <v>671</v>
      </c>
      <c r="J14" s="650" t="s">
        <v>30</v>
      </c>
      <c r="K14" s="652" t="str">
        <f>+D9</f>
        <v>Salaire brut</v>
      </c>
      <c r="L14" s="87" t="s">
        <v>671</v>
      </c>
      <c r="M14" s="650" t="s">
        <v>30</v>
      </c>
      <c r="N14" s="652" t="str">
        <f>+D9</f>
        <v>Salaire brut</v>
      </c>
      <c r="O14" s="87" t="s">
        <v>671</v>
      </c>
      <c r="P14" s="650" t="s">
        <v>30</v>
      </c>
      <c r="Q14" s="652" t="str">
        <f>+D9</f>
        <v>Salaire brut</v>
      </c>
      <c r="R14" s="87" t="s">
        <v>671</v>
      </c>
      <c r="S14" s="650" t="s">
        <v>30</v>
      </c>
      <c r="T14" s="652" t="str">
        <f>+D9</f>
        <v>Salaire brut</v>
      </c>
      <c r="U14" s="87" t="s">
        <v>671</v>
      </c>
      <c r="V14" s="650" t="s">
        <v>30</v>
      </c>
      <c r="W14" s="652" t="str">
        <f>+D9</f>
        <v>Salaire brut</v>
      </c>
      <c r="X14" s="86" t="s">
        <v>671</v>
      </c>
    </row>
    <row r="15" spans="1:43" x14ac:dyDescent="0.2">
      <c r="A15" s="480" t="str">
        <f>+IF(AND(DATE(YEAR($G$5),1,31)&gt;=$D$5,DATE(YEAR($G$5),1,1)&lt;=$G$5),DATE(YEAR($G$5),1,1),"Hors période")</f>
        <v>Hors période</v>
      </c>
      <c r="B15" s="483">
        <f>IF(AND(C15="",$D$9=S.CAL!$CP$1),IFERROR(+VLOOKUP(A15,BDD,29,FALSE),0),IF(AND(C15="",$D$9=S.CAL!$CP$2),IFERROR(+VLOOKUP(A15,BDD,40,FALSE),0),C15))</f>
        <v>0</v>
      </c>
      <c r="C15" s="1171"/>
      <c r="D15" s="88" t="str">
        <f>+IF(AND(DATE(YEAR($G$5)-1,1,31)&gt;=$D$5,DATE(YEAR($G$5)-1,1,1)&lt;=$G$5),DATE(YEAR($G$5)-1,1,1),"Hors période")</f>
        <v>Hors période</v>
      </c>
      <c r="E15" s="483">
        <f>IF(AND(F15="",$D$9=S.CAL!$CP$1),IFERROR(+VLOOKUP(D15,BDD,29,FALSE),0),IF(AND(F15="",$D$9=S.CAL!$CP$2),IFERROR(+VLOOKUP(D15,BDD,40,FALSE),0),F15))</f>
        <v>0</v>
      </c>
      <c r="F15" s="1174"/>
      <c r="G15" s="88" t="str">
        <f>+IF(AND(DATE(YEAR($G$5)-2,1,31)&gt;=$D$5,DATE(YEAR($G$5)-2,1,1)&lt;=$G$5),DATE(YEAR($G$5)-2,1,1),"Hors période")</f>
        <v>Hors période</v>
      </c>
      <c r="H15" s="483">
        <f>IF(AND(I15="",$D$9=S.CAL!$CP$1),IFERROR(+VLOOKUP(G15,BDD,29,FALSE),0),IF(AND(I15="",$D$9=S.CAL!$CP$2),IFERROR(+VLOOKUP(G15,BDD,40,FALSE),0),I15))</f>
        <v>0</v>
      </c>
      <c r="I15" s="1174"/>
      <c r="J15" s="88" t="str">
        <f>+IF(AND(DATE(YEAR($G$5)-3,1,31)&gt;=$D$5,DATE(YEAR($G$5)-3,1,1)&lt;=$G$5),DATE(YEAR($G$5)-3,1,1),"Hors période")</f>
        <v>Hors période</v>
      </c>
      <c r="K15" s="483">
        <f>IF(AND(L15="",$D$9=S.CAL!$CP$1),IFERROR(+VLOOKUP(J15,BDD,29,FALSE),0),IF(AND(L15="",$D$9=S.CAL!$CP$2),IFERROR(+VLOOKUP(J15,BDD,40,FALSE),0),L15))</f>
        <v>0</v>
      </c>
      <c r="L15" s="1174"/>
      <c r="M15" s="88" t="str">
        <f>+IF(AND(DATE(YEAR($G$5)-4,1,31)&gt;=$D$5,DATE(YEAR($G$5)-4,1,1)&lt;=$G$5),DATE(YEAR($G$5)-4,1,1),"Hors période")</f>
        <v>Hors période</v>
      </c>
      <c r="N15" s="483">
        <f>IF(AND(O15="",$D$9=S.CAL!$CP$1),IFERROR(+VLOOKUP(M15,BDD,29,FALSE),0),IF(AND(O15="",$D$9=S.CAL!$CP$2),IFERROR(+VLOOKUP(M15,BDD,40,FALSE),0),O15))</f>
        <v>0</v>
      </c>
      <c r="O15" s="1174"/>
      <c r="P15" s="88" t="str">
        <f>+IF(AND(DATE(YEAR($G$5)-5,1,31)&gt;=$D$5,DATE(YEAR($G$5)-5,1,1)&lt;=$G$5),DATE(YEAR($G$5)-5,1,1),"Hors période")</f>
        <v>Hors période</v>
      </c>
      <c r="Q15" s="483">
        <f>IF(AND(R15="",$D$9=S.CAL!$CP$1),IFERROR(+VLOOKUP(P15,BDD,29,FALSE),0),IF(AND(R15="",$D$9=S.CAL!$CP$2),IFERROR(+VLOOKUP(P15,BDD,40,FALSE),0),R15))</f>
        <v>0</v>
      </c>
      <c r="R15" s="1174"/>
      <c r="S15" s="88" t="str">
        <f>+IF(AND(DATE(YEAR($G$5)-6,1,31)&gt;=$D$5,DATE(YEAR($G$5)-6,1,1)&lt;=$G$5),DATE(YEAR($G$5)-6,1,1),"Hors période")</f>
        <v>Hors période</v>
      </c>
      <c r="T15" s="483">
        <f>IF(AND(U15="",$D$9=S.CAL!$CP$1),IFERROR(+VLOOKUP(S15,BDD,29,FALSE),0),IF(AND(U15="",$D$9=S.CAL!$CP$2),IFERROR(+VLOOKUP(S15,BDD,40,FALSE),0),U15))</f>
        <v>0</v>
      </c>
      <c r="U15" s="1174"/>
      <c r="V15" s="88" t="str">
        <f>+IF(AND(DATE(YEAR($G$5)-7,1,31)&gt;=$D$5,DATE(YEAR($G$5)-7,1,1)&lt;=$G$5),DATE(YEAR($G$5)-7,1,1),"Hors période")</f>
        <v>Hors période</v>
      </c>
      <c r="W15" s="483">
        <f>IF(AND(X15="",$D$9=S.CAL!$CP$1),IFERROR(+VLOOKUP(V15,BDD,29,FALSE),0),IF(AND(X15="",$D$9=S.CAL!$CP$2),IFERROR(+VLOOKUP(V15,BDD,40,FALSE),0),X15))</f>
        <v>0</v>
      </c>
      <c r="X15" s="1174"/>
    </row>
    <row r="16" spans="1:43" x14ac:dyDescent="0.2">
      <c r="A16" s="481" t="str">
        <f>+IF(AND(DATE(YEAR($G$5),2,29)&gt;=$D$5,DATE(YEAR($G$5),2,1)&lt;=$G$5),DATE(YEAR($G$5),2,1),"Hors période")</f>
        <v>Hors période</v>
      </c>
      <c r="B16" s="484">
        <f>IF(AND(C16="",$D$9=S.CAL!$CP$1),IFERROR(+VLOOKUP(A16,BDD,29,FALSE),0),IF(AND(C16="",$D$9=S.CAL!$CP$2),IFERROR(+VLOOKUP(A16,BDD,40,FALSE),0),C16))</f>
        <v>0</v>
      </c>
      <c r="C16" s="1172"/>
      <c r="D16" s="89" t="str">
        <f>+IF(AND(DATE(YEAR($G$5)-1,2,29)&gt;=$D$5,DATE(YEAR($G$5)-1,2,1)&lt;=$G$5),DATE(YEAR($G$5)-1,2,1),"Hors période")</f>
        <v>Hors période</v>
      </c>
      <c r="E16" s="484">
        <f>IF(AND(F16="",$D$9=S.CAL!$CP$1),IFERROR(+VLOOKUP(D16,BDD,29,FALSE),0),IF(AND(F16="",$D$9=S.CAL!$CP$2),IFERROR(+VLOOKUP(D16,BDD,40,FALSE),0),F16))</f>
        <v>0</v>
      </c>
      <c r="F16" s="1175"/>
      <c r="G16" s="89" t="str">
        <f>+IF(AND(DATE(YEAR($G$5)-2,2,29)&gt;=$D$5,DATE(YEAR($G$5)-2,2,1)&lt;=$G$5),DATE(YEAR($G$5)-2,2,1),"Hors période")</f>
        <v>Hors période</v>
      </c>
      <c r="H16" s="484">
        <f>IF(AND(I16="",$D$9=S.CAL!$CP$1),IFERROR(+VLOOKUP(G16,BDD,29,FALSE),0),IF(AND(I16="",$D$9=S.CAL!$CP$2),IFERROR(+VLOOKUP(G16,BDD,40,FALSE),0),I16))</f>
        <v>0</v>
      </c>
      <c r="I16" s="1175"/>
      <c r="J16" s="89" t="str">
        <f>+IF(AND(DATE(YEAR($G$5)-3,2,29)&gt;=$D$5,DATE(YEAR($G$5)-3,2,1)&lt;=$G$5),DATE(YEAR($G$5)-3,2,1),"Hors période")</f>
        <v>Hors période</v>
      </c>
      <c r="K16" s="484">
        <f>IF(AND(L16="",$D$9=S.CAL!$CP$1),IFERROR(+VLOOKUP(J16,BDD,29,FALSE),0),IF(AND(L16="",$D$9=S.CAL!$CP$2),IFERROR(+VLOOKUP(J16,BDD,40,FALSE),0),L16))</f>
        <v>0</v>
      </c>
      <c r="L16" s="1175"/>
      <c r="M16" s="89" t="str">
        <f>+IF(AND(DATE(YEAR($G$5)-4,2,29)&gt;=$D$5,DATE(YEAR($G$5)-4,2,1)&lt;=$G$5),DATE(YEAR($G$5)-4,2,1),"Hors période")</f>
        <v>Hors période</v>
      </c>
      <c r="N16" s="484">
        <f>IF(AND(O16="",$D$9=S.CAL!$CP$1),IFERROR(+VLOOKUP(M16,BDD,29,FALSE),0),IF(AND(O16="",$D$9=S.CAL!$CP$2),IFERROR(+VLOOKUP(M16,BDD,40,FALSE),0),O16))</f>
        <v>0</v>
      </c>
      <c r="O16" s="1175"/>
      <c r="P16" s="89" t="str">
        <f>+IF(AND(DATE(YEAR($G$5)-5,2,29)&gt;=$D$5,DATE(YEAR($G$5)-5,2,1)&lt;=$G$5),DATE(YEAR($G$5)-5,2,1),"Hors période")</f>
        <v>Hors période</v>
      </c>
      <c r="Q16" s="484">
        <f>IF(AND(R16="",$D$9=S.CAL!$CP$1),IFERROR(+VLOOKUP(P16,BDD,29,FALSE),0),IF(AND(R16="",$D$9=S.CAL!$CP$2),IFERROR(+VLOOKUP(P16,BDD,40,FALSE),0),R16))</f>
        <v>0</v>
      </c>
      <c r="R16" s="1175"/>
      <c r="S16" s="89" t="str">
        <f>+IF(AND(DATE(YEAR($G$5)-6,2,29)&gt;=$D$5,DATE(YEAR($G$5)-6,2,1)&lt;=$G$5),DATE(YEAR($G$5)-6,2,1),"Hors période")</f>
        <v>Hors période</v>
      </c>
      <c r="T16" s="484">
        <f>IF(AND(U16="",$D$9=S.CAL!$CP$1),IFERROR(+VLOOKUP(S16,BDD,29,FALSE),0),IF(AND(U16="",$D$9=S.CAL!$CP$2),IFERROR(+VLOOKUP(S16,BDD,40,FALSE),0),U16))</f>
        <v>0</v>
      </c>
      <c r="U16" s="1175"/>
      <c r="V16" s="89" t="str">
        <f>+IF(AND(DATE(YEAR($G$5)-7,2,29)&gt;=$D$5,DATE(YEAR($G$5)-7,2,1)&lt;=$G$5),DATE(YEAR($G$5)-7,2,1),"Hors période")</f>
        <v>Hors période</v>
      </c>
      <c r="W16" s="484">
        <f>IF(AND(X16="",$D$9=S.CAL!$CP$1),IFERROR(+VLOOKUP(V16,BDD,29,FALSE),0),IF(AND(X16="",$D$9=S.CAL!$CP$2),IFERROR(+VLOOKUP(V16,BDD,40,FALSE),0),X16))</f>
        <v>0</v>
      </c>
      <c r="X16" s="1175"/>
    </row>
    <row r="17" spans="1:24" x14ac:dyDescent="0.2">
      <c r="A17" s="481" t="str">
        <f>+IF(AND(DATE(YEAR($G$5),3,31)&gt;=$D$5,DATE(YEAR($G$5),3,1)&lt;=$G$5),DATE(YEAR($G$5),3,1),"Hors période")</f>
        <v>Hors période</v>
      </c>
      <c r="B17" s="484">
        <f>IF(AND(C17="",$D$9=S.CAL!$CP$1),IFERROR(+VLOOKUP(A17,BDD,29,FALSE),0),IF(AND(C17="",$D$9=S.CAL!$CP$2),IFERROR(+VLOOKUP(A17,BDD,40,FALSE),0),C17))</f>
        <v>0</v>
      </c>
      <c r="C17" s="1172"/>
      <c r="D17" s="89" t="str">
        <f>+IF(AND(DATE(YEAR($G$5)-1,3,31)&gt;=$D$5,DATE(YEAR($G$5)-1,3,1)&lt;=$G$5),DATE(YEAR($G$5)-1,3,1),"Hors période")</f>
        <v>Hors période</v>
      </c>
      <c r="E17" s="484">
        <f>IF(AND(F17="",$D$9=S.CAL!$CP$1),IFERROR(+VLOOKUP(D17,BDD,29,FALSE),0),IF(AND(F17="",$D$9=S.CAL!$CP$2),IFERROR(+VLOOKUP(D17,BDD,40,FALSE),0),F17))</f>
        <v>0</v>
      </c>
      <c r="F17" s="1175"/>
      <c r="G17" s="89" t="str">
        <f>+IF(AND(DATE(YEAR($G$5)-2,3,31)&gt;=$D$5,DATE(YEAR($G$5)-2,3,1)&lt;=$G$5),DATE(YEAR($G$5)-2,3,1),"Hors période")</f>
        <v>Hors période</v>
      </c>
      <c r="H17" s="484">
        <f>IF(AND(I17="",$D$9=S.CAL!$CP$1),IFERROR(+VLOOKUP(G17,BDD,29,FALSE),0),IF(AND(I17="",$D$9=S.CAL!$CP$2),IFERROR(+VLOOKUP(G17,BDD,40,FALSE),0),I17))</f>
        <v>0</v>
      </c>
      <c r="I17" s="1175"/>
      <c r="J17" s="89" t="str">
        <f>+IF(AND(DATE(YEAR($G$5)-3,3,31)&gt;=$D$5,DATE(YEAR($G$5)-3,3,1)&lt;=$G$5),DATE(YEAR($G$5)-3,3,1),"Hors période")</f>
        <v>Hors période</v>
      </c>
      <c r="K17" s="484">
        <f>IF(AND(L17="",$D$9=S.CAL!$CP$1),IFERROR(+VLOOKUP(J17,BDD,29,FALSE),0),IF(AND(L17="",$D$9=S.CAL!$CP$2),IFERROR(+VLOOKUP(J17,BDD,40,FALSE),0),L17))</f>
        <v>0</v>
      </c>
      <c r="L17" s="1175"/>
      <c r="M17" s="89" t="str">
        <f>+IF(AND(DATE(YEAR($G$5)-4,3,31)&gt;=$D$5,DATE(YEAR($G$5)-4,3,1)&lt;=$G$5),DATE(YEAR($G$5)-4,3,1),"Hors période")</f>
        <v>Hors période</v>
      </c>
      <c r="N17" s="484">
        <f>IF(AND(O17="",$D$9=S.CAL!$CP$1),IFERROR(+VLOOKUP(M17,BDD,29,FALSE),0),IF(AND(O17="",$D$9=S.CAL!$CP$2),IFERROR(+VLOOKUP(M17,BDD,40,FALSE),0),O17))</f>
        <v>0</v>
      </c>
      <c r="O17" s="1175"/>
      <c r="P17" s="89" t="str">
        <f>+IF(AND(DATE(YEAR($G$5)-5,3,31)&gt;=$D$5,DATE(YEAR($G$5)-5,3,1)&lt;=$G$5),DATE(YEAR($G$5)-5,3,1),"Hors période")</f>
        <v>Hors période</v>
      </c>
      <c r="Q17" s="484">
        <f>IF(AND(R17="",$D$9=S.CAL!$CP$1),IFERROR(+VLOOKUP(P17,BDD,29,FALSE),0),IF(AND(R17="",$D$9=S.CAL!$CP$2),IFERROR(+VLOOKUP(P17,BDD,40,FALSE),0),R17))</f>
        <v>0</v>
      </c>
      <c r="R17" s="1175"/>
      <c r="S17" s="89" t="str">
        <f>+IF(AND(DATE(YEAR($G$5)-6,3,31)&gt;=$D$5,DATE(YEAR($G$5)-6,3,1)&lt;=$G$5),DATE(YEAR($G$5)-6,3,1),"Hors période")</f>
        <v>Hors période</v>
      </c>
      <c r="T17" s="484">
        <f>IF(AND(U17="",$D$9=S.CAL!$CP$1),IFERROR(+VLOOKUP(S17,BDD,29,FALSE),0),IF(AND(U17="",$D$9=S.CAL!$CP$2),IFERROR(+VLOOKUP(S17,BDD,40,FALSE),0),U17))</f>
        <v>0</v>
      </c>
      <c r="U17" s="1175"/>
      <c r="V17" s="89" t="str">
        <f>+IF(AND(DATE(YEAR($G$5)-7,3,31)&gt;=$D$5,DATE(YEAR($G$5)-7,3,1)&lt;=$G$5),DATE(YEAR($G$5)-7,3,1),"Hors période")</f>
        <v>Hors période</v>
      </c>
      <c r="W17" s="484">
        <f>IF(AND(X17="",$D$9=S.CAL!$CP$1),IFERROR(+VLOOKUP(V17,BDD,29,FALSE),0),IF(AND(X17="",$D$9=S.CAL!$CP$2),IFERROR(+VLOOKUP(V17,BDD,40,FALSE),0),X17))</f>
        <v>0</v>
      </c>
      <c r="X17" s="1175"/>
    </row>
    <row r="18" spans="1:24" x14ac:dyDescent="0.2">
      <c r="A18" s="481" t="str">
        <f>+IF(AND(DATE(YEAR($G$5),4,30)&gt;=$D$5,DATE(YEAR($G$5),4,1)&lt;=$G$5),DATE(YEAR($G$5),4,1),"Hors période")</f>
        <v>Hors période</v>
      </c>
      <c r="B18" s="484">
        <f>IF(AND(C18="",$D$9=S.CAL!$CP$1),IFERROR(+VLOOKUP(A18,BDD,29,FALSE),0),IF(AND(C18="",$D$9=S.CAL!$CP$2),IFERROR(+VLOOKUP(A18,BDD,40,FALSE),0),C18))</f>
        <v>0</v>
      </c>
      <c r="C18" s="1172"/>
      <c r="D18" s="89" t="str">
        <f>+IF(AND(DATE(YEAR($G$5)-1,4,30)&gt;=$D$5,DATE(YEAR($G$5)-1,4,1)&lt;=$G$5),DATE(YEAR($G$5)-1,4,1),"Hors période")</f>
        <v>Hors période</v>
      </c>
      <c r="E18" s="484">
        <f>IF(AND(F18="",$D$9=S.CAL!$CP$1),IFERROR(+VLOOKUP(D18,BDD,29,FALSE),0),IF(AND(F18="",$D$9=S.CAL!$CP$2),IFERROR(+VLOOKUP(D18,BDD,40,FALSE),0),F18))</f>
        <v>0</v>
      </c>
      <c r="F18" s="1175"/>
      <c r="G18" s="89" t="str">
        <f>+IF(AND(DATE(YEAR($G$5)-2,4,30)&gt;=$D$5,DATE(YEAR($G$5)-2,4,1)&lt;=$G$5),DATE(YEAR($G$5)-2,4,1),"Hors période")</f>
        <v>Hors période</v>
      </c>
      <c r="H18" s="484">
        <f>IF(AND(I18="",$D$9=S.CAL!$CP$1),IFERROR(+VLOOKUP(G18,BDD,29,FALSE),0),IF(AND(I18="",$D$9=S.CAL!$CP$2),IFERROR(+VLOOKUP(G18,BDD,40,FALSE),0),I18))</f>
        <v>0</v>
      </c>
      <c r="I18" s="1175"/>
      <c r="J18" s="89" t="str">
        <f>+IF(AND(DATE(YEAR($G$5)-3,4,30)&gt;=$D$5,DATE(YEAR($G$5)-3,4,1)&lt;=$G$5),DATE(YEAR($G$5)-3,4,1),"Hors période")</f>
        <v>Hors période</v>
      </c>
      <c r="K18" s="484">
        <f>IF(AND(L18="",$D$9=S.CAL!$CP$1),IFERROR(+VLOOKUP(J18,BDD,29,FALSE),0),IF(AND(L18="",$D$9=S.CAL!$CP$2),IFERROR(+VLOOKUP(J18,BDD,40,FALSE),0),L18))</f>
        <v>0</v>
      </c>
      <c r="L18" s="1175"/>
      <c r="M18" s="89" t="str">
        <f>+IF(AND(DATE(YEAR($G$5)-4,4,30)&gt;=$D$5,DATE(YEAR($G$5)-4,4,1)&lt;=$G$5),DATE(YEAR($G$5)-4,4,1),"Hors période")</f>
        <v>Hors période</v>
      </c>
      <c r="N18" s="484">
        <f>IF(AND(O18="",$D$9=S.CAL!$CP$1),IFERROR(+VLOOKUP(M18,BDD,29,FALSE),0),IF(AND(O18="",$D$9=S.CAL!$CP$2),IFERROR(+VLOOKUP(M18,BDD,40,FALSE),0),O18))</f>
        <v>0</v>
      </c>
      <c r="O18" s="1175"/>
      <c r="P18" s="89" t="str">
        <f>+IF(AND(DATE(YEAR($G$5)-5,4,30)&gt;=$D$5,DATE(YEAR($G$5)-5,4,1)&lt;=$G$5),DATE(YEAR($G$5)-5,4,1),"Hors période")</f>
        <v>Hors période</v>
      </c>
      <c r="Q18" s="484">
        <f>IF(AND(R18="",$D$9=S.CAL!$CP$1),IFERROR(+VLOOKUP(P18,BDD,29,FALSE),0),IF(AND(R18="",$D$9=S.CAL!$CP$2),IFERROR(+VLOOKUP(P18,BDD,40,FALSE),0),R18))</f>
        <v>0</v>
      </c>
      <c r="R18" s="1175"/>
      <c r="S18" s="89" t="str">
        <f>+IF(AND(DATE(YEAR($G$5)-6,4,30)&gt;=$D$5,DATE(YEAR($G$5)-6,4,1)&lt;=$G$5),DATE(YEAR($G$5)-6,4,1),"Hors période")</f>
        <v>Hors période</v>
      </c>
      <c r="T18" s="484">
        <f>IF(AND(U18="",$D$9=S.CAL!$CP$1),IFERROR(+VLOOKUP(S18,BDD,29,FALSE),0),IF(AND(U18="",$D$9=S.CAL!$CP$2),IFERROR(+VLOOKUP(S18,BDD,40,FALSE),0),U18))</f>
        <v>0</v>
      </c>
      <c r="U18" s="1175"/>
      <c r="V18" s="89" t="str">
        <f>+IF(AND(DATE(YEAR($G$5)-7,4,30)&gt;=$D$5,DATE(YEAR($G$5)-7,4,1)&lt;=$G$5),DATE(YEAR($G$5)-7,4,1),"Hors période")</f>
        <v>Hors période</v>
      </c>
      <c r="W18" s="484">
        <f>IF(AND(X18="",$D$9=S.CAL!$CP$1),IFERROR(+VLOOKUP(V18,BDD,29,FALSE),0),IF(AND(X18="",$D$9=S.CAL!$CP$2),IFERROR(+VLOOKUP(V18,BDD,40,FALSE),0),X18))</f>
        <v>0</v>
      </c>
      <c r="X18" s="1175"/>
    </row>
    <row r="19" spans="1:24" x14ac:dyDescent="0.2">
      <c r="A19" s="481" t="str">
        <f>+IF(AND(DATE(YEAR($G$5),5,31)&gt;=$D$5,DATE(YEAR($G$5),5,1)&lt;=$G$5),DATE(YEAR($G$5),5,1),"Hors période")</f>
        <v>Hors période</v>
      </c>
      <c r="B19" s="484">
        <f>IF(AND(C19="",$D$9=S.CAL!$CP$1),IFERROR(+VLOOKUP(A19,BDD,29,FALSE),0),IF(AND(C19="",$D$9=S.CAL!$CP$2),IFERROR(+VLOOKUP(A19,BDD,40,FALSE),0),C19))</f>
        <v>0</v>
      </c>
      <c r="C19" s="1172"/>
      <c r="D19" s="89" t="str">
        <f>+IF(AND(DATE(YEAR($G$5)-1,5,31)&gt;=$D$5,DATE(YEAR($G$5)-1,5,1)&lt;=$G$5),DATE(YEAR($G$5)-1,5,1),"Hors période")</f>
        <v>Hors période</v>
      </c>
      <c r="E19" s="484">
        <f>IF(AND(F19="",$D$9=S.CAL!$CP$1),IFERROR(+VLOOKUP(D19,BDD,29,FALSE),0),IF(AND(F19="",$D$9=S.CAL!$CP$2),IFERROR(+VLOOKUP(D19,BDD,40,FALSE),0),F19))</f>
        <v>0</v>
      </c>
      <c r="F19" s="1175"/>
      <c r="G19" s="89" t="str">
        <f>+IF(AND(DATE(YEAR($G$5)-2,5,31)&gt;=$D$5,DATE(YEAR($G$5)-2,5,1)&lt;=$G$5),DATE(YEAR($G$5)-2,5,1),"Hors période")</f>
        <v>Hors période</v>
      </c>
      <c r="H19" s="484">
        <f>IF(AND(I19="",$D$9=S.CAL!$CP$1),IFERROR(+VLOOKUP(G19,BDD,29,FALSE),0),IF(AND(I19="",$D$9=S.CAL!$CP$2),IFERROR(+VLOOKUP(G19,BDD,40,FALSE),0),I19))</f>
        <v>0</v>
      </c>
      <c r="I19" s="1175"/>
      <c r="J19" s="89" t="str">
        <f>+IF(AND(DATE(YEAR($G$5)-3,5,31)&gt;=$D$5,DATE(YEAR($G$5)-3,5,1)&lt;=$G$5),DATE(YEAR($G$5)-3,5,1),"Hors période")</f>
        <v>Hors période</v>
      </c>
      <c r="K19" s="484">
        <f>IF(AND(L19="",$D$9=S.CAL!$CP$1),IFERROR(+VLOOKUP(J19,BDD,29,FALSE),0),IF(AND(L19="",$D$9=S.CAL!$CP$2),IFERROR(+VLOOKUP(J19,BDD,40,FALSE),0),L19))</f>
        <v>0</v>
      </c>
      <c r="L19" s="1175"/>
      <c r="M19" s="89" t="str">
        <f>+IF(AND(DATE(YEAR($G$5)-4,5,31)&gt;=$D$5,DATE(YEAR($G$5)-4,5,1)&lt;=$G$5),DATE(YEAR($G$5)-4,5,1),"Hors période")</f>
        <v>Hors période</v>
      </c>
      <c r="N19" s="484">
        <f>IF(AND(O19="",$D$9=S.CAL!$CP$1),IFERROR(+VLOOKUP(M19,BDD,29,FALSE),0),IF(AND(O19="",$D$9=S.CAL!$CP$2),IFERROR(+VLOOKUP(M19,BDD,40,FALSE),0),O19))</f>
        <v>0</v>
      </c>
      <c r="O19" s="1175"/>
      <c r="P19" s="89" t="str">
        <f>+IF(AND(DATE(YEAR($G$5)-5,5,31)&gt;=$D$5,DATE(YEAR($G$5)-5,5,1)&lt;=$G$5),DATE(YEAR($G$5)-5,5,1),"Hors période")</f>
        <v>Hors période</v>
      </c>
      <c r="Q19" s="484">
        <f>IF(AND(R19="",$D$9=S.CAL!$CP$1),IFERROR(+VLOOKUP(P19,BDD,29,FALSE),0),IF(AND(R19="",$D$9=S.CAL!$CP$2),IFERROR(+VLOOKUP(P19,BDD,40,FALSE),0),R19))</f>
        <v>0</v>
      </c>
      <c r="R19" s="1175"/>
      <c r="S19" s="89" t="str">
        <f>+IF(AND(DATE(YEAR($G$5)-6,5,31)&gt;=$D$5,DATE(YEAR($G$5)-6,5,1)&lt;=$G$5),DATE(YEAR($G$5)-6,5,1),"Hors période")</f>
        <v>Hors période</v>
      </c>
      <c r="T19" s="484">
        <f>IF(AND(U19="",$D$9=S.CAL!$CP$1),IFERROR(+VLOOKUP(S19,BDD,29,FALSE),0),IF(AND(U19="",$D$9=S.CAL!$CP$2),IFERROR(+VLOOKUP(S19,BDD,40,FALSE),0),U19))</f>
        <v>0</v>
      </c>
      <c r="U19" s="1175"/>
      <c r="V19" s="89" t="str">
        <f>+IF(AND(DATE(YEAR($G$5)-7,5,31)&gt;=$D$5,DATE(YEAR($G$5)-7,5,1)&lt;=$G$5),DATE(YEAR($G$5)-7,5,1),"Hors période")</f>
        <v>Hors période</v>
      </c>
      <c r="W19" s="484">
        <f>IF(AND(X19="",$D$9=S.CAL!$CP$1),IFERROR(+VLOOKUP(V19,BDD,29,FALSE),0),IF(AND(X19="",$D$9=S.CAL!$CP$2),IFERROR(+VLOOKUP(V19,BDD,40,FALSE),0),X19))</f>
        <v>0</v>
      </c>
      <c r="X19" s="1175"/>
    </row>
    <row r="20" spans="1:24" x14ac:dyDescent="0.2">
      <c r="A20" s="481" t="str">
        <f>+IF(AND(DATE(YEAR($G$5),6,30)&gt;=$D$5,DATE(YEAR($G$5),6,1)&lt;=$G$5),DATE(YEAR($G$5),6,1),"Hors période")</f>
        <v>Hors période</v>
      </c>
      <c r="B20" s="484">
        <f>IF(AND(C20="",$D$9=S.CAL!$CP$1),IFERROR(+VLOOKUP(A20,BDD,29,FALSE),0),IF(AND(C20="",$D$9=S.CAL!$CP$2),IFERROR(+VLOOKUP(A20,BDD,40,FALSE),0),C20))</f>
        <v>0</v>
      </c>
      <c r="C20" s="1172"/>
      <c r="D20" s="89" t="str">
        <f>+IF(AND(DATE(YEAR($G$5)-1,6,30)&gt;=$D$5,DATE(YEAR($G$5)-1,6,1)&lt;=$G$5),DATE(YEAR($G$5)-1,6,1),"Hors période")</f>
        <v>Hors période</v>
      </c>
      <c r="E20" s="484">
        <f>IF(AND(F20="",$D$9=S.CAL!$CP$1),IFERROR(+VLOOKUP(D20,BDD,29,FALSE),0),IF(AND(F20="",$D$9=S.CAL!$CP$2),IFERROR(+VLOOKUP(D20,BDD,40,FALSE),0),F20))</f>
        <v>0</v>
      </c>
      <c r="F20" s="1175"/>
      <c r="G20" s="89" t="str">
        <f>+IF(AND(DATE(YEAR($G$5)-2,6,30)&gt;=$D$5,DATE(YEAR($G$5)-2,6,1)&lt;=$G$5),DATE(YEAR($G$5)-2,6,1),"Hors période")</f>
        <v>Hors période</v>
      </c>
      <c r="H20" s="484">
        <f>IF(AND(I20="",$D$9=S.CAL!$CP$1),IFERROR(+VLOOKUP(G20,BDD,29,FALSE),0),IF(AND(I20="",$D$9=S.CAL!$CP$2),IFERROR(+VLOOKUP(G20,BDD,40,FALSE),0),I20))</f>
        <v>0</v>
      </c>
      <c r="I20" s="1175"/>
      <c r="J20" s="89" t="str">
        <f>+IF(AND(DATE(YEAR($G$5)-3,6,30)&gt;=$D$5,DATE(YEAR($G$5)-3,6,1)&lt;=$G$5),DATE(YEAR($G$5)-3,6,1),"Hors période")</f>
        <v>Hors période</v>
      </c>
      <c r="K20" s="484">
        <f>IF(AND(L20="",$D$9=S.CAL!$CP$1),IFERROR(+VLOOKUP(J20,BDD,29,FALSE),0),IF(AND(L20="",$D$9=S.CAL!$CP$2),IFERROR(+VLOOKUP(J20,BDD,40,FALSE),0),L20))</f>
        <v>0</v>
      </c>
      <c r="L20" s="1175"/>
      <c r="M20" s="89" t="str">
        <f>+IF(AND(DATE(YEAR($G$5)-4,6,30)&gt;=$D$5,DATE(YEAR($G$5)-4,6,1)&lt;=$G$5),DATE(YEAR($G$5)-4,6,1),"Hors période")</f>
        <v>Hors période</v>
      </c>
      <c r="N20" s="484">
        <f>IF(AND(O20="",$D$9=S.CAL!$CP$1),IFERROR(+VLOOKUP(M20,BDD,29,FALSE),0),IF(AND(O20="",$D$9=S.CAL!$CP$2),IFERROR(+VLOOKUP(M20,BDD,40,FALSE),0),O20))</f>
        <v>0</v>
      </c>
      <c r="O20" s="1175"/>
      <c r="P20" s="89" t="str">
        <f>+IF(AND(DATE(YEAR($G$5)-5,6,30)&gt;=$D$5,DATE(YEAR($G$5)-5,6,1)&lt;=$G$5),DATE(YEAR($G$5)-5,6,1),"Hors période")</f>
        <v>Hors période</v>
      </c>
      <c r="Q20" s="484">
        <f>IF(AND(R20="",$D$9=S.CAL!$CP$1),IFERROR(+VLOOKUP(P20,BDD,29,FALSE),0),IF(AND(R20="",$D$9=S.CAL!$CP$2),IFERROR(+VLOOKUP(P20,BDD,40,FALSE),0),R20))</f>
        <v>0</v>
      </c>
      <c r="R20" s="1175"/>
      <c r="S20" s="89" t="str">
        <f>+IF(AND(DATE(YEAR($G$5)-6,6,30)&gt;=$D$5,DATE(YEAR($G$5)-6,6,1)&lt;=$G$5),DATE(YEAR($G$5)-6,6,1),"Hors période")</f>
        <v>Hors période</v>
      </c>
      <c r="T20" s="484">
        <f>IF(AND(U20="",$D$9=S.CAL!$CP$1),IFERROR(+VLOOKUP(S20,BDD,29,FALSE),0),IF(AND(U20="",$D$9=S.CAL!$CP$2),IFERROR(+VLOOKUP(S20,BDD,40,FALSE),0),U20))</f>
        <v>0</v>
      </c>
      <c r="U20" s="1175"/>
      <c r="V20" s="89" t="str">
        <f>+IF(AND(DATE(YEAR($G$5)-7,6,30)&gt;=$D$5,DATE(YEAR($G$5)-7,6,1)&lt;=$G$5),DATE(YEAR($G$5)-7,6,1),"Hors période")</f>
        <v>Hors période</v>
      </c>
      <c r="W20" s="484">
        <f>IF(AND(X20="",$D$9=S.CAL!$CP$1),IFERROR(+VLOOKUP(V20,BDD,29,FALSE),0),IF(AND(X20="",$D$9=S.CAL!$CP$2),IFERROR(+VLOOKUP(V20,BDD,40,FALSE),0),X20))</f>
        <v>0</v>
      </c>
      <c r="X20" s="1175"/>
    </row>
    <row r="21" spans="1:24" x14ac:dyDescent="0.2">
      <c r="A21" s="481" t="str">
        <f>+IF(AND(DATE(YEAR($G$5),7,31)&gt;=$D$5,DATE(YEAR($G$5),7,1)&lt;=$G$5),DATE(YEAR($G$5),7,1),"Hors période")</f>
        <v>Hors période</v>
      </c>
      <c r="B21" s="484">
        <f>IF(AND(C21="",$D$9=S.CAL!$CP$1),IFERROR(+VLOOKUP(A21,BDD,29,FALSE),0),IF(AND(C21="",$D$9=S.CAL!$CP$2),IFERROR(+VLOOKUP(A21,BDD,40,FALSE),0),C21))</f>
        <v>0</v>
      </c>
      <c r="C21" s="1172"/>
      <c r="D21" s="89" t="str">
        <f>+IF(AND(DATE(YEAR($G$5)-1,7,31)&gt;=$D$5,DATE(YEAR($G$5)-1,7,1)&lt;=$G$5),DATE(YEAR($G$5)-1,7,1),"Hors période")</f>
        <v>Hors période</v>
      </c>
      <c r="E21" s="484">
        <f>IF(AND(F21="",$D$9=S.CAL!$CP$1),IFERROR(+VLOOKUP(D21,BDD,29,FALSE),0),IF(AND(F21="",$D$9=S.CAL!$CP$2),IFERROR(+VLOOKUP(D21,BDD,40,FALSE),0),F21))</f>
        <v>0</v>
      </c>
      <c r="F21" s="1175"/>
      <c r="G21" s="89" t="str">
        <f>+IF(AND(DATE(YEAR($G$5)-2,7,31)&gt;=$D$5,DATE(YEAR($G$5)-2,7,1)&lt;=$G$5),DATE(YEAR($G$5)-2,7,1),"Hors période")</f>
        <v>Hors période</v>
      </c>
      <c r="H21" s="484">
        <f>IF(AND(I21="",$D$9=S.CAL!$CP$1),IFERROR(+VLOOKUP(G21,BDD,29,FALSE),0),IF(AND(I21="",$D$9=S.CAL!$CP$2),IFERROR(+VLOOKUP(G21,BDD,40,FALSE),0),I21))</f>
        <v>0</v>
      </c>
      <c r="I21" s="1175"/>
      <c r="J21" s="89" t="str">
        <f>+IF(AND(DATE(YEAR($G$5)-3,7,31)&gt;=$D$5,DATE(YEAR($G$5)-3,7,1)&lt;=$G$5),DATE(YEAR($G$5)-3,7,1),"Hors période")</f>
        <v>Hors période</v>
      </c>
      <c r="K21" s="484">
        <f>IF(AND(L21="",$D$9=S.CAL!$CP$1),IFERROR(+VLOOKUP(J21,BDD,29,FALSE),0),IF(AND(L21="",$D$9=S.CAL!$CP$2),IFERROR(+VLOOKUP(J21,BDD,40,FALSE),0),L21))</f>
        <v>0</v>
      </c>
      <c r="L21" s="1175"/>
      <c r="M21" s="89" t="str">
        <f>+IF(AND(DATE(YEAR($G$5)-4,7,31)&gt;=$D$5,DATE(YEAR($G$5)-4,7,1)&lt;=$G$5),DATE(YEAR($G$5)-4,7,1),"Hors période")</f>
        <v>Hors période</v>
      </c>
      <c r="N21" s="484">
        <f>IF(AND(O21="",$D$9=S.CAL!$CP$1),IFERROR(+VLOOKUP(M21,BDD,29,FALSE),0),IF(AND(O21="",$D$9=S.CAL!$CP$2),IFERROR(+VLOOKUP(M21,BDD,40,FALSE),0),O21))</f>
        <v>0</v>
      </c>
      <c r="O21" s="1175"/>
      <c r="P21" s="89" t="str">
        <f>+IF(AND(DATE(YEAR($G$5)-5,7,31)&gt;=$D$5,DATE(YEAR($G$5)-5,7,1)&lt;=$G$5),DATE(YEAR($G$5)-5,7,1),"Hors période")</f>
        <v>Hors période</v>
      </c>
      <c r="Q21" s="484">
        <f>IF(AND(R21="",$D$9=S.CAL!$CP$1),IFERROR(+VLOOKUP(P21,BDD,29,FALSE),0),IF(AND(R21="",$D$9=S.CAL!$CP$2),IFERROR(+VLOOKUP(P21,BDD,40,FALSE),0),R21))</f>
        <v>0</v>
      </c>
      <c r="R21" s="1175"/>
      <c r="S21" s="89" t="str">
        <f>+IF(AND(DATE(YEAR($G$5)-6,7,31)&gt;=$D$5,DATE(YEAR($G$5)-6,7,1)&lt;=$G$5),DATE(YEAR($G$5)-6,7,1),"Hors période")</f>
        <v>Hors période</v>
      </c>
      <c r="T21" s="484">
        <f>IF(AND(U21="",$D$9=S.CAL!$CP$1),IFERROR(+VLOOKUP(S21,BDD,29,FALSE),0),IF(AND(U21="",$D$9=S.CAL!$CP$2),IFERROR(+VLOOKUP(S21,BDD,40,FALSE),0),U21))</f>
        <v>0</v>
      </c>
      <c r="U21" s="1175"/>
      <c r="V21" s="89" t="str">
        <f>+IF(AND(DATE(YEAR($G$5)-7,7,31)&gt;=$D$5,DATE(YEAR($G$5)-7,7,1)&lt;=$G$5),DATE(YEAR($G$5)-7,7,1),"Hors période")</f>
        <v>Hors période</v>
      </c>
      <c r="W21" s="484">
        <f>IF(AND(X21="",$D$9=S.CAL!$CP$1),IFERROR(+VLOOKUP(V21,BDD,29,FALSE),0),IF(AND(X21="",$D$9=S.CAL!$CP$2),IFERROR(+VLOOKUP(V21,BDD,40,FALSE),0),X21))</f>
        <v>0</v>
      </c>
      <c r="X21" s="1175"/>
    </row>
    <row r="22" spans="1:24" x14ac:dyDescent="0.2">
      <c r="A22" s="481" t="str">
        <f>+IF(AND(DATE(YEAR($G$5),8,31)&gt;=$D$5,DATE(YEAR($G$5),8,1)&lt;=$G$5),DATE(YEAR($G$5),8,1),"Hors période")</f>
        <v>Hors période</v>
      </c>
      <c r="B22" s="484">
        <f>IF(AND(C22="",$D$9=S.CAL!$CP$1),IFERROR(+VLOOKUP(A22,BDD,29,FALSE),0),IF(AND(C22="",$D$9=S.CAL!$CP$2),IFERROR(+VLOOKUP(A22,BDD,40,FALSE),0),C22))</f>
        <v>0</v>
      </c>
      <c r="C22" s="1172"/>
      <c r="D22" s="89" t="str">
        <f>+IF(AND(DATE(YEAR($G$5)-1,8,31)&gt;=$D$5,DATE(YEAR($G$5)-1,8,1)&lt;=$G$5),DATE(YEAR($G$5)-1,8,1),"Hors période")</f>
        <v>Hors période</v>
      </c>
      <c r="E22" s="484">
        <f>IF(AND(F22="",$D$9=S.CAL!$CP$1),IFERROR(+VLOOKUP(D22,BDD,29,FALSE),0),IF(AND(F22="",$D$9=S.CAL!$CP$2),IFERROR(+VLOOKUP(D22,BDD,40,FALSE),0),F22))</f>
        <v>0</v>
      </c>
      <c r="F22" s="1175"/>
      <c r="G22" s="89" t="str">
        <f>+IF(AND(DATE(YEAR($G$5)-2,8,31)&gt;=$D$5,DATE(YEAR($G$5)-2,8,1)&lt;=$G$5),DATE(YEAR($G$5)-2,8,1),"Hors période")</f>
        <v>Hors période</v>
      </c>
      <c r="H22" s="484">
        <f>IF(AND(I22="",$D$9=S.CAL!$CP$1),IFERROR(+VLOOKUP(G22,BDD,29,FALSE),0),IF(AND(I22="",$D$9=S.CAL!$CP$2),IFERROR(+VLOOKUP(G22,BDD,40,FALSE),0),I22))</f>
        <v>0</v>
      </c>
      <c r="I22" s="1175"/>
      <c r="J22" s="89" t="str">
        <f>+IF(AND(DATE(YEAR($G$5)-3,8,31)&gt;=$D$5,DATE(YEAR($G$5)-3,8,1)&lt;=$G$5),DATE(YEAR($G$5)-3,8,1),"Hors période")</f>
        <v>Hors période</v>
      </c>
      <c r="K22" s="484">
        <f>IF(AND(L22="",$D$9=S.CAL!$CP$1),IFERROR(+VLOOKUP(J22,BDD,29,FALSE),0),IF(AND(L22="",$D$9=S.CAL!$CP$2),IFERROR(+VLOOKUP(J22,BDD,40,FALSE),0),L22))</f>
        <v>0</v>
      </c>
      <c r="L22" s="1175"/>
      <c r="M22" s="89" t="str">
        <f>+IF(AND(DATE(YEAR($G$5)-4,8,31)&gt;=$D$5,DATE(YEAR($G$5)-4,8,1)&lt;=$G$5),DATE(YEAR($G$5)-4,8,1),"Hors période")</f>
        <v>Hors période</v>
      </c>
      <c r="N22" s="484">
        <f>IF(AND(O22="",$D$9=S.CAL!$CP$1),IFERROR(+VLOOKUP(M22,BDD,29,FALSE),0),IF(AND(O22="",$D$9=S.CAL!$CP$2),IFERROR(+VLOOKUP(M22,BDD,40,FALSE),0),O22))</f>
        <v>0</v>
      </c>
      <c r="O22" s="1175"/>
      <c r="P22" s="89" t="str">
        <f>+IF(AND(DATE(YEAR($G$5)-5,8,31)&gt;=$D$5,DATE(YEAR($G$5)-5,8,1)&lt;=$G$5),DATE(YEAR($G$5)-5,8,1),"Hors période")</f>
        <v>Hors période</v>
      </c>
      <c r="Q22" s="484">
        <f>IF(AND(R22="",$D$9=S.CAL!$CP$1),IFERROR(+VLOOKUP(P22,BDD,29,FALSE),0),IF(AND(R22="",$D$9=S.CAL!$CP$2),IFERROR(+VLOOKUP(P22,BDD,40,FALSE),0),R22))</f>
        <v>0</v>
      </c>
      <c r="R22" s="1175"/>
      <c r="S22" s="89" t="str">
        <f>+IF(AND(DATE(YEAR($G$5)-6,8,31)&gt;=$D$5,DATE(YEAR($G$5)-6,8,1)&lt;=$G$5),DATE(YEAR($G$5)-6,8,1),"Hors période")</f>
        <v>Hors période</v>
      </c>
      <c r="T22" s="484">
        <f>IF(AND(U22="",$D$9=S.CAL!$CP$1),IFERROR(+VLOOKUP(S22,BDD,29,FALSE),0),IF(AND(U22="",$D$9=S.CAL!$CP$2),IFERROR(+VLOOKUP(S22,BDD,40,FALSE),0),U22))</f>
        <v>0</v>
      </c>
      <c r="U22" s="1175"/>
      <c r="V22" s="89" t="str">
        <f>+IF(AND(DATE(YEAR($G$5)-7,8,31)&gt;=$D$5,DATE(YEAR($G$5)-7,8,1)&lt;=$G$5),DATE(YEAR($G$5)-7,8,1),"Hors période")</f>
        <v>Hors période</v>
      </c>
      <c r="W22" s="484">
        <f>IF(AND(X22="",$D$9=S.CAL!$CP$1),IFERROR(+VLOOKUP(V22,BDD,29,FALSE),0),IF(AND(X22="",$D$9=S.CAL!$CP$2),IFERROR(+VLOOKUP(V22,BDD,40,FALSE),0),X22))</f>
        <v>0</v>
      </c>
      <c r="X22" s="1175"/>
    </row>
    <row r="23" spans="1:24" x14ac:dyDescent="0.2">
      <c r="A23" s="481" t="str">
        <f>+IF(AND(DATE(YEAR($G$5),9,30)&gt;=$D$5,DATE(YEAR($G$5),9,1)&lt;=$G$5),DATE(YEAR($G$5),9,1),"Hors période")</f>
        <v>Hors période</v>
      </c>
      <c r="B23" s="484">
        <f>IF(AND(C23="",$D$9=S.CAL!$CP$1),IFERROR(+VLOOKUP(A23,BDD,29,FALSE),0),IF(AND(C23="",$D$9=S.CAL!$CP$2),IFERROR(+VLOOKUP(A23,BDD,40,FALSE),0),C23))</f>
        <v>0</v>
      </c>
      <c r="C23" s="1172"/>
      <c r="D23" s="89" t="str">
        <f>+IF(AND(DATE(YEAR($G$5)-1,9,30)&gt;=$D$5,DATE(YEAR($G$5)-1,9,1)&lt;=$G$5),DATE(YEAR($G$5)-1,9,1),"Hors période")</f>
        <v>Hors période</v>
      </c>
      <c r="E23" s="484">
        <f>IF(AND(F23="",$D$9=S.CAL!$CP$1),IFERROR(+VLOOKUP(D23,BDD,29,FALSE),0),IF(AND(F23="",$D$9=S.CAL!$CP$2),IFERROR(+VLOOKUP(D23,BDD,40,FALSE),0),F23))</f>
        <v>0</v>
      </c>
      <c r="F23" s="1175"/>
      <c r="G23" s="89" t="str">
        <f>+IF(AND(DATE(YEAR($G$5)-2,9,30)&gt;=$D$5,DATE(YEAR($G$5)-2,9,1)&lt;=$G$5),DATE(YEAR($G$5)-2,9,1),"Hors période")</f>
        <v>Hors période</v>
      </c>
      <c r="H23" s="484">
        <f>IF(AND(I23="",$D$9=S.CAL!$CP$1),IFERROR(+VLOOKUP(G23,BDD,29,FALSE),0),IF(AND(I23="",$D$9=S.CAL!$CP$2),IFERROR(+VLOOKUP(G23,BDD,40,FALSE),0),I23))</f>
        <v>0</v>
      </c>
      <c r="I23" s="1175"/>
      <c r="J23" s="89" t="str">
        <f>+IF(AND(DATE(YEAR($G$5)-3,9,30)&gt;=$D$5,DATE(YEAR($G$5)-3,9,1)&lt;=$G$5),DATE(YEAR($G$5)-3,9,1),"Hors période")</f>
        <v>Hors période</v>
      </c>
      <c r="K23" s="484">
        <f>IF(AND(L23="",$D$9=S.CAL!$CP$1),IFERROR(+VLOOKUP(J23,BDD,29,FALSE),0),IF(AND(L23="",$D$9=S.CAL!$CP$2),IFERROR(+VLOOKUP(J23,BDD,40,FALSE),0),L23))</f>
        <v>0</v>
      </c>
      <c r="L23" s="1175"/>
      <c r="M23" s="89" t="str">
        <f>+IF(AND(DATE(YEAR($G$5)-4,9,30)&gt;=$D$5,DATE(YEAR($G$5)-4,9,1)&lt;=$G$5),DATE(YEAR($G$5)-4,9,1),"Hors période")</f>
        <v>Hors période</v>
      </c>
      <c r="N23" s="484">
        <f>IF(AND(O23="",$D$9=S.CAL!$CP$1),IFERROR(+VLOOKUP(M23,BDD,29,FALSE),0),IF(AND(O23="",$D$9=S.CAL!$CP$2),IFERROR(+VLOOKUP(M23,BDD,40,FALSE),0),O23))</f>
        <v>0</v>
      </c>
      <c r="O23" s="1175"/>
      <c r="P23" s="89" t="str">
        <f>+IF(AND(DATE(YEAR($G$5)-5,9,30)&gt;=$D$5,DATE(YEAR($G$5)-5,9,1)&lt;=$G$5),DATE(YEAR($G$5)-5,9,1),"Hors période")</f>
        <v>Hors période</v>
      </c>
      <c r="Q23" s="484">
        <f>IF(AND(R23="",$D$9=S.CAL!$CP$1),IFERROR(+VLOOKUP(P23,BDD,29,FALSE),0),IF(AND(R23="",$D$9=S.CAL!$CP$2),IFERROR(+VLOOKUP(P23,BDD,40,FALSE),0),R23))</f>
        <v>0</v>
      </c>
      <c r="R23" s="1175"/>
      <c r="S23" s="89" t="str">
        <f>+IF(AND(DATE(YEAR($G$5)-6,9,30)&gt;=$D$5,DATE(YEAR($G$5)-6,9,1)&lt;=$G$5),DATE(YEAR($G$5)-6,9,1),"Hors période")</f>
        <v>Hors période</v>
      </c>
      <c r="T23" s="484">
        <f>IF(AND(U23="",$D$9=S.CAL!$CP$1),IFERROR(+VLOOKUP(S23,BDD,29,FALSE),0),IF(AND(U23="",$D$9=S.CAL!$CP$2),IFERROR(+VLOOKUP(S23,BDD,40,FALSE),0),U23))</f>
        <v>0</v>
      </c>
      <c r="U23" s="1175"/>
      <c r="V23" s="89" t="str">
        <f>+IF(AND(DATE(YEAR($G$5)-7,9,30)&gt;=$D$5,DATE(YEAR($G$5)-7,9,1)&lt;=$G$5),DATE(YEAR($G$5)-7,9,1),"Hors période")</f>
        <v>Hors période</v>
      </c>
      <c r="W23" s="484">
        <f>IF(AND(X23="",$D$9=S.CAL!$CP$1),IFERROR(+VLOOKUP(V23,BDD,29,FALSE),0),IF(AND(X23="",$D$9=S.CAL!$CP$2),IFERROR(+VLOOKUP(V23,BDD,40,FALSE),0),X23))</f>
        <v>0</v>
      </c>
      <c r="X23" s="1175"/>
    </row>
    <row r="24" spans="1:24" x14ac:dyDescent="0.2">
      <c r="A24" s="481" t="str">
        <f>+IF(AND(DATE(YEAR($G$5),10,31)&gt;=$D$5,DATE(YEAR($G$5),10,1)&lt;=$G$5),DATE(YEAR($G$5),10,1),"Hors période")</f>
        <v>Hors période</v>
      </c>
      <c r="B24" s="484">
        <f>IF(AND(C24="",$D$9=S.CAL!$CP$1),IFERROR(+VLOOKUP(A24,BDD,29,FALSE),0),IF(AND(C24="",$D$9=S.CAL!$CP$2),IFERROR(+VLOOKUP(A24,BDD,40,FALSE),0),C24))</f>
        <v>0</v>
      </c>
      <c r="C24" s="1172"/>
      <c r="D24" s="89" t="str">
        <f>+IF(AND(DATE(YEAR($G$5)-1,10,31)&gt;=$D$5,DATE(YEAR($G$5)-1,10,1)&lt;=$G$5),DATE(YEAR($G$5)-1,10,1),"Hors période")</f>
        <v>Hors période</v>
      </c>
      <c r="E24" s="484">
        <f>IF(AND(F24="",$D$9=S.CAL!$CP$1),IFERROR(+VLOOKUP(D24,BDD,29,FALSE),0),IF(AND(F24="",$D$9=S.CAL!$CP$2),IFERROR(+VLOOKUP(D24,BDD,40,FALSE),0),F24))</f>
        <v>0</v>
      </c>
      <c r="F24" s="1175"/>
      <c r="G24" s="89" t="str">
        <f>+IF(AND(DATE(YEAR($G$5)-2,10,31)&gt;=$D$5,DATE(YEAR($G$5)-2,10,1)&lt;=$G$5),DATE(YEAR($G$5)-2,10,1),"Hors période")</f>
        <v>Hors période</v>
      </c>
      <c r="H24" s="484">
        <f>IF(AND(I24="",$D$9=S.CAL!$CP$1),IFERROR(+VLOOKUP(G24,BDD,29,FALSE),0),IF(AND(I24="",$D$9=S.CAL!$CP$2),IFERROR(+VLOOKUP(G24,BDD,40,FALSE),0),I24))</f>
        <v>0</v>
      </c>
      <c r="I24" s="1175"/>
      <c r="J24" s="89" t="str">
        <f>+IF(AND(DATE(YEAR($G$5)-3,10,31)&gt;=$D$5,DATE(YEAR($G$5)-3,10,1)&lt;=$G$5),DATE(YEAR($G$5)-3,10,1),"Hors période")</f>
        <v>Hors période</v>
      </c>
      <c r="K24" s="484">
        <f>IF(AND(L24="",$D$9=S.CAL!$CP$1),IFERROR(+VLOOKUP(J24,BDD,29,FALSE),0),IF(AND(L24="",$D$9=S.CAL!$CP$2),IFERROR(+VLOOKUP(J24,BDD,40,FALSE),0),L24))</f>
        <v>0</v>
      </c>
      <c r="L24" s="1175"/>
      <c r="M24" s="89" t="str">
        <f>+IF(AND(DATE(YEAR($G$5)-4,10,31)&gt;=$D$5,DATE(YEAR($G$5)-4,10,1)&lt;=$G$5),DATE(YEAR($G$5)-4,10,1),"Hors période")</f>
        <v>Hors période</v>
      </c>
      <c r="N24" s="484">
        <f>IF(AND(O24="",$D$9=S.CAL!$CP$1),IFERROR(+VLOOKUP(M24,BDD,29,FALSE),0),IF(AND(O24="",$D$9=S.CAL!$CP$2),IFERROR(+VLOOKUP(M24,BDD,40,FALSE),0),O24))</f>
        <v>0</v>
      </c>
      <c r="O24" s="1175"/>
      <c r="P24" s="89" t="str">
        <f>+IF(AND(DATE(YEAR($G$5)-5,10,31)&gt;=$D$5,DATE(YEAR($G$5)-5,10,1)&lt;=$G$5),DATE(YEAR($G$5)-5,10,1),"Hors période")</f>
        <v>Hors période</v>
      </c>
      <c r="Q24" s="484">
        <f>IF(AND(R24="",$D$9=S.CAL!$CP$1),IFERROR(+VLOOKUP(P24,BDD,29,FALSE),0),IF(AND(R24="",$D$9=S.CAL!$CP$2),IFERROR(+VLOOKUP(P24,BDD,40,FALSE),0),R24))</f>
        <v>0</v>
      </c>
      <c r="R24" s="1175"/>
      <c r="S24" s="89" t="str">
        <f>+IF(AND(DATE(YEAR($G$5)-6,10,31)&gt;=$D$5,DATE(YEAR($G$5)-6,10,1)&lt;=$G$5),DATE(YEAR($G$5)-6,10,1),"Hors période")</f>
        <v>Hors période</v>
      </c>
      <c r="T24" s="484">
        <f>IF(AND(U24="",$D$9=S.CAL!$CP$1),IFERROR(+VLOOKUP(S24,BDD,29,FALSE),0),IF(AND(U24="",$D$9=S.CAL!$CP$2),IFERROR(+VLOOKUP(S24,BDD,40,FALSE),0),U24))</f>
        <v>0</v>
      </c>
      <c r="U24" s="1175"/>
      <c r="V24" s="89" t="str">
        <f>+IF(AND(DATE(YEAR($G$5)-7,10,31)&gt;=$D$5,DATE(YEAR($G$5)-7,10,1)&lt;=$G$5),DATE(YEAR($G$5)-7,10,1),"Hors période")</f>
        <v>Hors période</v>
      </c>
      <c r="W24" s="484">
        <f>IF(AND(X24="",$D$9=S.CAL!$CP$1),IFERROR(+VLOOKUP(V24,BDD,29,FALSE),0),IF(AND(X24="",$D$9=S.CAL!$CP$2),IFERROR(+VLOOKUP(V24,BDD,40,FALSE),0),X24))</f>
        <v>0</v>
      </c>
      <c r="X24" s="1175"/>
    </row>
    <row r="25" spans="1:24" x14ac:dyDescent="0.2">
      <c r="A25" s="481" t="str">
        <f>+IF(AND(DATE(YEAR($G$5),11,30)&gt;=$D$5,DATE(YEAR($G$5),11,1)&lt;=$G$5),DATE(YEAR($G$5),11,1),"Hors période")</f>
        <v>Hors période</v>
      </c>
      <c r="B25" s="484">
        <f>IF(AND(C25="",$D$9=S.CAL!$CP$1),IFERROR(+VLOOKUP(A25,BDD,29,FALSE),0),IF(AND(C25="",$D$9=S.CAL!$CP$2),IFERROR(+VLOOKUP(A25,BDD,40,FALSE),0),C25))</f>
        <v>0</v>
      </c>
      <c r="C25" s="1172"/>
      <c r="D25" s="89" t="str">
        <f>+IF(AND(DATE(YEAR($G$5)-1,11,30)&gt;=$D$5,DATE(YEAR($G$5)-1,11,1)&lt;=$G$5),DATE(YEAR($G$5)-1,11,1),"Hors période")</f>
        <v>Hors période</v>
      </c>
      <c r="E25" s="484">
        <f>IF(AND(F25="",$D$9=S.CAL!$CP$1),IFERROR(+VLOOKUP(D25,BDD,29,FALSE),0),IF(AND(F25="",$D$9=S.CAL!$CP$2),IFERROR(+VLOOKUP(D25,BDD,40,FALSE),0),F25))</f>
        <v>0</v>
      </c>
      <c r="F25" s="1175"/>
      <c r="G25" s="89" t="str">
        <f>+IF(AND(DATE(YEAR($G$5)-2,11,30)&gt;=$D$5,DATE(YEAR($G$5)-2,11,1)&lt;=$G$5),DATE(YEAR($G$5)-2,11,1),"Hors période")</f>
        <v>Hors période</v>
      </c>
      <c r="H25" s="484">
        <f>IF(AND(I25="",$D$9=S.CAL!$CP$1),IFERROR(+VLOOKUP(G25,BDD,29,FALSE),0),IF(AND(I25="",$D$9=S.CAL!$CP$2),IFERROR(+VLOOKUP(G25,BDD,40,FALSE),0),I25))</f>
        <v>0</v>
      </c>
      <c r="I25" s="1175"/>
      <c r="J25" s="89" t="str">
        <f>+IF(AND(DATE(YEAR($G$5)-3,11,30)&gt;=$D$5,DATE(YEAR($G$5)-3,11,1)&lt;=$G$5),DATE(YEAR($G$5)-3,11,1),"Hors période")</f>
        <v>Hors période</v>
      </c>
      <c r="K25" s="484">
        <f>IF(AND(L25="",$D$9=S.CAL!$CP$1),IFERROR(+VLOOKUP(J25,BDD,29,FALSE),0),IF(AND(L25="",$D$9=S.CAL!$CP$2),IFERROR(+VLOOKUP(J25,BDD,40,FALSE),0),L25))</f>
        <v>0</v>
      </c>
      <c r="L25" s="1175"/>
      <c r="M25" s="89" t="str">
        <f>+IF(AND(DATE(YEAR($G$5)-4,11,30)&gt;=$D$5,DATE(YEAR($G$5)-4,11,1)&lt;=$G$5),DATE(YEAR($G$5)-4,11,1),"Hors période")</f>
        <v>Hors période</v>
      </c>
      <c r="N25" s="484">
        <f>IF(AND(O25="",$D$9=S.CAL!$CP$1),IFERROR(+VLOOKUP(M25,BDD,29,FALSE),0),IF(AND(O25="",$D$9=S.CAL!$CP$2),IFERROR(+VLOOKUP(M25,BDD,40,FALSE),0),O25))</f>
        <v>0</v>
      </c>
      <c r="O25" s="1175"/>
      <c r="P25" s="89" t="str">
        <f>+IF(AND(DATE(YEAR($G$5)-5,11,30)&gt;=$D$5,DATE(YEAR($G$5)-5,11,1)&lt;=$G$5),DATE(YEAR($G$5)-5,11,1),"Hors période")</f>
        <v>Hors période</v>
      </c>
      <c r="Q25" s="484">
        <f>IF(AND(R25="",$D$9=S.CAL!$CP$1),IFERROR(+VLOOKUP(P25,BDD,29,FALSE),0),IF(AND(R25="",$D$9=S.CAL!$CP$2),IFERROR(+VLOOKUP(P25,BDD,40,FALSE),0),R25))</f>
        <v>0</v>
      </c>
      <c r="R25" s="1175"/>
      <c r="S25" s="89" t="str">
        <f>+IF(AND(DATE(YEAR($G$5)-6,11,30)&gt;=$D$5,DATE(YEAR($G$5)-6,11,1)&lt;=$G$5),DATE(YEAR($G$5)-6,11,1),"Hors période")</f>
        <v>Hors période</v>
      </c>
      <c r="T25" s="484">
        <f>IF(AND(U25="",$D$9=S.CAL!$CP$1),IFERROR(+VLOOKUP(S25,BDD,29,FALSE),0),IF(AND(U25="",$D$9=S.CAL!$CP$2),IFERROR(+VLOOKUP(S25,BDD,40,FALSE),0),U25))</f>
        <v>0</v>
      </c>
      <c r="U25" s="1175"/>
      <c r="V25" s="89" t="str">
        <f>+IF(AND(DATE(YEAR($G$5)-7,11,30)&gt;=$D$5,DATE(YEAR($G$5)-7,11,1)&lt;=$G$5),DATE(YEAR($G$5)-7,11,1),"Hors période")</f>
        <v>Hors période</v>
      </c>
      <c r="W25" s="484">
        <f>IF(AND(X25="",$D$9=S.CAL!$CP$1),IFERROR(+VLOOKUP(V25,BDD,29,FALSE),0),IF(AND(X25="",$D$9=S.CAL!$CP$2),IFERROR(+VLOOKUP(V25,BDD,40,FALSE),0),X25))</f>
        <v>0</v>
      </c>
      <c r="X25" s="1175"/>
    </row>
    <row r="26" spans="1:24" x14ac:dyDescent="0.2">
      <c r="A26" s="482" t="str">
        <f>+IF(AND(DATE(YEAR($G$5),12,31)&gt;=$D$5,DATE(YEAR($G$5),12,1)&lt;=$G$5),DATE(YEAR($G$5),12,1),"Hors période")</f>
        <v>Hors période</v>
      </c>
      <c r="B26" s="485">
        <f>IF(AND(C26="",$D$9=S.CAL!$CP$1),IFERROR(+VLOOKUP(A26,BDD,29,FALSE),0),IF(AND(C26="",$D$9=S.CAL!$CP$2),IFERROR(+VLOOKUP(A26,BDD,40,FALSE),0),C26))</f>
        <v>0</v>
      </c>
      <c r="C26" s="1173"/>
      <c r="D26" s="90" t="str">
        <f>+IF(AND(DATE(YEAR($G$5)-1,12,31)&gt;=$D$5,DATE(YEAR($G$5)-1,12,1)&lt;=$G$5),DATE(YEAR($G$5)-1,12,1),"Hors période")</f>
        <v>Hors période</v>
      </c>
      <c r="E26" s="485">
        <f>IF(AND(F26="",$D$9=S.CAL!$CP$1),IFERROR(+VLOOKUP(D26,BDD,29,FALSE),0),IF(AND(F26="",$D$9=S.CAL!$CP$2),IFERROR(+VLOOKUP(D26,BDD,40,FALSE),0),F26))</f>
        <v>0</v>
      </c>
      <c r="F26" s="1176"/>
      <c r="G26" s="90" t="str">
        <f>+IF(AND(DATE(YEAR($G$5)-2,12,31)&gt;=$D$5,DATE(YEAR($G$5)-2,12,1)&lt;=$G$5),DATE(YEAR($G$5)-2,12,1),"Hors période")</f>
        <v>Hors période</v>
      </c>
      <c r="H26" s="485">
        <f>IF(AND(I26="",$D$9=S.CAL!$CP$1),IFERROR(+VLOOKUP(G26,BDD,29,FALSE),0),IF(AND(I26="",$D$9=S.CAL!$CP$2),IFERROR(+VLOOKUP(G26,BDD,40,FALSE),0),I26))</f>
        <v>0</v>
      </c>
      <c r="I26" s="1176"/>
      <c r="J26" s="90" t="str">
        <f>+IF(AND(DATE(YEAR($G$5)-3,12,31)&gt;=$D$5,DATE(YEAR($G$5)-3,12,1)&lt;=$G$5),DATE(YEAR($G$5)-3,12,1),"Hors période")</f>
        <v>Hors période</v>
      </c>
      <c r="K26" s="485">
        <f>IF(AND(L26="",$D$9=S.CAL!$CP$1),IFERROR(+VLOOKUP(J26,BDD,29,FALSE),0),IF(AND(L26="",$D$9=S.CAL!$CP$2),IFERROR(+VLOOKUP(J26,BDD,40,FALSE),0),L26))</f>
        <v>0</v>
      </c>
      <c r="L26" s="1176"/>
      <c r="M26" s="90" t="str">
        <f>+IF(AND(DATE(YEAR($G$5)-4,12,31)&gt;=$D$5,DATE(YEAR($G$5)-4,12,1)&lt;=$G$5),DATE(YEAR($G$5)-4,12,1),"Hors période")</f>
        <v>Hors période</v>
      </c>
      <c r="N26" s="485">
        <f>IF(AND(O26="",$D$9=S.CAL!$CP$1),IFERROR(+VLOOKUP(M26,BDD,29,FALSE),0),IF(AND(O26="",$D$9=S.CAL!$CP$2),IFERROR(+VLOOKUP(M26,BDD,40,FALSE),0),O26))</f>
        <v>0</v>
      </c>
      <c r="O26" s="1176"/>
      <c r="P26" s="90" t="str">
        <f>+IF(AND(DATE(YEAR($G$5)-5,12,31)&gt;=$D$5,DATE(YEAR($G$5)-5,12,1)&lt;=$G$5),DATE(YEAR($G$5)-5,12,1),"Hors période")</f>
        <v>Hors période</v>
      </c>
      <c r="Q26" s="485">
        <f>IF(AND(R26="",$D$9=S.CAL!$CP$1),IFERROR(+VLOOKUP(P26,BDD,29,FALSE),0),IF(AND(R26="",$D$9=S.CAL!$CP$2),IFERROR(+VLOOKUP(P26,BDD,40,FALSE),0),R26))</f>
        <v>0</v>
      </c>
      <c r="R26" s="1176"/>
      <c r="S26" s="90" t="str">
        <f>+IF(AND(DATE(YEAR($G$5)-6,12,31)&gt;=$D$5,DATE(YEAR($G$5)-6,12,1)&lt;=$G$5),DATE(YEAR($G$5)-6,12,1),"Hors période")</f>
        <v>Hors période</v>
      </c>
      <c r="T26" s="485">
        <f>IF(AND(U26="",$D$9=S.CAL!$CP$1),IFERROR(+VLOOKUP(S26,BDD,29,FALSE),0),IF(AND(U26="",$D$9=S.CAL!$CP$2),IFERROR(+VLOOKUP(S26,BDD,40,FALSE),0),U26))</f>
        <v>0</v>
      </c>
      <c r="U26" s="1176"/>
      <c r="V26" s="90" t="str">
        <f>+IF(AND(DATE(YEAR($G$5)-7,12,31)&gt;=$D$5,DATE(YEAR($G$5)-7,12,1)&lt;=$G$5),DATE(YEAR($G$5)-7,12,1),"Hors période")</f>
        <v>Hors période</v>
      </c>
      <c r="W26" s="485">
        <f>IF(AND(X26="",$D$9=S.CAL!$CP$1),IFERROR(+VLOOKUP(V26,BDD,29,FALSE),0),IF(AND(X26="",$D$9=S.CAL!$CP$2),IFERROR(+VLOOKUP(V26,BDD,40,FALSE),0),X26))</f>
        <v>0</v>
      </c>
      <c r="X26" s="1176"/>
    </row>
    <row r="28" spans="1:24" x14ac:dyDescent="0.2">
      <c r="A28" s="91" t="s">
        <v>187</v>
      </c>
      <c r="B28" s="92">
        <f>SUM(B15:B26)</f>
        <v>0</v>
      </c>
      <c r="C28" s="22"/>
      <c r="D28" s="91" t="s">
        <v>187</v>
      </c>
      <c r="E28" s="92">
        <f>SUM(E15:E26)</f>
        <v>0</v>
      </c>
      <c r="F28" s="93"/>
      <c r="G28" s="91" t="s">
        <v>187</v>
      </c>
      <c r="H28" s="92">
        <f>SUM(H15:H26)</f>
        <v>0</v>
      </c>
      <c r="I28" s="93"/>
      <c r="J28" s="91" t="s">
        <v>187</v>
      </c>
      <c r="K28" s="92">
        <f>SUM(K15:K26)</f>
        <v>0</v>
      </c>
      <c r="L28" s="22"/>
      <c r="M28" s="91" t="s">
        <v>187</v>
      </c>
      <c r="N28" s="92">
        <f>SUM(N15:N26)</f>
        <v>0</v>
      </c>
      <c r="O28" s="22"/>
      <c r="P28" s="91" t="s">
        <v>187</v>
      </c>
      <c r="Q28" s="92">
        <f>SUM(Q15:Q26)</f>
        <v>0</v>
      </c>
      <c r="R28" s="22"/>
      <c r="S28" s="91" t="s">
        <v>187</v>
      </c>
      <c r="T28" s="92">
        <f>SUM(T15:T26)</f>
        <v>0</v>
      </c>
      <c r="U28" s="22"/>
      <c r="V28" s="91" t="s">
        <v>187</v>
      </c>
      <c r="W28" s="92">
        <f>SUM(W15:W26)</f>
        <v>0</v>
      </c>
    </row>
    <row r="31" spans="1:24" x14ac:dyDescent="0.2">
      <c r="D31" s="29" t="s">
        <v>1404</v>
      </c>
      <c r="E31" s="92">
        <f>SUM(A28:W28)</f>
        <v>0</v>
      </c>
      <c r="G31" s="19"/>
      <c r="H31" s="39" t="s">
        <v>189</v>
      </c>
      <c r="I31" s="94">
        <f>IF(AND(K9="OUI",K6="OUI"),ROUND(+E31*G8,2),0)</f>
        <v>0</v>
      </c>
    </row>
    <row r="33" spans="1:12" x14ac:dyDescent="0.2">
      <c r="G33" s="2341" t="str">
        <f>+IF(K9="OUI","Détail du calcul :   "&amp;E31&amp;" € X "&amp;D8,"")</f>
        <v/>
      </c>
      <c r="H33" s="2341"/>
      <c r="I33" s="2341"/>
    </row>
    <row r="34" spans="1:12" ht="12.75" customHeight="1" x14ac:dyDescent="0.2">
      <c r="D34" s="981"/>
      <c r="E34" s="981"/>
      <c r="F34" s="981"/>
      <c r="G34" s="981"/>
      <c r="H34" s="981"/>
      <c r="I34" s="981"/>
      <c r="J34" s="981"/>
      <c r="K34" s="981"/>
      <c r="L34" s="981"/>
    </row>
    <row r="35" spans="1:12" ht="12.75" customHeight="1" x14ac:dyDescent="0.2">
      <c r="D35" s="981"/>
      <c r="E35" s="981"/>
      <c r="F35" s="981"/>
      <c r="G35" s="981"/>
      <c r="H35" s="981"/>
      <c r="I35" s="981"/>
      <c r="J35" s="981"/>
      <c r="K35" s="981"/>
      <c r="L35" s="981"/>
    </row>
    <row r="37" spans="1:12" x14ac:dyDescent="0.2">
      <c r="A37" s="19" t="s">
        <v>176</v>
      </c>
    </row>
    <row r="39" spans="1:12" x14ac:dyDescent="0.2">
      <c r="A39" s="743" t="s">
        <v>1163</v>
      </c>
      <c r="B39" s="2415" t="s">
        <v>1168</v>
      </c>
      <c r="C39" s="2417"/>
      <c r="D39" s="748" t="s">
        <v>1165</v>
      </c>
      <c r="E39" s="2415" t="s">
        <v>1166</v>
      </c>
      <c r="F39" s="2417"/>
      <c r="G39" s="2415" t="s">
        <v>807</v>
      </c>
      <c r="H39" s="2416"/>
      <c r="I39" s="2416"/>
      <c r="J39" s="2416"/>
      <c r="K39" s="2416"/>
      <c r="L39" s="2417"/>
    </row>
    <row r="40" spans="1:12" x14ac:dyDescent="0.2">
      <c r="A40" s="744" t="s">
        <v>1167</v>
      </c>
      <c r="B40" s="745" t="s">
        <v>1164</v>
      </c>
      <c r="C40" s="746">
        <v>80</v>
      </c>
      <c r="D40" s="567" t="s">
        <v>217</v>
      </c>
      <c r="E40" s="2424">
        <v>9</v>
      </c>
      <c r="F40" s="2425"/>
      <c r="G40" s="1711" t="s">
        <v>1169</v>
      </c>
      <c r="H40" s="1711"/>
      <c r="I40" s="1711"/>
      <c r="J40" s="1711"/>
      <c r="K40" s="1711"/>
      <c r="L40" s="2432"/>
    </row>
    <row r="41" spans="1:12" x14ac:dyDescent="0.2">
      <c r="A41" s="744" t="s">
        <v>913</v>
      </c>
      <c r="B41" s="745" t="s">
        <v>1164</v>
      </c>
      <c r="C41" s="746">
        <v>60</v>
      </c>
      <c r="D41" s="567" t="s">
        <v>217</v>
      </c>
      <c r="E41" s="2424">
        <v>9</v>
      </c>
      <c r="F41" s="2425"/>
      <c r="G41" s="1711" t="s">
        <v>1459</v>
      </c>
      <c r="H41" s="1711"/>
      <c r="I41" s="1711"/>
      <c r="J41" s="1711"/>
      <c r="K41" s="1711"/>
      <c r="L41" s="2432"/>
    </row>
    <row r="42" spans="1:12" x14ac:dyDescent="0.2">
      <c r="A42" s="1177"/>
      <c r="B42" s="745" t="s">
        <v>1164</v>
      </c>
      <c r="C42" s="1179"/>
      <c r="D42" s="1181" t="s">
        <v>217</v>
      </c>
      <c r="E42" s="2430">
        <v>9</v>
      </c>
      <c r="F42" s="2431"/>
      <c r="G42" s="2433"/>
      <c r="H42" s="2433"/>
      <c r="I42" s="2433"/>
      <c r="J42" s="2433"/>
      <c r="K42" s="2433"/>
      <c r="L42" s="2434"/>
    </row>
    <row r="43" spans="1:12" x14ac:dyDescent="0.2">
      <c r="A43" s="1177"/>
      <c r="B43" s="745" t="s">
        <v>1164</v>
      </c>
      <c r="C43" s="1179"/>
      <c r="D43" s="1181" t="s">
        <v>217</v>
      </c>
      <c r="E43" s="2430">
        <v>9</v>
      </c>
      <c r="F43" s="2431"/>
      <c r="G43" s="2433"/>
      <c r="H43" s="2433"/>
      <c r="I43" s="2433"/>
      <c r="J43" s="2433"/>
      <c r="K43" s="2433"/>
      <c r="L43" s="2434"/>
    </row>
    <row r="44" spans="1:12" x14ac:dyDescent="0.2">
      <c r="A44" s="1178"/>
      <c r="B44" s="747" t="s">
        <v>1164</v>
      </c>
      <c r="C44" s="1180"/>
      <c r="D44" s="1182" t="s">
        <v>217</v>
      </c>
      <c r="E44" s="2426">
        <v>9</v>
      </c>
      <c r="F44" s="2427"/>
      <c r="G44" s="2428"/>
      <c r="H44" s="2428"/>
      <c r="I44" s="2428"/>
      <c r="J44" s="2428"/>
      <c r="K44" s="2428"/>
      <c r="L44" s="2429"/>
    </row>
    <row r="49" spans="1:43" ht="18" x14ac:dyDescent="0.25">
      <c r="A49" s="17" t="s">
        <v>1609</v>
      </c>
    </row>
    <row r="51" spans="1:43" outlineLevel="1" x14ac:dyDescent="0.2">
      <c r="A51" s="2418" t="s">
        <v>79</v>
      </c>
      <c r="B51" s="2419"/>
      <c r="C51" s="2420"/>
      <c r="D51" s="2412" t="s">
        <v>180</v>
      </c>
      <c r="E51" s="2413"/>
      <c r="F51" s="2414"/>
      <c r="G51" s="2418" t="s">
        <v>181</v>
      </c>
      <c r="H51" s="2419"/>
      <c r="I51" s="2420"/>
      <c r="J51" s="2412" t="s">
        <v>182</v>
      </c>
      <c r="K51" s="2413"/>
      <c r="L51" s="2414"/>
      <c r="M51" s="2418" t="s">
        <v>183</v>
      </c>
      <c r="N51" s="2419"/>
      <c r="O51" s="2420"/>
      <c r="P51" s="2412" t="s">
        <v>184</v>
      </c>
      <c r="Q51" s="2413"/>
      <c r="R51" s="2414"/>
      <c r="S51" s="2418" t="s">
        <v>185</v>
      </c>
      <c r="T51" s="2419"/>
      <c r="U51" s="2420"/>
      <c r="V51" s="2412" t="s">
        <v>186</v>
      </c>
      <c r="W51" s="2413"/>
      <c r="X51" s="2414"/>
      <c r="AO51" s="30"/>
      <c r="AP51" s="37"/>
      <c r="AQ51" s="37"/>
    </row>
    <row r="52" spans="1:43" outlineLevel="1" x14ac:dyDescent="0.2">
      <c r="A52" s="2415">
        <f>+A13</f>
        <v>2025</v>
      </c>
      <c r="B52" s="2416"/>
      <c r="C52" s="2417"/>
      <c r="D52" s="2415">
        <f>+A52-1</f>
        <v>2024</v>
      </c>
      <c r="E52" s="2416"/>
      <c r="F52" s="2417"/>
      <c r="G52" s="2415">
        <f>+D52-1</f>
        <v>2023</v>
      </c>
      <c r="H52" s="2416"/>
      <c r="I52" s="2417"/>
      <c r="J52" s="2415">
        <f>+G52-1</f>
        <v>2022</v>
      </c>
      <c r="K52" s="2416"/>
      <c r="L52" s="2417"/>
      <c r="M52" s="2415">
        <f>+J52-1</f>
        <v>2021</v>
      </c>
      <c r="N52" s="2416"/>
      <c r="O52" s="2417"/>
      <c r="P52" s="2415">
        <f>+M52-1</f>
        <v>2020</v>
      </c>
      <c r="Q52" s="2416"/>
      <c r="R52" s="2417"/>
      <c r="S52" s="2415">
        <f>+P52-1</f>
        <v>2019</v>
      </c>
      <c r="T52" s="2416"/>
      <c r="U52" s="2417"/>
      <c r="V52" s="2415">
        <f>+S52-1</f>
        <v>2018</v>
      </c>
      <c r="W52" s="2416"/>
      <c r="X52" s="2417"/>
    </row>
    <row r="53" spans="1:43" outlineLevel="1" x14ac:dyDescent="0.2">
      <c r="A53" s="649" t="s">
        <v>30</v>
      </c>
      <c r="B53" s="651">
        <f>+D48</f>
        <v>0</v>
      </c>
      <c r="C53" s="87" t="s">
        <v>503</v>
      </c>
      <c r="D53" s="650" t="s">
        <v>30</v>
      </c>
      <c r="E53" s="652">
        <f>+D48</f>
        <v>0</v>
      </c>
      <c r="F53" s="87" t="s">
        <v>671</v>
      </c>
      <c r="G53" s="650" t="s">
        <v>30</v>
      </c>
      <c r="H53" s="652">
        <f>+D48</f>
        <v>0</v>
      </c>
      <c r="I53" s="87" t="s">
        <v>671</v>
      </c>
      <c r="J53" s="650" t="s">
        <v>30</v>
      </c>
      <c r="K53" s="652">
        <f>+D48</f>
        <v>0</v>
      </c>
      <c r="L53" s="87" t="s">
        <v>671</v>
      </c>
      <c r="M53" s="650" t="s">
        <v>30</v>
      </c>
      <c r="N53" s="652">
        <f>+D48</f>
        <v>0</v>
      </c>
      <c r="O53" s="87" t="s">
        <v>671</v>
      </c>
      <c r="P53" s="650" t="s">
        <v>30</v>
      </c>
      <c r="Q53" s="652">
        <f>+D48</f>
        <v>0</v>
      </c>
      <c r="R53" s="87" t="s">
        <v>671</v>
      </c>
      <c r="S53" s="650" t="s">
        <v>30</v>
      </c>
      <c r="T53" s="652">
        <f>+D48</f>
        <v>0</v>
      </c>
      <c r="U53" s="87" t="s">
        <v>671</v>
      </c>
      <c r="V53" s="650" t="s">
        <v>30</v>
      </c>
      <c r="W53" s="652">
        <f>+D48</f>
        <v>0</v>
      </c>
      <c r="X53" s="86" t="s">
        <v>671</v>
      </c>
    </row>
    <row r="54" spans="1:43" s="1509" customFormat="1" ht="20.25" customHeight="1" outlineLevel="1" x14ac:dyDescent="0.2">
      <c r="A54" s="1506" t="str">
        <f>+IF(AND(DATE(YEAR($G$5),1,31)&gt;=$D$5,DATE(YEAR($G$5),1,1)&lt;=$G$5),DATE(YEAR($G$5),1,1),"Hors période")</f>
        <v>Hors période</v>
      </c>
      <c r="B54" s="1507">
        <f t="shared" ref="B54:B65" si="3">IF(C54="",IFERROR(+VLOOKUP(A54,BDD,92,FALSE),0),C54)</f>
        <v>0</v>
      </c>
      <c r="C54" s="1523"/>
      <c r="D54" s="1508" t="str">
        <f>+IF(AND(DATE(YEAR($G$5)-1,1,31)&gt;=$D$5,DATE(YEAR($G$5)-1,1,1)&lt;=$G$5),DATE(YEAR($G$5)-1,1,1),"Hors période")</f>
        <v>Hors période</v>
      </c>
      <c r="E54" s="1507">
        <f t="shared" ref="E54:E65" si="4">IF(F54="",IFERROR(+VLOOKUP(D54,BDD,92,FALSE),0),F54)</f>
        <v>0</v>
      </c>
      <c r="F54" s="1523"/>
      <c r="G54" s="1508" t="str">
        <f>+IF(AND(DATE(YEAR($G$5)-2,1,31)&gt;=$D$5,DATE(YEAR($G$5)-2,1,1)&lt;=$G$5),DATE(YEAR($G$5)-2,1,1),"Hors période")</f>
        <v>Hors période</v>
      </c>
      <c r="H54" s="1507">
        <f t="shared" ref="H54:H65" si="5">IF(I54="",IFERROR(+VLOOKUP(G54,BDD,92,FALSE),0),I54)</f>
        <v>0</v>
      </c>
      <c r="I54" s="1523"/>
      <c r="J54" s="1508" t="str">
        <f>+IF(AND(DATE(YEAR($G$5)-3,1,31)&gt;=$D$5,DATE(YEAR($G$5)-3,1,1)&lt;=$G$5),DATE(YEAR($G$5)-3,1,1),"Hors période")</f>
        <v>Hors période</v>
      </c>
      <c r="K54" s="1507">
        <f t="shared" ref="K54:K65" si="6">IF(L54="",IFERROR(+VLOOKUP(J54,BDD,92,FALSE),0),L54)</f>
        <v>0</v>
      </c>
      <c r="L54" s="1523"/>
      <c r="M54" s="1508" t="str">
        <f>+IF(AND(DATE(YEAR($G$5)-4,1,31)&gt;=$D$5,DATE(YEAR($G$5)-4,1,1)&lt;=$G$5),DATE(YEAR($G$5)-4,1,1),"Hors période")</f>
        <v>Hors période</v>
      </c>
      <c r="N54" s="1507">
        <f t="shared" ref="N54:N65" si="7">IF(O54="",IFERROR(+VLOOKUP(M54,BDD,92,FALSE),0),O54)</f>
        <v>0</v>
      </c>
      <c r="O54" s="1523"/>
      <c r="P54" s="1508" t="str">
        <f>+IF(AND(DATE(YEAR($G$5)-5,1,31)&gt;=$D$5,DATE(YEAR($G$5)-5,1,1)&lt;=$G$5),DATE(YEAR($G$5)-5,1,1),"Hors période")</f>
        <v>Hors période</v>
      </c>
      <c r="Q54" s="1507">
        <f t="shared" ref="Q54:Q65" si="8">IF(R54="",IFERROR(+VLOOKUP(P54,BDD,92,FALSE),0),R54)</f>
        <v>0</v>
      </c>
      <c r="R54" s="1523"/>
      <c r="S54" s="1508" t="str">
        <f>+IF(AND(DATE(YEAR($G$5)-6,1,31)&gt;=$D$5,DATE(YEAR($G$5)-6,1,1)&lt;=$G$5),DATE(YEAR($G$5)-6,1,1),"Hors période")</f>
        <v>Hors période</v>
      </c>
      <c r="T54" s="1507">
        <f t="shared" ref="T54:T65" si="9">IF(U54="",IFERROR(+VLOOKUP(S54,BDD,92,FALSE),0),U54)</f>
        <v>0</v>
      </c>
      <c r="U54" s="1523"/>
      <c r="V54" s="1508" t="str">
        <f>+IF(AND(DATE(YEAR($G$5)-7,1,31)&gt;=$D$5,DATE(YEAR($G$5)-7,1,1)&lt;=$G$5),DATE(YEAR($G$5)-7,1,1),"Hors période")</f>
        <v>Hors période</v>
      </c>
      <c r="W54" s="1507">
        <f t="shared" ref="W54:W65" si="10">IF(X54="",IFERROR(+VLOOKUP(V54,BDD,92,FALSE),0),X54)</f>
        <v>0</v>
      </c>
      <c r="X54" s="1523"/>
    </row>
    <row r="55" spans="1:43" s="1509" customFormat="1" ht="20.25" customHeight="1" outlineLevel="1" x14ac:dyDescent="0.2">
      <c r="A55" s="1510" t="str">
        <f>+IF(AND(DATE(YEAR($G$5),2,29)&gt;=$D$5,DATE(YEAR($G$5),2,1)&lt;=$G$5),DATE(YEAR($G$5),2,1),"Hors période")</f>
        <v>Hors période</v>
      </c>
      <c r="B55" s="1511">
        <f t="shared" si="3"/>
        <v>0</v>
      </c>
      <c r="C55" s="1524"/>
      <c r="D55" s="1512" t="str">
        <f>+IF(AND(DATE(YEAR($G$5)-1,2,29)&gt;=$D$5,DATE(YEAR($G$5)-1,2,1)&lt;=$G$5),DATE(YEAR($G$5)-1,2,1),"Hors période")</f>
        <v>Hors période</v>
      </c>
      <c r="E55" s="1511">
        <f t="shared" si="4"/>
        <v>0</v>
      </c>
      <c r="F55" s="1524"/>
      <c r="G55" s="1512" t="str">
        <f>+IF(AND(DATE(YEAR($G$5)-2,2,29)&gt;=$D$5,DATE(YEAR($G$5)-2,2,1)&lt;=$G$5),DATE(YEAR($G$5)-2,2,1),"Hors période")</f>
        <v>Hors période</v>
      </c>
      <c r="H55" s="1511">
        <f t="shared" si="5"/>
        <v>0</v>
      </c>
      <c r="I55" s="1524"/>
      <c r="J55" s="1512" t="str">
        <f>+IF(AND(DATE(YEAR($G$5)-3,2,29)&gt;=$D$5,DATE(YEAR($G$5)-3,2,1)&lt;=$G$5),DATE(YEAR($G$5)-3,2,1),"Hors période")</f>
        <v>Hors période</v>
      </c>
      <c r="K55" s="1511">
        <f t="shared" si="6"/>
        <v>0</v>
      </c>
      <c r="L55" s="1524"/>
      <c r="M55" s="1512" t="str">
        <f>+IF(AND(DATE(YEAR($G$5)-4,2,29)&gt;=$D$5,DATE(YEAR($G$5)-4,2,1)&lt;=$G$5),DATE(YEAR($G$5)-4,2,1),"Hors période")</f>
        <v>Hors période</v>
      </c>
      <c r="N55" s="1511">
        <f t="shared" si="7"/>
        <v>0</v>
      </c>
      <c r="O55" s="1524"/>
      <c r="P55" s="1512" t="str">
        <f>+IF(AND(DATE(YEAR($G$5)-5,2,29)&gt;=$D$5,DATE(YEAR($G$5)-5,2,1)&lt;=$G$5),DATE(YEAR($G$5)-5,2,1),"Hors période")</f>
        <v>Hors période</v>
      </c>
      <c r="Q55" s="1511">
        <f t="shared" si="8"/>
        <v>0</v>
      </c>
      <c r="R55" s="1524"/>
      <c r="S55" s="1512" t="str">
        <f>+IF(AND(DATE(YEAR($G$5)-6,2,29)&gt;=$D$5,DATE(YEAR($G$5)-6,2,1)&lt;=$G$5),DATE(YEAR($G$5)-6,2,1),"Hors période")</f>
        <v>Hors période</v>
      </c>
      <c r="T55" s="1511">
        <f t="shared" si="9"/>
        <v>0</v>
      </c>
      <c r="U55" s="1524"/>
      <c r="V55" s="1512" t="str">
        <f>+IF(AND(DATE(YEAR($G$5)-7,2,29)&gt;=$D$5,DATE(YEAR($G$5)-7,2,1)&lt;=$G$5),DATE(YEAR($G$5)-7,2,1),"Hors période")</f>
        <v>Hors période</v>
      </c>
      <c r="W55" s="1511">
        <f t="shared" si="10"/>
        <v>0</v>
      </c>
      <c r="X55" s="1524"/>
    </row>
    <row r="56" spans="1:43" s="1509" customFormat="1" ht="20.25" customHeight="1" outlineLevel="1" x14ac:dyDescent="0.2">
      <c r="A56" s="1510" t="str">
        <f>+IF(AND(DATE(YEAR($G$5),3,31)&gt;=$D$5,DATE(YEAR($G$5),3,1)&lt;=$G$5),DATE(YEAR($G$5),3,1),"Hors période")</f>
        <v>Hors période</v>
      </c>
      <c r="B56" s="1511">
        <f t="shared" si="3"/>
        <v>0</v>
      </c>
      <c r="C56" s="1524"/>
      <c r="D56" s="1512" t="str">
        <f>+IF(AND(DATE(YEAR($G$5)-1,3,31)&gt;=$D$5,DATE(YEAR($G$5)-1,3,1)&lt;=$G$5),DATE(YEAR($G$5)-1,3,1),"Hors période")</f>
        <v>Hors période</v>
      </c>
      <c r="E56" s="1511">
        <f t="shared" si="4"/>
        <v>0</v>
      </c>
      <c r="F56" s="1524"/>
      <c r="G56" s="1512" t="str">
        <f>+IF(AND(DATE(YEAR($G$5)-2,3,31)&gt;=$D$5,DATE(YEAR($G$5)-2,3,1)&lt;=$G$5),DATE(YEAR($G$5)-2,3,1),"Hors période")</f>
        <v>Hors période</v>
      </c>
      <c r="H56" s="1511">
        <f t="shared" si="5"/>
        <v>0</v>
      </c>
      <c r="I56" s="1524"/>
      <c r="J56" s="1512" t="str">
        <f>+IF(AND(DATE(YEAR($G$5)-3,3,31)&gt;=$D$5,DATE(YEAR($G$5)-3,3,1)&lt;=$G$5),DATE(YEAR($G$5)-3,3,1),"Hors période")</f>
        <v>Hors période</v>
      </c>
      <c r="K56" s="1511">
        <f t="shared" si="6"/>
        <v>0</v>
      </c>
      <c r="L56" s="1524"/>
      <c r="M56" s="1512" t="str">
        <f>+IF(AND(DATE(YEAR($G$5)-4,3,31)&gt;=$D$5,DATE(YEAR($G$5)-4,3,1)&lt;=$G$5),DATE(YEAR($G$5)-4,3,1),"Hors période")</f>
        <v>Hors période</v>
      </c>
      <c r="N56" s="1511">
        <f t="shared" si="7"/>
        <v>0</v>
      </c>
      <c r="O56" s="1524"/>
      <c r="P56" s="1512" t="str">
        <f>+IF(AND(DATE(YEAR($G$5)-5,3,31)&gt;=$D$5,DATE(YEAR($G$5)-5,3,1)&lt;=$G$5),DATE(YEAR($G$5)-5,3,1),"Hors période")</f>
        <v>Hors période</v>
      </c>
      <c r="Q56" s="1511">
        <f t="shared" si="8"/>
        <v>0</v>
      </c>
      <c r="R56" s="1524"/>
      <c r="S56" s="1512" t="str">
        <f>+IF(AND(DATE(YEAR($G$5)-6,3,31)&gt;=$D$5,DATE(YEAR($G$5)-6,3,1)&lt;=$G$5),DATE(YEAR($G$5)-6,3,1),"Hors période")</f>
        <v>Hors période</v>
      </c>
      <c r="T56" s="1511">
        <f t="shared" si="9"/>
        <v>0</v>
      </c>
      <c r="U56" s="1524"/>
      <c r="V56" s="1512" t="str">
        <f>+IF(AND(DATE(YEAR($G$5)-7,3,31)&gt;=$D$5,DATE(YEAR($G$5)-7,3,1)&lt;=$G$5),DATE(YEAR($G$5)-7,3,1),"Hors période")</f>
        <v>Hors période</v>
      </c>
      <c r="W56" s="1511">
        <f t="shared" si="10"/>
        <v>0</v>
      </c>
      <c r="X56" s="1524"/>
    </row>
    <row r="57" spans="1:43" s="1509" customFormat="1" ht="20.25" customHeight="1" outlineLevel="1" x14ac:dyDescent="0.2">
      <c r="A57" s="1510" t="str">
        <f>+IF(AND(DATE(YEAR($G$5),4,30)&gt;=$D$5,DATE(YEAR($G$5),4,1)&lt;=$G$5),DATE(YEAR($G$5),4,1),"Hors période")</f>
        <v>Hors période</v>
      </c>
      <c r="B57" s="1511">
        <f t="shared" si="3"/>
        <v>0</v>
      </c>
      <c r="C57" s="1524"/>
      <c r="D57" s="1512" t="str">
        <f>+IF(AND(DATE(YEAR($G$5)-1,4,30)&gt;=$D$5,DATE(YEAR($G$5)-1,4,1)&lt;=$G$5),DATE(YEAR($G$5)-1,4,1),"Hors période")</f>
        <v>Hors période</v>
      </c>
      <c r="E57" s="1511">
        <f t="shared" si="4"/>
        <v>0</v>
      </c>
      <c r="F57" s="1524"/>
      <c r="G57" s="1512" t="str">
        <f>+IF(AND(DATE(YEAR($G$5)-2,4,30)&gt;=$D$5,DATE(YEAR($G$5)-2,4,1)&lt;=$G$5),DATE(YEAR($G$5)-2,4,1),"Hors période")</f>
        <v>Hors période</v>
      </c>
      <c r="H57" s="1511">
        <f t="shared" si="5"/>
        <v>0</v>
      </c>
      <c r="I57" s="1524"/>
      <c r="J57" s="1512" t="str">
        <f>+IF(AND(DATE(YEAR($G$5)-3,4,30)&gt;=$D$5,DATE(YEAR($G$5)-3,4,1)&lt;=$G$5),DATE(YEAR($G$5)-3,4,1),"Hors période")</f>
        <v>Hors période</v>
      </c>
      <c r="K57" s="1511">
        <f t="shared" si="6"/>
        <v>0</v>
      </c>
      <c r="L57" s="1524"/>
      <c r="M57" s="1512" t="str">
        <f>+IF(AND(DATE(YEAR($G$5)-4,4,30)&gt;=$D$5,DATE(YEAR($G$5)-4,4,1)&lt;=$G$5),DATE(YEAR($G$5)-4,4,1),"Hors période")</f>
        <v>Hors période</v>
      </c>
      <c r="N57" s="1511">
        <f t="shared" si="7"/>
        <v>0</v>
      </c>
      <c r="O57" s="1524"/>
      <c r="P57" s="1512" t="str">
        <f>+IF(AND(DATE(YEAR($G$5)-5,4,30)&gt;=$D$5,DATE(YEAR($G$5)-5,4,1)&lt;=$G$5),DATE(YEAR($G$5)-5,4,1),"Hors période")</f>
        <v>Hors période</v>
      </c>
      <c r="Q57" s="1511">
        <f t="shared" si="8"/>
        <v>0</v>
      </c>
      <c r="R57" s="1524"/>
      <c r="S57" s="1512" t="str">
        <f>+IF(AND(DATE(YEAR($G$5)-6,4,30)&gt;=$D$5,DATE(YEAR($G$5)-6,4,1)&lt;=$G$5),DATE(YEAR($G$5)-6,4,1),"Hors période")</f>
        <v>Hors période</v>
      </c>
      <c r="T57" s="1511">
        <f t="shared" si="9"/>
        <v>0</v>
      </c>
      <c r="U57" s="1524"/>
      <c r="V57" s="1512" t="str">
        <f>+IF(AND(DATE(YEAR($G$5)-7,4,30)&gt;=$D$5,DATE(YEAR($G$5)-7,4,1)&lt;=$G$5),DATE(YEAR($G$5)-7,4,1),"Hors période")</f>
        <v>Hors période</v>
      </c>
      <c r="W57" s="1511">
        <f t="shared" si="10"/>
        <v>0</v>
      </c>
      <c r="X57" s="1524"/>
    </row>
    <row r="58" spans="1:43" s="1509" customFormat="1" ht="20.25" customHeight="1" outlineLevel="1" x14ac:dyDescent="0.2">
      <c r="A58" s="1510" t="str">
        <f>+IF(AND(DATE(YEAR($G$5),5,31)&gt;=$D$5,DATE(YEAR($G$5),5,1)&lt;=$G$5),DATE(YEAR($G$5),5,1),"Hors période")</f>
        <v>Hors période</v>
      </c>
      <c r="B58" s="1511">
        <f t="shared" si="3"/>
        <v>0</v>
      </c>
      <c r="C58" s="1524"/>
      <c r="D58" s="1512" t="str">
        <f>+IF(AND(DATE(YEAR($G$5)-1,5,31)&gt;=$D$5,DATE(YEAR($G$5)-1,5,1)&lt;=$G$5),DATE(YEAR($G$5)-1,5,1),"Hors période")</f>
        <v>Hors période</v>
      </c>
      <c r="E58" s="1511">
        <f t="shared" si="4"/>
        <v>0</v>
      </c>
      <c r="F58" s="1524"/>
      <c r="G58" s="1512" t="str">
        <f>+IF(AND(DATE(YEAR($G$5)-2,5,31)&gt;=$D$5,DATE(YEAR($G$5)-2,5,1)&lt;=$G$5),DATE(YEAR($G$5)-2,5,1),"Hors période")</f>
        <v>Hors période</v>
      </c>
      <c r="H58" s="1511">
        <f t="shared" si="5"/>
        <v>0</v>
      </c>
      <c r="I58" s="1524"/>
      <c r="J58" s="1512" t="str">
        <f>+IF(AND(DATE(YEAR($G$5)-3,5,31)&gt;=$D$5,DATE(YEAR($G$5)-3,5,1)&lt;=$G$5),DATE(YEAR($G$5)-3,5,1),"Hors période")</f>
        <v>Hors période</v>
      </c>
      <c r="K58" s="1511">
        <f t="shared" si="6"/>
        <v>0</v>
      </c>
      <c r="L58" s="1524"/>
      <c r="M58" s="1512" t="str">
        <f>+IF(AND(DATE(YEAR($G$5)-4,5,31)&gt;=$D$5,DATE(YEAR($G$5)-4,5,1)&lt;=$G$5),DATE(YEAR($G$5)-4,5,1),"Hors période")</f>
        <v>Hors période</v>
      </c>
      <c r="N58" s="1511">
        <f t="shared" si="7"/>
        <v>0</v>
      </c>
      <c r="O58" s="1524"/>
      <c r="P58" s="1512" t="str">
        <f>+IF(AND(DATE(YEAR($G$5)-5,5,31)&gt;=$D$5,DATE(YEAR($G$5)-5,5,1)&lt;=$G$5),DATE(YEAR($G$5)-5,5,1),"Hors période")</f>
        <v>Hors période</v>
      </c>
      <c r="Q58" s="1511">
        <f t="shared" si="8"/>
        <v>0</v>
      </c>
      <c r="R58" s="1524"/>
      <c r="S58" s="1512" t="str">
        <f>+IF(AND(DATE(YEAR($G$5)-6,5,31)&gt;=$D$5,DATE(YEAR($G$5)-6,5,1)&lt;=$G$5),DATE(YEAR($G$5)-6,5,1),"Hors période")</f>
        <v>Hors période</v>
      </c>
      <c r="T58" s="1511">
        <f t="shared" si="9"/>
        <v>0</v>
      </c>
      <c r="U58" s="1524"/>
      <c r="V58" s="1512" t="str">
        <f>+IF(AND(DATE(YEAR($G$5)-7,5,31)&gt;=$D$5,DATE(YEAR($G$5)-7,5,1)&lt;=$G$5),DATE(YEAR($G$5)-7,5,1),"Hors période")</f>
        <v>Hors période</v>
      </c>
      <c r="W58" s="1511">
        <f t="shared" si="10"/>
        <v>0</v>
      </c>
      <c r="X58" s="1524"/>
    </row>
    <row r="59" spans="1:43" s="1509" customFormat="1" ht="20.25" customHeight="1" outlineLevel="1" x14ac:dyDescent="0.2">
      <c r="A59" s="1510" t="str">
        <f>+IF(AND(DATE(YEAR($G$5),6,30)&gt;=$D$5,DATE(YEAR($G$5),6,1)&lt;=$G$5),DATE(YEAR($G$5),6,1),"Hors période")</f>
        <v>Hors période</v>
      </c>
      <c r="B59" s="1511">
        <f t="shared" si="3"/>
        <v>0</v>
      </c>
      <c r="C59" s="1524"/>
      <c r="D59" s="1512" t="str">
        <f>+IF(AND(DATE(YEAR($G$5)-1,6,30)&gt;=$D$5,DATE(YEAR($G$5)-1,6,1)&lt;=$G$5),DATE(YEAR($G$5)-1,6,1),"Hors période")</f>
        <v>Hors période</v>
      </c>
      <c r="E59" s="1511">
        <f t="shared" si="4"/>
        <v>0</v>
      </c>
      <c r="F59" s="1524"/>
      <c r="G59" s="1512" t="str">
        <f>+IF(AND(DATE(YEAR($G$5)-2,6,30)&gt;=$D$5,DATE(YEAR($G$5)-2,6,1)&lt;=$G$5),DATE(YEAR($G$5)-2,6,1),"Hors période")</f>
        <v>Hors période</v>
      </c>
      <c r="H59" s="1511">
        <f t="shared" si="5"/>
        <v>0</v>
      </c>
      <c r="I59" s="1524"/>
      <c r="J59" s="1512" t="str">
        <f>+IF(AND(DATE(YEAR($G$5)-3,6,30)&gt;=$D$5,DATE(YEAR($G$5)-3,6,1)&lt;=$G$5),DATE(YEAR($G$5)-3,6,1),"Hors période")</f>
        <v>Hors période</v>
      </c>
      <c r="K59" s="1511">
        <f t="shared" si="6"/>
        <v>0</v>
      </c>
      <c r="L59" s="1524"/>
      <c r="M59" s="1512" t="str">
        <f>+IF(AND(DATE(YEAR($G$5)-4,6,30)&gt;=$D$5,DATE(YEAR($G$5)-4,6,1)&lt;=$G$5),DATE(YEAR($G$5)-4,6,1),"Hors période")</f>
        <v>Hors période</v>
      </c>
      <c r="N59" s="1511">
        <f t="shared" si="7"/>
        <v>0</v>
      </c>
      <c r="O59" s="1524"/>
      <c r="P59" s="1512" t="str">
        <f>+IF(AND(DATE(YEAR($G$5)-5,6,30)&gt;=$D$5,DATE(YEAR($G$5)-5,6,1)&lt;=$G$5),DATE(YEAR($G$5)-5,6,1),"Hors période")</f>
        <v>Hors période</v>
      </c>
      <c r="Q59" s="1511">
        <f t="shared" si="8"/>
        <v>0</v>
      </c>
      <c r="R59" s="1524"/>
      <c r="S59" s="1512" t="str">
        <f>+IF(AND(DATE(YEAR($G$5)-6,6,30)&gt;=$D$5,DATE(YEAR($G$5)-6,6,1)&lt;=$G$5),DATE(YEAR($G$5)-6,6,1),"Hors période")</f>
        <v>Hors période</v>
      </c>
      <c r="T59" s="1511">
        <f t="shared" si="9"/>
        <v>0</v>
      </c>
      <c r="U59" s="1524"/>
      <c r="V59" s="1512" t="str">
        <f>+IF(AND(DATE(YEAR($G$5)-7,6,30)&gt;=$D$5,DATE(YEAR($G$5)-7,6,1)&lt;=$G$5),DATE(YEAR($G$5)-7,6,1),"Hors période")</f>
        <v>Hors période</v>
      </c>
      <c r="W59" s="1511">
        <f t="shared" si="10"/>
        <v>0</v>
      </c>
      <c r="X59" s="1524"/>
    </row>
    <row r="60" spans="1:43" s="1509" customFormat="1" ht="20.25" customHeight="1" outlineLevel="1" x14ac:dyDescent="0.2">
      <c r="A60" s="1510" t="str">
        <f>+IF(AND(DATE(YEAR($G$5),7,31)&gt;=$D$5,DATE(YEAR($G$5),7,1)&lt;=$G$5),DATE(YEAR($G$5),7,1),"Hors période")</f>
        <v>Hors période</v>
      </c>
      <c r="B60" s="1511">
        <f t="shared" si="3"/>
        <v>0</v>
      </c>
      <c r="C60" s="1524"/>
      <c r="D60" s="1512" t="str">
        <f>+IF(AND(DATE(YEAR($G$5)-1,7,31)&gt;=$D$5,DATE(YEAR($G$5)-1,7,1)&lt;=$G$5),DATE(YEAR($G$5)-1,7,1),"Hors période")</f>
        <v>Hors période</v>
      </c>
      <c r="E60" s="1511">
        <f t="shared" si="4"/>
        <v>0</v>
      </c>
      <c r="F60" s="1524"/>
      <c r="G60" s="1512" t="str">
        <f>+IF(AND(DATE(YEAR($G$5)-2,7,31)&gt;=$D$5,DATE(YEAR($G$5)-2,7,1)&lt;=$G$5),DATE(YEAR($G$5)-2,7,1),"Hors période")</f>
        <v>Hors période</v>
      </c>
      <c r="H60" s="1511">
        <f t="shared" si="5"/>
        <v>0</v>
      </c>
      <c r="I60" s="1524"/>
      <c r="J60" s="1512" t="str">
        <f>+IF(AND(DATE(YEAR($G$5)-3,7,31)&gt;=$D$5,DATE(YEAR($G$5)-3,7,1)&lt;=$G$5),DATE(YEAR($G$5)-3,7,1),"Hors période")</f>
        <v>Hors période</v>
      </c>
      <c r="K60" s="1511">
        <f t="shared" si="6"/>
        <v>0</v>
      </c>
      <c r="L60" s="1524"/>
      <c r="M60" s="1512" t="str">
        <f>+IF(AND(DATE(YEAR($G$5)-4,7,31)&gt;=$D$5,DATE(YEAR($G$5)-4,7,1)&lt;=$G$5),DATE(YEAR($G$5)-4,7,1),"Hors période")</f>
        <v>Hors période</v>
      </c>
      <c r="N60" s="1511">
        <f t="shared" si="7"/>
        <v>0</v>
      </c>
      <c r="O60" s="1524"/>
      <c r="P60" s="1512" t="str">
        <f>+IF(AND(DATE(YEAR($G$5)-5,7,31)&gt;=$D$5,DATE(YEAR($G$5)-5,7,1)&lt;=$G$5),DATE(YEAR($G$5)-5,7,1),"Hors période")</f>
        <v>Hors période</v>
      </c>
      <c r="Q60" s="1511">
        <f t="shared" si="8"/>
        <v>0</v>
      </c>
      <c r="R60" s="1524"/>
      <c r="S60" s="1512" t="str">
        <f>+IF(AND(DATE(YEAR($G$5)-6,7,31)&gt;=$D$5,DATE(YEAR($G$5)-6,7,1)&lt;=$G$5),DATE(YEAR($G$5)-6,7,1),"Hors période")</f>
        <v>Hors période</v>
      </c>
      <c r="T60" s="1511">
        <f t="shared" si="9"/>
        <v>0</v>
      </c>
      <c r="U60" s="1524"/>
      <c r="V60" s="1512" t="str">
        <f>+IF(AND(DATE(YEAR($G$5)-7,7,31)&gt;=$D$5,DATE(YEAR($G$5)-7,7,1)&lt;=$G$5),DATE(YEAR($G$5)-7,7,1),"Hors période")</f>
        <v>Hors période</v>
      </c>
      <c r="W60" s="1511">
        <f t="shared" si="10"/>
        <v>0</v>
      </c>
      <c r="X60" s="1524"/>
    </row>
    <row r="61" spans="1:43" s="1509" customFormat="1" ht="20.25" customHeight="1" outlineLevel="1" x14ac:dyDescent="0.2">
      <c r="A61" s="1510" t="str">
        <f>+IF(AND(DATE(YEAR($G$5),8,31)&gt;=$D$5,DATE(YEAR($G$5),8,1)&lt;=$G$5),DATE(YEAR($G$5),8,1),"Hors période")</f>
        <v>Hors période</v>
      </c>
      <c r="B61" s="1511">
        <f t="shared" si="3"/>
        <v>0</v>
      </c>
      <c r="C61" s="1524"/>
      <c r="D61" s="1512" t="str">
        <f>+IF(AND(DATE(YEAR($G$5)-1,8,31)&gt;=$D$5,DATE(YEAR($G$5)-1,8,1)&lt;=$G$5),DATE(YEAR($G$5)-1,8,1),"Hors période")</f>
        <v>Hors période</v>
      </c>
      <c r="E61" s="1511">
        <f t="shared" si="4"/>
        <v>0</v>
      </c>
      <c r="F61" s="1524"/>
      <c r="G61" s="1512" t="str">
        <f>+IF(AND(DATE(YEAR($G$5)-2,8,31)&gt;=$D$5,DATE(YEAR($G$5)-2,8,1)&lt;=$G$5),DATE(YEAR($G$5)-2,8,1),"Hors période")</f>
        <v>Hors période</v>
      </c>
      <c r="H61" s="1511">
        <f t="shared" si="5"/>
        <v>0</v>
      </c>
      <c r="I61" s="1524"/>
      <c r="J61" s="1512" t="str">
        <f>+IF(AND(DATE(YEAR($G$5)-3,8,31)&gt;=$D$5,DATE(YEAR($G$5)-3,8,1)&lt;=$G$5),DATE(YEAR($G$5)-3,8,1),"Hors période")</f>
        <v>Hors période</v>
      </c>
      <c r="K61" s="1511">
        <f t="shared" si="6"/>
        <v>0</v>
      </c>
      <c r="L61" s="1524"/>
      <c r="M61" s="1512" t="str">
        <f>+IF(AND(DATE(YEAR($G$5)-4,8,31)&gt;=$D$5,DATE(YEAR($G$5)-4,8,1)&lt;=$G$5),DATE(YEAR($G$5)-4,8,1),"Hors période")</f>
        <v>Hors période</v>
      </c>
      <c r="N61" s="1511">
        <f t="shared" si="7"/>
        <v>0</v>
      </c>
      <c r="O61" s="1524"/>
      <c r="P61" s="1512" t="str">
        <f>+IF(AND(DATE(YEAR($G$5)-5,8,31)&gt;=$D$5,DATE(YEAR($G$5)-5,8,1)&lt;=$G$5),DATE(YEAR($G$5)-5,8,1),"Hors période")</f>
        <v>Hors période</v>
      </c>
      <c r="Q61" s="1511">
        <f t="shared" si="8"/>
        <v>0</v>
      </c>
      <c r="R61" s="1524"/>
      <c r="S61" s="1512" t="str">
        <f>+IF(AND(DATE(YEAR($G$5)-6,8,31)&gt;=$D$5,DATE(YEAR($G$5)-6,8,1)&lt;=$G$5),DATE(YEAR($G$5)-6,8,1),"Hors période")</f>
        <v>Hors période</v>
      </c>
      <c r="T61" s="1511">
        <f t="shared" si="9"/>
        <v>0</v>
      </c>
      <c r="U61" s="1524"/>
      <c r="V61" s="1512" t="str">
        <f>+IF(AND(DATE(YEAR($G$5)-7,8,31)&gt;=$D$5,DATE(YEAR($G$5)-7,8,1)&lt;=$G$5),DATE(YEAR($G$5)-7,8,1),"Hors période")</f>
        <v>Hors période</v>
      </c>
      <c r="W61" s="1511">
        <f t="shared" si="10"/>
        <v>0</v>
      </c>
      <c r="X61" s="1524"/>
    </row>
    <row r="62" spans="1:43" s="1509" customFormat="1" ht="20.25" customHeight="1" outlineLevel="1" x14ac:dyDescent="0.2">
      <c r="A62" s="1510" t="str">
        <f>+IF(AND(DATE(YEAR($G$5),9,30)&gt;=$D$5,DATE(YEAR($G$5),9,1)&lt;=$G$5),DATE(YEAR($G$5),9,1),"Hors période")</f>
        <v>Hors période</v>
      </c>
      <c r="B62" s="1511">
        <f t="shared" si="3"/>
        <v>0</v>
      </c>
      <c r="C62" s="1524"/>
      <c r="D62" s="1512" t="str">
        <f>+IF(AND(DATE(YEAR($G$5)-1,9,30)&gt;=$D$5,DATE(YEAR($G$5)-1,9,1)&lt;=$G$5),DATE(YEAR($G$5)-1,9,1),"Hors période")</f>
        <v>Hors période</v>
      </c>
      <c r="E62" s="1511">
        <f t="shared" si="4"/>
        <v>0</v>
      </c>
      <c r="F62" s="1524"/>
      <c r="G62" s="1512" t="str">
        <f>+IF(AND(DATE(YEAR($G$5)-2,9,30)&gt;=$D$5,DATE(YEAR($G$5)-2,9,1)&lt;=$G$5),DATE(YEAR($G$5)-2,9,1),"Hors période")</f>
        <v>Hors période</v>
      </c>
      <c r="H62" s="1511">
        <f t="shared" si="5"/>
        <v>0</v>
      </c>
      <c r="I62" s="1524"/>
      <c r="J62" s="1512" t="str">
        <f>+IF(AND(DATE(YEAR($G$5)-3,9,30)&gt;=$D$5,DATE(YEAR($G$5)-3,9,1)&lt;=$G$5),DATE(YEAR($G$5)-3,9,1),"Hors période")</f>
        <v>Hors période</v>
      </c>
      <c r="K62" s="1511">
        <f t="shared" si="6"/>
        <v>0</v>
      </c>
      <c r="L62" s="1524"/>
      <c r="M62" s="1512" t="str">
        <f>+IF(AND(DATE(YEAR($G$5)-4,9,30)&gt;=$D$5,DATE(YEAR($G$5)-4,9,1)&lt;=$G$5),DATE(YEAR($G$5)-4,9,1),"Hors période")</f>
        <v>Hors période</v>
      </c>
      <c r="N62" s="1511">
        <f t="shared" si="7"/>
        <v>0</v>
      </c>
      <c r="O62" s="1524"/>
      <c r="P62" s="1512" t="str">
        <f>+IF(AND(DATE(YEAR($G$5)-5,9,30)&gt;=$D$5,DATE(YEAR($G$5)-5,9,1)&lt;=$G$5),DATE(YEAR($G$5)-5,9,1),"Hors période")</f>
        <v>Hors période</v>
      </c>
      <c r="Q62" s="1511">
        <f t="shared" si="8"/>
        <v>0</v>
      </c>
      <c r="R62" s="1524"/>
      <c r="S62" s="1512" t="str">
        <f>+IF(AND(DATE(YEAR($G$5)-6,9,30)&gt;=$D$5,DATE(YEAR($G$5)-6,9,1)&lt;=$G$5),DATE(YEAR($G$5)-6,9,1),"Hors période")</f>
        <v>Hors période</v>
      </c>
      <c r="T62" s="1511">
        <f t="shared" si="9"/>
        <v>0</v>
      </c>
      <c r="U62" s="1524"/>
      <c r="V62" s="1512" t="str">
        <f>+IF(AND(DATE(YEAR($G$5)-7,9,30)&gt;=$D$5,DATE(YEAR($G$5)-7,9,1)&lt;=$G$5),DATE(YEAR($G$5)-7,9,1),"Hors période")</f>
        <v>Hors période</v>
      </c>
      <c r="W62" s="1511">
        <f t="shared" si="10"/>
        <v>0</v>
      </c>
      <c r="X62" s="1524"/>
    </row>
    <row r="63" spans="1:43" s="1509" customFormat="1" ht="20.25" customHeight="1" outlineLevel="1" x14ac:dyDescent="0.2">
      <c r="A63" s="1510" t="str">
        <f>+IF(AND(DATE(YEAR($G$5),10,31)&gt;=$D$5,DATE(YEAR($G$5),10,1)&lt;=$G$5),DATE(YEAR($G$5),10,1),"Hors période")</f>
        <v>Hors période</v>
      </c>
      <c r="B63" s="1511">
        <f t="shared" si="3"/>
        <v>0</v>
      </c>
      <c r="C63" s="1524"/>
      <c r="D63" s="1512" t="str">
        <f>+IF(AND(DATE(YEAR($G$5)-1,10,31)&gt;=$D$5,DATE(YEAR($G$5)-1,10,1)&lt;=$G$5),DATE(YEAR($G$5)-1,10,1),"Hors période")</f>
        <v>Hors période</v>
      </c>
      <c r="E63" s="1511">
        <f t="shared" si="4"/>
        <v>0</v>
      </c>
      <c r="F63" s="1524"/>
      <c r="G63" s="1512" t="str">
        <f>+IF(AND(DATE(YEAR($G$5)-2,10,31)&gt;=$D$5,DATE(YEAR($G$5)-2,10,1)&lt;=$G$5),DATE(YEAR($G$5)-2,10,1),"Hors période")</f>
        <v>Hors période</v>
      </c>
      <c r="H63" s="1511">
        <f t="shared" si="5"/>
        <v>0</v>
      </c>
      <c r="I63" s="1524"/>
      <c r="J63" s="1512" t="str">
        <f>+IF(AND(DATE(YEAR($G$5)-3,10,31)&gt;=$D$5,DATE(YEAR($G$5)-3,10,1)&lt;=$G$5),DATE(YEAR($G$5)-3,10,1),"Hors période")</f>
        <v>Hors période</v>
      </c>
      <c r="K63" s="1511">
        <f t="shared" si="6"/>
        <v>0</v>
      </c>
      <c r="L63" s="1524"/>
      <c r="M63" s="1512" t="str">
        <f>+IF(AND(DATE(YEAR($G$5)-4,10,31)&gt;=$D$5,DATE(YEAR($G$5)-4,10,1)&lt;=$G$5),DATE(YEAR($G$5)-4,10,1),"Hors période")</f>
        <v>Hors période</v>
      </c>
      <c r="N63" s="1511">
        <f t="shared" si="7"/>
        <v>0</v>
      </c>
      <c r="O63" s="1524"/>
      <c r="P63" s="1512" t="str">
        <f>+IF(AND(DATE(YEAR($G$5)-5,10,31)&gt;=$D$5,DATE(YEAR($G$5)-5,10,1)&lt;=$G$5),DATE(YEAR($G$5)-5,10,1),"Hors période")</f>
        <v>Hors période</v>
      </c>
      <c r="Q63" s="1511">
        <f t="shared" si="8"/>
        <v>0</v>
      </c>
      <c r="R63" s="1524"/>
      <c r="S63" s="1512" t="str">
        <f>+IF(AND(DATE(YEAR($G$5)-6,10,31)&gt;=$D$5,DATE(YEAR($G$5)-6,10,1)&lt;=$G$5),DATE(YEAR($G$5)-6,10,1),"Hors période")</f>
        <v>Hors période</v>
      </c>
      <c r="T63" s="1511">
        <f t="shared" si="9"/>
        <v>0</v>
      </c>
      <c r="U63" s="1524"/>
      <c r="V63" s="1512" t="str">
        <f>+IF(AND(DATE(YEAR($G$5)-7,10,31)&gt;=$D$5,DATE(YEAR($G$5)-7,10,1)&lt;=$G$5),DATE(YEAR($G$5)-7,10,1),"Hors période")</f>
        <v>Hors période</v>
      </c>
      <c r="W63" s="1511">
        <f t="shared" si="10"/>
        <v>0</v>
      </c>
      <c r="X63" s="1524"/>
    </row>
    <row r="64" spans="1:43" s="1509" customFormat="1" ht="20.25" customHeight="1" outlineLevel="1" x14ac:dyDescent="0.2">
      <c r="A64" s="1510" t="str">
        <f>+IF(AND(DATE(YEAR($G$5),11,30)&gt;=$D$5,DATE(YEAR($G$5),11,1)&lt;=$G$5),DATE(YEAR($G$5),11,1),"Hors période")</f>
        <v>Hors période</v>
      </c>
      <c r="B64" s="1511">
        <f t="shared" si="3"/>
        <v>0</v>
      </c>
      <c r="C64" s="1524"/>
      <c r="D64" s="1512" t="str">
        <f>+IF(AND(DATE(YEAR($G$5)-1,11,30)&gt;=$D$5,DATE(YEAR($G$5)-1,11,1)&lt;=$G$5),DATE(YEAR($G$5)-1,11,1),"Hors période")</f>
        <v>Hors période</v>
      </c>
      <c r="E64" s="1511">
        <f t="shared" si="4"/>
        <v>0</v>
      </c>
      <c r="F64" s="1524"/>
      <c r="G64" s="1512" t="str">
        <f>+IF(AND(DATE(YEAR($G$5)-2,11,30)&gt;=$D$5,DATE(YEAR($G$5)-2,11,1)&lt;=$G$5),DATE(YEAR($G$5)-2,11,1),"Hors période")</f>
        <v>Hors période</v>
      </c>
      <c r="H64" s="1511">
        <f t="shared" si="5"/>
        <v>0</v>
      </c>
      <c r="I64" s="1524"/>
      <c r="J64" s="1512" t="str">
        <f>+IF(AND(DATE(YEAR($G$5)-3,11,30)&gt;=$D$5,DATE(YEAR($G$5)-3,11,1)&lt;=$G$5),DATE(YEAR($G$5)-3,11,1),"Hors période")</f>
        <v>Hors période</v>
      </c>
      <c r="K64" s="1511">
        <f t="shared" si="6"/>
        <v>0</v>
      </c>
      <c r="L64" s="1524"/>
      <c r="M64" s="1512" t="str">
        <f>+IF(AND(DATE(YEAR($G$5)-4,11,30)&gt;=$D$5,DATE(YEAR($G$5)-4,11,1)&lt;=$G$5),DATE(YEAR($G$5)-4,11,1),"Hors période")</f>
        <v>Hors période</v>
      </c>
      <c r="N64" s="1511">
        <f t="shared" si="7"/>
        <v>0</v>
      </c>
      <c r="O64" s="1524"/>
      <c r="P64" s="1512" t="str">
        <f>+IF(AND(DATE(YEAR($G$5)-5,11,30)&gt;=$D$5,DATE(YEAR($G$5)-5,11,1)&lt;=$G$5),DATE(YEAR($G$5)-5,11,1),"Hors période")</f>
        <v>Hors période</v>
      </c>
      <c r="Q64" s="1511">
        <f t="shared" si="8"/>
        <v>0</v>
      </c>
      <c r="R64" s="1524"/>
      <c r="S64" s="1512" t="str">
        <f>+IF(AND(DATE(YEAR($G$5)-6,11,30)&gt;=$D$5,DATE(YEAR($G$5)-6,11,1)&lt;=$G$5),DATE(YEAR($G$5)-6,11,1),"Hors période")</f>
        <v>Hors période</v>
      </c>
      <c r="T64" s="1511">
        <f t="shared" si="9"/>
        <v>0</v>
      </c>
      <c r="U64" s="1524"/>
      <c r="V64" s="1512" t="str">
        <f>+IF(AND(DATE(YEAR($G$5)-7,11,30)&gt;=$D$5,DATE(YEAR($G$5)-7,11,1)&lt;=$G$5),DATE(YEAR($G$5)-7,11,1),"Hors période")</f>
        <v>Hors période</v>
      </c>
      <c r="W64" s="1511">
        <f t="shared" si="10"/>
        <v>0</v>
      </c>
      <c r="X64" s="1524"/>
    </row>
    <row r="65" spans="1:24" s="1509" customFormat="1" ht="20.25" customHeight="1" outlineLevel="1" x14ac:dyDescent="0.2">
      <c r="A65" s="1513" t="str">
        <f>+IF(AND(DATE(YEAR($G$5),12,31)&gt;=$D$5,DATE(YEAR($G$5),12,1)&lt;=$G$5),DATE(YEAR($G$5),12,1),"Hors période")</f>
        <v>Hors période</v>
      </c>
      <c r="B65" s="1514">
        <f t="shared" si="3"/>
        <v>0</v>
      </c>
      <c r="C65" s="1525"/>
      <c r="D65" s="1515" t="str">
        <f>+IF(AND(DATE(YEAR($G$5)-1,12,31)&gt;=$D$5,DATE(YEAR($G$5)-1,12,1)&lt;=$G$5),DATE(YEAR($G$5)-1,12,1),"Hors période")</f>
        <v>Hors période</v>
      </c>
      <c r="E65" s="1514">
        <f t="shared" si="4"/>
        <v>0</v>
      </c>
      <c r="F65" s="1525"/>
      <c r="G65" s="1515" t="str">
        <f>+IF(AND(DATE(YEAR($G$5)-2,12,31)&gt;=$D$5,DATE(YEAR($G$5)-2,12,1)&lt;=$G$5),DATE(YEAR($G$5)-2,12,1),"Hors période")</f>
        <v>Hors période</v>
      </c>
      <c r="H65" s="1514">
        <f t="shared" si="5"/>
        <v>0</v>
      </c>
      <c r="I65" s="1525"/>
      <c r="J65" s="1515" t="str">
        <f>+IF(AND(DATE(YEAR($G$5)-3,12,31)&gt;=$D$5,DATE(YEAR($G$5)-3,12,1)&lt;=$G$5),DATE(YEAR($G$5)-3,12,1),"Hors période")</f>
        <v>Hors période</v>
      </c>
      <c r="K65" s="1514">
        <f t="shared" si="6"/>
        <v>0</v>
      </c>
      <c r="L65" s="1525"/>
      <c r="M65" s="1515" t="str">
        <f>+IF(AND(DATE(YEAR($G$5)-4,12,31)&gt;=$D$5,DATE(YEAR($G$5)-4,12,1)&lt;=$G$5),DATE(YEAR($G$5)-4,12,1),"Hors période")</f>
        <v>Hors période</v>
      </c>
      <c r="N65" s="1514">
        <f t="shared" si="7"/>
        <v>0</v>
      </c>
      <c r="O65" s="1525"/>
      <c r="P65" s="1515" t="str">
        <f>+IF(AND(DATE(YEAR($G$5)-5,12,31)&gt;=$D$5,DATE(YEAR($G$5)-5,12,1)&lt;=$G$5),DATE(YEAR($G$5)-5,12,1),"Hors période")</f>
        <v>Hors période</v>
      </c>
      <c r="Q65" s="1514">
        <f t="shared" si="8"/>
        <v>0</v>
      </c>
      <c r="R65" s="1525"/>
      <c r="S65" s="1515" t="str">
        <f>+IF(AND(DATE(YEAR($G$5)-6,12,31)&gt;=$D$5,DATE(YEAR($G$5)-6,12,1)&lt;=$G$5),DATE(YEAR($G$5)-6,12,1),"Hors période")</f>
        <v>Hors période</v>
      </c>
      <c r="T65" s="1514">
        <f t="shared" si="9"/>
        <v>0</v>
      </c>
      <c r="U65" s="1525"/>
      <c r="V65" s="1515" t="str">
        <f>+IF(AND(DATE(YEAR($G$5)-7,12,31)&gt;=$D$5,DATE(YEAR($G$5)-7,12,1)&lt;=$G$5),DATE(YEAR($G$5)-7,12,1),"Hors période")</f>
        <v>Hors période</v>
      </c>
      <c r="W65" s="1514">
        <f t="shared" si="10"/>
        <v>0</v>
      </c>
      <c r="X65" s="1525"/>
    </row>
    <row r="66" spans="1:24" s="1509" customFormat="1" outlineLevel="1" x14ac:dyDescent="0.2"/>
    <row r="67" spans="1:24" s="1509" customFormat="1" ht="18.75" customHeight="1" outlineLevel="1" x14ac:dyDescent="0.2">
      <c r="A67" s="1516" t="s">
        <v>187</v>
      </c>
      <c r="B67" s="1517">
        <f>SUM(B54:B65)</f>
        <v>0</v>
      </c>
      <c r="C67" s="1518"/>
      <c r="D67" s="1516" t="s">
        <v>187</v>
      </c>
      <c r="E67" s="1517">
        <f>SUM(E54:E65)</f>
        <v>0</v>
      </c>
      <c r="F67" s="1519"/>
      <c r="G67" s="1516" t="s">
        <v>187</v>
      </c>
      <c r="H67" s="1517">
        <f>SUM(H54:H65)</f>
        <v>0</v>
      </c>
      <c r="I67" s="1519"/>
      <c r="J67" s="1516" t="s">
        <v>187</v>
      </c>
      <c r="K67" s="1517">
        <f>SUM(K54:K65)</f>
        <v>0</v>
      </c>
      <c r="L67" s="1518"/>
      <c r="M67" s="1516" t="s">
        <v>187</v>
      </c>
      <c r="N67" s="1517">
        <f>SUM(N54:N65)</f>
        <v>0</v>
      </c>
      <c r="O67" s="1518"/>
      <c r="P67" s="1516" t="s">
        <v>187</v>
      </c>
      <c r="Q67" s="1517">
        <f>SUM(Q54:Q65)</f>
        <v>0</v>
      </c>
      <c r="R67" s="1518"/>
      <c r="S67" s="1516" t="s">
        <v>187</v>
      </c>
      <c r="T67" s="1517">
        <f>SUM(T54:T65)</f>
        <v>0</v>
      </c>
      <c r="U67" s="1518"/>
      <c r="V67" s="1516" t="s">
        <v>187</v>
      </c>
      <c r="W67" s="1517">
        <f>SUM(W54:W65)</f>
        <v>0</v>
      </c>
    </row>
    <row r="68" spans="1:24" outlineLevel="1" x14ac:dyDescent="0.2"/>
    <row r="69" spans="1:24" x14ac:dyDescent="0.2">
      <c r="A69" s="24"/>
      <c r="B69" s="24"/>
      <c r="C69" s="24"/>
      <c r="D69" s="24"/>
      <c r="E69" s="24"/>
      <c r="F69" s="24"/>
      <c r="G69" s="24"/>
      <c r="H69" s="24"/>
    </row>
    <row r="70" spans="1:24" x14ac:dyDescent="0.2">
      <c r="A70" s="1509"/>
      <c r="B70" s="1509"/>
      <c r="C70" s="1509"/>
      <c r="D70" s="1520" t="s">
        <v>1404</v>
      </c>
      <c r="E70" s="1517">
        <f>SUM(A67:W67)</f>
        <v>0</v>
      </c>
      <c r="H70" s="1521" t="s">
        <v>1610</v>
      </c>
      <c r="I70" s="1522">
        <f>+E70*0.1</f>
        <v>0</v>
      </c>
    </row>
    <row r="71" spans="1:24" x14ac:dyDescent="0.2">
      <c r="H71" s="487" t="str">
        <f>+"Détail du calcul :   "&amp;E70&amp;" € X 10/100"</f>
        <v>Détail du calcul :   0 € X 10/100</v>
      </c>
    </row>
    <row r="75" spans="1:24" s="395" customFormat="1" x14ac:dyDescent="0.2"/>
    <row r="76" spans="1:24" s="395" customFormat="1" x14ac:dyDescent="0.2"/>
    <row r="77" spans="1:24" s="24" customFormat="1" x14ac:dyDescent="0.2"/>
    <row r="78" spans="1:24" s="24" customFormat="1" x14ac:dyDescent="0.2">
      <c r="A78" s="24" t="s">
        <v>672</v>
      </c>
    </row>
    <row r="79" spans="1:24" s="24" customFormat="1" x14ac:dyDescent="0.2">
      <c r="A79" s="24" t="s">
        <v>673</v>
      </c>
      <c r="B79" s="24" t="s">
        <v>180</v>
      </c>
      <c r="C79" s="24" t="s">
        <v>181</v>
      </c>
      <c r="D79" s="24" t="s">
        <v>182</v>
      </c>
      <c r="E79" s="24" t="s">
        <v>183</v>
      </c>
      <c r="F79" s="24" t="s">
        <v>184</v>
      </c>
      <c r="G79" s="24" t="s">
        <v>185</v>
      </c>
      <c r="H79" s="24" t="s">
        <v>186</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672</v>
      </c>
    </row>
    <row r="118" spans="1:8" s="24" customFormat="1" x14ac:dyDescent="0.2">
      <c r="A118" s="24" t="s">
        <v>673</v>
      </c>
      <c r="B118" s="24" t="s">
        <v>180</v>
      </c>
      <c r="C118" s="24" t="s">
        <v>181</v>
      </c>
      <c r="D118" s="24" t="s">
        <v>182</v>
      </c>
      <c r="E118" s="24" t="s">
        <v>183</v>
      </c>
      <c r="F118" s="24" t="s">
        <v>184</v>
      </c>
      <c r="G118" s="24" t="s">
        <v>185</v>
      </c>
      <c r="H118" s="24" t="s">
        <v>186</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95" customFormat="1" x14ac:dyDescent="0.2"/>
    <row r="200" s="395" customFormat="1" x14ac:dyDescent="0.2"/>
    <row r="201" s="395" customFormat="1" x14ac:dyDescent="0.2"/>
    <row r="202" s="395" customFormat="1" x14ac:dyDescent="0.2"/>
    <row r="203" s="395" customFormat="1" x14ac:dyDescent="0.2"/>
    <row r="204" s="395" customFormat="1" x14ac:dyDescent="0.2"/>
    <row r="205" s="395" customFormat="1" x14ac:dyDescent="0.2"/>
    <row r="206" s="395" customFormat="1" x14ac:dyDescent="0.2"/>
    <row r="207" s="395" customFormat="1" x14ac:dyDescent="0.2"/>
    <row r="208" s="395" customFormat="1" x14ac:dyDescent="0.2"/>
    <row r="209" s="395" customFormat="1" x14ac:dyDescent="0.2"/>
    <row r="210" s="395" customFormat="1" x14ac:dyDescent="0.2"/>
    <row r="211" s="395" customFormat="1" x14ac:dyDescent="0.2"/>
    <row r="212" s="395" customFormat="1" x14ac:dyDescent="0.2"/>
    <row r="213" s="395" customFormat="1" x14ac:dyDescent="0.2"/>
    <row r="214" s="395" customFormat="1" x14ac:dyDescent="0.2"/>
    <row r="215" s="395" customFormat="1" x14ac:dyDescent="0.2"/>
    <row r="216" s="395" customFormat="1" x14ac:dyDescent="0.2"/>
    <row r="217" s="395" customFormat="1" x14ac:dyDescent="0.2"/>
    <row r="218" s="395" customFormat="1" x14ac:dyDescent="0.2"/>
    <row r="219" s="395" customFormat="1" x14ac:dyDescent="0.2"/>
    <row r="220" s="395" customFormat="1" x14ac:dyDescent="0.2"/>
    <row r="221" s="395" customFormat="1" x14ac:dyDescent="0.2"/>
    <row r="222" s="395" customFormat="1" x14ac:dyDescent="0.2"/>
    <row r="223" s="395" customFormat="1" x14ac:dyDescent="0.2"/>
    <row r="224" s="395" customFormat="1" x14ac:dyDescent="0.2"/>
    <row r="225" s="395" customFormat="1" x14ac:dyDescent="0.2"/>
    <row r="226" s="395" customFormat="1" x14ac:dyDescent="0.2"/>
    <row r="227" s="395" customFormat="1" x14ac:dyDescent="0.2"/>
    <row r="228" s="395" customFormat="1" x14ac:dyDescent="0.2"/>
    <row r="229" s="395" customFormat="1" x14ac:dyDescent="0.2"/>
    <row r="230" s="395" customFormat="1" x14ac:dyDescent="0.2"/>
    <row r="231" s="395" customFormat="1" x14ac:dyDescent="0.2"/>
    <row r="232" s="395" customFormat="1" x14ac:dyDescent="0.2"/>
    <row r="233" s="395" customFormat="1" x14ac:dyDescent="0.2"/>
    <row r="234" s="395" customFormat="1" x14ac:dyDescent="0.2"/>
    <row r="235" s="395" customFormat="1" x14ac:dyDescent="0.2"/>
    <row r="236" s="395" customFormat="1" x14ac:dyDescent="0.2"/>
    <row r="237" s="395" customFormat="1" x14ac:dyDescent="0.2"/>
    <row r="238" s="395" customFormat="1" x14ac:dyDescent="0.2"/>
    <row r="239" s="395" customFormat="1" x14ac:dyDescent="0.2"/>
    <row r="240" s="395" customFormat="1" x14ac:dyDescent="0.2"/>
    <row r="241" s="395" customFormat="1" x14ac:dyDescent="0.2"/>
    <row r="242" s="395" customFormat="1" x14ac:dyDescent="0.2"/>
    <row r="243" s="395" customFormat="1" x14ac:dyDescent="0.2"/>
    <row r="244" s="395" customFormat="1" x14ac:dyDescent="0.2"/>
    <row r="245" s="395" customFormat="1" x14ac:dyDescent="0.2"/>
    <row r="246" s="395" customFormat="1" x14ac:dyDescent="0.2"/>
    <row r="247" s="395" customFormat="1" x14ac:dyDescent="0.2"/>
    <row r="248" s="395" customFormat="1" x14ac:dyDescent="0.2"/>
    <row r="249" s="395" customFormat="1" x14ac:dyDescent="0.2"/>
    <row r="250" s="395" customFormat="1" x14ac:dyDescent="0.2"/>
    <row r="251" s="395" customFormat="1" x14ac:dyDescent="0.2"/>
    <row r="252" s="395" customFormat="1" x14ac:dyDescent="0.2"/>
    <row r="253" s="395" customFormat="1" x14ac:dyDescent="0.2"/>
    <row r="254" s="395" customFormat="1" x14ac:dyDescent="0.2"/>
    <row r="255" s="395" customFormat="1" x14ac:dyDescent="0.2"/>
    <row r="256" s="395" customFormat="1" x14ac:dyDescent="0.2"/>
    <row r="257" s="395" customFormat="1" x14ac:dyDescent="0.2"/>
    <row r="258" s="395" customFormat="1" x14ac:dyDescent="0.2"/>
    <row r="259" s="395" customFormat="1" x14ac:dyDescent="0.2"/>
    <row r="260" s="395" customFormat="1" x14ac:dyDescent="0.2"/>
    <row r="261" s="395" customFormat="1" x14ac:dyDescent="0.2"/>
    <row r="262" s="395" customFormat="1" x14ac:dyDescent="0.2"/>
    <row r="263" s="395" customFormat="1" x14ac:dyDescent="0.2"/>
    <row r="264" s="395" customFormat="1" x14ac:dyDescent="0.2"/>
    <row r="265" s="395" customFormat="1" x14ac:dyDescent="0.2"/>
    <row r="266" s="395" customFormat="1" x14ac:dyDescent="0.2"/>
    <row r="267" s="395" customFormat="1" x14ac:dyDescent="0.2"/>
    <row r="268" s="395" customFormat="1" x14ac:dyDescent="0.2"/>
    <row r="269" s="395" customFormat="1" x14ac:dyDescent="0.2"/>
    <row r="270" s="395" customFormat="1" x14ac:dyDescent="0.2"/>
    <row r="271" s="395" customFormat="1" x14ac:dyDescent="0.2"/>
    <row r="272" s="395" customFormat="1" x14ac:dyDescent="0.2"/>
    <row r="273" s="395" customFormat="1" x14ac:dyDescent="0.2"/>
    <row r="274" s="395" customFormat="1" x14ac:dyDescent="0.2"/>
    <row r="275" s="395" customFormat="1" x14ac:dyDescent="0.2"/>
    <row r="276" s="395" customFormat="1" x14ac:dyDescent="0.2"/>
    <row r="277" s="395" customFormat="1" x14ac:dyDescent="0.2"/>
    <row r="278" s="395" customFormat="1" x14ac:dyDescent="0.2"/>
    <row r="279" s="395" customFormat="1" x14ac:dyDescent="0.2"/>
    <row r="280" s="395" customFormat="1" x14ac:dyDescent="0.2"/>
    <row r="281" s="395" customFormat="1" x14ac:dyDescent="0.2"/>
    <row r="282" s="395" customFormat="1" x14ac:dyDescent="0.2"/>
    <row r="283" s="395" customFormat="1" x14ac:dyDescent="0.2"/>
    <row r="284" s="395" customFormat="1" x14ac:dyDescent="0.2"/>
    <row r="285" s="395" customFormat="1" x14ac:dyDescent="0.2"/>
    <row r="286" s="395" customFormat="1" x14ac:dyDescent="0.2"/>
    <row r="287" s="395" customFormat="1" x14ac:dyDescent="0.2"/>
    <row r="288" s="395" customFormat="1" x14ac:dyDescent="0.2"/>
    <row r="289" s="395" customFormat="1" x14ac:dyDescent="0.2"/>
    <row r="290" s="395" customFormat="1" x14ac:dyDescent="0.2"/>
    <row r="291" s="395" customFormat="1" x14ac:dyDescent="0.2"/>
    <row r="292" s="395" customFormat="1" x14ac:dyDescent="0.2"/>
    <row r="293" s="395" customFormat="1" x14ac:dyDescent="0.2"/>
    <row r="294" s="395" customFormat="1" x14ac:dyDescent="0.2"/>
    <row r="295" s="395" customFormat="1" x14ac:dyDescent="0.2"/>
    <row r="296" s="395" customFormat="1" x14ac:dyDescent="0.2"/>
    <row r="297" s="395" customFormat="1" x14ac:dyDescent="0.2"/>
    <row r="298" s="395" customFormat="1" x14ac:dyDescent="0.2"/>
    <row r="299" s="395" customFormat="1" x14ac:dyDescent="0.2"/>
    <row r="300" s="395" customFormat="1" x14ac:dyDescent="0.2"/>
    <row r="301" s="395" customFormat="1" x14ac:dyDescent="0.2"/>
    <row r="302" s="395" customFormat="1" x14ac:dyDescent="0.2"/>
    <row r="303" s="395" customFormat="1" x14ac:dyDescent="0.2"/>
    <row r="304" s="395" customFormat="1" x14ac:dyDescent="0.2"/>
    <row r="305" s="395" customFormat="1" x14ac:dyDescent="0.2"/>
    <row r="306" s="395" customFormat="1" x14ac:dyDescent="0.2"/>
    <row r="307" s="395" customFormat="1" x14ac:dyDescent="0.2"/>
    <row r="308" s="395" customFormat="1" x14ac:dyDescent="0.2"/>
    <row r="309" s="395" customFormat="1" x14ac:dyDescent="0.2"/>
    <row r="310" s="395" customFormat="1" x14ac:dyDescent="0.2"/>
    <row r="311" s="395" customFormat="1" x14ac:dyDescent="0.2"/>
    <row r="312" s="395" customFormat="1" x14ac:dyDescent="0.2"/>
    <row r="313" s="395" customFormat="1" x14ac:dyDescent="0.2"/>
    <row r="314" s="395" customFormat="1" x14ac:dyDescent="0.2"/>
    <row r="315" s="395" customFormat="1" x14ac:dyDescent="0.2"/>
    <row r="316" s="395" customFormat="1" x14ac:dyDescent="0.2"/>
    <row r="317" s="395" customFormat="1" x14ac:dyDescent="0.2"/>
    <row r="318" s="395" customFormat="1" x14ac:dyDescent="0.2"/>
    <row r="319" s="395" customFormat="1" x14ac:dyDescent="0.2"/>
    <row r="320" s="395" customFormat="1" x14ac:dyDescent="0.2"/>
    <row r="321" s="395" customFormat="1" x14ac:dyDescent="0.2"/>
    <row r="322" s="395" customFormat="1" x14ac:dyDescent="0.2"/>
    <row r="323" s="395" customFormat="1" x14ac:dyDescent="0.2"/>
    <row r="324" s="395" customFormat="1" x14ac:dyDescent="0.2"/>
    <row r="325" s="395" customFormat="1" x14ac:dyDescent="0.2"/>
    <row r="326" s="395" customFormat="1" x14ac:dyDescent="0.2"/>
    <row r="327" s="395" customFormat="1" x14ac:dyDescent="0.2"/>
    <row r="328" s="395" customFormat="1" x14ac:dyDescent="0.2"/>
    <row r="329" s="395" customFormat="1" x14ac:dyDescent="0.2"/>
    <row r="330" s="395" customFormat="1" x14ac:dyDescent="0.2"/>
    <row r="331" s="395" customFormat="1" x14ac:dyDescent="0.2"/>
    <row r="332" s="395" customFormat="1" x14ac:dyDescent="0.2"/>
    <row r="333" s="395" customFormat="1" x14ac:dyDescent="0.2"/>
    <row r="334" s="395" customFormat="1" x14ac:dyDescent="0.2"/>
    <row r="335" s="395" customFormat="1" x14ac:dyDescent="0.2"/>
    <row r="336" s="395" customFormat="1" x14ac:dyDescent="0.2"/>
    <row r="337" s="395" customFormat="1" x14ac:dyDescent="0.2"/>
    <row r="338" s="395" customFormat="1" x14ac:dyDescent="0.2"/>
    <row r="339" s="395" customFormat="1" x14ac:dyDescent="0.2"/>
    <row r="340" s="395" customFormat="1" x14ac:dyDescent="0.2"/>
    <row r="341" s="395" customFormat="1" x14ac:dyDescent="0.2"/>
    <row r="342" s="395" customFormat="1" x14ac:dyDescent="0.2"/>
    <row r="343" s="395" customFormat="1" x14ac:dyDescent="0.2"/>
    <row r="344" s="395" customFormat="1" x14ac:dyDescent="0.2"/>
    <row r="345" s="395" customFormat="1" x14ac:dyDescent="0.2"/>
    <row r="346" s="395" customFormat="1" x14ac:dyDescent="0.2"/>
  </sheetData>
  <sheetProtection algorithmName="SHA-512" hashValue="qW1evAISNyDOFvfmJbvWTzreV+7Jb4bdMnv+SGkV/xHdVi0GjlLUqVyrl2jXLiy3A+1S7S77xNBtO6ESbbWXXA==" saltValue="w1+gz0ApHrgeq/+3tQvjkQ==" spinCount="100000" sheet="1" objects="1" scenarios="1" formatCells="0" formatColumns="0" formatRows="0" insertColumns="0" insertRows="0" insertHyperlinks="0" sort="0" autoFilter="0" pivotTables="0"/>
  <mergeCells count="49">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 ref="E44:F44"/>
    <mergeCell ref="G44:L44"/>
    <mergeCell ref="G39:L39"/>
    <mergeCell ref="E42:F42"/>
    <mergeCell ref="E43:F43"/>
    <mergeCell ref="G40:L40"/>
    <mergeCell ref="G41:L41"/>
    <mergeCell ref="G42:L42"/>
    <mergeCell ref="G43:L43"/>
    <mergeCell ref="B39:C39"/>
    <mergeCell ref="E39:F39"/>
    <mergeCell ref="E40:F40"/>
    <mergeCell ref="E41:F41"/>
    <mergeCell ref="A12:C12"/>
    <mergeCell ref="A13:C13"/>
    <mergeCell ref="D12:F12"/>
    <mergeCell ref="D13:F13"/>
    <mergeCell ref="G12:I12"/>
    <mergeCell ref="G13:I13"/>
    <mergeCell ref="F10:N11"/>
    <mergeCell ref="G33:I33"/>
    <mergeCell ref="D8:E8"/>
    <mergeCell ref="D9:E9"/>
    <mergeCell ref="M12:O12"/>
    <mergeCell ref="M13:O13"/>
    <mergeCell ref="J12:L12"/>
    <mergeCell ref="J13:L13"/>
    <mergeCell ref="V12:X12"/>
    <mergeCell ref="V13:X13"/>
    <mergeCell ref="S12:U12"/>
    <mergeCell ref="S13:U13"/>
    <mergeCell ref="P12:R12"/>
    <mergeCell ref="P13:R13"/>
  </mergeCells>
  <conditionalFormatting sqref="C15:C26 F15:F26 I15:I26 L15:L26 O15:O26 R15:R26 U15:U26 X15:X26">
    <cfRule type="notContainsBlanks" dxfId="2107" priority="315">
      <formula>LEN(TRIM(C15))&gt;0</formula>
    </cfRule>
  </conditionalFormatting>
  <conditionalFormatting sqref="C15:C26">
    <cfRule type="expression" dxfId="2106" priority="302">
      <formula>A80="JAUNE"</formula>
    </cfRule>
  </conditionalFormatting>
  <conditionalFormatting sqref="C54:C65">
    <cfRule type="expression" dxfId="2105" priority="92">
      <formula>A119="JAUNE"</formula>
    </cfRule>
    <cfRule type="notContainsBlanks" dxfId="2104" priority="104">
      <formula>LEN(TRIM(C54))&gt;0</formula>
    </cfRule>
  </conditionalFormatting>
  <conditionalFormatting sqref="F15:F26">
    <cfRule type="expression" dxfId="2103" priority="289">
      <formula>B80="JAUNE"</formula>
    </cfRule>
  </conditionalFormatting>
  <conditionalFormatting sqref="F54:F65">
    <cfRule type="expression" dxfId="2102" priority="79">
      <formula>D119="JAUNE"</formula>
    </cfRule>
    <cfRule type="notContainsBlanks" dxfId="2101" priority="91">
      <formula>LEN(TRIM(F54))&gt;0</formula>
    </cfRule>
  </conditionalFormatting>
  <conditionalFormatting sqref="I15:I26">
    <cfRule type="expression" dxfId="2100" priority="264">
      <formula>C80="JAUNE"</formula>
    </cfRule>
  </conditionalFormatting>
  <conditionalFormatting sqref="I54:I65">
    <cfRule type="expression" dxfId="2099" priority="66">
      <formula>G119="JAUNE"</formula>
    </cfRule>
    <cfRule type="notContainsBlanks" dxfId="2098" priority="78">
      <formula>LEN(TRIM(I54))&gt;0</formula>
    </cfRule>
  </conditionalFormatting>
  <conditionalFormatting sqref="L15:L26">
    <cfRule type="expression" dxfId="2097" priority="252">
      <formula>D80="JAUNE"</formula>
    </cfRule>
  </conditionalFormatting>
  <conditionalFormatting sqref="L54:L65">
    <cfRule type="expression" dxfId="2096" priority="53">
      <formula>J119="JAUNE"</formula>
    </cfRule>
    <cfRule type="notContainsBlanks" dxfId="2095" priority="65">
      <formula>LEN(TRIM(L54))&gt;0</formula>
    </cfRule>
  </conditionalFormatting>
  <conditionalFormatting sqref="O15:O26">
    <cfRule type="expression" dxfId="2094" priority="237">
      <formula>E80="JAUNE"</formula>
    </cfRule>
  </conditionalFormatting>
  <conditionalFormatting sqref="O54:O65">
    <cfRule type="expression" dxfId="2093" priority="40">
      <formula>M119="JAUNE"</formula>
    </cfRule>
    <cfRule type="notContainsBlanks" dxfId="2092" priority="52">
      <formula>LEN(TRIM(O54))&gt;0</formula>
    </cfRule>
  </conditionalFormatting>
  <conditionalFormatting sqref="R15:R26">
    <cfRule type="expression" dxfId="2091" priority="225">
      <formula>F80="JAUNE"</formula>
    </cfRule>
  </conditionalFormatting>
  <conditionalFormatting sqref="R54:R65">
    <cfRule type="expression" dxfId="2090" priority="27">
      <formula>P119="JAUNE"</formula>
    </cfRule>
    <cfRule type="notContainsBlanks" dxfId="2089" priority="39">
      <formula>LEN(TRIM(R54))&gt;0</formula>
    </cfRule>
  </conditionalFormatting>
  <conditionalFormatting sqref="U15:U26">
    <cfRule type="expression" dxfId="2088" priority="214">
      <formula>G80="JAUNE"</formula>
    </cfRule>
  </conditionalFormatting>
  <conditionalFormatting sqref="U54:U65">
    <cfRule type="expression" dxfId="2087" priority="14">
      <formula>S119="JAUNE"</formula>
    </cfRule>
    <cfRule type="notContainsBlanks" dxfId="2086" priority="26">
      <formula>LEN(TRIM(U54))&gt;0</formula>
    </cfRule>
  </conditionalFormatting>
  <conditionalFormatting sqref="X15:X26">
    <cfRule type="expression" dxfId="2085" priority="203">
      <formula>H80="JAUNE"</formula>
    </cfRule>
  </conditionalFormatting>
  <conditionalFormatting sqref="X54:X65">
    <cfRule type="expression" dxfId="2084" priority="1">
      <formula>V119="JAUNE"</formula>
    </cfRule>
    <cfRule type="notContainsBlanks" dxfId="2083"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3"/>
  <sheetViews>
    <sheetView showGridLines="0" zoomScale="90" zoomScaleNormal="90" workbookViewId="0">
      <selection activeCell="D22" sqref="D22"/>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s>
  <sheetData>
    <row r="1" spans="2:10" ht="15.75" x14ac:dyDescent="0.25">
      <c r="B1" s="2439" t="s">
        <v>1293</v>
      </c>
      <c r="C1" s="2439"/>
      <c r="D1" s="2439"/>
      <c r="E1" s="2439"/>
      <c r="F1" s="2439"/>
      <c r="G1" s="2439"/>
      <c r="H1" s="2439"/>
      <c r="I1" s="2439"/>
      <c r="J1" s="1060" t="s">
        <v>1457</v>
      </c>
    </row>
    <row r="3" spans="2:10" ht="15.75" x14ac:dyDescent="0.25">
      <c r="B3" s="955" t="s">
        <v>1294</v>
      </c>
    </row>
    <row r="5" spans="2:10" x14ac:dyDescent="0.2">
      <c r="C5" s="574" t="s">
        <v>1295</v>
      </c>
      <c r="D5" s="2437">
        <f>+Identification!B34</f>
        <v>0</v>
      </c>
      <c r="E5" s="2437"/>
      <c r="F5" s="2437"/>
      <c r="G5" s="2437"/>
      <c r="H5" s="2437"/>
    </row>
    <row r="6" spans="2:10" x14ac:dyDescent="0.2">
      <c r="C6" s="574"/>
      <c r="D6" s="943"/>
      <c r="E6" s="943"/>
      <c r="F6" s="943"/>
      <c r="G6" s="943"/>
      <c r="H6" s="943"/>
    </row>
    <row r="7" spans="2:10" x14ac:dyDescent="0.2">
      <c r="C7" s="574" t="s">
        <v>1333</v>
      </c>
      <c r="D7" s="979">
        <f>+Identification!B49</f>
        <v>0</v>
      </c>
      <c r="E7" s="943"/>
      <c r="F7" s="943"/>
      <c r="G7" s="943"/>
      <c r="H7" s="943"/>
    </row>
    <row r="8" spans="2:10" x14ac:dyDescent="0.2">
      <c r="C8" s="574"/>
      <c r="D8" s="943"/>
      <c r="E8" s="943"/>
      <c r="F8" s="943"/>
      <c r="G8" s="943"/>
      <c r="H8" s="943"/>
    </row>
    <row r="9" spans="2:10" x14ac:dyDescent="0.2">
      <c r="C9" s="574" t="s">
        <v>35</v>
      </c>
      <c r="D9" s="943">
        <f>+Identification!B37</f>
        <v>0</v>
      </c>
      <c r="E9" s="943"/>
      <c r="F9" s="943"/>
      <c r="G9" s="943"/>
      <c r="H9" s="943"/>
    </row>
    <row r="10" spans="2:10" x14ac:dyDescent="0.2">
      <c r="D10" s="943"/>
      <c r="E10" s="943"/>
      <c r="F10" s="943"/>
      <c r="G10" s="943"/>
      <c r="H10" s="943"/>
    </row>
    <row r="11" spans="2:10" x14ac:dyDescent="0.2">
      <c r="C11" s="574" t="s">
        <v>1296</v>
      </c>
      <c r="D11" s="943">
        <f>+Identification!B40</f>
        <v>0</v>
      </c>
      <c r="E11" s="943"/>
      <c r="F11" s="943"/>
      <c r="G11" s="943"/>
      <c r="H11" s="943"/>
    </row>
    <row r="12" spans="2:10" x14ac:dyDescent="0.2">
      <c r="C12" s="574"/>
      <c r="D12" s="943"/>
      <c r="E12" s="943"/>
      <c r="F12" s="943"/>
      <c r="G12" s="943"/>
      <c r="H12" s="943"/>
    </row>
    <row r="13" spans="2:10" x14ac:dyDescent="0.2">
      <c r="C13" s="574" t="s">
        <v>1297</v>
      </c>
      <c r="D13" s="943">
        <f>+Identification!B43</f>
        <v>0</v>
      </c>
      <c r="E13" s="943"/>
      <c r="F13" s="943"/>
      <c r="G13" s="943"/>
      <c r="H13" s="943"/>
    </row>
    <row r="14" spans="2:10" x14ac:dyDescent="0.2">
      <c r="C14" s="574"/>
      <c r="D14" s="943"/>
      <c r="E14" s="943"/>
      <c r="F14" s="943"/>
      <c r="G14" s="943"/>
      <c r="H14" s="943"/>
    </row>
    <row r="15" spans="2:10" x14ac:dyDescent="0.2">
      <c r="C15" s="574" t="s">
        <v>1298</v>
      </c>
      <c r="D15" s="944">
        <f>+Identification!B46</f>
        <v>0</v>
      </c>
      <c r="E15" s="943"/>
      <c r="F15" s="943"/>
      <c r="G15" s="943"/>
      <c r="H15" s="943"/>
    </row>
    <row r="16" spans="2:10" x14ac:dyDescent="0.2">
      <c r="D16" s="943"/>
      <c r="E16" s="943"/>
      <c r="F16" s="943"/>
      <c r="G16" s="943"/>
      <c r="H16" s="943"/>
    </row>
    <row r="17" spans="1:8" x14ac:dyDescent="0.2">
      <c r="D17" s="943"/>
      <c r="E17" s="943"/>
      <c r="F17" s="943"/>
      <c r="G17" s="943"/>
      <c r="H17" s="943"/>
    </row>
    <row r="18" spans="1:8" x14ac:dyDescent="0.2">
      <c r="C18" s="574" t="s">
        <v>1299</v>
      </c>
      <c r="D18" s="943">
        <f>+Identification!B57</f>
        <v>0</v>
      </c>
      <c r="E18" s="943"/>
      <c r="F18" s="943"/>
      <c r="G18" s="943"/>
      <c r="H18" s="943"/>
    </row>
    <row r="20" spans="1:8" x14ac:dyDescent="0.2">
      <c r="C20" s="574" t="s">
        <v>1300</v>
      </c>
      <c r="D20" s="943" t="str">
        <f>+Identification!B66</f>
        <v>NON</v>
      </c>
    </row>
    <row r="23" spans="1:8" ht="15.75" x14ac:dyDescent="0.25">
      <c r="B23" s="956" t="s">
        <v>1301</v>
      </c>
    </row>
    <row r="24" spans="1:8" ht="13.5" thickBot="1" x14ac:dyDescent="0.25">
      <c r="B24" s="464"/>
    </row>
    <row r="25" spans="1:8" ht="14.25" thickTop="1" thickBot="1" x14ac:dyDescent="0.25">
      <c r="B25" s="1282" t="s">
        <v>1278</v>
      </c>
      <c r="C25" s="1283"/>
      <c r="D25" s="1283"/>
      <c r="E25" s="1283"/>
      <c r="F25" s="1283"/>
      <c r="G25" s="1284" t="s">
        <v>1281</v>
      </c>
      <c r="H25" s="1285" t="s">
        <v>1322</v>
      </c>
    </row>
    <row r="26" spans="1:8" ht="13.5" thickTop="1" x14ac:dyDescent="0.2">
      <c r="A26" s="505">
        <f t="array" ref="A26">IFERROR(+INDEX(S.CAL!$FB$2:$FB$385,MATCH(0,INDEX(COUNTIF($A$25:A25,S.CAL!$FB$2:$FB$385),0,0),0)),0)</f>
        <v>0</v>
      </c>
      <c r="B26" s="948" t="str">
        <f>+IFERROR(VLOOKUP(A26,S.CAL!$FB$2:$FH$385,5,FALSE),"")</f>
        <v/>
      </c>
      <c r="C26" s="2437" t="str">
        <f>+IFERROR(VLOOKUP(B26,'Liste des Libellés'!$A$5:$B$32,2,FALSE),"")</f>
        <v/>
      </c>
      <c r="D26" s="2437"/>
      <c r="E26" s="2437"/>
      <c r="G26" s="953" t="str">
        <f>+IFERROR(VLOOKUP(A26,S.CAL!$FB$2:$FH$385,6,FALSE),"")</f>
        <v/>
      </c>
      <c r="H26" s="949" t="str">
        <f>+IFERROR(VLOOKUP(A26,S.CAL!$FB$2:$FH$385,7,FALSE),"")</f>
        <v/>
      </c>
    </row>
    <row r="27" spans="1:8" x14ac:dyDescent="0.2">
      <c r="A27" s="505">
        <f t="array" ref="A27">IFERROR(+INDEX(S.CAL!$FB$2:$FB$385,MATCH(0,INDEX(COUNTIF($A$25:A26,S.CAL!$FB$2:$FB$385),0,0),0)),0)</f>
        <v>0</v>
      </c>
      <c r="B27" s="948" t="str">
        <f>+IFERROR(VLOOKUP(A27,S.CAL!$FB$2:$FH$385,5,FALSE),"")</f>
        <v/>
      </c>
      <c r="C27" s="2437" t="str">
        <f>+IFERROR(VLOOKUP(B27,'Liste des Libellés'!$A$5:$B$32,2,FALSE),"")</f>
        <v/>
      </c>
      <c r="D27" s="2437"/>
      <c r="E27" s="2437"/>
      <c r="G27" s="953" t="str">
        <f>+IFERROR(VLOOKUP(A27,S.CAL!$FB$2:$FH$385,6,FALSE),"")</f>
        <v/>
      </c>
      <c r="H27" s="949" t="str">
        <f>+IFERROR(VLOOKUP(A27,S.CAL!$FB$2:$FH$385,7,FALSE),"")</f>
        <v/>
      </c>
    </row>
    <row r="28" spans="1:8" x14ac:dyDescent="0.2">
      <c r="A28" s="505">
        <f t="array" ref="A28">IFERROR(+INDEX(S.CAL!$FB$2:$FB$385,MATCH(0,INDEX(COUNTIF($A$25:A27,S.CAL!$FB$2:$FB$385),0,0),0)),0)</f>
        <v>0</v>
      </c>
      <c r="B28" s="948" t="str">
        <f>+IFERROR(VLOOKUP(A28,S.CAL!$FB$2:$FH$385,5,FALSE),"")</f>
        <v/>
      </c>
      <c r="C28" s="2437" t="str">
        <f>+IFERROR(VLOOKUP(B28,'Liste des Libellés'!$A$5:$B$32,2,FALSE),"")</f>
        <v/>
      </c>
      <c r="D28" s="2437"/>
      <c r="E28" s="2437"/>
      <c r="G28" s="953" t="str">
        <f>+IFERROR(VLOOKUP(A28,S.CAL!$FB$2:$FH$385,6,FALSE),"")</f>
        <v/>
      </c>
      <c r="H28" s="949" t="str">
        <f>+IFERROR(VLOOKUP(A28,S.CAL!$FB$2:$FH$385,7,FALSE),"")</f>
        <v/>
      </c>
    </row>
    <row r="29" spans="1:8" x14ac:dyDescent="0.2">
      <c r="A29" s="505">
        <f t="array" ref="A29">IFERROR(+INDEX(S.CAL!$FB$2:$FB$385,MATCH(0,INDEX(COUNTIF($A$25:A28,S.CAL!$FB$2:$FB$385),0,0),0)),0)</f>
        <v>0</v>
      </c>
      <c r="B29" s="948" t="str">
        <f>+IFERROR(VLOOKUP(A29,S.CAL!$FB$2:$FH$385,5,FALSE),"")</f>
        <v/>
      </c>
      <c r="C29" s="2437" t="str">
        <f>+IFERROR(VLOOKUP(B29,'Liste des Libellés'!$A$5:$B$32,2,FALSE),"")</f>
        <v/>
      </c>
      <c r="D29" s="2437"/>
      <c r="E29" s="2437"/>
      <c r="G29" s="953" t="str">
        <f>+IFERROR(VLOOKUP(A29,S.CAL!$FB$2:$FH$385,6,FALSE),"")</f>
        <v/>
      </c>
      <c r="H29" s="949" t="str">
        <f>+IFERROR(VLOOKUP(A29,S.CAL!$FB$2:$FH$385,7,FALSE),"")</f>
        <v/>
      </c>
    </row>
    <row r="30" spans="1:8" x14ac:dyDescent="0.2">
      <c r="A30" s="505">
        <f t="array" ref="A30">IFERROR(+INDEX(S.CAL!$FB$2:$FB$385,MATCH(0,INDEX(COUNTIF($A$25:A29,S.CAL!$FB$2:$FB$385),0,0),0)),0)</f>
        <v>0</v>
      </c>
      <c r="B30" s="948" t="str">
        <f>+IFERROR(VLOOKUP(A30,S.CAL!$FB$2:$FH$385,5,FALSE),"")</f>
        <v/>
      </c>
      <c r="C30" s="2437" t="str">
        <f>+IFERROR(VLOOKUP(B30,'Liste des Libellés'!$A$5:$B$32,2,FALSE),"")</f>
        <v/>
      </c>
      <c r="D30" s="2437"/>
      <c r="E30" s="2437"/>
      <c r="G30" s="953" t="str">
        <f>+IFERROR(VLOOKUP(A30,S.CAL!$FB$2:$FH$385,6,FALSE),"")</f>
        <v/>
      </c>
      <c r="H30" s="949" t="str">
        <f>+IFERROR(VLOOKUP(A30,S.CAL!$FB$2:$FH$385,7,FALSE),"")</f>
        <v/>
      </c>
    </row>
    <row r="31" spans="1:8" x14ac:dyDescent="0.2">
      <c r="A31" s="505">
        <f t="array" ref="A31">IFERROR(+INDEX(S.CAL!$FB$2:$FB$385,MATCH(0,INDEX(COUNTIF($A$25:A30,S.CAL!$FB$2:$FB$385),0,0),0)),0)</f>
        <v>0</v>
      </c>
      <c r="B31" s="948" t="str">
        <f>+IFERROR(VLOOKUP(A31,S.CAL!$FB$2:$FH$385,5,FALSE),"")</f>
        <v/>
      </c>
      <c r="C31" s="2437" t="str">
        <f>+IFERROR(VLOOKUP(B31,'Liste des Libellés'!$A$5:$B$32,2,FALSE),"")</f>
        <v/>
      </c>
      <c r="D31" s="2437"/>
      <c r="E31" s="2437"/>
      <c r="G31" s="953" t="str">
        <f>+IFERROR(VLOOKUP(A31,S.CAL!$FB$2:$FH$385,6,FALSE),"")</f>
        <v/>
      </c>
      <c r="H31" s="949" t="str">
        <f>+IFERROR(VLOOKUP(A31,S.CAL!$FB$2:$FH$385,7,FALSE),"")</f>
        <v/>
      </c>
    </row>
    <row r="32" spans="1:8" x14ac:dyDescent="0.2">
      <c r="A32" s="505">
        <f t="array" ref="A32">IFERROR(+INDEX(S.CAL!$FB$2:$FB$385,MATCH(0,INDEX(COUNTIF($A$25:A31,S.CAL!$FB$2:$FB$385),0,0),0)),0)</f>
        <v>0</v>
      </c>
      <c r="B32" s="948" t="str">
        <f>+IFERROR(VLOOKUP(A32,S.CAL!$FB$2:$FH$385,5,FALSE),"")</f>
        <v/>
      </c>
      <c r="C32" s="2437" t="str">
        <f>+IFERROR(VLOOKUP(B32,'Liste des Libellés'!$A$5:$B$32,2,FALSE),"")</f>
        <v/>
      </c>
      <c r="D32" s="2437"/>
      <c r="E32" s="2437"/>
      <c r="G32" s="953" t="str">
        <f>+IFERROR(VLOOKUP(A32,S.CAL!$FB$2:$FH$385,6,FALSE),"")</f>
        <v/>
      </c>
      <c r="H32" s="949" t="str">
        <f>+IFERROR(VLOOKUP(A32,S.CAL!$FB$2:$FH$385,7,FALSE),"")</f>
        <v/>
      </c>
    </row>
    <row r="33" spans="1:8" x14ac:dyDescent="0.2">
      <c r="A33" s="505">
        <f t="array" ref="A33">IFERROR(+INDEX(S.CAL!$FB$2:$FB$385,MATCH(0,INDEX(COUNTIF($A$25:A32,S.CAL!$FB$2:$FB$385),0,0),0)),0)</f>
        <v>0</v>
      </c>
      <c r="B33" s="948" t="str">
        <f>+IFERROR(VLOOKUP(A33,S.CAL!$FB$2:$FH$385,5,FALSE),"")</f>
        <v/>
      </c>
      <c r="C33" s="2437" t="str">
        <f>+IFERROR(VLOOKUP(B33,'Liste des Libellés'!$A$5:$B$32,2,FALSE),"")</f>
        <v/>
      </c>
      <c r="D33" s="2437"/>
      <c r="E33" s="2437"/>
      <c r="G33" s="953" t="str">
        <f>+IFERROR(VLOOKUP(A33,S.CAL!$FB$2:$FH$385,6,FALSE),"")</f>
        <v/>
      </c>
      <c r="H33" s="949" t="str">
        <f>+IFERROR(VLOOKUP(A33,S.CAL!$FB$2:$FH$385,7,FALSE),"")</f>
        <v/>
      </c>
    </row>
    <row r="34" spans="1:8" x14ac:dyDescent="0.2">
      <c r="A34" s="505">
        <f t="array" ref="A34">IFERROR(+INDEX(S.CAL!$FB$2:$FB$385,MATCH(0,INDEX(COUNTIF($A$25:A33,S.CAL!$FB$2:$FB$385),0,0),0)),0)</f>
        <v>0</v>
      </c>
      <c r="B34" s="948" t="str">
        <f>+IFERROR(VLOOKUP(A34,S.CAL!$FB$2:$FH$385,5,FALSE),"")</f>
        <v/>
      </c>
      <c r="C34" s="2437" t="str">
        <f>+IFERROR(VLOOKUP(B34,'Liste des Libellés'!$A$5:$B$32,2,FALSE),"")</f>
        <v/>
      </c>
      <c r="D34" s="2437"/>
      <c r="E34" s="2437"/>
      <c r="G34" s="953" t="str">
        <f>+IFERROR(VLOOKUP(A34,S.CAL!$FB$2:$FH$385,6,FALSE),"")</f>
        <v/>
      </c>
      <c r="H34" s="949" t="str">
        <f>+IFERROR(VLOOKUP(A34,S.CAL!$FB$2:$FH$385,7,FALSE),"")</f>
        <v/>
      </c>
    </row>
    <row r="35" spans="1:8" x14ac:dyDescent="0.2">
      <c r="A35" s="505">
        <f t="array" ref="A35">IFERROR(+INDEX(S.CAL!$FB$2:$FB$385,MATCH(0,INDEX(COUNTIF($A$25:A34,S.CAL!$FB$2:$FB$385),0,0),0)),0)</f>
        <v>0</v>
      </c>
      <c r="B35" s="948" t="str">
        <f>+IFERROR(VLOOKUP(A35,S.CAL!$FB$2:$FH$385,5,FALSE),"")</f>
        <v/>
      </c>
      <c r="C35" s="2437" t="str">
        <f>+IFERROR(VLOOKUP(B35,'Liste des Libellés'!$A$5:$B$32,2,FALSE),"")</f>
        <v/>
      </c>
      <c r="D35" s="2437"/>
      <c r="E35" s="2437"/>
      <c r="G35" s="953" t="str">
        <f>+IFERROR(VLOOKUP(A35,S.CAL!$FB$2:$FH$385,6,FALSE),"")</f>
        <v/>
      </c>
      <c r="H35" s="949" t="str">
        <f>+IFERROR(VLOOKUP(A35,S.CAL!$FB$2:$FH$385,7,FALSE),"")</f>
        <v/>
      </c>
    </row>
    <row r="36" spans="1:8" x14ac:dyDescent="0.2">
      <c r="A36" s="505">
        <f t="array" ref="A36">IFERROR(+INDEX(S.CAL!$FB$2:$FB$385,MATCH(0,INDEX(COUNTIF($A$25:A35,S.CAL!$FB$2:$FB$385),0,0),0)),0)</f>
        <v>0</v>
      </c>
      <c r="B36" s="948" t="str">
        <f>+IFERROR(VLOOKUP(A36,S.CAL!$FB$2:$FH$385,5,FALSE),"")</f>
        <v/>
      </c>
      <c r="C36" s="2437" t="str">
        <f>+IFERROR(VLOOKUP(B36,'Liste des Libellés'!$A$5:$B$32,2,FALSE),"")</f>
        <v/>
      </c>
      <c r="D36" s="2437"/>
      <c r="E36" s="2437"/>
      <c r="G36" s="953" t="str">
        <f>+IFERROR(VLOOKUP(A36,S.CAL!$FB$2:$FH$385,6,FALSE),"")</f>
        <v/>
      </c>
      <c r="H36" s="949" t="str">
        <f>+IFERROR(VLOOKUP(A36,S.CAL!$FB$2:$FH$385,7,FALSE),"")</f>
        <v/>
      </c>
    </row>
    <row r="37" spans="1:8" x14ac:dyDescent="0.2">
      <c r="A37" s="505">
        <f t="array" ref="A37">IFERROR(+INDEX(S.CAL!$FB$2:$FB$385,MATCH(0,INDEX(COUNTIF($A$25:A36,S.CAL!$FB$2:$FB$385),0,0),0)),0)</f>
        <v>0</v>
      </c>
      <c r="B37" s="948" t="str">
        <f>+IFERROR(VLOOKUP(A37,S.CAL!$FB$2:$FH$385,5,FALSE),"")</f>
        <v/>
      </c>
      <c r="C37" s="2437" t="str">
        <f>+IFERROR(VLOOKUP(B37,'Liste des Libellés'!$A$5:$B$32,2,FALSE),"")</f>
        <v/>
      </c>
      <c r="D37" s="2437"/>
      <c r="E37" s="2437"/>
      <c r="G37" s="953" t="str">
        <f>+IFERROR(VLOOKUP(A37,S.CAL!$FB$2:$FH$385,6,FALSE),"")</f>
        <v/>
      </c>
      <c r="H37" s="949" t="str">
        <f>+IFERROR(VLOOKUP(A37,S.CAL!$FB$2:$FH$385,7,FALSE),"")</f>
        <v/>
      </c>
    </row>
    <row r="38" spans="1:8" x14ac:dyDescent="0.2">
      <c r="A38" s="505">
        <f t="array" ref="A38">IFERROR(+INDEX(S.CAL!$FB$2:$FB$385,MATCH(0,INDEX(COUNTIF($A$25:A37,S.CAL!$FB$2:$FB$385),0,0),0)),0)</f>
        <v>0</v>
      </c>
      <c r="B38" s="948" t="str">
        <f>+IFERROR(VLOOKUP(A38,S.CAL!$FB$2:$FH$385,5,FALSE),"")</f>
        <v/>
      </c>
      <c r="C38" s="2437" t="str">
        <f>+IFERROR(VLOOKUP(B38,'Liste des Libellés'!$A$5:$B$32,2,FALSE),"")</f>
        <v/>
      </c>
      <c r="D38" s="2437"/>
      <c r="E38" s="2437"/>
      <c r="G38" s="953" t="str">
        <f>+IFERROR(VLOOKUP(A38,S.CAL!$FB$2:$FH$385,6,FALSE),"")</f>
        <v/>
      </c>
      <c r="H38" s="949" t="str">
        <f>+IFERROR(VLOOKUP(A38,S.CAL!$FB$2:$FH$385,7,FALSE),"")</f>
        <v/>
      </c>
    </row>
    <row r="39" spans="1:8" x14ac:dyDescent="0.2">
      <c r="A39" s="505">
        <f t="array" ref="A39">IFERROR(+INDEX(S.CAL!$FB$2:$FB$385,MATCH(0,INDEX(COUNTIF($A$25:A38,S.CAL!$FB$2:$FB$385),0,0),0)),0)</f>
        <v>0</v>
      </c>
      <c r="B39" s="948" t="str">
        <f>+IFERROR(VLOOKUP(A39,S.CAL!$FB$2:$FH$385,5,FALSE),"")</f>
        <v/>
      </c>
      <c r="C39" s="2437" t="str">
        <f>+IFERROR(VLOOKUP(B39,'Liste des Libellés'!$A$5:$B$32,2,FALSE),"")</f>
        <v/>
      </c>
      <c r="D39" s="2437"/>
      <c r="E39" s="2437"/>
      <c r="G39" s="953" t="str">
        <f>+IFERROR(VLOOKUP(A39,S.CAL!$FB$2:$FH$385,6,FALSE),"")</f>
        <v/>
      </c>
      <c r="H39" s="949" t="str">
        <f>+IFERROR(VLOOKUP(A39,S.CAL!$FB$2:$FH$385,7,FALSE),"")</f>
        <v/>
      </c>
    </row>
    <row r="40" spans="1:8" x14ac:dyDescent="0.2">
      <c r="A40" s="505">
        <f t="array" ref="A40">IFERROR(+INDEX(S.CAL!$FB$2:$FB$385,MATCH(0,INDEX(COUNTIF($A$25:A39,S.CAL!$FB$2:$FB$385),0,0),0)),0)</f>
        <v>0</v>
      </c>
      <c r="B40" s="948" t="str">
        <f>+IFERROR(VLOOKUP(A40,S.CAL!$FB$2:$FH$385,5,FALSE),"")</f>
        <v/>
      </c>
      <c r="C40" s="2437" t="str">
        <f>+IFERROR(VLOOKUP(B40,'Liste des Libellés'!$A$5:$B$32,2,FALSE),"")</f>
        <v/>
      </c>
      <c r="D40" s="2437"/>
      <c r="E40" s="2437"/>
      <c r="G40" s="953" t="str">
        <f>+IFERROR(VLOOKUP(A40,S.CAL!$FB$2:$FH$385,6,FALSE),"")</f>
        <v/>
      </c>
      <c r="H40" s="949" t="str">
        <f>+IFERROR(VLOOKUP(A40,S.CAL!$FB$2:$FH$385,7,FALSE),"")</f>
        <v/>
      </c>
    </row>
    <row r="41" spans="1:8" x14ac:dyDescent="0.2">
      <c r="A41" s="505">
        <f t="array" ref="A41">IFERROR(+INDEX(S.CAL!$FB$2:$FB$385,MATCH(0,INDEX(COUNTIF($A$25:A40,S.CAL!$FB$2:$FB$385),0,0),0)),0)</f>
        <v>0</v>
      </c>
      <c r="B41" s="948" t="str">
        <f>+IFERROR(VLOOKUP(A41,S.CAL!$FB$2:$FH$385,5,FALSE),"")</f>
        <v/>
      </c>
      <c r="C41" s="2437" t="str">
        <f>+IFERROR(VLOOKUP(B41,'Liste des Libellés'!$A$5:$B$32,2,FALSE),"")</f>
        <v/>
      </c>
      <c r="D41" s="2437"/>
      <c r="E41" s="2437"/>
      <c r="G41" s="953" t="str">
        <f>+IFERROR(VLOOKUP(A41,S.CAL!$FB$2:$FH$385,6,FALSE),"")</f>
        <v/>
      </c>
      <c r="H41" s="949" t="str">
        <f>+IFERROR(VLOOKUP(A41,S.CAL!$FB$2:$FH$385,7,FALSE),"")</f>
        <v/>
      </c>
    </row>
    <row r="42" spans="1:8" x14ac:dyDescent="0.2">
      <c r="A42" s="505">
        <f t="array" ref="A42">IFERROR(+INDEX(S.CAL!$FB$2:$FB$385,MATCH(0,INDEX(COUNTIF($A$25:A41,S.CAL!$FB$2:$FB$385),0,0),0)),0)</f>
        <v>0</v>
      </c>
      <c r="B42" s="948" t="str">
        <f>+IFERROR(VLOOKUP(A42,S.CAL!$FB$2:$FH$385,5,FALSE),"")</f>
        <v/>
      </c>
      <c r="C42" s="2437" t="str">
        <f>+IFERROR(VLOOKUP(B42,'Liste des Libellés'!$A$5:$B$32,2,FALSE),"")</f>
        <v/>
      </c>
      <c r="D42" s="2437"/>
      <c r="E42" s="2437"/>
      <c r="G42" s="953" t="str">
        <f>+IFERROR(VLOOKUP(A42,S.CAL!$FB$2:$FH$385,6,FALSE),"")</f>
        <v/>
      </c>
      <c r="H42" s="949" t="str">
        <f>+IFERROR(VLOOKUP(A42,S.CAL!$FB$2:$FH$385,7,FALSE),"")</f>
        <v/>
      </c>
    </row>
    <row r="43" spans="1:8" x14ac:dyDescent="0.2">
      <c r="A43" s="505">
        <f t="array" ref="A43">IFERROR(+INDEX(S.CAL!$FB$2:$FB$385,MATCH(0,INDEX(COUNTIF($A$25:A42,S.CAL!$FB$2:$FB$385),0,0),0)),0)</f>
        <v>0</v>
      </c>
      <c r="B43" s="948" t="str">
        <f>+IFERROR(VLOOKUP(A43,S.CAL!$FB$2:$FH$385,5,FALSE),"")</f>
        <v/>
      </c>
      <c r="C43" s="2437" t="str">
        <f>+IFERROR(VLOOKUP(B43,'Liste des Libellés'!$A$5:$B$32,2,FALSE),"")</f>
        <v/>
      </c>
      <c r="D43" s="2437"/>
      <c r="E43" s="2437"/>
      <c r="G43" s="953" t="str">
        <f>+IFERROR(VLOOKUP(A43,S.CAL!$FB$2:$FH$385,6,FALSE),"")</f>
        <v/>
      </c>
      <c r="H43" s="949" t="str">
        <f>+IFERROR(VLOOKUP(A43,S.CAL!$FB$2:$FH$385,7,FALSE),"")</f>
        <v/>
      </c>
    </row>
    <row r="44" spans="1:8" x14ac:dyDescent="0.2">
      <c r="A44" s="505">
        <f t="array" ref="A44">IFERROR(+INDEX(S.CAL!$FB$2:$FB$385,MATCH(0,INDEX(COUNTIF($A$25:A43,S.CAL!$FB$2:$FB$385),0,0),0)),0)</f>
        <v>0</v>
      </c>
      <c r="B44" s="948" t="str">
        <f>+IFERROR(VLOOKUP(A44,S.CAL!$FB$2:$FH$385,5,FALSE),"")</f>
        <v/>
      </c>
      <c r="C44" s="2437" t="str">
        <f>+IFERROR(VLOOKUP(B44,'Liste des Libellés'!$A$5:$B$32,2,FALSE),"")</f>
        <v/>
      </c>
      <c r="D44" s="2437"/>
      <c r="E44" s="2437"/>
      <c r="G44" s="953" t="str">
        <f>+IFERROR(VLOOKUP(A44,S.CAL!$FB$2:$FH$385,6,FALSE),"")</f>
        <v/>
      </c>
      <c r="H44" s="949" t="str">
        <f>+IFERROR(VLOOKUP(A44,S.CAL!$FB$2:$FH$385,7,FALSE),"")</f>
        <v/>
      </c>
    </row>
    <row r="45" spans="1:8" x14ac:dyDescent="0.2">
      <c r="A45" s="505">
        <f t="array" ref="A45">IFERROR(+INDEX(S.CAL!$FB$2:$FB$385,MATCH(0,INDEX(COUNTIF($A$25:A44,S.CAL!$FB$2:$FB$385),0,0),0)),0)</f>
        <v>0</v>
      </c>
      <c r="B45" s="948" t="str">
        <f>+IFERROR(VLOOKUP(A45,S.CAL!$FB$2:$FH$385,5,FALSE),"")</f>
        <v/>
      </c>
      <c r="C45" s="2437" t="str">
        <f>+IFERROR(VLOOKUP(B45,'Liste des Libellés'!$A$5:$B$32,2,FALSE),"")</f>
        <v/>
      </c>
      <c r="D45" s="2437"/>
      <c r="E45" s="2437"/>
      <c r="G45" s="953" t="str">
        <f>+IFERROR(VLOOKUP(A45,S.CAL!$FB$2:$FH$385,6,FALSE),"")</f>
        <v/>
      </c>
      <c r="H45" s="949" t="str">
        <f>+IFERROR(VLOOKUP(A45,S.CAL!$FB$2:$FH$385,7,FALSE),"")</f>
        <v/>
      </c>
    </row>
    <row r="46" spans="1:8" x14ac:dyDescent="0.2">
      <c r="A46" s="505">
        <f t="array" ref="A46">IFERROR(+INDEX(S.CAL!$FB$2:$FB$385,MATCH(0,INDEX(COUNTIF($A$25:A45,S.CAL!$FB$2:$FB$385),0,0),0)),0)</f>
        <v>0</v>
      </c>
      <c r="B46" s="948" t="str">
        <f>+IFERROR(VLOOKUP(A46,S.CAL!$FB$2:$FH$385,5,FALSE),"")</f>
        <v/>
      </c>
      <c r="C46" s="2437" t="str">
        <f>+IFERROR(VLOOKUP(B46,'Liste des Libellés'!$A$5:$B$32,2,FALSE),"")</f>
        <v/>
      </c>
      <c r="D46" s="2437"/>
      <c r="E46" s="2437"/>
      <c r="G46" s="953" t="str">
        <f>+IFERROR(VLOOKUP(A46,S.CAL!$FB$2:$FH$385,6,FALSE),"")</f>
        <v/>
      </c>
      <c r="H46" s="949" t="str">
        <f>+IFERROR(VLOOKUP(A46,S.CAL!$FB$2:$FH$385,7,FALSE),"")</f>
        <v/>
      </c>
    </row>
    <row r="47" spans="1:8" ht="13.5" thickBot="1" x14ac:dyDescent="0.25">
      <c r="A47" s="505">
        <f t="array" ref="A47">IFERROR(+INDEX(S.CAL!$FB$2:$FB$385,MATCH(0,INDEX(COUNTIF($A$25:A46,S.CAL!$FB$2:$FB$385),0,0),0)),0)</f>
        <v>0</v>
      </c>
      <c r="B47" s="950" t="str">
        <f>+IFERROR(VLOOKUP(A47,S.CAL!$FB$2:$FH$385,5,FALSE),"")</f>
        <v/>
      </c>
      <c r="C47" s="2435" t="str">
        <f>+IFERROR(VLOOKUP(B47,'Liste des Libellés'!$A$5:$B$32,2,FALSE),"")</f>
        <v/>
      </c>
      <c r="D47" s="2435"/>
      <c r="E47" s="2435"/>
      <c r="F47" s="951"/>
      <c r="G47" s="954" t="str">
        <f>+IFERROR(VLOOKUP(A47,S.CAL!$FB$2:$FH$385,6,FALSE),"")</f>
        <v/>
      </c>
      <c r="H47" s="952" t="str">
        <f>+IFERROR(VLOOKUP(A47,S.CAL!$FB$2:$FH$385,7,FALSE),"")</f>
        <v/>
      </c>
    </row>
    <row r="48" spans="1:8" ht="13.5" thickTop="1" x14ac:dyDescent="0.2">
      <c r="A48" s="505"/>
      <c r="C48" s="2437"/>
      <c r="D48" s="2437"/>
      <c r="E48" s="2437"/>
      <c r="G48" s="947"/>
      <c r="H48" s="947"/>
    </row>
    <row r="49" spans="1:8" x14ac:dyDescent="0.2">
      <c r="A49" s="505">
        <f t="array" ref="A49">IFERROR(+INDEX(S.CAL!$FB$2:$FB$385,MATCH(0,INDEX(COUNTIF($A$25:A48,S.CAL!$FB$2:$FB$385),0,0),0)),0)</f>
        <v>0</v>
      </c>
      <c r="B49" t="str">
        <f>+IFERROR(VLOOKUP(A49,S.CAL!$FB$2:$FH$385,5,FALSE),"")</f>
        <v/>
      </c>
      <c r="C49" s="2437" t="str">
        <f>+IFERROR(VLOOKUP(B49,'Liste des Libellés'!$A$5:$B$32,2,FALSE),"")</f>
        <v/>
      </c>
      <c r="D49" s="2437"/>
      <c r="E49" s="2437"/>
      <c r="G49" s="947" t="str">
        <f>+IFERROR(VLOOKUP(A49,S.CAL!$FB$2:$FH$385,6,FALSE),"")</f>
        <v/>
      </c>
      <c r="H49" s="947" t="str">
        <f>+IFERROR(VLOOKUP(A49,S.CAL!$FB$2:$FH$385,7,FALSE),"")</f>
        <v/>
      </c>
    </row>
    <row r="50" spans="1:8" ht="15.75" x14ac:dyDescent="0.25">
      <c r="B50" s="957" t="s">
        <v>1323</v>
      </c>
    </row>
    <row r="51" spans="1:8" ht="13.5" thickBot="1" x14ac:dyDescent="0.25"/>
    <row r="52" spans="1:8" ht="14.25" thickTop="1" thickBot="1" x14ac:dyDescent="0.25">
      <c r="A52" s="959"/>
      <c r="B52" s="1282" t="s">
        <v>1278</v>
      </c>
      <c r="C52" s="1283"/>
      <c r="D52" s="1283"/>
      <c r="E52" s="1283"/>
      <c r="F52" s="1283"/>
      <c r="G52" s="1284" t="s">
        <v>1281</v>
      </c>
      <c r="H52" s="1285" t="s">
        <v>1322</v>
      </c>
    </row>
    <row r="53" spans="1:8" ht="13.5" thickTop="1" x14ac:dyDescent="0.2">
      <c r="A53" s="505">
        <f t="array" ref="A53">IFERROR(+INDEX(S.CAL!$FC$2:$FC$385,MATCH(0,INDEX(COUNTIF($A$52:A52,S.CAL!$FC$2:$FC$385),0,0),0)),0)</f>
        <v>0</v>
      </c>
      <c r="B53" s="963" t="str">
        <f>+IFERROR(VLOOKUP(A53,S.CAL!$FC$2:$FH$385,4,FALSE),"")</f>
        <v/>
      </c>
      <c r="C53" s="2438" t="str">
        <f>+IFERROR(VLOOKUP(B53,'Liste des Libellés'!$A$5:$B$32,2,FALSE),"")</f>
        <v/>
      </c>
      <c r="D53" s="2438"/>
      <c r="E53" s="2438"/>
      <c r="F53" s="964"/>
      <c r="G53" s="965" t="str">
        <f>+IFERROR(VLOOKUP(A53,S.CAL!$FC$2:$FH$385,5,FALSE),"")</f>
        <v/>
      </c>
      <c r="H53" s="966" t="str">
        <f>+IFERROR(VLOOKUP(A53,S.CAL!$FC$2:$FH$385,6,FALSE),"")</f>
        <v/>
      </c>
    </row>
    <row r="54" spans="1:8" x14ac:dyDescent="0.2">
      <c r="A54" s="505">
        <f t="array" ref="A54">IFERROR(+INDEX(S.CAL!$FC$2:$FC$385,MATCH(0,INDEX(COUNTIF($A$52:A53,S.CAL!$FC$2:$FC$385),0,0),0)),0)</f>
        <v>0</v>
      </c>
      <c r="B54" s="948" t="str">
        <f>+IFERROR(VLOOKUP(A54,S.CAL!$FC$2:$FH$385,4,FALSE),"")</f>
        <v/>
      </c>
      <c r="C54" s="2437" t="str">
        <f>+IFERROR(VLOOKUP(B54,'Liste des Libellés'!$A$5:$B$32,2,FALSE),"")</f>
        <v/>
      </c>
      <c r="D54" s="2437"/>
      <c r="E54" s="2437"/>
      <c r="G54" s="953" t="str">
        <f>+IFERROR(VLOOKUP(A54,S.CAL!$FC$2:$FH$385,5,FALSE),"")</f>
        <v/>
      </c>
      <c r="H54" s="949" t="str">
        <f>+IFERROR(VLOOKUP(A54,S.CAL!$FC$2:$FH$385,6,FALSE),"")</f>
        <v/>
      </c>
    </row>
    <row r="55" spans="1:8" x14ac:dyDescent="0.2">
      <c r="A55" s="505">
        <f t="array" ref="A55">IFERROR(+INDEX(S.CAL!$FC$2:$FC$385,MATCH(0,INDEX(COUNTIF($A$52:A54,S.CAL!$FC$2:$FC$385),0,0),0)),0)</f>
        <v>0</v>
      </c>
      <c r="B55" s="948" t="str">
        <f>+IFERROR(VLOOKUP(A55,S.CAL!$FC$2:$FH$385,4,FALSE),"")</f>
        <v/>
      </c>
      <c r="C55" s="2437" t="str">
        <f>+IFERROR(VLOOKUP(B55,'Liste des Libellés'!$A$5:$B$32,2,FALSE),"")</f>
        <v/>
      </c>
      <c r="D55" s="2437"/>
      <c r="E55" s="2437"/>
      <c r="G55" s="953" t="str">
        <f>+IFERROR(VLOOKUP(A55,S.CAL!$FC$2:$FH$385,5,FALSE),"")</f>
        <v/>
      </c>
      <c r="H55" s="949" t="str">
        <f>+IFERROR(VLOOKUP(A55,S.CAL!$FC$2:$FH$385,6,FALSE),"")</f>
        <v/>
      </c>
    </row>
    <row r="56" spans="1:8" x14ac:dyDescent="0.2">
      <c r="A56" s="505">
        <f t="array" ref="A56">IFERROR(+INDEX(S.CAL!$FC$2:$FC$385,MATCH(0,INDEX(COUNTIF($A$52:A55,S.CAL!$FC$2:$FC$385),0,0),0)),0)</f>
        <v>0</v>
      </c>
      <c r="B56" s="948" t="str">
        <f>+IFERROR(VLOOKUP(A56,S.CAL!$FC$2:$FH$385,4,FALSE),"")</f>
        <v/>
      </c>
      <c r="C56" s="2437" t="str">
        <f>+IFERROR(VLOOKUP(B56,'Liste des Libellés'!$A$5:$B$32,2,FALSE),"")</f>
        <v/>
      </c>
      <c r="D56" s="2437"/>
      <c r="E56" s="2437"/>
      <c r="G56" s="953" t="str">
        <f>+IFERROR(VLOOKUP(A56,S.CAL!$FC$2:$FH$385,5,FALSE),"")</f>
        <v/>
      </c>
      <c r="H56" s="949" t="str">
        <f>+IFERROR(VLOOKUP(A56,S.CAL!$FC$2:$FH$385,6,FALSE),"")</f>
        <v/>
      </c>
    </row>
    <row r="57" spans="1:8" x14ac:dyDescent="0.2">
      <c r="A57" s="505">
        <f t="array" ref="A57">IFERROR(+INDEX(S.CAL!$FC$2:$FC$385,MATCH(0,INDEX(COUNTIF($A$52:A56,S.CAL!$FC$2:$FC$385),0,0),0)),0)</f>
        <v>0</v>
      </c>
      <c r="B57" s="948" t="str">
        <f>+IFERROR(VLOOKUP(A57,S.CAL!$FC$2:$FH$385,4,FALSE),"")</f>
        <v/>
      </c>
      <c r="C57" s="2437" t="str">
        <f>+IFERROR(VLOOKUP(B57,'Liste des Libellés'!$A$5:$B$32,2,FALSE),"")</f>
        <v/>
      </c>
      <c r="D57" s="2437"/>
      <c r="E57" s="2437"/>
      <c r="G57" s="953" t="str">
        <f>+IFERROR(VLOOKUP(A57,S.CAL!$FC$2:$FH$385,5,FALSE),"")</f>
        <v/>
      </c>
      <c r="H57" s="949" t="str">
        <f>+IFERROR(VLOOKUP(A57,S.CAL!$FC$2:$FH$385,6,FALSE),"")</f>
        <v/>
      </c>
    </row>
    <row r="58" spans="1:8" x14ac:dyDescent="0.2">
      <c r="A58" s="505">
        <f t="array" ref="A58">IFERROR(+INDEX(S.CAL!$FC$2:$FC$385,MATCH(0,INDEX(COUNTIF($A$52:A57,S.CAL!$FC$2:$FC$385),0,0),0)),0)</f>
        <v>0</v>
      </c>
      <c r="B58" s="948" t="str">
        <f>+IFERROR(VLOOKUP(A58,S.CAL!$FC$2:$FH$385,4,FALSE),"")</f>
        <v/>
      </c>
      <c r="C58" s="2437" t="str">
        <f>+IFERROR(VLOOKUP(B58,'Liste des Libellés'!$A$5:$B$32,2,FALSE),"")</f>
        <v/>
      </c>
      <c r="D58" s="2437"/>
      <c r="E58" s="2437"/>
      <c r="G58" s="953" t="str">
        <f>+IFERROR(VLOOKUP(A58,S.CAL!$FC$2:$FH$385,5,FALSE),"")</f>
        <v/>
      </c>
      <c r="H58" s="949" t="str">
        <f>+IFERROR(VLOOKUP(A58,S.CAL!$FC$2:$FH$385,6,FALSE),"")</f>
        <v/>
      </c>
    </row>
    <row r="59" spans="1:8" x14ac:dyDescent="0.2">
      <c r="A59" s="505">
        <f t="array" ref="A59">IFERROR(+INDEX(S.CAL!$FC$2:$FC$385,MATCH(0,INDEX(COUNTIF($A$52:A58,S.CAL!$FC$2:$FC$385),0,0),0)),0)</f>
        <v>0</v>
      </c>
      <c r="B59" s="948" t="str">
        <f>+IFERROR(VLOOKUP(A59,S.CAL!$FC$2:$FH$385,4,FALSE),"")</f>
        <v/>
      </c>
      <c r="C59" s="2437" t="str">
        <f>+IFERROR(VLOOKUP(B59,'Liste des Libellés'!$A$5:$B$32,2,FALSE),"")</f>
        <v/>
      </c>
      <c r="D59" s="2437"/>
      <c r="E59" s="2437"/>
      <c r="G59" s="953" t="str">
        <f>+IFERROR(VLOOKUP(A59,S.CAL!$FC$2:$FH$385,5,FALSE),"")</f>
        <v/>
      </c>
      <c r="H59" s="949" t="str">
        <f>+IFERROR(VLOOKUP(A59,S.CAL!$FC$2:$FH$385,6,FALSE),"")</f>
        <v/>
      </c>
    </row>
    <row r="60" spans="1:8" x14ac:dyDescent="0.2">
      <c r="A60" s="505">
        <f t="array" ref="A60">IFERROR(+INDEX(S.CAL!$FC$2:$FC$385,MATCH(0,INDEX(COUNTIF($A$52:A59,S.CAL!$FC$2:$FC$385),0,0),0)),0)</f>
        <v>0</v>
      </c>
      <c r="B60" s="948" t="str">
        <f>+IFERROR(VLOOKUP(A60,S.CAL!$FC$2:$FH$385,4,FALSE),"")</f>
        <v/>
      </c>
      <c r="C60" s="2437" t="str">
        <f>+IFERROR(VLOOKUP(B60,'Liste des Libellés'!$A$5:$B$32,2,FALSE),"")</f>
        <v/>
      </c>
      <c r="D60" s="2437"/>
      <c r="E60" s="2437"/>
      <c r="G60" s="953" t="str">
        <f>+IFERROR(VLOOKUP(A60,S.CAL!$FC$2:$FH$385,5,FALSE),"")</f>
        <v/>
      </c>
      <c r="H60" s="949" t="str">
        <f>+IFERROR(VLOOKUP(A60,S.CAL!$FC$2:$FH$385,6,FALSE),"")</f>
        <v/>
      </c>
    </row>
    <row r="61" spans="1:8" x14ac:dyDescent="0.2">
      <c r="A61" s="505">
        <f t="array" ref="A61">IFERROR(+INDEX(S.CAL!$FC$2:$FC$385,MATCH(0,INDEX(COUNTIF($A$52:A60,S.CAL!$FC$2:$FC$385),0,0),0)),0)</f>
        <v>0</v>
      </c>
      <c r="B61" s="948" t="str">
        <f>+IFERROR(VLOOKUP(A61,S.CAL!$FC$2:$FH$385,4,FALSE),"")</f>
        <v/>
      </c>
      <c r="C61" s="2437" t="str">
        <f>+IFERROR(VLOOKUP(B61,'Liste des Libellés'!$A$5:$B$32,2,FALSE),"")</f>
        <v/>
      </c>
      <c r="D61" s="2437"/>
      <c r="E61" s="2437"/>
      <c r="G61" s="953" t="str">
        <f>+IFERROR(VLOOKUP(A61,S.CAL!$FC$2:$FH$385,5,FALSE),"")</f>
        <v/>
      </c>
      <c r="H61" s="949" t="str">
        <f>+IFERROR(VLOOKUP(A61,S.CAL!$FC$2:$FH$385,6,FALSE),"")</f>
        <v/>
      </c>
    </row>
    <row r="62" spans="1:8" x14ac:dyDescent="0.2">
      <c r="A62" s="505">
        <f t="array" ref="A62">IFERROR(+INDEX(S.CAL!$FC$2:$FC$385,MATCH(0,INDEX(COUNTIF($A$52:A61,S.CAL!$FC$2:$FC$385),0,0),0)),0)</f>
        <v>0</v>
      </c>
      <c r="B62" s="948" t="str">
        <f>+IFERROR(VLOOKUP(A62,S.CAL!$FC$2:$FH$385,4,FALSE),"")</f>
        <v/>
      </c>
      <c r="C62" s="2437" t="str">
        <f>+IFERROR(VLOOKUP(B62,'Liste des Libellés'!$A$5:$B$32,2,FALSE),"")</f>
        <v/>
      </c>
      <c r="D62" s="2437"/>
      <c r="E62" s="2437"/>
      <c r="G62" s="953" t="str">
        <f>+IFERROR(VLOOKUP(A62,S.CAL!$FC$2:$FH$385,5,FALSE),"")</f>
        <v/>
      </c>
      <c r="H62" s="949" t="str">
        <f>+IFERROR(VLOOKUP(A62,S.CAL!$FC$2:$FH$385,6,FALSE),"")</f>
        <v/>
      </c>
    </row>
    <row r="63" spans="1:8" x14ac:dyDescent="0.2">
      <c r="A63" s="505">
        <f t="array" ref="A63">IFERROR(+INDEX(S.CAL!$FC$2:$FC$385,MATCH(0,INDEX(COUNTIF($A$52:A62,S.CAL!$FC$2:$FC$385),0,0),0)),0)</f>
        <v>0</v>
      </c>
      <c r="B63" s="948" t="str">
        <f>+IFERROR(VLOOKUP(A63,S.CAL!$FC$2:$FH$385,4,FALSE),"")</f>
        <v/>
      </c>
      <c r="C63" s="2437" t="str">
        <f>+IFERROR(VLOOKUP(B63,'Liste des Libellés'!$A$5:$B$32,2,FALSE),"")</f>
        <v/>
      </c>
      <c r="D63" s="2437"/>
      <c r="E63" s="2437"/>
      <c r="G63" s="953" t="str">
        <f>+IFERROR(VLOOKUP(A63,S.CAL!$FC$2:$FH$385,5,FALSE),"")</f>
        <v/>
      </c>
      <c r="H63" s="949" t="str">
        <f>+IFERROR(VLOOKUP(A63,S.CAL!$FC$2:$FH$385,6,FALSE),"")</f>
        <v/>
      </c>
    </row>
    <row r="64" spans="1:8" x14ac:dyDescent="0.2">
      <c r="A64" s="505">
        <f t="array" ref="A64">IFERROR(+INDEX(S.CAL!$FC$2:$FC$385,MATCH(0,INDEX(COUNTIF($A$52:A63,S.CAL!$FC$2:$FC$385),0,0),0)),0)</f>
        <v>0</v>
      </c>
      <c r="B64" s="948" t="str">
        <f>+IFERROR(VLOOKUP(A64,S.CAL!$FC$2:$FH$385,4,FALSE),"")</f>
        <v/>
      </c>
      <c r="C64" s="2437" t="str">
        <f>+IFERROR(VLOOKUP(B64,'Liste des Libellés'!$A$5:$B$32,2,FALSE),"")</f>
        <v/>
      </c>
      <c r="D64" s="2437"/>
      <c r="E64" s="2437"/>
      <c r="G64" s="953" t="str">
        <f>+IFERROR(VLOOKUP(A64,S.CAL!$FC$2:$FH$385,5,FALSE),"")</f>
        <v/>
      </c>
      <c r="H64" s="949" t="str">
        <f>+IFERROR(VLOOKUP(A64,S.CAL!$FC$2:$FH$385,6,FALSE),"")</f>
        <v/>
      </c>
    </row>
    <row r="65" spans="1:16" x14ac:dyDescent="0.2">
      <c r="A65" s="505">
        <f t="array" ref="A65">IFERROR(+INDEX(S.CAL!$FC$2:$FC$385,MATCH(0,INDEX(COUNTIF($A$52:A64,S.CAL!$FC$2:$FC$385),0,0),0)),0)</f>
        <v>0</v>
      </c>
      <c r="B65" s="948" t="str">
        <f>+IFERROR(VLOOKUP(A65,S.CAL!$FC$2:$FH$385,4,FALSE),"")</f>
        <v/>
      </c>
      <c r="C65" s="2437" t="str">
        <f>+IFERROR(VLOOKUP(B65,'Liste des Libellés'!$A$5:$B$32,2,FALSE),"")</f>
        <v/>
      </c>
      <c r="D65" s="2437"/>
      <c r="E65" s="2437"/>
      <c r="G65" s="953" t="str">
        <f>+IFERROR(VLOOKUP(A65,S.CAL!$FC$2:$FH$385,5,FALSE),"")</f>
        <v/>
      </c>
      <c r="H65" s="949" t="str">
        <f>+IFERROR(VLOOKUP(A65,S.CAL!$FC$2:$FH$385,6,FALSE),"")</f>
        <v/>
      </c>
    </row>
    <row r="66" spans="1:16" x14ac:dyDescent="0.2">
      <c r="A66" s="505">
        <f t="array" ref="A66">IFERROR(+INDEX(S.CAL!$FC$2:$FC$385,MATCH(0,INDEX(COUNTIF($A$52:A65,S.CAL!$FC$2:$FC$385),0,0),0)),0)</f>
        <v>0</v>
      </c>
      <c r="B66" s="948" t="str">
        <f>+IFERROR(VLOOKUP(A66,S.CAL!$FC$2:$FH$385,4,FALSE),"")</f>
        <v/>
      </c>
      <c r="C66" s="2437" t="str">
        <f>+IFERROR(VLOOKUP(B66,'Liste des Libellés'!$A$5:$B$32,2,FALSE),"")</f>
        <v/>
      </c>
      <c r="D66" s="2437"/>
      <c r="E66" s="2437"/>
      <c r="G66" s="953" t="str">
        <f>+IFERROR(VLOOKUP(A66,S.CAL!$FC$2:$FH$385,5,FALSE),"")</f>
        <v/>
      </c>
      <c r="H66" s="949" t="str">
        <f>+IFERROR(VLOOKUP(A66,S.CAL!$FC$2:$FH$385,6,FALSE),"")</f>
        <v/>
      </c>
    </row>
    <row r="67" spans="1:16" x14ac:dyDescent="0.2">
      <c r="A67" s="505">
        <f t="array" ref="A67">IFERROR(+INDEX(S.CAL!$FC$2:$FC$385,MATCH(0,INDEX(COUNTIF($A$52:A66,S.CAL!$FC$2:$FC$385),0,0),0)),0)</f>
        <v>0</v>
      </c>
      <c r="B67" s="948" t="str">
        <f>+IFERROR(VLOOKUP(A67,S.CAL!$FC$2:$FH$385,4,FALSE),"")</f>
        <v/>
      </c>
      <c r="C67" s="2437" t="str">
        <f>+IFERROR(VLOOKUP(B67,'Liste des Libellés'!$A$5:$B$32,2,FALSE),"")</f>
        <v/>
      </c>
      <c r="D67" s="2437"/>
      <c r="E67" s="2437"/>
      <c r="G67" s="953" t="str">
        <f>+IFERROR(VLOOKUP(A67,S.CAL!$FC$2:$FH$385,5,FALSE),"")</f>
        <v/>
      </c>
      <c r="H67" s="949" t="str">
        <f>+IFERROR(VLOOKUP(A67,S.CAL!$FC$2:$FH$385,6,FALSE),"")</f>
        <v/>
      </c>
    </row>
    <row r="68" spans="1:16" x14ac:dyDescent="0.2">
      <c r="A68" s="505">
        <f t="array" ref="A68">IFERROR(+INDEX(S.CAL!$FC$2:$FC$385,MATCH(0,INDEX(COUNTIF($A$52:A67,S.CAL!$FC$2:$FC$385),0,0),0)),0)</f>
        <v>0</v>
      </c>
      <c r="B68" s="948" t="str">
        <f>+IFERROR(VLOOKUP(A68,S.CAL!$FC$2:$FH$385,4,FALSE),"")</f>
        <v/>
      </c>
      <c r="C68" s="2437" t="str">
        <f>+IFERROR(VLOOKUP(B68,'Liste des Libellés'!$A$5:$B$32,2,FALSE),"")</f>
        <v/>
      </c>
      <c r="D68" s="2437"/>
      <c r="E68" s="2437"/>
      <c r="G68" s="953" t="str">
        <f>+IFERROR(VLOOKUP(A68,S.CAL!$FC$2:$FH$385,5,FALSE),"")</f>
        <v/>
      </c>
      <c r="H68" s="949" t="str">
        <f>+IFERROR(VLOOKUP(A68,S.CAL!$FC$2:$FH$385,6,FALSE),"")</f>
        <v/>
      </c>
    </row>
    <row r="69" spans="1:16" x14ac:dyDescent="0.2">
      <c r="A69" s="505">
        <f t="array" ref="A69">IFERROR(+INDEX(S.CAL!$FC$2:$FC$385,MATCH(0,INDEX(COUNTIF($A$52:A68,S.CAL!$FC$2:$FC$385),0,0),0)),0)</f>
        <v>0</v>
      </c>
      <c r="B69" s="948" t="str">
        <f>+IFERROR(VLOOKUP(A69,S.CAL!$FC$2:$FH$385,4,FALSE),"")</f>
        <v/>
      </c>
      <c r="C69" s="2437" t="str">
        <f>+IFERROR(VLOOKUP(B69,'Liste des Libellés'!$A$5:$B$32,2,FALSE),"")</f>
        <v/>
      </c>
      <c r="D69" s="2437"/>
      <c r="E69" s="2437"/>
      <c r="G69" s="953" t="str">
        <f>+IFERROR(VLOOKUP(A69,S.CAL!$FC$2:$FH$385,5,FALSE),"")</f>
        <v/>
      </c>
      <c r="H69" s="949" t="str">
        <f>+IFERROR(VLOOKUP(A69,S.CAL!$FC$2:$FH$385,6,FALSE),"")</f>
        <v/>
      </c>
    </row>
    <row r="70" spans="1:16" x14ac:dyDescent="0.2">
      <c r="A70" s="505">
        <f t="array" ref="A70">IFERROR(+INDEX(S.CAL!$FC$2:$FC$385,MATCH(0,INDEX(COUNTIF($A$52:A69,S.CAL!$FC$2:$FC$385),0,0),0)),0)</f>
        <v>0</v>
      </c>
      <c r="B70" s="948" t="str">
        <f>+IFERROR(VLOOKUP(A70,S.CAL!$FC$2:$FH$385,4,FALSE),"")</f>
        <v/>
      </c>
      <c r="C70" s="2437" t="str">
        <f>+IFERROR(VLOOKUP(B70,'Liste des Libellés'!$A$5:$B$32,2,FALSE),"")</f>
        <v/>
      </c>
      <c r="D70" s="2437"/>
      <c r="E70" s="2437"/>
      <c r="G70" s="953" t="str">
        <f>+IFERROR(VLOOKUP(A70,S.CAL!$FC$2:$FH$385,5,FALSE),"")</f>
        <v/>
      </c>
      <c r="H70" s="949" t="str">
        <f>+IFERROR(VLOOKUP(A70,S.CAL!$FC$2:$FH$385,6,FALSE),"")</f>
        <v/>
      </c>
    </row>
    <row r="71" spans="1:16" x14ac:dyDescent="0.2">
      <c r="A71" s="505">
        <f t="array" ref="A71">IFERROR(+INDEX(S.CAL!$FC$2:$FC$385,MATCH(0,INDEX(COUNTIF($A$52:A70,S.CAL!$FC$2:$FC$385),0,0),0)),0)</f>
        <v>0</v>
      </c>
      <c r="B71" s="948" t="str">
        <f>+IFERROR(VLOOKUP(A71,S.CAL!$FC$2:$FH$385,4,FALSE),"")</f>
        <v/>
      </c>
      <c r="C71" s="2437" t="str">
        <f>+IFERROR(VLOOKUP(B71,'Liste des Libellés'!$A$5:$B$32,2,FALSE),"")</f>
        <v/>
      </c>
      <c r="D71" s="2437"/>
      <c r="E71" s="2437"/>
      <c r="G71" s="953" t="str">
        <f>+IFERROR(VLOOKUP(A71,S.CAL!$FC$2:$FH$385,5,FALSE),"")</f>
        <v/>
      </c>
      <c r="H71" s="949" t="str">
        <f>+IFERROR(VLOOKUP(A71,S.CAL!$FC$2:$FH$385,6,FALSE),"")</f>
        <v/>
      </c>
    </row>
    <row r="72" spans="1:16" x14ac:dyDescent="0.2">
      <c r="A72" s="505">
        <f t="array" ref="A72">IFERROR(+INDEX(S.CAL!$FC$2:$FC$385,MATCH(0,INDEX(COUNTIF($A$52:A71,S.CAL!$FC$2:$FC$385),0,0),0)),0)</f>
        <v>0</v>
      </c>
      <c r="B72" s="948" t="str">
        <f>+IFERROR(VLOOKUP(A72,S.CAL!$FC$2:$FH$385,4,FALSE),"")</f>
        <v/>
      </c>
      <c r="C72" s="2437" t="str">
        <f>+IFERROR(VLOOKUP(B72,'Liste des Libellés'!$A$5:$B$32,2,FALSE),"")</f>
        <v/>
      </c>
      <c r="D72" s="2437"/>
      <c r="E72" s="2437"/>
      <c r="G72" s="953" t="str">
        <f>+IFERROR(VLOOKUP(A72,S.CAL!$FC$2:$FH$385,5,FALSE),"")</f>
        <v/>
      </c>
      <c r="H72" s="949" t="str">
        <f>+IFERROR(VLOOKUP(A72,S.CAL!$FC$2:$FH$385,6,FALSE),"")</f>
        <v/>
      </c>
    </row>
    <row r="73" spans="1:16" x14ac:dyDescent="0.2">
      <c r="A73" s="505">
        <f t="array" ref="A73">IFERROR(+INDEX(S.CAL!$FC$2:$FC$385,MATCH(0,INDEX(COUNTIF($A$52:A72,S.CAL!$FC$2:$FC$385),0,0),0)),0)</f>
        <v>0</v>
      </c>
      <c r="B73" s="948" t="str">
        <f>+IFERROR(VLOOKUP(A73,S.CAL!$FC$2:$FH$385,4,FALSE),"")</f>
        <v/>
      </c>
      <c r="C73" s="2437" t="str">
        <f>+IFERROR(VLOOKUP(B73,'Liste des Libellés'!$A$5:$B$32,2,FALSE),"")</f>
        <v/>
      </c>
      <c r="D73" s="2437"/>
      <c r="E73" s="2437"/>
      <c r="G73" s="953" t="str">
        <f>+IFERROR(VLOOKUP(A73,S.CAL!$FC$2:$FH$385,5,FALSE),"")</f>
        <v/>
      </c>
      <c r="H73" s="949" t="str">
        <f>+IFERROR(VLOOKUP(A73,S.CAL!$FC$2:$FH$385,6,FALSE),"")</f>
        <v/>
      </c>
    </row>
    <row r="74" spans="1:16" ht="13.5" thickBot="1" x14ac:dyDescent="0.25">
      <c r="A74" s="505">
        <f t="array" ref="A74">IFERROR(+INDEX(S.CAL!$FC$2:$FC$385,MATCH(0,INDEX(COUNTIF($A$52:A73,S.CAL!$FC$2:$FC$385),0,0),0)),0)</f>
        <v>0</v>
      </c>
      <c r="B74" s="950" t="str">
        <f>+IFERROR(VLOOKUP(A74,S.CAL!$FC$2:$FH$385,4,FALSE),"")</f>
        <v/>
      </c>
      <c r="C74" s="2435" t="str">
        <f>+IFERROR(VLOOKUP(B74,'Liste des Libellés'!$A$5:$B$32,2,FALSE),"")</f>
        <v/>
      </c>
      <c r="D74" s="2435"/>
      <c r="E74" s="2435"/>
      <c r="F74" s="951"/>
      <c r="G74" s="954" t="str">
        <f>+IFERROR(VLOOKUP(A74,S.CAL!$FC$2:$FH$385,5,FALSE),"")</f>
        <v/>
      </c>
      <c r="H74" s="952" t="str">
        <f>+IFERROR(VLOOKUP(A74,S.CAL!$FC$2:$FH$385,6,FALSE),"")</f>
        <v/>
      </c>
    </row>
    <row r="75" spans="1:16" s="16" customFormat="1" ht="13.5" thickTop="1" x14ac:dyDescent="0.2">
      <c r="M75" s="24"/>
      <c r="N75" s="183" t="s">
        <v>958</v>
      </c>
      <c r="O75" s="30" t="e">
        <f>IF(D80=EOMONTH(D80,0),DATE(YEAR(D80),MONTH(D80),1),+DATE(YEAR(D80),MONTH(D80)-1,1))</f>
        <v>#NUM!</v>
      </c>
      <c r="P75" s="16" t="str">
        <f>IF(D80=EOMONTH(D80,0),"OUI","NON")</f>
        <v>NON</v>
      </c>
    </row>
    <row r="76" spans="1:16" s="16" customFormat="1" ht="15.75" x14ac:dyDescent="0.25">
      <c r="B76" s="958" t="s">
        <v>1032</v>
      </c>
      <c r="C76" s="99"/>
      <c r="D76" s="99"/>
      <c r="E76" s="99"/>
      <c r="F76" s="99"/>
      <c r="G76" s="99"/>
      <c r="H76" s="99"/>
      <c r="I76" s="99"/>
      <c r="M76" s="24"/>
      <c r="N76" s="183" t="s">
        <v>959</v>
      </c>
      <c r="O76" s="16">
        <f>+DATEDIF(DATE(YEAR(H80),MONTH(H80),DAY(H80)),DATE(YEAR(D80),MONTH(D80),DAY(D80)),"m")</f>
        <v>0</v>
      </c>
    </row>
    <row r="77" spans="1:16" s="16" customFormat="1" ht="36" customHeight="1" x14ac:dyDescent="0.2">
      <c r="B77" s="2436" t="s">
        <v>949</v>
      </c>
      <c r="C77" s="2436"/>
      <c r="D77" s="2436"/>
      <c r="E77" s="2436"/>
      <c r="F77" s="2436"/>
      <c r="G77" s="2436"/>
      <c r="H77" s="2436"/>
      <c r="I77" s="960"/>
    </row>
    <row r="78" spans="1:16" s="16" customFormat="1" ht="55.5" customHeight="1" x14ac:dyDescent="0.2">
      <c r="B78" s="2442" t="s">
        <v>950</v>
      </c>
      <c r="C78" s="2442"/>
      <c r="D78" s="2442"/>
      <c r="E78" s="2442"/>
      <c r="F78" s="2442"/>
      <c r="G78" s="2442"/>
      <c r="H78" s="2442"/>
      <c r="I78" s="2442"/>
    </row>
    <row r="79" spans="1:16" s="16" customFormat="1" x14ac:dyDescent="0.2">
      <c r="C79" s="487" t="s">
        <v>503</v>
      </c>
      <c r="D79" s="1183"/>
    </row>
    <row r="80" spans="1:16" s="16" customFormat="1" x14ac:dyDescent="0.2">
      <c r="C80" s="29" t="s">
        <v>956</v>
      </c>
      <c r="D80" s="504">
        <f>IF(D79="",+Identification!B95,D79)</f>
        <v>0</v>
      </c>
      <c r="G80" s="29" t="s">
        <v>957</v>
      </c>
      <c r="H80" s="30">
        <f>+Identification!B28</f>
        <v>0</v>
      </c>
    </row>
    <row r="81" spans="1:27" s="16" customFormat="1" ht="13.5" thickBot="1" x14ac:dyDescent="0.25"/>
    <row r="82" spans="1:27" s="16" customFormat="1" ht="57.75" customHeight="1" thickBot="1" x14ac:dyDescent="0.25">
      <c r="B82" s="2444" t="s">
        <v>951</v>
      </c>
      <c r="C82" s="2445"/>
      <c r="D82" s="2447" t="s">
        <v>954</v>
      </c>
      <c r="E82" s="2447"/>
      <c r="F82" s="2446" t="s">
        <v>1073</v>
      </c>
      <c r="G82" s="2447"/>
      <c r="H82" s="2448"/>
      <c r="I82" s="2440" t="s">
        <v>955</v>
      </c>
      <c r="J82" s="2440" t="s">
        <v>965</v>
      </c>
      <c r="Y82" s="16" t="s">
        <v>967</v>
      </c>
    </row>
    <row r="83" spans="1:27" s="16" customFormat="1" ht="13.5" thickBot="1" x14ac:dyDescent="0.25">
      <c r="B83" s="499" t="s">
        <v>952</v>
      </c>
      <c r="C83" s="499" t="s">
        <v>953</v>
      </c>
      <c r="D83" s="2450"/>
      <c r="E83" s="2450"/>
      <c r="F83" s="2449"/>
      <c r="G83" s="2450"/>
      <c r="H83" s="2451"/>
      <c r="I83" s="2441"/>
      <c r="J83" s="2441"/>
      <c r="Y83" s="16" t="s">
        <v>968</v>
      </c>
      <c r="Z83" s="16" t="s">
        <v>969</v>
      </c>
      <c r="AA83" s="16" t="s">
        <v>970</v>
      </c>
    </row>
    <row r="84" spans="1:27" x14ac:dyDescent="0.2">
      <c r="A84" s="502">
        <v>1</v>
      </c>
      <c r="B84" s="577" t="str">
        <f>IF(B85="",IF(AND($O$76&lt;36,$O$76&gt;0),H80,IF($O$76=0,"",DATE(YEAR($O$75),MONTH($O$75)-35,DAY($O$75)))),B85)</f>
        <v/>
      </c>
      <c r="C84" s="577" t="str">
        <f>IFERROR(IF(C85="",+EOMONTH(B84,0),C85),"")</f>
        <v/>
      </c>
      <c r="D84" s="2465" t="str">
        <f>IF(D85="",IFERROR(+VLOOKUP(P84,BDD,57,FALSE)-VLOOKUP(P84,BDD,63,FALSE),""),D85)</f>
        <v/>
      </c>
      <c r="E84" s="2465"/>
      <c r="F84" s="2464" t="str">
        <f>IF(F85="",IFERROR(+VLOOKUP(P84,BDD,70,FALSE),""),F85)</f>
        <v/>
      </c>
      <c r="G84" s="2464"/>
      <c r="H84" s="2464"/>
      <c r="I84" s="501" t="str">
        <f>IF(I85="",IFERROR(+VLOOKUP(P84,BDD,56,FALSE),""),I85)</f>
        <v/>
      </c>
      <c r="J84" s="2466"/>
      <c r="O84" s="574" t="s">
        <v>1216</v>
      </c>
      <c r="P84" s="576" t="e">
        <f>+DATE(YEAR(B84),MONTH(B84),1)</f>
        <v>#VALUE!</v>
      </c>
      <c r="Y84" t="str">
        <f>+IF(AND(B84&lt;&gt;"",D84=""),"JAUNE","")</f>
        <v/>
      </c>
      <c r="Z84" t="str">
        <f>+IF(AND(B84&lt;&gt;"",F84=""),"JAUNE","")</f>
        <v/>
      </c>
      <c r="AA84" t="str">
        <f>+IF(AND(B84&lt;&gt;"",I84=""),"JAUNE","")</f>
        <v/>
      </c>
    </row>
    <row r="85" spans="1:27" ht="13.5" thickBot="1" x14ac:dyDescent="0.25">
      <c r="A85" s="503" t="s">
        <v>503</v>
      </c>
      <c r="B85" s="1184"/>
      <c r="C85" s="1185"/>
      <c r="D85" s="2461"/>
      <c r="E85" s="2462"/>
      <c r="F85" s="2463"/>
      <c r="G85" s="2463"/>
      <c r="H85" s="2463"/>
      <c r="I85" s="1186"/>
      <c r="J85" s="2467"/>
    </row>
    <row r="86" spans="1:27" x14ac:dyDescent="0.2">
      <c r="A86" s="502">
        <v>2</v>
      </c>
      <c r="B86" s="577" t="str">
        <f>IFERROR(IF(B87="",IF(+DATE(YEAR(B84),MONTH(B84)+1,1)&lt;=$O$75,DATE(YEAR(B84),MONTH(B84)+1,1),""),B87),"")</f>
        <v/>
      </c>
      <c r="C86" s="577" t="str">
        <f>IFERROR(IF(C87="",+EOMONTH(B86,0),C87),"")</f>
        <v/>
      </c>
      <c r="D86" s="2465" t="str">
        <f>IF(D87="",IFERROR(+VLOOKUP(B86,BDD,57,FALSE)-VLOOKUP(B86,BDD,63,FALSE),""),D87)</f>
        <v/>
      </c>
      <c r="E86" s="2465"/>
      <c r="F86" s="2464" t="str">
        <f>IF(F87="",IFERROR(+VLOOKUP(B86,BDD,70,FALSE),""),F87)</f>
        <v/>
      </c>
      <c r="G86" s="2464"/>
      <c r="H86" s="2464"/>
      <c r="I86" s="501" t="str">
        <f>IF(I87="",IFERROR(+VLOOKUP(B86,BDD,56,FALSE),""),I87)</f>
        <v/>
      </c>
      <c r="J86" s="2466"/>
      <c r="Y86" t="str">
        <f t="shared" ref="Y86" si="0">+IF(AND(B86&lt;&gt;"",D86=""),"JAUNE","")</f>
        <v/>
      </c>
      <c r="Z86" t="str">
        <f t="shared" ref="Z86" si="1">+IF(AND(B86&lt;&gt;"",F86=""),"JAUNE","")</f>
        <v/>
      </c>
      <c r="AA86" t="str">
        <f t="shared" ref="AA86" si="2">+IF(AND(B86&lt;&gt;"",I86=""),"JAUNE","")</f>
        <v/>
      </c>
    </row>
    <row r="87" spans="1:27" ht="13.5" thickBot="1" x14ac:dyDescent="0.25">
      <c r="A87" s="503" t="s">
        <v>503</v>
      </c>
      <c r="B87" s="1184"/>
      <c r="C87" s="1185"/>
      <c r="D87" s="2461"/>
      <c r="E87" s="2462"/>
      <c r="F87" s="2463"/>
      <c r="G87" s="2463"/>
      <c r="H87" s="2463"/>
      <c r="I87" s="1186"/>
      <c r="J87" s="2467"/>
    </row>
    <row r="88" spans="1:27" x14ac:dyDescent="0.2">
      <c r="A88" s="502">
        <v>3</v>
      </c>
      <c r="B88" s="577" t="str">
        <f t="shared" ref="B88" si="3">IFERROR(IF(B89="",IF(+DATE(YEAR(B86),MONTH(B86)+1,1)&lt;=$O$75,DATE(YEAR(B86),MONTH(B86)+1,1),""),B89),"")</f>
        <v/>
      </c>
      <c r="C88" s="577" t="str">
        <f t="shared" ref="C88" si="4">IFERROR(IF(C89="",+EOMONTH(B88,0),C89),"")</f>
        <v/>
      </c>
      <c r="D88" s="2465" t="str">
        <f>IF(D89="",IFERROR(+VLOOKUP(B88,BDD,57,FALSE)-VLOOKUP(B88,BDD,63,FALSE),""),D89)</f>
        <v/>
      </c>
      <c r="E88" s="2465"/>
      <c r="F88" s="2464" t="str">
        <f>IF(F89="",IFERROR(+VLOOKUP(B88,BDD,70,FALSE),""),F89)</f>
        <v/>
      </c>
      <c r="G88" s="2464"/>
      <c r="H88" s="2464"/>
      <c r="I88" s="501" t="str">
        <f>IF(I89="",IFERROR(+VLOOKUP(B88,BDD,56,FALSE),""),I89)</f>
        <v/>
      </c>
      <c r="J88" s="2466"/>
      <c r="Y88" t="str">
        <f t="shared" ref="Y88" si="5">+IF(AND(B88&lt;&gt;"",D88=""),"JAUNE","")</f>
        <v/>
      </c>
      <c r="Z88" t="str">
        <f t="shared" ref="Z88" si="6">+IF(AND(B88&lt;&gt;"",F88=""),"JAUNE","")</f>
        <v/>
      </c>
      <c r="AA88" t="str">
        <f t="shared" ref="AA88" si="7">+IF(AND(B88&lt;&gt;"",I88=""),"JAUNE","")</f>
        <v/>
      </c>
    </row>
    <row r="89" spans="1:27" ht="13.5" thickBot="1" x14ac:dyDescent="0.25">
      <c r="A89" s="503" t="s">
        <v>503</v>
      </c>
      <c r="B89" s="1184"/>
      <c r="C89" s="1185"/>
      <c r="D89" s="2461"/>
      <c r="E89" s="2462"/>
      <c r="F89" s="2463"/>
      <c r="G89" s="2463"/>
      <c r="H89" s="2463"/>
      <c r="I89" s="1186"/>
      <c r="J89" s="2467"/>
    </row>
    <row r="90" spans="1:27" x14ac:dyDescent="0.2">
      <c r="A90" s="502">
        <v>4</v>
      </c>
      <c r="B90" s="577" t="str">
        <f t="shared" ref="B90" si="8">IFERROR(IF(B91="",IF(+DATE(YEAR(B88),MONTH(B88)+1,1)&lt;=$O$75,DATE(YEAR(B88),MONTH(B88)+1,1),""),B91),"")</f>
        <v/>
      </c>
      <c r="C90" s="577" t="str">
        <f t="shared" ref="C90" si="9">IFERROR(IF(C91="",+EOMONTH(B90,0),C91),"")</f>
        <v/>
      </c>
      <c r="D90" s="2465" t="str">
        <f>IF(D91="",IFERROR(+VLOOKUP(B90,BDD,57,FALSE)-VLOOKUP(B90,BDD,63,FALSE),""),D91)</f>
        <v/>
      </c>
      <c r="E90" s="2465"/>
      <c r="F90" s="2464" t="str">
        <f>IF(F91="",IFERROR(+VLOOKUP(B90,BDD,70,FALSE),""),F91)</f>
        <v/>
      </c>
      <c r="G90" s="2464"/>
      <c r="H90" s="2464"/>
      <c r="I90" s="501" t="str">
        <f>IF(I91="",IFERROR(+VLOOKUP(B90,BDD,56,FALSE),""),I91)</f>
        <v/>
      </c>
      <c r="J90" s="2466"/>
      <c r="Y90" t="str">
        <f t="shared" ref="Y90" si="10">+IF(AND(B90&lt;&gt;"",D90=""),"JAUNE","")</f>
        <v/>
      </c>
      <c r="Z90" t="str">
        <f t="shared" ref="Z90" si="11">+IF(AND(B90&lt;&gt;"",F90=""),"JAUNE","")</f>
        <v/>
      </c>
      <c r="AA90" t="str">
        <f t="shared" ref="AA90" si="12">+IF(AND(B90&lt;&gt;"",I90=""),"JAUNE","")</f>
        <v/>
      </c>
    </row>
    <row r="91" spans="1:27" ht="13.5" thickBot="1" x14ac:dyDescent="0.25">
      <c r="A91" s="503" t="s">
        <v>503</v>
      </c>
      <c r="B91" s="1184"/>
      <c r="C91" s="1185"/>
      <c r="D91" s="2461"/>
      <c r="E91" s="2462"/>
      <c r="F91" s="2463"/>
      <c r="G91" s="2463"/>
      <c r="H91" s="2463"/>
      <c r="I91" s="1186"/>
      <c r="J91" s="2467"/>
    </row>
    <row r="92" spans="1:27" x14ac:dyDescent="0.2">
      <c r="A92" s="502">
        <v>5</v>
      </c>
      <c r="B92" s="577" t="str">
        <f t="shared" ref="B92" si="13">IFERROR(IF(B93="",IF(+DATE(YEAR(B90),MONTH(B90)+1,1)&lt;=$O$75,DATE(YEAR(B90),MONTH(B90)+1,1),""),B93),"")</f>
        <v/>
      </c>
      <c r="C92" s="577" t="str">
        <f t="shared" ref="C92" si="14">IFERROR(IF(C93="",+EOMONTH(B92,0),C93),"")</f>
        <v/>
      </c>
      <c r="D92" s="2465" t="str">
        <f>IF(D93="",IFERROR(+VLOOKUP(B92,BDD,57,FALSE)-VLOOKUP(B92,BDD,63,FALSE),""),D93)</f>
        <v/>
      </c>
      <c r="E92" s="2465"/>
      <c r="F92" s="2464" t="str">
        <f>IF(F93="",IFERROR(+VLOOKUP(B92,BDD,70,FALSE),""),F93)</f>
        <v/>
      </c>
      <c r="G92" s="2464"/>
      <c r="H92" s="2464"/>
      <c r="I92" s="501" t="str">
        <f>IF(I93="",IFERROR(+VLOOKUP(B92,BDD,56,FALSE),""),I93)</f>
        <v/>
      </c>
      <c r="J92" s="2466"/>
      <c r="Y92" t="str">
        <f t="shared" ref="Y92" si="15">+IF(AND(B92&lt;&gt;"",D92=""),"JAUNE","")</f>
        <v/>
      </c>
      <c r="Z92" t="str">
        <f t="shared" ref="Z92" si="16">+IF(AND(B92&lt;&gt;"",F92=""),"JAUNE","")</f>
        <v/>
      </c>
      <c r="AA92" t="str">
        <f t="shared" ref="AA92" si="17">+IF(AND(B92&lt;&gt;"",I92=""),"JAUNE","")</f>
        <v/>
      </c>
    </row>
    <row r="93" spans="1:27" ht="13.5" thickBot="1" x14ac:dyDescent="0.25">
      <c r="A93" s="503" t="s">
        <v>503</v>
      </c>
      <c r="B93" s="1184"/>
      <c r="C93" s="1185"/>
      <c r="D93" s="2461"/>
      <c r="E93" s="2462"/>
      <c r="F93" s="2463"/>
      <c r="G93" s="2463"/>
      <c r="H93" s="2463"/>
      <c r="I93" s="1186"/>
      <c r="J93" s="2467"/>
    </row>
    <row r="94" spans="1:27" x14ac:dyDescent="0.2">
      <c r="A94" s="502">
        <v>6</v>
      </c>
      <c r="B94" s="577" t="str">
        <f t="shared" ref="B94" si="18">IFERROR(IF(B95="",IF(+DATE(YEAR(B92),MONTH(B92)+1,1)&lt;=$O$75,DATE(YEAR(B92),MONTH(B92)+1,1),""),B95),"")</f>
        <v/>
      </c>
      <c r="C94" s="577" t="str">
        <f t="shared" ref="C94" si="19">IFERROR(IF(C95="",+EOMONTH(B94,0),C95),"")</f>
        <v/>
      </c>
      <c r="D94" s="2465" t="str">
        <f>IF(D95="",IFERROR(+VLOOKUP(B94,BDD,57,FALSE)-VLOOKUP(B94,BDD,63,FALSE),""),D95)</f>
        <v/>
      </c>
      <c r="E94" s="2465"/>
      <c r="F94" s="2464" t="str">
        <f>IF(F95="",IFERROR(+VLOOKUP(B94,BDD,70,FALSE),""),F95)</f>
        <v/>
      </c>
      <c r="G94" s="2464"/>
      <c r="H94" s="2464"/>
      <c r="I94" s="501" t="str">
        <f>IF(I95="",IFERROR(+VLOOKUP(B94,BDD,56,FALSE),""),I95)</f>
        <v/>
      </c>
      <c r="J94" s="2466"/>
      <c r="Y94" t="str">
        <f t="shared" ref="Y94" si="20">+IF(AND(B94&lt;&gt;"",D94=""),"JAUNE","")</f>
        <v/>
      </c>
      <c r="Z94" t="str">
        <f t="shared" ref="Z94" si="21">+IF(AND(B94&lt;&gt;"",F94=""),"JAUNE","")</f>
        <v/>
      </c>
      <c r="AA94" t="str">
        <f t="shared" ref="AA94" si="22">+IF(AND(B94&lt;&gt;"",I94=""),"JAUNE","")</f>
        <v/>
      </c>
    </row>
    <row r="95" spans="1:27" ht="13.5" thickBot="1" x14ac:dyDescent="0.25">
      <c r="A95" s="503" t="s">
        <v>503</v>
      </c>
      <c r="B95" s="1184"/>
      <c r="C95" s="1185"/>
      <c r="D95" s="2461"/>
      <c r="E95" s="2462"/>
      <c r="F95" s="2463"/>
      <c r="G95" s="2463"/>
      <c r="H95" s="2463"/>
      <c r="I95" s="1186"/>
      <c r="J95" s="2467"/>
    </row>
    <row r="96" spans="1:27" x14ac:dyDescent="0.2">
      <c r="A96" s="502">
        <v>7</v>
      </c>
      <c r="B96" s="577" t="str">
        <f t="shared" ref="B96" si="23">IFERROR(IF(B97="",IF(+DATE(YEAR(B94),MONTH(B94)+1,1)&lt;=$O$75,DATE(YEAR(B94),MONTH(B94)+1,1),""),B97),"")</f>
        <v/>
      </c>
      <c r="C96" s="577" t="str">
        <f t="shared" ref="C96" si="24">IFERROR(IF(C97="",+EOMONTH(B96,0),C97),"")</f>
        <v/>
      </c>
      <c r="D96" s="2465" t="str">
        <f>IF(D97="",IFERROR(+VLOOKUP(B96,BDD,57,FALSE)-VLOOKUP(B96,BDD,63,FALSE),""),D97)</f>
        <v/>
      </c>
      <c r="E96" s="2465"/>
      <c r="F96" s="2464" t="str">
        <f>IF(F97="",IFERROR(+VLOOKUP(B96,BDD,70,FALSE),""),F97)</f>
        <v/>
      </c>
      <c r="G96" s="2464"/>
      <c r="H96" s="2464"/>
      <c r="I96" s="501" t="str">
        <f>IF(I97="",IFERROR(+VLOOKUP(B96,BDD,56,FALSE),""),I97)</f>
        <v/>
      </c>
      <c r="J96" s="2466"/>
      <c r="Y96" t="str">
        <f t="shared" ref="Y96" si="25">+IF(AND(B96&lt;&gt;"",D96=""),"JAUNE","")</f>
        <v/>
      </c>
      <c r="Z96" t="str">
        <f t="shared" ref="Z96" si="26">+IF(AND(B96&lt;&gt;"",F96=""),"JAUNE","")</f>
        <v/>
      </c>
      <c r="AA96" t="str">
        <f t="shared" ref="AA96" si="27">+IF(AND(B96&lt;&gt;"",I96=""),"JAUNE","")</f>
        <v/>
      </c>
    </row>
    <row r="97" spans="1:27" ht="13.5" thickBot="1" x14ac:dyDescent="0.25">
      <c r="A97" s="503" t="s">
        <v>503</v>
      </c>
      <c r="B97" s="1184"/>
      <c r="C97" s="1185"/>
      <c r="D97" s="2461"/>
      <c r="E97" s="2462"/>
      <c r="F97" s="2463"/>
      <c r="G97" s="2463"/>
      <c r="H97" s="2463"/>
      <c r="I97" s="1186"/>
      <c r="J97" s="2467"/>
    </row>
    <row r="98" spans="1:27" x14ac:dyDescent="0.2">
      <c r="A98" s="502">
        <v>8</v>
      </c>
      <c r="B98" s="577" t="str">
        <f t="shared" ref="B98" si="28">IFERROR(IF(B99="",IF(+DATE(YEAR(B96),MONTH(B96)+1,1)&lt;=$O$75,DATE(YEAR(B96),MONTH(B96)+1,1),""),B99),"")</f>
        <v/>
      </c>
      <c r="C98" s="577" t="str">
        <f t="shared" ref="C98" si="29">IFERROR(IF(C99="",+EOMONTH(B98,0),C99),"")</f>
        <v/>
      </c>
      <c r="D98" s="2465" t="str">
        <f>IF(D99="",IFERROR(+VLOOKUP(B98,BDD,57,FALSE)-VLOOKUP(B98,BDD,63,FALSE),""),D99)</f>
        <v/>
      </c>
      <c r="E98" s="2465"/>
      <c r="F98" s="2464" t="str">
        <f>IF(F99="",IFERROR(+VLOOKUP(B98,BDD,70,FALSE),""),F99)</f>
        <v/>
      </c>
      <c r="G98" s="2464"/>
      <c r="H98" s="2464"/>
      <c r="I98" s="501" t="str">
        <f>IF(I99="",IFERROR(+VLOOKUP(B98,BDD,56,FALSE),""),I99)</f>
        <v/>
      </c>
      <c r="J98" s="2466"/>
      <c r="Y98" t="str">
        <f t="shared" ref="Y98" si="30">+IF(AND(B98&lt;&gt;"",D98=""),"JAUNE","")</f>
        <v/>
      </c>
      <c r="Z98" t="str">
        <f t="shared" ref="Z98" si="31">+IF(AND(B98&lt;&gt;"",F98=""),"JAUNE","")</f>
        <v/>
      </c>
      <c r="AA98" t="str">
        <f t="shared" ref="AA98" si="32">+IF(AND(B98&lt;&gt;"",I98=""),"JAUNE","")</f>
        <v/>
      </c>
    </row>
    <row r="99" spans="1:27" ht="13.5" thickBot="1" x14ac:dyDescent="0.25">
      <c r="A99" s="503" t="s">
        <v>503</v>
      </c>
      <c r="B99" s="1184"/>
      <c r="C99" s="1185"/>
      <c r="D99" s="2461"/>
      <c r="E99" s="2462"/>
      <c r="F99" s="2463"/>
      <c r="G99" s="2463"/>
      <c r="H99" s="2463"/>
      <c r="I99" s="1186"/>
      <c r="J99" s="2467"/>
    </row>
    <row r="100" spans="1:27" x14ac:dyDescent="0.2">
      <c r="A100" s="502">
        <v>9</v>
      </c>
      <c r="B100" s="577" t="str">
        <f t="shared" ref="B100" si="33">IFERROR(IF(B101="",IF(+DATE(YEAR(B98),MONTH(B98)+1,1)&lt;=$O$75,DATE(YEAR(B98),MONTH(B98)+1,1),""),B101),"")</f>
        <v/>
      </c>
      <c r="C100" s="577" t="str">
        <f t="shared" ref="C100" si="34">IFERROR(IF(C101="",+EOMONTH(B100,0),C101),"")</f>
        <v/>
      </c>
      <c r="D100" s="2465" t="str">
        <f>IF(D101="",IFERROR(+VLOOKUP(B100,BDD,57,FALSE)-VLOOKUP(B100,BDD,63,FALSE),""),D101)</f>
        <v/>
      </c>
      <c r="E100" s="2465"/>
      <c r="F100" s="2464" t="str">
        <f>IF(F101="",IFERROR(+VLOOKUP(B100,BDD,70,FALSE),""),F101)</f>
        <v/>
      </c>
      <c r="G100" s="2464"/>
      <c r="H100" s="2464"/>
      <c r="I100" s="501" t="str">
        <f>IF(I101="",IFERROR(+VLOOKUP(B100,BDD,56,FALSE),""),I101)</f>
        <v/>
      </c>
      <c r="J100" s="2466"/>
      <c r="Y100" t="str">
        <f t="shared" ref="Y100" si="35">+IF(AND(B100&lt;&gt;"",D100=""),"JAUNE","")</f>
        <v/>
      </c>
      <c r="Z100" t="str">
        <f t="shared" ref="Z100" si="36">+IF(AND(B100&lt;&gt;"",F100=""),"JAUNE","")</f>
        <v/>
      </c>
      <c r="AA100" t="str">
        <f t="shared" ref="AA100" si="37">+IF(AND(B100&lt;&gt;"",I100=""),"JAUNE","")</f>
        <v/>
      </c>
    </row>
    <row r="101" spans="1:27" ht="13.5" thickBot="1" x14ac:dyDescent="0.25">
      <c r="A101" s="503" t="s">
        <v>503</v>
      </c>
      <c r="B101" s="1184"/>
      <c r="C101" s="1185"/>
      <c r="D101" s="2461"/>
      <c r="E101" s="2462"/>
      <c r="F101" s="2463"/>
      <c r="G101" s="2463"/>
      <c r="H101" s="2463"/>
      <c r="I101" s="1186"/>
      <c r="J101" s="2467"/>
    </row>
    <row r="102" spans="1:27" x14ac:dyDescent="0.2">
      <c r="A102" s="502">
        <v>10</v>
      </c>
      <c r="B102" s="577" t="str">
        <f t="shared" ref="B102" si="38">IFERROR(IF(B103="",IF(+DATE(YEAR(B100),MONTH(B100)+1,1)&lt;=$O$75,DATE(YEAR(B100),MONTH(B100)+1,1),""),B103),"")</f>
        <v/>
      </c>
      <c r="C102" s="577" t="str">
        <f t="shared" ref="C102" si="39">IFERROR(IF(C103="",+EOMONTH(B102,0),C103),"")</f>
        <v/>
      </c>
      <c r="D102" s="2465" t="str">
        <f>IF(D103="",IFERROR(+VLOOKUP(B102,BDD,57,FALSE)-VLOOKUP(B102,BDD,63,FALSE),""),D103)</f>
        <v/>
      </c>
      <c r="E102" s="2465"/>
      <c r="F102" s="2464" t="str">
        <f>IF(F103="",IFERROR(+VLOOKUP(B102,BDD,70,FALSE),""),F103)</f>
        <v/>
      </c>
      <c r="G102" s="2464"/>
      <c r="H102" s="2464"/>
      <c r="I102" s="501" t="str">
        <f>IF(I103="",IFERROR(+VLOOKUP(B102,BDD,56,FALSE),""),I103)</f>
        <v/>
      </c>
      <c r="J102" s="2466"/>
      <c r="Y102" t="str">
        <f t="shared" ref="Y102" si="40">+IF(AND(B102&lt;&gt;"",D102=""),"JAUNE","")</f>
        <v/>
      </c>
      <c r="Z102" t="str">
        <f t="shared" ref="Z102" si="41">+IF(AND(B102&lt;&gt;"",F102=""),"JAUNE","")</f>
        <v/>
      </c>
      <c r="AA102" t="str">
        <f t="shared" ref="AA102" si="42">+IF(AND(B102&lt;&gt;"",I102=""),"JAUNE","")</f>
        <v/>
      </c>
    </row>
    <row r="103" spans="1:27" ht="13.5" thickBot="1" x14ac:dyDescent="0.25">
      <c r="A103" s="503" t="s">
        <v>503</v>
      </c>
      <c r="B103" s="1184"/>
      <c r="C103" s="1185"/>
      <c r="D103" s="2461"/>
      <c r="E103" s="2462"/>
      <c r="F103" s="2463"/>
      <c r="G103" s="2463"/>
      <c r="H103" s="2463"/>
      <c r="I103" s="1186"/>
      <c r="J103" s="2467"/>
    </row>
    <row r="104" spans="1:27" x14ac:dyDescent="0.2">
      <c r="A104" s="502">
        <v>11</v>
      </c>
      <c r="B104" s="577" t="str">
        <f t="shared" ref="B104" si="43">IFERROR(IF(B105="",IF(+DATE(YEAR(B102),MONTH(B102)+1,1)&lt;=$O$75,DATE(YEAR(B102),MONTH(B102)+1,1),""),B105),"")</f>
        <v/>
      </c>
      <c r="C104" s="577" t="str">
        <f t="shared" ref="C104" si="44">IFERROR(IF(C105="",+EOMONTH(B104,0),C105),"")</f>
        <v/>
      </c>
      <c r="D104" s="2465" t="str">
        <f>IF(D105="",IFERROR(+VLOOKUP(B104,BDD,57,FALSE)-VLOOKUP(B104,BDD,63,FALSE),""),D105)</f>
        <v/>
      </c>
      <c r="E104" s="2465"/>
      <c r="F104" s="2464" t="str">
        <f>IF(F105="",IFERROR(+VLOOKUP(B104,BDD,70,FALSE),""),F105)</f>
        <v/>
      </c>
      <c r="G104" s="2464"/>
      <c r="H104" s="2464"/>
      <c r="I104" s="501" t="str">
        <f>IF(I105="",IFERROR(+VLOOKUP(B104,BDD,56,FALSE),""),I105)</f>
        <v/>
      </c>
      <c r="J104" s="2466"/>
      <c r="Y104" t="str">
        <f t="shared" ref="Y104" si="45">+IF(AND(B104&lt;&gt;"",D104=""),"JAUNE","")</f>
        <v/>
      </c>
      <c r="Z104" t="str">
        <f t="shared" ref="Z104" si="46">+IF(AND(B104&lt;&gt;"",F104=""),"JAUNE","")</f>
        <v/>
      </c>
      <c r="AA104" t="str">
        <f t="shared" ref="AA104" si="47">+IF(AND(B104&lt;&gt;"",I104=""),"JAUNE","")</f>
        <v/>
      </c>
    </row>
    <row r="105" spans="1:27" ht="13.5" thickBot="1" x14ac:dyDescent="0.25">
      <c r="A105" s="503" t="s">
        <v>503</v>
      </c>
      <c r="B105" s="1184"/>
      <c r="C105" s="1185"/>
      <c r="D105" s="2461"/>
      <c r="E105" s="2462"/>
      <c r="F105" s="2463"/>
      <c r="G105" s="2463"/>
      <c r="H105" s="2463"/>
      <c r="I105" s="1186"/>
      <c r="J105" s="2467"/>
    </row>
    <row r="106" spans="1:27" x14ac:dyDescent="0.2">
      <c r="A106" s="502">
        <v>12</v>
      </c>
      <c r="B106" s="577" t="str">
        <f t="shared" ref="B106" si="48">IFERROR(IF(B107="",IF(+DATE(YEAR(B104),MONTH(B104)+1,1)&lt;=$O$75,DATE(YEAR(B104),MONTH(B104)+1,1),""),B107),"")</f>
        <v/>
      </c>
      <c r="C106" s="577" t="str">
        <f t="shared" ref="C106" si="49">IFERROR(IF(C107="",+EOMONTH(B106,0),C107),"")</f>
        <v/>
      </c>
      <c r="D106" s="2465" t="str">
        <f>IF(D107="",IFERROR(+VLOOKUP(B106,BDD,57,FALSE)-VLOOKUP(B106,BDD,63,FALSE),""),D107)</f>
        <v/>
      </c>
      <c r="E106" s="2465"/>
      <c r="F106" s="2464" t="str">
        <f>IF(F107="",IFERROR(+VLOOKUP(B106,BDD,70,FALSE),""),F107)</f>
        <v/>
      </c>
      <c r="G106" s="2464"/>
      <c r="H106" s="2464"/>
      <c r="I106" s="501" t="str">
        <f>IF(I107="",IFERROR(+VLOOKUP(B106,BDD,56,FALSE),""),I107)</f>
        <v/>
      </c>
      <c r="J106" s="2466"/>
      <c r="Y106" t="str">
        <f t="shared" ref="Y106" si="50">+IF(AND(B106&lt;&gt;"",D106=""),"JAUNE","")</f>
        <v/>
      </c>
      <c r="Z106" t="str">
        <f t="shared" ref="Z106" si="51">+IF(AND(B106&lt;&gt;"",F106=""),"JAUNE","")</f>
        <v/>
      </c>
      <c r="AA106" t="str">
        <f t="shared" ref="AA106" si="52">+IF(AND(B106&lt;&gt;"",I106=""),"JAUNE","")</f>
        <v/>
      </c>
    </row>
    <row r="107" spans="1:27" ht="13.5" thickBot="1" x14ac:dyDescent="0.25">
      <c r="A107" s="503" t="s">
        <v>503</v>
      </c>
      <c r="B107" s="1184"/>
      <c r="C107" s="1185"/>
      <c r="D107" s="2461"/>
      <c r="E107" s="2462"/>
      <c r="F107" s="2463"/>
      <c r="G107" s="2463"/>
      <c r="H107" s="2463"/>
      <c r="I107" s="1186"/>
      <c r="J107" s="2467"/>
    </row>
    <row r="108" spans="1:27" x14ac:dyDescent="0.2">
      <c r="A108" s="502">
        <v>13</v>
      </c>
      <c r="B108" s="577" t="str">
        <f t="shared" ref="B108" si="53">IFERROR(IF(B109="",IF(+DATE(YEAR(B106),MONTH(B106)+1,1)&lt;=$O$75,DATE(YEAR(B106),MONTH(B106)+1,1),""),B109),"")</f>
        <v/>
      </c>
      <c r="C108" s="577" t="str">
        <f t="shared" ref="C108" si="54">IFERROR(IF(C109="",+EOMONTH(B108,0),C109),"")</f>
        <v/>
      </c>
      <c r="D108" s="2465" t="str">
        <f>IF(D109="",IFERROR(+VLOOKUP(B108,BDD,57,FALSE)-VLOOKUP(B108,BDD,63,FALSE),""),D109)</f>
        <v/>
      </c>
      <c r="E108" s="2465"/>
      <c r="F108" s="2464" t="str">
        <f>IF(F109="",IFERROR(+VLOOKUP(B108,BDD,70,FALSE),""),F109)</f>
        <v/>
      </c>
      <c r="G108" s="2464"/>
      <c r="H108" s="2464"/>
      <c r="I108" s="501" t="str">
        <f>IF(I109="",IFERROR(+VLOOKUP(B108,BDD,56,FALSE),""),I109)</f>
        <v/>
      </c>
      <c r="J108" s="2466"/>
      <c r="Y108" t="str">
        <f t="shared" ref="Y108" si="55">+IF(AND(B108&lt;&gt;"",D108=""),"JAUNE","")</f>
        <v/>
      </c>
      <c r="Z108" t="str">
        <f t="shared" ref="Z108" si="56">+IF(AND(B108&lt;&gt;"",F108=""),"JAUNE","")</f>
        <v/>
      </c>
      <c r="AA108" t="str">
        <f t="shared" ref="AA108" si="57">+IF(AND(B108&lt;&gt;"",I108=""),"JAUNE","")</f>
        <v/>
      </c>
    </row>
    <row r="109" spans="1:27" ht="13.5" thickBot="1" x14ac:dyDescent="0.25">
      <c r="A109" s="503" t="s">
        <v>503</v>
      </c>
      <c r="B109" s="1184"/>
      <c r="C109" s="1185"/>
      <c r="D109" s="2461"/>
      <c r="E109" s="2462"/>
      <c r="F109" s="2463"/>
      <c r="G109" s="2463"/>
      <c r="H109" s="2463"/>
      <c r="I109" s="1186"/>
      <c r="J109" s="2467"/>
    </row>
    <row r="110" spans="1:27" x14ac:dyDescent="0.2">
      <c r="A110" s="502">
        <v>14</v>
      </c>
      <c r="B110" s="577" t="str">
        <f t="shared" ref="B110" si="58">IFERROR(IF(B111="",IF(+DATE(YEAR(B108),MONTH(B108)+1,1)&lt;=$O$75,DATE(YEAR(B108),MONTH(B108)+1,1),""),B111),"")</f>
        <v/>
      </c>
      <c r="C110" s="577" t="str">
        <f t="shared" ref="C110" si="59">IFERROR(IF(C111="",+EOMONTH(B110,0),C111),"")</f>
        <v/>
      </c>
      <c r="D110" s="2465" t="str">
        <f>IF(D111="",IFERROR(+VLOOKUP(B110,BDD,57,FALSE)-VLOOKUP(B110,BDD,63,FALSE),""),D111)</f>
        <v/>
      </c>
      <c r="E110" s="2465"/>
      <c r="F110" s="2464" t="str">
        <f>IF(F111="",IFERROR(+VLOOKUP(B110,BDD,70,FALSE),""),F111)</f>
        <v/>
      </c>
      <c r="G110" s="2464"/>
      <c r="H110" s="2464"/>
      <c r="I110" s="501" t="str">
        <f>IF(I111="",IFERROR(+VLOOKUP(B110,BDD,56,FALSE),""),I111)</f>
        <v/>
      </c>
      <c r="J110" s="2466"/>
      <c r="Y110" t="str">
        <f t="shared" ref="Y110" si="60">+IF(AND(B110&lt;&gt;"",D110=""),"JAUNE","")</f>
        <v/>
      </c>
      <c r="Z110" t="str">
        <f t="shared" ref="Z110" si="61">+IF(AND(B110&lt;&gt;"",F110=""),"JAUNE","")</f>
        <v/>
      </c>
      <c r="AA110" t="str">
        <f t="shared" ref="AA110" si="62">+IF(AND(B110&lt;&gt;"",I110=""),"JAUNE","")</f>
        <v/>
      </c>
    </row>
    <row r="111" spans="1:27" ht="13.5" thickBot="1" x14ac:dyDescent="0.25">
      <c r="A111" s="503" t="s">
        <v>503</v>
      </c>
      <c r="B111" s="1184"/>
      <c r="C111" s="1185"/>
      <c r="D111" s="2461"/>
      <c r="E111" s="2462"/>
      <c r="F111" s="2463"/>
      <c r="G111" s="2463"/>
      <c r="H111" s="2463"/>
      <c r="I111" s="1186"/>
      <c r="J111" s="2467"/>
    </row>
    <row r="112" spans="1:27" x14ac:dyDescent="0.2">
      <c r="A112" s="502">
        <v>15</v>
      </c>
      <c r="B112" s="577" t="str">
        <f t="shared" ref="B112" si="63">IFERROR(IF(B113="",IF(+DATE(YEAR(B110),MONTH(B110)+1,1)&lt;=$O$75,DATE(YEAR(B110),MONTH(B110)+1,1),""),B113),"")</f>
        <v/>
      </c>
      <c r="C112" s="577" t="str">
        <f t="shared" ref="C112" si="64">IFERROR(IF(C113="",+EOMONTH(B112,0),C113),"")</f>
        <v/>
      </c>
      <c r="D112" s="2465" t="str">
        <f>IF(D113="",IFERROR(+VLOOKUP(B112,BDD,57,FALSE)-VLOOKUP(B112,BDD,63,FALSE),""),D113)</f>
        <v/>
      </c>
      <c r="E112" s="2465"/>
      <c r="F112" s="2464" t="str">
        <f>IF(F113="",IFERROR(+VLOOKUP(B112,BDD,70,FALSE),""),F113)</f>
        <v/>
      </c>
      <c r="G112" s="2464"/>
      <c r="H112" s="2464"/>
      <c r="I112" s="501" t="str">
        <f>IF(I113="",IFERROR(+VLOOKUP(B112,BDD,56,FALSE),""),I113)</f>
        <v/>
      </c>
      <c r="J112" s="2466"/>
      <c r="Y112" t="str">
        <f t="shared" ref="Y112" si="65">+IF(AND(B112&lt;&gt;"",D112=""),"JAUNE","")</f>
        <v/>
      </c>
      <c r="Z112" t="str">
        <f t="shared" ref="Z112" si="66">+IF(AND(B112&lt;&gt;"",F112=""),"JAUNE","")</f>
        <v/>
      </c>
      <c r="AA112" t="str">
        <f t="shared" ref="AA112" si="67">+IF(AND(B112&lt;&gt;"",I112=""),"JAUNE","")</f>
        <v/>
      </c>
    </row>
    <row r="113" spans="1:27" ht="13.5" thickBot="1" x14ac:dyDescent="0.25">
      <c r="A113" s="503" t="s">
        <v>503</v>
      </c>
      <c r="B113" s="1184"/>
      <c r="C113" s="1185"/>
      <c r="D113" s="2461"/>
      <c r="E113" s="2462"/>
      <c r="F113" s="2463"/>
      <c r="G113" s="2463"/>
      <c r="H113" s="2463"/>
      <c r="I113" s="1186"/>
      <c r="J113" s="2467"/>
    </row>
    <row r="114" spans="1:27" x14ac:dyDescent="0.2">
      <c r="A114" s="502">
        <v>16</v>
      </c>
      <c r="B114" s="577" t="str">
        <f t="shared" ref="B114" si="68">IFERROR(IF(B115="",IF(+DATE(YEAR(B112),MONTH(B112)+1,1)&lt;=$O$75,DATE(YEAR(B112),MONTH(B112)+1,1),""),B115),"")</f>
        <v/>
      </c>
      <c r="C114" s="577" t="str">
        <f t="shared" ref="C114" si="69">IFERROR(IF(C115="",+EOMONTH(B114,0),C115),"")</f>
        <v/>
      </c>
      <c r="D114" s="2465" t="str">
        <f>IF(D115="",IFERROR(+VLOOKUP(B114,BDD,57,FALSE)-VLOOKUP(B114,BDD,63,FALSE),""),D115)</f>
        <v/>
      </c>
      <c r="E114" s="2465"/>
      <c r="F114" s="2464" t="str">
        <f>IF(F115="",IFERROR(+VLOOKUP(B114,BDD,70,FALSE),""),F115)</f>
        <v/>
      </c>
      <c r="G114" s="2464"/>
      <c r="H114" s="2464"/>
      <c r="I114" s="501" t="str">
        <f>IF(I115="",IFERROR(+VLOOKUP(B114,BDD,56,FALSE),""),I115)</f>
        <v/>
      </c>
      <c r="J114" s="2466"/>
      <c r="Y114" t="str">
        <f t="shared" ref="Y114" si="70">+IF(AND(B114&lt;&gt;"",D114=""),"JAUNE","")</f>
        <v/>
      </c>
      <c r="Z114" t="str">
        <f t="shared" ref="Z114" si="71">+IF(AND(B114&lt;&gt;"",F114=""),"JAUNE","")</f>
        <v/>
      </c>
      <c r="AA114" t="str">
        <f t="shared" ref="AA114" si="72">+IF(AND(B114&lt;&gt;"",I114=""),"JAUNE","")</f>
        <v/>
      </c>
    </row>
    <row r="115" spans="1:27" ht="13.5" thickBot="1" x14ac:dyDescent="0.25">
      <c r="A115" s="503" t="s">
        <v>503</v>
      </c>
      <c r="B115" s="1184"/>
      <c r="C115" s="1185"/>
      <c r="D115" s="2461"/>
      <c r="E115" s="2462"/>
      <c r="F115" s="2463"/>
      <c r="G115" s="2463"/>
      <c r="H115" s="2463"/>
      <c r="I115" s="1186"/>
      <c r="J115" s="2467"/>
    </row>
    <row r="116" spans="1:27" x14ac:dyDescent="0.2">
      <c r="A116" s="502">
        <v>17</v>
      </c>
      <c r="B116" s="577" t="str">
        <f t="shared" ref="B116" si="73">IFERROR(IF(B117="",IF(+DATE(YEAR(B114),MONTH(B114)+1,1)&lt;=$O$75,DATE(YEAR(B114),MONTH(B114)+1,1),""),B117),"")</f>
        <v/>
      </c>
      <c r="C116" s="577" t="str">
        <f t="shared" ref="C116" si="74">IFERROR(IF(C117="",+EOMONTH(B116,0),C117),"")</f>
        <v/>
      </c>
      <c r="D116" s="2465" t="str">
        <f>IF(D117="",IFERROR(+VLOOKUP(B116,BDD,57,FALSE)-VLOOKUP(B116,BDD,63,FALSE),""),D117)</f>
        <v/>
      </c>
      <c r="E116" s="2465"/>
      <c r="F116" s="2464" t="str">
        <f>IF(F117="",IFERROR(+VLOOKUP(B116,BDD,70,FALSE),""),F117)</f>
        <v/>
      </c>
      <c r="G116" s="2464"/>
      <c r="H116" s="2464"/>
      <c r="I116" s="501" t="str">
        <f>IF(I117="",IFERROR(+VLOOKUP(B116,BDD,56,FALSE),""),I117)</f>
        <v/>
      </c>
      <c r="J116" s="2466"/>
      <c r="Y116" t="str">
        <f t="shared" ref="Y116" si="75">+IF(AND(B116&lt;&gt;"",D116=""),"JAUNE","")</f>
        <v/>
      </c>
      <c r="Z116" t="str">
        <f t="shared" ref="Z116" si="76">+IF(AND(B116&lt;&gt;"",F116=""),"JAUNE","")</f>
        <v/>
      </c>
      <c r="AA116" t="str">
        <f t="shared" ref="AA116" si="77">+IF(AND(B116&lt;&gt;"",I116=""),"JAUNE","")</f>
        <v/>
      </c>
    </row>
    <row r="117" spans="1:27" ht="13.5" thickBot="1" x14ac:dyDescent="0.25">
      <c r="A117" s="503" t="s">
        <v>503</v>
      </c>
      <c r="B117" s="1184"/>
      <c r="C117" s="1185"/>
      <c r="D117" s="2461"/>
      <c r="E117" s="2462"/>
      <c r="F117" s="2463"/>
      <c r="G117" s="2463"/>
      <c r="H117" s="2463"/>
      <c r="I117" s="1186"/>
      <c r="J117" s="2467"/>
    </row>
    <row r="118" spans="1:27" x14ac:dyDescent="0.2">
      <c r="A118" s="502">
        <v>18</v>
      </c>
      <c r="B118" s="577" t="str">
        <f t="shared" ref="B118" si="78">IFERROR(IF(B119="",IF(+DATE(YEAR(B116),MONTH(B116)+1,1)&lt;=$O$75,DATE(YEAR(B116),MONTH(B116)+1,1),""),B119),"")</f>
        <v/>
      </c>
      <c r="C118" s="577" t="str">
        <f t="shared" ref="C118" si="79">IFERROR(IF(C119="",+EOMONTH(B118,0),C119),"")</f>
        <v/>
      </c>
      <c r="D118" s="2465" t="str">
        <f>IF(D119="",IFERROR(+VLOOKUP(B118,BDD,57,FALSE)-VLOOKUP(B118,BDD,63,FALSE),""),D119)</f>
        <v/>
      </c>
      <c r="E118" s="2465"/>
      <c r="F118" s="2464" t="str">
        <f>IF(F119="",IFERROR(+VLOOKUP(B118,BDD,70,FALSE),""),F119)</f>
        <v/>
      </c>
      <c r="G118" s="2464"/>
      <c r="H118" s="2464"/>
      <c r="I118" s="501" t="str">
        <f>IF(I119="",IFERROR(+VLOOKUP(B118,BDD,56,FALSE),""),I119)</f>
        <v/>
      </c>
      <c r="J118" s="2466"/>
      <c r="Y118" t="str">
        <f t="shared" ref="Y118" si="80">+IF(AND(B118&lt;&gt;"",D118=""),"JAUNE","")</f>
        <v/>
      </c>
      <c r="Z118" t="str">
        <f t="shared" ref="Z118" si="81">+IF(AND(B118&lt;&gt;"",F118=""),"JAUNE","")</f>
        <v/>
      </c>
      <c r="AA118" t="str">
        <f t="shared" ref="AA118" si="82">+IF(AND(B118&lt;&gt;"",I118=""),"JAUNE","")</f>
        <v/>
      </c>
    </row>
    <row r="119" spans="1:27" ht="13.5" thickBot="1" x14ac:dyDescent="0.25">
      <c r="A119" s="503" t="s">
        <v>503</v>
      </c>
      <c r="B119" s="1184"/>
      <c r="C119" s="1185"/>
      <c r="D119" s="2461"/>
      <c r="E119" s="2462"/>
      <c r="F119" s="2463"/>
      <c r="G119" s="2463"/>
      <c r="H119" s="2463"/>
      <c r="I119" s="1186"/>
      <c r="J119" s="2467"/>
    </row>
    <row r="120" spans="1:27" x14ac:dyDescent="0.2">
      <c r="A120" s="502">
        <v>19</v>
      </c>
      <c r="B120" s="577" t="str">
        <f t="shared" ref="B120" si="83">IFERROR(IF(B121="",IF(+DATE(YEAR(B118),MONTH(B118)+1,1)&lt;=$O$75,DATE(YEAR(B118),MONTH(B118)+1,1),""),B121),"")</f>
        <v/>
      </c>
      <c r="C120" s="577" t="str">
        <f t="shared" ref="C120" si="84">IFERROR(IF(C121="",+EOMONTH(B120,0),C121),"")</f>
        <v/>
      </c>
      <c r="D120" s="2465" t="str">
        <f>IF(D121="",IFERROR(+VLOOKUP(B120,BDD,57,FALSE)-VLOOKUP(B120,BDD,63,FALSE),""),D121)</f>
        <v/>
      </c>
      <c r="E120" s="2465"/>
      <c r="F120" s="2464" t="str">
        <f>IF(F121="",IFERROR(+VLOOKUP(B120,BDD,70,FALSE),""),F121)</f>
        <v/>
      </c>
      <c r="G120" s="2464"/>
      <c r="H120" s="2464"/>
      <c r="I120" s="501" t="str">
        <f>IF(I121="",IFERROR(+VLOOKUP(B120,BDD,56,FALSE),""),I121)</f>
        <v/>
      </c>
      <c r="J120" s="2466"/>
      <c r="Y120" t="str">
        <f t="shared" ref="Y120" si="85">+IF(AND(B120&lt;&gt;"",D120=""),"JAUNE","")</f>
        <v/>
      </c>
      <c r="Z120" t="str">
        <f t="shared" ref="Z120" si="86">+IF(AND(B120&lt;&gt;"",F120=""),"JAUNE","")</f>
        <v/>
      </c>
      <c r="AA120" t="str">
        <f t="shared" ref="AA120" si="87">+IF(AND(B120&lt;&gt;"",I120=""),"JAUNE","")</f>
        <v/>
      </c>
    </row>
    <row r="121" spans="1:27" ht="13.5" thickBot="1" x14ac:dyDescent="0.25">
      <c r="A121" s="503" t="s">
        <v>503</v>
      </c>
      <c r="B121" s="1184"/>
      <c r="C121" s="1185"/>
      <c r="D121" s="2461"/>
      <c r="E121" s="2462"/>
      <c r="F121" s="2463"/>
      <c r="G121" s="2463"/>
      <c r="H121" s="2463"/>
      <c r="I121" s="1186"/>
      <c r="J121" s="2467"/>
    </row>
    <row r="122" spans="1:27" x14ac:dyDescent="0.2">
      <c r="A122" s="502">
        <v>20</v>
      </c>
      <c r="B122" s="577" t="str">
        <f t="shared" ref="B122" si="88">IFERROR(IF(B123="",IF(+DATE(YEAR(B120),MONTH(B120)+1,1)&lt;=$O$75,DATE(YEAR(B120),MONTH(B120)+1,1),""),B123),"")</f>
        <v/>
      </c>
      <c r="C122" s="577" t="str">
        <f t="shared" ref="C122" si="89">IFERROR(IF(C123="",+EOMONTH(B122,0),C123),"")</f>
        <v/>
      </c>
      <c r="D122" s="2465" t="str">
        <f>IF(D123="",IFERROR(+VLOOKUP(B122,BDD,57,FALSE)-VLOOKUP(B122,BDD,63,FALSE),""),D123)</f>
        <v/>
      </c>
      <c r="E122" s="2465"/>
      <c r="F122" s="2464" t="str">
        <f>IF(F123="",IFERROR(+VLOOKUP(B122,BDD,70,FALSE),""),F123)</f>
        <v/>
      </c>
      <c r="G122" s="2464"/>
      <c r="H122" s="2464"/>
      <c r="I122" s="501" t="str">
        <f>IF(I123="",IFERROR(+VLOOKUP(B122,BDD,56,FALSE),""),I123)</f>
        <v/>
      </c>
      <c r="J122" s="2466"/>
      <c r="Y122" t="str">
        <f t="shared" ref="Y122" si="90">+IF(AND(B122&lt;&gt;"",D122=""),"JAUNE","")</f>
        <v/>
      </c>
      <c r="Z122" t="str">
        <f t="shared" ref="Z122" si="91">+IF(AND(B122&lt;&gt;"",F122=""),"JAUNE","")</f>
        <v/>
      </c>
      <c r="AA122" t="str">
        <f t="shared" ref="AA122" si="92">+IF(AND(B122&lt;&gt;"",I122=""),"JAUNE","")</f>
        <v/>
      </c>
    </row>
    <row r="123" spans="1:27" ht="13.5" thickBot="1" x14ac:dyDescent="0.25">
      <c r="A123" s="503" t="s">
        <v>503</v>
      </c>
      <c r="B123" s="1184"/>
      <c r="C123" s="1185"/>
      <c r="D123" s="2461"/>
      <c r="E123" s="2462"/>
      <c r="F123" s="2463"/>
      <c r="G123" s="2463"/>
      <c r="H123" s="2463"/>
      <c r="I123" s="1186"/>
      <c r="J123" s="2467"/>
    </row>
    <row r="124" spans="1:27" x14ac:dyDescent="0.2">
      <c r="A124" s="502">
        <v>21</v>
      </c>
      <c r="B124" s="577" t="str">
        <f t="shared" ref="B124" si="93">IFERROR(IF(B125="",IF(+DATE(YEAR(B122),MONTH(B122)+1,1)&lt;=$O$75,DATE(YEAR(B122),MONTH(B122)+1,1),""),B125),"")</f>
        <v/>
      </c>
      <c r="C124" s="577" t="str">
        <f t="shared" ref="C124" si="94">IFERROR(IF(C125="",+EOMONTH(B124,0),C125),"")</f>
        <v/>
      </c>
      <c r="D124" s="2465" t="str">
        <f>IF(D125="",IFERROR(+VLOOKUP(B124,BDD,57,FALSE)-VLOOKUP(B124,BDD,63,FALSE),""),D125)</f>
        <v/>
      </c>
      <c r="E124" s="2465"/>
      <c r="F124" s="2464" t="str">
        <f>IF(F125="",IFERROR(+VLOOKUP(B124,BDD,70,FALSE),""),F125)</f>
        <v/>
      </c>
      <c r="G124" s="2464"/>
      <c r="H124" s="2464"/>
      <c r="I124" s="501" t="str">
        <f>IF(I125="",IFERROR(+VLOOKUP(B124,BDD,56,FALSE),""),I125)</f>
        <v/>
      </c>
      <c r="J124" s="2466"/>
      <c r="Y124" t="str">
        <f t="shared" ref="Y124" si="95">+IF(AND(B124&lt;&gt;"",D124=""),"JAUNE","")</f>
        <v/>
      </c>
      <c r="Z124" t="str">
        <f t="shared" ref="Z124" si="96">+IF(AND(B124&lt;&gt;"",F124=""),"JAUNE","")</f>
        <v/>
      </c>
      <c r="AA124" t="str">
        <f t="shared" ref="AA124" si="97">+IF(AND(B124&lt;&gt;"",I124=""),"JAUNE","")</f>
        <v/>
      </c>
    </row>
    <row r="125" spans="1:27" ht="13.5" thickBot="1" x14ac:dyDescent="0.25">
      <c r="A125" s="503" t="s">
        <v>503</v>
      </c>
      <c r="B125" s="1184"/>
      <c r="C125" s="1185"/>
      <c r="D125" s="2461"/>
      <c r="E125" s="2462"/>
      <c r="F125" s="2463"/>
      <c r="G125" s="2463"/>
      <c r="H125" s="2463"/>
      <c r="I125" s="1186"/>
      <c r="J125" s="2467"/>
    </row>
    <row r="126" spans="1:27" x14ac:dyDescent="0.2">
      <c r="A126" s="502">
        <v>22</v>
      </c>
      <c r="B126" s="577" t="str">
        <f t="shared" ref="B126" si="98">IFERROR(IF(B127="",IF(+DATE(YEAR(B124),MONTH(B124)+1,1)&lt;=$O$75,DATE(YEAR(B124),MONTH(B124)+1,1),""),B127),"")</f>
        <v/>
      </c>
      <c r="C126" s="577" t="str">
        <f t="shared" ref="C126" si="99">IFERROR(IF(C127="",+EOMONTH(B126,0),C127),"")</f>
        <v/>
      </c>
      <c r="D126" s="2465" t="str">
        <f>IF(D127="",IFERROR(+VLOOKUP(B126,BDD,57,FALSE)-VLOOKUP(B126,BDD,63,FALSE),""),D127)</f>
        <v/>
      </c>
      <c r="E126" s="2465"/>
      <c r="F126" s="2464" t="str">
        <f>IF(F127="",IFERROR(+VLOOKUP(B126,BDD,70,FALSE),""),F127)</f>
        <v/>
      </c>
      <c r="G126" s="2464"/>
      <c r="H126" s="2464"/>
      <c r="I126" s="501" t="str">
        <f>IF(I127="",IFERROR(+VLOOKUP(B126,BDD,56,FALSE),""),I127)</f>
        <v/>
      </c>
      <c r="J126" s="2466"/>
      <c r="Y126" t="str">
        <f t="shared" ref="Y126" si="100">+IF(AND(B126&lt;&gt;"",D126=""),"JAUNE","")</f>
        <v/>
      </c>
      <c r="Z126" t="str">
        <f t="shared" ref="Z126" si="101">+IF(AND(B126&lt;&gt;"",F126=""),"JAUNE","")</f>
        <v/>
      </c>
      <c r="AA126" t="str">
        <f t="shared" ref="AA126" si="102">+IF(AND(B126&lt;&gt;"",I126=""),"JAUNE","")</f>
        <v/>
      </c>
    </row>
    <row r="127" spans="1:27" ht="13.5" thickBot="1" x14ac:dyDescent="0.25">
      <c r="A127" s="503" t="s">
        <v>503</v>
      </c>
      <c r="B127" s="1184"/>
      <c r="C127" s="1185"/>
      <c r="D127" s="2461"/>
      <c r="E127" s="2462"/>
      <c r="F127" s="2463"/>
      <c r="G127" s="2463"/>
      <c r="H127" s="2463"/>
      <c r="I127" s="1186"/>
      <c r="J127" s="2467"/>
    </row>
    <row r="128" spans="1:27" x14ac:dyDescent="0.2">
      <c r="A128" s="502">
        <v>23</v>
      </c>
      <c r="B128" s="577" t="str">
        <f t="shared" ref="B128" si="103">IFERROR(IF(B129="",IF(+DATE(YEAR(B126),MONTH(B126)+1,1)&lt;=$O$75,DATE(YEAR(B126),MONTH(B126)+1,1),""),B129),"")</f>
        <v/>
      </c>
      <c r="C128" s="577" t="str">
        <f t="shared" ref="C128" si="104">IFERROR(IF(C129="",+EOMONTH(B128,0),C129),"")</f>
        <v/>
      </c>
      <c r="D128" s="2465" t="str">
        <f>IF(D129="",IFERROR(+VLOOKUP(B128,BDD,57,FALSE)-VLOOKUP(B128,BDD,63,FALSE),""),D129)</f>
        <v/>
      </c>
      <c r="E128" s="2465"/>
      <c r="F128" s="2464" t="str">
        <f>IF(F129="",IFERROR(+VLOOKUP(B128,BDD,70,FALSE),""),F129)</f>
        <v/>
      </c>
      <c r="G128" s="2464"/>
      <c r="H128" s="2464"/>
      <c r="I128" s="501" t="str">
        <f>IF(I129="",IFERROR(+VLOOKUP(B128,BDD,56,FALSE),""),I129)</f>
        <v/>
      </c>
      <c r="J128" s="2466"/>
      <c r="Y128" t="str">
        <f t="shared" ref="Y128" si="105">+IF(AND(B128&lt;&gt;"",D128=""),"JAUNE","")</f>
        <v/>
      </c>
      <c r="Z128" t="str">
        <f t="shared" ref="Z128" si="106">+IF(AND(B128&lt;&gt;"",F128=""),"JAUNE","")</f>
        <v/>
      </c>
      <c r="AA128" t="str">
        <f t="shared" ref="AA128" si="107">+IF(AND(B128&lt;&gt;"",I128=""),"JAUNE","")</f>
        <v/>
      </c>
    </row>
    <row r="129" spans="1:27" ht="13.5" thickBot="1" x14ac:dyDescent="0.25">
      <c r="A129" s="503" t="s">
        <v>503</v>
      </c>
      <c r="B129" s="1184"/>
      <c r="C129" s="1185"/>
      <c r="D129" s="2461"/>
      <c r="E129" s="2462"/>
      <c r="F129" s="2463"/>
      <c r="G129" s="2463"/>
      <c r="H129" s="2463"/>
      <c r="I129" s="1186"/>
      <c r="J129" s="2467"/>
    </row>
    <row r="130" spans="1:27" x14ac:dyDescent="0.2">
      <c r="A130" s="502">
        <v>24</v>
      </c>
      <c r="B130" s="577" t="str">
        <f t="shared" ref="B130" si="108">IFERROR(IF(B131="",IF(+DATE(YEAR(B128),MONTH(B128)+1,1)&lt;=$O$75,DATE(YEAR(B128),MONTH(B128)+1,1),""),B131),"")</f>
        <v/>
      </c>
      <c r="C130" s="577" t="str">
        <f t="shared" ref="C130" si="109">IFERROR(IF(C131="",+EOMONTH(B130,0),C131),"")</f>
        <v/>
      </c>
      <c r="D130" s="2465" t="str">
        <f>IF(D131="",IFERROR(+VLOOKUP(B130,BDD,57,FALSE)-VLOOKUP(B130,BDD,63,FALSE),""),D131)</f>
        <v/>
      </c>
      <c r="E130" s="2465"/>
      <c r="F130" s="2464" t="str">
        <f>IF(F131="",IFERROR(+VLOOKUP(B130,BDD,70,FALSE),""),F131)</f>
        <v/>
      </c>
      <c r="G130" s="2464"/>
      <c r="H130" s="2464"/>
      <c r="I130" s="501" t="str">
        <f>IF(I131="",IFERROR(+VLOOKUP(B130,BDD,56,FALSE),""),I131)</f>
        <v/>
      </c>
      <c r="J130" s="2466"/>
      <c r="Y130" t="str">
        <f t="shared" ref="Y130" si="110">+IF(AND(B130&lt;&gt;"",D130=""),"JAUNE","")</f>
        <v/>
      </c>
      <c r="Z130" t="str">
        <f t="shared" ref="Z130" si="111">+IF(AND(B130&lt;&gt;"",F130=""),"JAUNE","")</f>
        <v/>
      </c>
      <c r="AA130" t="str">
        <f t="shared" ref="AA130" si="112">+IF(AND(B130&lt;&gt;"",I130=""),"JAUNE","")</f>
        <v/>
      </c>
    </row>
    <row r="131" spans="1:27" ht="13.5" thickBot="1" x14ac:dyDescent="0.25">
      <c r="A131" s="503" t="s">
        <v>503</v>
      </c>
      <c r="B131" s="1184"/>
      <c r="C131" s="1185"/>
      <c r="D131" s="2461"/>
      <c r="E131" s="2462"/>
      <c r="F131" s="2463"/>
      <c r="G131" s="2463"/>
      <c r="H131" s="2463"/>
      <c r="I131" s="1186"/>
      <c r="J131" s="2467"/>
    </row>
    <row r="132" spans="1:27" x14ac:dyDescent="0.2">
      <c r="A132" s="502">
        <v>25</v>
      </c>
      <c r="B132" s="577" t="str">
        <f t="shared" ref="B132" si="113">IFERROR(IF(B133="",IF(+DATE(YEAR(B130),MONTH(B130)+1,1)&lt;=$O$75,DATE(YEAR(B130),MONTH(B130)+1,1),""),B133),"")</f>
        <v/>
      </c>
      <c r="C132" s="577" t="str">
        <f t="shared" ref="C132" si="114">IFERROR(IF(C133="",+EOMONTH(B132,0),C133),"")</f>
        <v/>
      </c>
      <c r="D132" s="2465" t="str">
        <f>IF(D133="",IFERROR(+VLOOKUP(B132,BDD,57,FALSE)-VLOOKUP(B132,BDD,63,FALSE),""),D133)</f>
        <v/>
      </c>
      <c r="E132" s="2465"/>
      <c r="F132" s="2464" t="str">
        <f>IF(F133="",IFERROR(+VLOOKUP(B132,BDD,70,FALSE),""),F133)</f>
        <v/>
      </c>
      <c r="G132" s="2464"/>
      <c r="H132" s="2464"/>
      <c r="I132" s="501" t="str">
        <f>IF(I133="",IFERROR(+VLOOKUP(B132,BDD,56,FALSE),""),I133)</f>
        <v/>
      </c>
      <c r="J132" s="2466"/>
      <c r="Y132" t="str">
        <f t="shared" ref="Y132" si="115">+IF(AND(B132&lt;&gt;"",D132=""),"JAUNE","")</f>
        <v/>
      </c>
      <c r="Z132" t="str">
        <f t="shared" ref="Z132" si="116">+IF(AND(B132&lt;&gt;"",F132=""),"JAUNE","")</f>
        <v/>
      </c>
      <c r="AA132" t="str">
        <f t="shared" ref="AA132" si="117">+IF(AND(B132&lt;&gt;"",I132=""),"JAUNE","")</f>
        <v/>
      </c>
    </row>
    <row r="133" spans="1:27" ht="13.5" thickBot="1" x14ac:dyDescent="0.25">
      <c r="A133" s="503" t="s">
        <v>503</v>
      </c>
      <c r="B133" s="1184"/>
      <c r="C133" s="1185"/>
      <c r="D133" s="2461"/>
      <c r="E133" s="2462"/>
      <c r="F133" s="2463"/>
      <c r="G133" s="2463"/>
      <c r="H133" s="2463"/>
      <c r="I133" s="1186"/>
      <c r="J133" s="2467"/>
    </row>
    <row r="134" spans="1:27" x14ac:dyDescent="0.2">
      <c r="A134" s="502">
        <v>26</v>
      </c>
      <c r="B134" s="577" t="str">
        <f t="shared" ref="B134" si="118">IFERROR(IF(B135="",IF(+DATE(YEAR(B132),MONTH(B132)+1,1)&lt;=$O$75,DATE(YEAR(B132),MONTH(B132)+1,1),""),B135),"")</f>
        <v/>
      </c>
      <c r="C134" s="577" t="str">
        <f t="shared" ref="C134" si="119">IFERROR(IF(C135="",+EOMONTH(B134,0),C135),"")</f>
        <v/>
      </c>
      <c r="D134" s="2465" t="str">
        <f>IF(D135="",IFERROR(+VLOOKUP(B134,BDD,57,FALSE)-VLOOKUP(B134,BDD,63,FALSE),""),D135)</f>
        <v/>
      </c>
      <c r="E134" s="2465"/>
      <c r="F134" s="2464" t="str">
        <f>IF(F135="",IFERROR(+VLOOKUP(B134,BDD,70,FALSE),""),F135)</f>
        <v/>
      </c>
      <c r="G134" s="2464"/>
      <c r="H134" s="2464"/>
      <c r="I134" s="501" t="str">
        <f>IF(I135="",IFERROR(+VLOOKUP(B134,BDD,56,FALSE),""),I135)</f>
        <v/>
      </c>
      <c r="J134" s="2466"/>
      <c r="Y134" t="str">
        <f t="shared" ref="Y134" si="120">+IF(AND(B134&lt;&gt;"",D134=""),"JAUNE","")</f>
        <v/>
      </c>
      <c r="Z134" t="str">
        <f t="shared" ref="Z134" si="121">+IF(AND(B134&lt;&gt;"",F134=""),"JAUNE","")</f>
        <v/>
      </c>
      <c r="AA134" t="str">
        <f t="shared" ref="AA134" si="122">+IF(AND(B134&lt;&gt;"",I134=""),"JAUNE","")</f>
        <v/>
      </c>
    </row>
    <row r="135" spans="1:27" ht="13.5" thickBot="1" x14ac:dyDescent="0.25">
      <c r="A135" s="503" t="s">
        <v>503</v>
      </c>
      <c r="B135" s="1184"/>
      <c r="C135" s="1185"/>
      <c r="D135" s="2461"/>
      <c r="E135" s="2462"/>
      <c r="F135" s="2463"/>
      <c r="G135" s="2463"/>
      <c r="H135" s="2463"/>
      <c r="I135" s="1186"/>
      <c r="J135" s="2467"/>
    </row>
    <row r="136" spans="1:27" x14ac:dyDescent="0.2">
      <c r="A136" s="502">
        <v>27</v>
      </c>
      <c r="B136" s="577" t="str">
        <f t="shared" ref="B136" si="123">IFERROR(IF(B137="",IF(+DATE(YEAR(B134),MONTH(B134)+1,1)&lt;=$O$75,DATE(YEAR(B134),MONTH(B134)+1,1),""),B137),"")</f>
        <v/>
      </c>
      <c r="C136" s="577" t="str">
        <f t="shared" ref="C136" si="124">IFERROR(IF(C137="",+EOMONTH(B136,0),C137),"")</f>
        <v/>
      </c>
      <c r="D136" s="2465" t="str">
        <f>IF(D137="",IFERROR(+VLOOKUP(B136,BDD,57,FALSE)-VLOOKUP(B136,BDD,63,FALSE),""),D137)</f>
        <v/>
      </c>
      <c r="E136" s="2465"/>
      <c r="F136" s="2464" t="str">
        <f>IF(F137="",IFERROR(+VLOOKUP(B136,BDD,70,FALSE),""),F137)</f>
        <v/>
      </c>
      <c r="G136" s="2464"/>
      <c r="H136" s="2464"/>
      <c r="I136" s="501" t="str">
        <f>IF(I137="",IFERROR(+VLOOKUP(B136,BDD,56,FALSE),""),I137)</f>
        <v/>
      </c>
      <c r="J136" s="2466"/>
      <c r="Y136" t="str">
        <f t="shared" ref="Y136" si="125">+IF(AND(B136&lt;&gt;"",D136=""),"JAUNE","")</f>
        <v/>
      </c>
      <c r="Z136" t="str">
        <f t="shared" ref="Z136" si="126">+IF(AND(B136&lt;&gt;"",F136=""),"JAUNE","")</f>
        <v/>
      </c>
      <c r="AA136" t="str">
        <f t="shared" ref="AA136" si="127">+IF(AND(B136&lt;&gt;"",I136=""),"JAUNE","")</f>
        <v/>
      </c>
    </row>
    <row r="137" spans="1:27" ht="13.5" thickBot="1" x14ac:dyDescent="0.25">
      <c r="A137" s="503" t="s">
        <v>503</v>
      </c>
      <c r="B137" s="1184"/>
      <c r="C137" s="1185"/>
      <c r="D137" s="2461"/>
      <c r="E137" s="2462"/>
      <c r="F137" s="2463"/>
      <c r="G137" s="2463"/>
      <c r="H137" s="2463"/>
      <c r="I137" s="1186"/>
      <c r="J137" s="2467"/>
    </row>
    <row r="138" spans="1:27" x14ac:dyDescent="0.2">
      <c r="A138" s="502">
        <v>28</v>
      </c>
      <c r="B138" s="577" t="str">
        <f t="shared" ref="B138" si="128">IFERROR(IF(B139="",IF(+DATE(YEAR(B136),MONTH(B136)+1,1)&lt;=$O$75,DATE(YEAR(B136),MONTH(B136)+1,1),""),B139),"")</f>
        <v/>
      </c>
      <c r="C138" s="577" t="str">
        <f t="shared" ref="C138" si="129">IFERROR(IF(C139="",+EOMONTH(B138,0),C139),"")</f>
        <v/>
      </c>
      <c r="D138" s="2465" t="str">
        <f>IF(D139="",IFERROR(+VLOOKUP(B138,BDD,57,FALSE)-VLOOKUP(B138,BDD,63,FALSE),""),D139)</f>
        <v/>
      </c>
      <c r="E138" s="2465"/>
      <c r="F138" s="2464" t="str">
        <f>IF(F139="",IFERROR(+VLOOKUP(B138,BDD,70,FALSE),""),F139)</f>
        <v/>
      </c>
      <c r="G138" s="2464"/>
      <c r="H138" s="2464"/>
      <c r="I138" s="501" t="str">
        <f>IF(I139="",IFERROR(+VLOOKUP(B138,BDD,56,FALSE),""),I139)</f>
        <v/>
      </c>
      <c r="J138" s="2466"/>
      <c r="Y138" t="str">
        <f t="shared" ref="Y138" si="130">+IF(AND(B138&lt;&gt;"",D138=""),"JAUNE","")</f>
        <v/>
      </c>
      <c r="Z138" t="str">
        <f t="shared" ref="Z138" si="131">+IF(AND(B138&lt;&gt;"",F138=""),"JAUNE","")</f>
        <v/>
      </c>
      <c r="AA138" t="str">
        <f t="shared" ref="AA138" si="132">+IF(AND(B138&lt;&gt;"",I138=""),"JAUNE","")</f>
        <v/>
      </c>
    </row>
    <row r="139" spans="1:27" ht="13.5" thickBot="1" x14ac:dyDescent="0.25">
      <c r="A139" s="503" t="s">
        <v>503</v>
      </c>
      <c r="B139" s="1184"/>
      <c r="C139" s="1185"/>
      <c r="D139" s="2461"/>
      <c r="E139" s="2462"/>
      <c r="F139" s="2463"/>
      <c r="G139" s="2463"/>
      <c r="H139" s="2463"/>
      <c r="I139" s="1186"/>
      <c r="J139" s="2467"/>
    </row>
    <row r="140" spans="1:27" x14ac:dyDescent="0.2">
      <c r="A140" s="502">
        <v>29</v>
      </c>
      <c r="B140" s="577" t="str">
        <f t="shared" ref="B140" si="133">IFERROR(IF(B141="",IF(+DATE(YEAR(B138),MONTH(B138)+1,1)&lt;=$O$75,DATE(YEAR(B138),MONTH(B138)+1,1),""),B141),"")</f>
        <v/>
      </c>
      <c r="C140" s="577" t="str">
        <f t="shared" ref="C140" si="134">IFERROR(IF(C141="",+EOMONTH(B140,0),C141),"")</f>
        <v/>
      </c>
      <c r="D140" s="2465" t="str">
        <f>IF(D141="",IFERROR(+VLOOKUP(B140,BDD,57,FALSE)-VLOOKUP(B140,BDD,63,FALSE),""),D141)</f>
        <v/>
      </c>
      <c r="E140" s="2465"/>
      <c r="F140" s="2464" t="str">
        <f>IF(F141="",IFERROR(+VLOOKUP(B140,BDD,70,FALSE),""),F141)</f>
        <v/>
      </c>
      <c r="G140" s="2464"/>
      <c r="H140" s="2464"/>
      <c r="I140" s="501" t="str">
        <f>IF(I141="",IFERROR(+VLOOKUP(B140,BDD,56,FALSE),""),I141)</f>
        <v/>
      </c>
      <c r="J140" s="2466"/>
      <c r="Y140" t="str">
        <f t="shared" ref="Y140" si="135">+IF(AND(B140&lt;&gt;"",D140=""),"JAUNE","")</f>
        <v/>
      </c>
      <c r="Z140" t="str">
        <f t="shared" ref="Z140" si="136">+IF(AND(B140&lt;&gt;"",F140=""),"JAUNE","")</f>
        <v/>
      </c>
      <c r="AA140" t="str">
        <f t="shared" ref="AA140" si="137">+IF(AND(B140&lt;&gt;"",I140=""),"JAUNE","")</f>
        <v/>
      </c>
    </row>
    <row r="141" spans="1:27" ht="13.5" thickBot="1" x14ac:dyDescent="0.25">
      <c r="A141" s="503" t="s">
        <v>503</v>
      </c>
      <c r="B141" s="1184"/>
      <c r="C141" s="1185"/>
      <c r="D141" s="2461"/>
      <c r="E141" s="2462"/>
      <c r="F141" s="2463"/>
      <c r="G141" s="2463"/>
      <c r="H141" s="2463"/>
      <c r="I141" s="1186"/>
      <c r="J141" s="2467"/>
    </row>
    <row r="142" spans="1:27" x14ac:dyDescent="0.2">
      <c r="A142" s="502">
        <v>30</v>
      </c>
      <c r="B142" s="577" t="str">
        <f t="shared" ref="B142" si="138">IFERROR(IF(B143="",IF(+DATE(YEAR(B140),MONTH(B140)+1,1)&lt;=$O$75,DATE(YEAR(B140),MONTH(B140)+1,1),""),B143),"")</f>
        <v/>
      </c>
      <c r="C142" s="577" t="str">
        <f t="shared" ref="C142" si="139">IFERROR(IF(C143="",+EOMONTH(B142,0),C143),"")</f>
        <v/>
      </c>
      <c r="D142" s="2465" t="str">
        <f>IF(D143="",IFERROR(+VLOOKUP(B142,BDD,57,FALSE)-VLOOKUP(B142,BDD,63,FALSE),""),D143)</f>
        <v/>
      </c>
      <c r="E142" s="2465"/>
      <c r="F142" s="2464" t="str">
        <f>IF(F143="",IFERROR(+VLOOKUP(B142,BDD,70,FALSE),""),F143)</f>
        <v/>
      </c>
      <c r="G142" s="2464"/>
      <c r="H142" s="2464"/>
      <c r="I142" s="501" t="str">
        <f>IF(I143="",IFERROR(+VLOOKUP(B142,BDD,56,FALSE),""),I143)</f>
        <v/>
      </c>
      <c r="J142" s="2466"/>
      <c r="Y142" t="str">
        <f t="shared" ref="Y142" si="140">+IF(AND(B142&lt;&gt;"",D142=""),"JAUNE","")</f>
        <v/>
      </c>
      <c r="Z142" t="str">
        <f t="shared" ref="Z142" si="141">+IF(AND(B142&lt;&gt;"",F142=""),"JAUNE","")</f>
        <v/>
      </c>
      <c r="AA142" t="str">
        <f t="shared" ref="AA142" si="142">+IF(AND(B142&lt;&gt;"",I142=""),"JAUNE","")</f>
        <v/>
      </c>
    </row>
    <row r="143" spans="1:27" ht="13.5" thickBot="1" x14ac:dyDescent="0.25">
      <c r="A143" s="503" t="s">
        <v>503</v>
      </c>
      <c r="B143" s="1184"/>
      <c r="C143" s="1185"/>
      <c r="D143" s="2461"/>
      <c r="E143" s="2462"/>
      <c r="F143" s="2463"/>
      <c r="G143" s="2463"/>
      <c r="H143" s="2463"/>
      <c r="I143" s="1186"/>
      <c r="J143" s="2467"/>
    </row>
    <row r="144" spans="1:27" x14ac:dyDescent="0.2">
      <c r="A144" s="502">
        <v>31</v>
      </c>
      <c r="B144" s="577" t="str">
        <f t="shared" ref="B144" si="143">IFERROR(IF(B145="",IF(+DATE(YEAR(B142),MONTH(B142)+1,1)&lt;=$O$75,DATE(YEAR(B142),MONTH(B142)+1,1),""),B145),"")</f>
        <v/>
      </c>
      <c r="C144" s="577" t="str">
        <f t="shared" ref="C144" si="144">IFERROR(IF(C145="",+EOMONTH(B144,0),C145),"")</f>
        <v/>
      </c>
      <c r="D144" s="2465" t="str">
        <f>IF(D145="",IFERROR(+VLOOKUP(B144,BDD,57,FALSE)-VLOOKUP(B144,BDD,63,FALSE),""),D145)</f>
        <v/>
      </c>
      <c r="E144" s="2465"/>
      <c r="F144" s="2464" t="str">
        <f>IF(F145="",IFERROR(+VLOOKUP(B144,BDD,70,FALSE),""),F145)</f>
        <v/>
      </c>
      <c r="G144" s="2464"/>
      <c r="H144" s="2464"/>
      <c r="I144" s="501" t="str">
        <f>IF(I145="",IFERROR(+VLOOKUP(B144,BDD,56,FALSE),""),I145)</f>
        <v/>
      </c>
      <c r="J144" s="2466"/>
      <c r="Y144" t="str">
        <f t="shared" ref="Y144" si="145">+IF(AND(B144&lt;&gt;"",D144=""),"JAUNE","")</f>
        <v/>
      </c>
      <c r="Z144" t="str">
        <f t="shared" ref="Z144" si="146">+IF(AND(B144&lt;&gt;"",F144=""),"JAUNE","")</f>
        <v/>
      </c>
      <c r="AA144" t="str">
        <f t="shared" ref="AA144" si="147">+IF(AND(B144&lt;&gt;"",I144=""),"JAUNE","")</f>
        <v/>
      </c>
    </row>
    <row r="145" spans="1:27" ht="13.5" thickBot="1" x14ac:dyDescent="0.25">
      <c r="A145" s="503" t="s">
        <v>503</v>
      </c>
      <c r="B145" s="1184"/>
      <c r="C145" s="1185"/>
      <c r="D145" s="2461"/>
      <c r="E145" s="2462"/>
      <c r="F145" s="2463"/>
      <c r="G145" s="2463"/>
      <c r="H145" s="2463"/>
      <c r="I145" s="1186"/>
      <c r="J145" s="2467"/>
    </row>
    <row r="146" spans="1:27" x14ac:dyDescent="0.2">
      <c r="A146" s="502">
        <v>32</v>
      </c>
      <c r="B146" s="577" t="str">
        <f t="shared" ref="B146" si="148">IFERROR(IF(B147="",IF(+DATE(YEAR(B144),MONTH(B144)+1,1)&lt;=$O$75,DATE(YEAR(B144),MONTH(B144)+1,1),""),B147),"")</f>
        <v/>
      </c>
      <c r="C146" s="577" t="str">
        <f t="shared" ref="C146" si="149">IFERROR(IF(C147="",+EOMONTH(B146,0),C147),"")</f>
        <v/>
      </c>
      <c r="D146" s="2465" t="str">
        <f>IF(D147="",IFERROR(+VLOOKUP(B146,BDD,57,FALSE)-VLOOKUP(B146,BDD,63,FALSE),""),D147)</f>
        <v/>
      </c>
      <c r="E146" s="2465"/>
      <c r="F146" s="2464" t="str">
        <f>IF(F147="",IFERROR(+VLOOKUP(B146,BDD,70,FALSE),""),F147)</f>
        <v/>
      </c>
      <c r="G146" s="2464"/>
      <c r="H146" s="2464"/>
      <c r="I146" s="501" t="str">
        <f>IF(I147="",IFERROR(+VLOOKUP(B146,BDD,56,FALSE),""),I147)</f>
        <v/>
      </c>
      <c r="J146" s="2466"/>
      <c r="Y146" t="str">
        <f t="shared" ref="Y146" si="150">+IF(AND(B146&lt;&gt;"",D146=""),"JAUNE","")</f>
        <v/>
      </c>
      <c r="Z146" t="str">
        <f t="shared" ref="Z146" si="151">+IF(AND(B146&lt;&gt;"",F146=""),"JAUNE","")</f>
        <v/>
      </c>
      <c r="AA146" t="str">
        <f t="shared" ref="AA146" si="152">+IF(AND(B146&lt;&gt;"",I146=""),"JAUNE","")</f>
        <v/>
      </c>
    </row>
    <row r="147" spans="1:27" ht="13.5" thickBot="1" x14ac:dyDescent="0.25">
      <c r="A147" s="503" t="s">
        <v>503</v>
      </c>
      <c r="B147" s="1184"/>
      <c r="C147" s="1185"/>
      <c r="D147" s="2461"/>
      <c r="E147" s="2462"/>
      <c r="F147" s="2463"/>
      <c r="G147" s="2463"/>
      <c r="H147" s="2463"/>
      <c r="I147" s="1186"/>
      <c r="J147" s="2467"/>
    </row>
    <row r="148" spans="1:27" x14ac:dyDescent="0.2">
      <c r="A148" s="502">
        <v>33</v>
      </c>
      <c r="B148" s="577" t="str">
        <f t="shared" ref="B148" si="153">IFERROR(IF(B149="",IF(+DATE(YEAR(B146),MONTH(B146)+1,1)&lt;=$O$75,DATE(YEAR(B146),MONTH(B146)+1,1),""),B149),"")</f>
        <v/>
      </c>
      <c r="C148" s="577" t="str">
        <f t="shared" ref="C148" si="154">IFERROR(IF(C149="",+EOMONTH(B148,0),C149),"")</f>
        <v/>
      </c>
      <c r="D148" s="2465" t="str">
        <f>IF(D149="",IFERROR(+VLOOKUP(B148,BDD,57,FALSE)-VLOOKUP(B148,BDD,63,FALSE),""),D149)</f>
        <v/>
      </c>
      <c r="E148" s="2465"/>
      <c r="F148" s="2464" t="str">
        <f>IF(F149="",IFERROR(+VLOOKUP(B148,BDD,70,FALSE),""),F149)</f>
        <v/>
      </c>
      <c r="G148" s="2464"/>
      <c r="H148" s="2464"/>
      <c r="I148" s="501" t="str">
        <f>IF(I149="",IFERROR(+VLOOKUP(B148,BDD,56,FALSE),""),I149)</f>
        <v/>
      </c>
      <c r="J148" s="2466"/>
      <c r="Y148" t="str">
        <f t="shared" ref="Y148" si="155">+IF(AND(B148&lt;&gt;"",D148=""),"JAUNE","")</f>
        <v/>
      </c>
      <c r="Z148" t="str">
        <f t="shared" ref="Z148" si="156">+IF(AND(B148&lt;&gt;"",F148=""),"JAUNE","")</f>
        <v/>
      </c>
      <c r="AA148" t="str">
        <f t="shared" ref="AA148" si="157">+IF(AND(B148&lt;&gt;"",I148=""),"JAUNE","")</f>
        <v/>
      </c>
    </row>
    <row r="149" spans="1:27" ht="13.5" thickBot="1" x14ac:dyDescent="0.25">
      <c r="A149" s="503" t="s">
        <v>503</v>
      </c>
      <c r="B149" s="1184"/>
      <c r="C149" s="1185"/>
      <c r="D149" s="2461"/>
      <c r="E149" s="2462"/>
      <c r="F149" s="2463"/>
      <c r="G149" s="2463"/>
      <c r="H149" s="2463"/>
      <c r="I149" s="1186"/>
      <c r="J149" s="2467"/>
    </row>
    <row r="150" spans="1:27" x14ac:dyDescent="0.2">
      <c r="A150" s="502">
        <v>34</v>
      </c>
      <c r="B150" s="577" t="str">
        <f t="shared" ref="B150" si="158">IFERROR(IF(B151="",IF(+DATE(YEAR(B148),MONTH(B148)+1,1)&lt;=$O$75,DATE(YEAR(B148),MONTH(B148)+1,1),""),B151),"")</f>
        <v/>
      </c>
      <c r="C150" s="577" t="str">
        <f t="shared" ref="C150" si="159">IFERROR(IF(C151="",+EOMONTH(B150,0),C151),"")</f>
        <v/>
      </c>
      <c r="D150" s="2465" t="str">
        <f>IF(D151="",IFERROR(+VLOOKUP(B150,BDD,57,FALSE)-VLOOKUP(B150,BDD,63,FALSE),""),D151)</f>
        <v/>
      </c>
      <c r="E150" s="2465"/>
      <c r="F150" s="2464" t="str">
        <f>IF(F151="",IFERROR(+VLOOKUP(B150,BDD,70,FALSE),""),F151)</f>
        <v/>
      </c>
      <c r="G150" s="2464"/>
      <c r="H150" s="2464"/>
      <c r="I150" s="501" t="str">
        <f>IF(I151="",IFERROR(+VLOOKUP(B150,BDD,56,FALSE),""),I151)</f>
        <v/>
      </c>
      <c r="J150" s="2466"/>
      <c r="Y150" t="str">
        <f t="shared" ref="Y150" si="160">+IF(AND(B150&lt;&gt;"",D150=""),"JAUNE","")</f>
        <v/>
      </c>
      <c r="Z150" t="str">
        <f t="shared" ref="Z150" si="161">+IF(AND(B150&lt;&gt;"",F150=""),"JAUNE","")</f>
        <v/>
      </c>
      <c r="AA150" t="str">
        <f t="shared" ref="AA150" si="162">+IF(AND(B150&lt;&gt;"",I150=""),"JAUNE","")</f>
        <v/>
      </c>
    </row>
    <row r="151" spans="1:27" ht="13.5" thickBot="1" x14ac:dyDescent="0.25">
      <c r="A151" s="503" t="s">
        <v>503</v>
      </c>
      <c r="B151" s="1184"/>
      <c r="C151" s="1185"/>
      <c r="D151" s="2461"/>
      <c r="E151" s="2462"/>
      <c r="F151" s="2463"/>
      <c r="G151" s="2463"/>
      <c r="H151" s="2463"/>
      <c r="I151" s="1186"/>
      <c r="J151" s="2467"/>
    </row>
    <row r="152" spans="1:27" x14ac:dyDescent="0.2">
      <c r="A152" s="502">
        <v>35</v>
      </c>
      <c r="B152" s="577" t="str">
        <f t="shared" ref="B152" si="163">IFERROR(IF(B153="",IF(+DATE(YEAR(B150),MONTH(B150)+1,1)&lt;=$O$75,DATE(YEAR(B150),MONTH(B150)+1,1),""),B153),"")</f>
        <v/>
      </c>
      <c r="C152" s="577" t="str">
        <f t="shared" ref="C152" si="164">IFERROR(IF(C153="",+EOMONTH(B152,0),C153),"")</f>
        <v/>
      </c>
      <c r="D152" s="2465" t="str">
        <f>IF(D153="",IFERROR(+VLOOKUP(B152,BDD,57,FALSE)-VLOOKUP(B152,BDD,63,FALSE),""),D153)</f>
        <v/>
      </c>
      <c r="E152" s="2465"/>
      <c r="F152" s="2464" t="str">
        <f>IF(F153="",IFERROR(+VLOOKUP(B152,BDD,70,FALSE),""),F153)</f>
        <v/>
      </c>
      <c r="G152" s="2464"/>
      <c r="H152" s="2464"/>
      <c r="I152" s="501" t="str">
        <f>IF(I153="",IFERROR(+VLOOKUP(B152,BDD,56,FALSE),""),I153)</f>
        <v/>
      </c>
      <c r="J152" s="2466"/>
      <c r="Y152" t="str">
        <f t="shared" ref="Y152" si="165">+IF(AND(B152&lt;&gt;"",D152=""),"JAUNE","")</f>
        <v/>
      </c>
      <c r="Z152" t="str">
        <f t="shared" ref="Z152" si="166">+IF(AND(B152&lt;&gt;"",F152=""),"JAUNE","")</f>
        <v/>
      </c>
      <c r="AA152" t="str">
        <f t="shared" ref="AA152" si="167">+IF(AND(B152&lt;&gt;"",I152=""),"JAUNE","")</f>
        <v/>
      </c>
    </row>
    <row r="153" spans="1:27" ht="13.5" thickBot="1" x14ac:dyDescent="0.25">
      <c r="A153" s="503" t="s">
        <v>503</v>
      </c>
      <c r="B153" s="1184"/>
      <c r="C153" s="1185"/>
      <c r="D153" s="2461"/>
      <c r="E153" s="2462"/>
      <c r="F153" s="2463"/>
      <c r="G153" s="2463"/>
      <c r="H153" s="2463"/>
      <c r="I153" s="1186"/>
      <c r="J153" s="2467"/>
    </row>
    <row r="154" spans="1:27" x14ac:dyDescent="0.2">
      <c r="A154" s="502">
        <v>36</v>
      </c>
      <c r="B154" s="577" t="str">
        <f t="shared" ref="B154" si="168">IFERROR(IF(B155="",IF(+DATE(YEAR(B152),MONTH(B152)+1,1)&lt;=$O$75,DATE(YEAR(B152),MONTH(B152)+1,1),""),B155),"")</f>
        <v/>
      </c>
      <c r="C154" s="577" t="str">
        <f t="shared" ref="C154" si="169">IFERROR(IF(C155="",+EOMONTH(B154,0),C155),"")</f>
        <v/>
      </c>
      <c r="D154" s="2465" t="str">
        <f>IF(D155="",IFERROR(+VLOOKUP(B154,BDD,57,FALSE)-VLOOKUP(B154,BDD,63,FALSE),""),D155)</f>
        <v/>
      </c>
      <c r="E154" s="2465"/>
      <c r="F154" s="2464" t="str">
        <f>IF(F155="",IFERROR(+VLOOKUP(B154,BDD,70,FALSE),""),F155)</f>
        <v/>
      </c>
      <c r="G154" s="2464"/>
      <c r="H154" s="2464"/>
      <c r="I154" s="501" t="str">
        <f>IF(I155="",IFERROR(+VLOOKUP(B154,BDD,56,FALSE),""),I155)</f>
        <v/>
      </c>
      <c r="J154" s="2466"/>
      <c r="Y154" t="str">
        <f t="shared" ref="Y154" si="170">+IF(AND(B154&lt;&gt;"",D154=""),"JAUNE","")</f>
        <v/>
      </c>
      <c r="Z154" t="str">
        <f t="shared" ref="Z154" si="171">+IF(AND(B154&lt;&gt;"",F154=""),"JAUNE","")</f>
        <v/>
      </c>
      <c r="AA154" t="str">
        <f t="shared" ref="AA154" si="172">+IF(AND(B154&lt;&gt;"",I154=""),"JAUNE","")</f>
        <v/>
      </c>
    </row>
    <row r="155" spans="1:27" ht="13.5" thickBot="1" x14ac:dyDescent="0.25">
      <c r="A155" s="503" t="s">
        <v>503</v>
      </c>
      <c r="B155" s="1184"/>
      <c r="C155" s="1185"/>
      <c r="D155" s="2461"/>
      <c r="E155" s="2462"/>
      <c r="F155" s="2463"/>
      <c r="G155" s="2463"/>
      <c r="H155" s="2463"/>
      <c r="I155" s="1186"/>
      <c r="J155" s="2467"/>
    </row>
    <row r="161" spans="1:16" ht="15.75" x14ac:dyDescent="0.25">
      <c r="A161" s="2452" t="s">
        <v>1033</v>
      </c>
      <c r="B161" s="2452"/>
      <c r="C161" s="2452"/>
      <c r="D161" s="2452"/>
      <c r="E161" s="2452"/>
      <c r="F161" s="2452"/>
      <c r="G161" s="2452"/>
      <c r="H161" s="2452"/>
      <c r="I161" s="2452"/>
      <c r="J161" s="2452"/>
    </row>
    <row r="162" spans="1:16" ht="16.5" thickBot="1" x14ac:dyDescent="0.3">
      <c r="A162" s="571"/>
      <c r="B162" s="571"/>
      <c r="C162" s="571"/>
      <c r="D162" s="571"/>
      <c r="E162" s="571"/>
      <c r="F162" s="571"/>
      <c r="G162" s="571"/>
      <c r="H162" s="571"/>
      <c r="I162" s="571"/>
      <c r="J162" s="571"/>
    </row>
    <row r="163" spans="1:16" ht="43.5" customHeight="1" thickBot="1" x14ac:dyDescent="0.25">
      <c r="B163" s="2444" t="s">
        <v>951</v>
      </c>
      <c r="C163" s="2445"/>
      <c r="D163" s="2446" t="s">
        <v>487</v>
      </c>
      <c r="E163" s="2447"/>
      <c r="F163" s="2446" t="s">
        <v>954</v>
      </c>
      <c r="G163" s="2447"/>
      <c r="H163" s="2448"/>
      <c r="I163" s="2440" t="s">
        <v>955</v>
      </c>
      <c r="J163" s="2442"/>
    </row>
    <row r="164" spans="1:16" ht="15" customHeight="1" thickBot="1" x14ac:dyDescent="0.25">
      <c r="A164" s="578">
        <f>+DATE(YEAR(D80),MONTH(D80),1)</f>
        <v>1</v>
      </c>
      <c r="B164" s="499" t="s">
        <v>952</v>
      </c>
      <c r="C164" s="499" t="s">
        <v>953</v>
      </c>
      <c r="D164" s="2449"/>
      <c r="E164" s="2450"/>
      <c r="F164" s="2449"/>
      <c r="G164" s="2450"/>
      <c r="H164" s="2451"/>
      <c r="I164" s="2441"/>
      <c r="J164" s="2442"/>
    </row>
    <row r="165" spans="1:16" ht="13.5" customHeight="1" x14ac:dyDescent="0.2">
      <c r="A165" s="502"/>
      <c r="B165" s="577">
        <f>+IF(B166="",IF(P75="OUI","",DATE(YEAR(D80),MONTH(D80),1)),B166)</f>
        <v>1</v>
      </c>
      <c r="C165" s="577">
        <f>IF(C166="",IF(P75="OUI","",DATE(YEAR(D80),MONTH(D80),DAY(D80))),C166)</f>
        <v>0</v>
      </c>
      <c r="D165" s="2459" t="e">
        <f>+IF(AND(D166="",I165&lt;&gt;0),D80,D166)</f>
        <v>#N/A</v>
      </c>
      <c r="E165" s="2460"/>
      <c r="F165" s="2453" t="str">
        <f>IF(F166="",IFERROR(+VLOOKUP(B165,BDD,57,FALSE)-VLOOKUP(B165,BDD,63,FALSE),""),F166)</f>
        <v/>
      </c>
      <c r="G165" s="2454"/>
      <c r="H165" s="2455"/>
      <c r="I165" s="501" t="e">
        <f>IF(I166="",IFERROR(+VLOOKUP(B165,BDD,56,FALSE),0)+VLOOKUP(A164,BDD,65,FALSE),I166)</f>
        <v>#N/A</v>
      </c>
      <c r="J165" s="2456"/>
    </row>
    <row r="166" spans="1:16" ht="13.5" thickBot="1" x14ac:dyDescent="0.25">
      <c r="A166" s="503" t="s">
        <v>503</v>
      </c>
      <c r="B166" s="1184"/>
      <c r="C166" s="1185"/>
      <c r="D166" s="2457"/>
      <c r="E166" s="2457"/>
      <c r="F166" s="2458"/>
      <c r="G166" s="2458"/>
      <c r="H166" s="2458"/>
      <c r="I166" s="1186"/>
      <c r="J166" s="2456"/>
    </row>
    <row r="169" spans="1:16" x14ac:dyDescent="0.2">
      <c r="A169" t="s">
        <v>1034</v>
      </c>
    </row>
    <row r="170" spans="1:16" ht="13.5" customHeight="1" x14ac:dyDescent="0.2">
      <c r="C170" s="574" t="s">
        <v>1231</v>
      </c>
      <c r="D170" s="575" t="str">
        <f>IF(D171="",IFERROR(+VLOOKUP(P171,BDD,64,FALSE),""),D171)</f>
        <v/>
      </c>
    </row>
    <row r="171" spans="1:16" ht="13.5" customHeight="1" x14ac:dyDescent="0.2">
      <c r="C171" s="574" t="s">
        <v>503</v>
      </c>
      <c r="D171" s="1187"/>
      <c r="O171" s="574" t="s">
        <v>1043</v>
      </c>
      <c r="P171" s="576">
        <f>+DATE(YEAR(D80),MONTH(D80),1)</f>
        <v>1</v>
      </c>
    </row>
    <row r="173" spans="1:16" x14ac:dyDescent="0.2">
      <c r="A173" t="s">
        <v>1230</v>
      </c>
    </row>
    <row r="174" spans="1:16" x14ac:dyDescent="0.2">
      <c r="C174" s="574" t="s">
        <v>1232</v>
      </c>
      <c r="D174" s="575" t="str">
        <f>IF(D175="",IFERROR(+VLOOKUP(P171,BDD,65,FALSE),""),D175)</f>
        <v/>
      </c>
    </row>
    <row r="175" spans="1:16" x14ac:dyDescent="0.2">
      <c r="C175" s="574" t="s">
        <v>503</v>
      </c>
      <c r="D175" s="1187"/>
    </row>
    <row r="178" spans="1:6" x14ac:dyDescent="0.2">
      <c r="A178" t="s">
        <v>1041</v>
      </c>
    </row>
    <row r="179" spans="1:6" x14ac:dyDescent="0.2">
      <c r="A179" s="2443" t="s">
        <v>1040</v>
      </c>
      <c r="B179" s="2443"/>
      <c r="C179" s="2443"/>
      <c r="D179" s="2443"/>
      <c r="E179" s="2443"/>
      <c r="F179" s="575" t="str">
        <f>IF(F180="",IFERROR(+VLOOKUP(P171,BDD,90,FALSE)+VLOOKUP(P171,BDD,67,FALSE),""),F180)</f>
        <v/>
      </c>
    </row>
    <row r="180" spans="1:6" x14ac:dyDescent="0.2">
      <c r="E180" s="574" t="s">
        <v>503</v>
      </c>
      <c r="F180" s="1187"/>
    </row>
    <row r="182" spans="1:6" x14ac:dyDescent="0.2">
      <c r="E182" s="574" t="s">
        <v>1042</v>
      </c>
      <c r="F182" s="572" t="str">
        <f>IF(F180="",F179,F180)</f>
        <v/>
      </c>
    </row>
    <row r="183" spans="1:6" x14ac:dyDescent="0.2">
      <c r="E183" s="574" t="s">
        <v>503</v>
      </c>
      <c r="F183" s="1187"/>
    </row>
  </sheetData>
  <sheetProtection algorithmName="SHA-512" hashValue="N04mpfkhbWY0owPLkfSQYwKEMyoc7VgbpU9HOQ2u34jvvEhuA+By66+UpNpdpUCMtEwk1Xo9iZHsSYi8Cg9zNQ==" saltValue="kPaHOOCEdrqZC5nZ+MihWA==" spinCount="100000" sheet="1" objects="1" scenarios="1" formatCells="0" formatColumns="0" formatRows="0" insertColumns="0" insertRows="0" insertHyperlinks="0" sort="0" autoFilter="0" pivotTables="0"/>
  <mergeCells count="247">
    <mergeCell ref="J150:J151"/>
    <mergeCell ref="J152:J153"/>
    <mergeCell ref="J154:J155"/>
    <mergeCell ref="J140:J141"/>
    <mergeCell ref="J142:J143"/>
    <mergeCell ref="J144:J145"/>
    <mergeCell ref="J146:J147"/>
    <mergeCell ref="J148:J149"/>
    <mergeCell ref="J130:J131"/>
    <mergeCell ref="J132:J133"/>
    <mergeCell ref="J134:J135"/>
    <mergeCell ref="J136:J137"/>
    <mergeCell ref="J138:J139"/>
    <mergeCell ref="J120:J121"/>
    <mergeCell ref="J122:J123"/>
    <mergeCell ref="J124:J125"/>
    <mergeCell ref="J126:J127"/>
    <mergeCell ref="J128:J129"/>
    <mergeCell ref="J110:J111"/>
    <mergeCell ref="J112:J113"/>
    <mergeCell ref="J114:J115"/>
    <mergeCell ref="J116:J117"/>
    <mergeCell ref="J118:J119"/>
    <mergeCell ref="D155:E155"/>
    <mergeCell ref="F155:H155"/>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2:E152"/>
    <mergeCell ref="F152:H152"/>
    <mergeCell ref="D153:E153"/>
    <mergeCell ref="F153:H153"/>
    <mergeCell ref="D154:E154"/>
    <mergeCell ref="F154:H154"/>
    <mergeCell ref="D149:E149"/>
    <mergeCell ref="F149:H149"/>
    <mergeCell ref="D150:E150"/>
    <mergeCell ref="F150:H150"/>
    <mergeCell ref="D151:E151"/>
    <mergeCell ref="F151:H151"/>
    <mergeCell ref="D146:E146"/>
    <mergeCell ref="F146:H146"/>
    <mergeCell ref="D147:E147"/>
    <mergeCell ref="F147:H147"/>
    <mergeCell ref="D148:E148"/>
    <mergeCell ref="F148:H148"/>
    <mergeCell ref="D143:E143"/>
    <mergeCell ref="F143:H143"/>
    <mergeCell ref="D144:E144"/>
    <mergeCell ref="F144:H144"/>
    <mergeCell ref="D145:E145"/>
    <mergeCell ref="F145:H145"/>
    <mergeCell ref="D140:E140"/>
    <mergeCell ref="F140:H140"/>
    <mergeCell ref="D141:E141"/>
    <mergeCell ref="F141:H141"/>
    <mergeCell ref="D142:E142"/>
    <mergeCell ref="F142:H142"/>
    <mergeCell ref="D137:E137"/>
    <mergeCell ref="F137:H137"/>
    <mergeCell ref="D138:E138"/>
    <mergeCell ref="F138:H138"/>
    <mergeCell ref="D139:E139"/>
    <mergeCell ref="F139:H139"/>
    <mergeCell ref="D134:E134"/>
    <mergeCell ref="F134:H134"/>
    <mergeCell ref="D135:E135"/>
    <mergeCell ref="F135:H135"/>
    <mergeCell ref="D136:E136"/>
    <mergeCell ref="F136:H136"/>
    <mergeCell ref="D131:E131"/>
    <mergeCell ref="F131:H131"/>
    <mergeCell ref="D132:E132"/>
    <mergeCell ref="F132:H132"/>
    <mergeCell ref="D133:E133"/>
    <mergeCell ref="F133:H133"/>
    <mergeCell ref="D128:E128"/>
    <mergeCell ref="F128:H128"/>
    <mergeCell ref="D129:E129"/>
    <mergeCell ref="F129:H129"/>
    <mergeCell ref="D130:E130"/>
    <mergeCell ref="F130:H130"/>
    <mergeCell ref="D125:E125"/>
    <mergeCell ref="F125:H125"/>
    <mergeCell ref="D126:E126"/>
    <mergeCell ref="F126:H126"/>
    <mergeCell ref="D127:E127"/>
    <mergeCell ref="F127:H127"/>
    <mergeCell ref="D122:E122"/>
    <mergeCell ref="F122:H122"/>
    <mergeCell ref="D123:E123"/>
    <mergeCell ref="F123:H123"/>
    <mergeCell ref="D124:E124"/>
    <mergeCell ref="F124:H124"/>
    <mergeCell ref="D119:E119"/>
    <mergeCell ref="F119:H119"/>
    <mergeCell ref="D120:E120"/>
    <mergeCell ref="F120:H120"/>
    <mergeCell ref="D121:E121"/>
    <mergeCell ref="F121:H121"/>
    <mergeCell ref="D116:E116"/>
    <mergeCell ref="F116:H116"/>
    <mergeCell ref="D117:E117"/>
    <mergeCell ref="F117:H117"/>
    <mergeCell ref="D118:E118"/>
    <mergeCell ref="F118:H118"/>
    <mergeCell ref="D113:E113"/>
    <mergeCell ref="F113:H113"/>
    <mergeCell ref="D114:E114"/>
    <mergeCell ref="F114:H114"/>
    <mergeCell ref="D115:E115"/>
    <mergeCell ref="F115:H115"/>
    <mergeCell ref="D110:E110"/>
    <mergeCell ref="F110:H110"/>
    <mergeCell ref="D111:E111"/>
    <mergeCell ref="F111:H111"/>
    <mergeCell ref="D112:E112"/>
    <mergeCell ref="F112:H112"/>
    <mergeCell ref="D107:E107"/>
    <mergeCell ref="F107:H107"/>
    <mergeCell ref="D108:E108"/>
    <mergeCell ref="F108:H108"/>
    <mergeCell ref="D109:E109"/>
    <mergeCell ref="F109:H109"/>
    <mergeCell ref="D104:E104"/>
    <mergeCell ref="F104:H104"/>
    <mergeCell ref="D105:E105"/>
    <mergeCell ref="F105:H105"/>
    <mergeCell ref="D106:E106"/>
    <mergeCell ref="F106:H106"/>
    <mergeCell ref="D101:E101"/>
    <mergeCell ref="F101:H101"/>
    <mergeCell ref="D102:E102"/>
    <mergeCell ref="F102:H102"/>
    <mergeCell ref="D103:E103"/>
    <mergeCell ref="F103:H103"/>
    <mergeCell ref="D98:E98"/>
    <mergeCell ref="F98:H98"/>
    <mergeCell ref="D99:E99"/>
    <mergeCell ref="F99:H99"/>
    <mergeCell ref="D100:E100"/>
    <mergeCell ref="F100:H100"/>
    <mergeCell ref="D95:E95"/>
    <mergeCell ref="F95:H95"/>
    <mergeCell ref="D96:E96"/>
    <mergeCell ref="F96:H96"/>
    <mergeCell ref="D97:E97"/>
    <mergeCell ref="F97:H97"/>
    <mergeCell ref="D92:E92"/>
    <mergeCell ref="F92:H92"/>
    <mergeCell ref="D93:E93"/>
    <mergeCell ref="F93:H93"/>
    <mergeCell ref="D94:E94"/>
    <mergeCell ref="F94:H94"/>
    <mergeCell ref="F89:H89"/>
    <mergeCell ref="D90:E90"/>
    <mergeCell ref="F90:H90"/>
    <mergeCell ref="D91:E91"/>
    <mergeCell ref="F91:H91"/>
    <mergeCell ref="D86:E86"/>
    <mergeCell ref="D87:E87"/>
    <mergeCell ref="F86:H86"/>
    <mergeCell ref="F87:H87"/>
    <mergeCell ref="D88:E88"/>
    <mergeCell ref="F88:H88"/>
    <mergeCell ref="B1:I1"/>
    <mergeCell ref="D5:H5"/>
    <mergeCell ref="I163:I164"/>
    <mergeCell ref="J163:J164"/>
    <mergeCell ref="A179:E179"/>
    <mergeCell ref="B163:C163"/>
    <mergeCell ref="F163:H164"/>
    <mergeCell ref="A161:J161"/>
    <mergeCell ref="F165:H165"/>
    <mergeCell ref="J165:J166"/>
    <mergeCell ref="D166:E166"/>
    <mergeCell ref="F166:H166"/>
    <mergeCell ref="D163:E164"/>
    <mergeCell ref="D165:E165"/>
    <mergeCell ref="D85:E85"/>
    <mergeCell ref="F85:H85"/>
    <mergeCell ref="I82:I83"/>
    <mergeCell ref="F84:H84"/>
    <mergeCell ref="D84:E84"/>
    <mergeCell ref="B78:I78"/>
    <mergeCell ref="B82:C82"/>
    <mergeCell ref="D82:E83"/>
    <mergeCell ref="F82:H83"/>
    <mergeCell ref="D89:E89"/>
    <mergeCell ref="C26:E26"/>
    <mergeCell ref="C27:E27"/>
    <mergeCell ref="C28:E28"/>
    <mergeCell ref="C29:E29"/>
    <mergeCell ref="C30:E30"/>
    <mergeCell ref="C31:E31"/>
    <mergeCell ref="C32:E32"/>
    <mergeCell ref="C33:E33"/>
    <mergeCell ref="C34:E34"/>
    <mergeCell ref="C35:E35"/>
    <mergeCell ref="C36:E36"/>
    <mergeCell ref="C37:E37"/>
    <mergeCell ref="C38:E38"/>
    <mergeCell ref="C39:E39"/>
    <mergeCell ref="C40:E40"/>
    <mergeCell ref="C41:E41"/>
    <mergeCell ref="C42:E42"/>
    <mergeCell ref="C43:E43"/>
    <mergeCell ref="C44:E44"/>
    <mergeCell ref="C45:E45"/>
    <mergeCell ref="C46:E46"/>
    <mergeCell ref="C47:E47"/>
    <mergeCell ref="C48:E48"/>
    <mergeCell ref="C49:E49"/>
    <mergeCell ref="C53:E53"/>
    <mergeCell ref="C54:E54"/>
    <mergeCell ref="C55:E55"/>
    <mergeCell ref="C56:E56"/>
    <mergeCell ref="C57:E57"/>
    <mergeCell ref="C58:E58"/>
    <mergeCell ref="C59:E59"/>
    <mergeCell ref="C60:E60"/>
    <mergeCell ref="C61:E61"/>
    <mergeCell ref="C62:E62"/>
    <mergeCell ref="C63:E63"/>
    <mergeCell ref="C64:E64"/>
    <mergeCell ref="C74:E74"/>
    <mergeCell ref="B77:H77"/>
    <mergeCell ref="C65:E65"/>
    <mergeCell ref="C66:E66"/>
    <mergeCell ref="C67:E67"/>
    <mergeCell ref="C68:E68"/>
    <mergeCell ref="C69:E69"/>
    <mergeCell ref="C70:E70"/>
    <mergeCell ref="C71:E71"/>
    <mergeCell ref="C72:E72"/>
    <mergeCell ref="C73:E73"/>
  </mergeCells>
  <conditionalFormatting sqref="B85:I85">
    <cfRule type="notContainsBlanks" dxfId="2082" priority="91">
      <formula>LEN(TRIM(B85))&gt;0</formula>
    </cfRule>
  </conditionalFormatting>
  <conditionalFormatting sqref="B87:I87">
    <cfRule type="notContainsBlanks" dxfId="2081"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cfRule type="notContainsBlanks" dxfId="2080" priority="4">
      <formula>LEN(TRIM(B89))&gt;0</formula>
    </cfRule>
  </conditionalFormatting>
  <conditionalFormatting sqref="B166:I166">
    <cfRule type="notContainsBlanks" dxfId="2079" priority="89">
      <formula>LEN(TRIM(B166))&gt;0</formula>
    </cfRule>
  </conditionalFormatting>
  <conditionalFormatting sqref="D79">
    <cfRule type="notContainsBlanks" dxfId="2078" priority="49">
      <formula>LEN(TRIM(D79))&gt;0</formula>
    </cfRule>
  </conditionalFormatting>
  <conditionalFormatting sqref="D171">
    <cfRule type="notContainsBlanks" dxfId="2077" priority="52">
      <formula>LEN(TRIM(D171))&gt;0</formula>
    </cfRule>
  </conditionalFormatting>
  <conditionalFormatting sqref="D175">
    <cfRule type="notContainsBlanks" dxfId="2076" priority="12">
      <formula>LEN(TRIM(D175))&gt;0</formula>
    </cfRule>
  </conditionalFormatting>
  <conditionalFormatting sqref="D85:E85">
    <cfRule type="expression" dxfId="2075" priority="11">
      <formula>Y84="JAUNE"</formula>
    </cfRule>
  </conditionalFormatting>
  <conditionalFormatting sqref="D87:E87">
    <cfRule type="expression" dxfId="2074"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cfRule type="expression" dxfId="2073" priority="3">
      <formula>Y88="JAUNE"</formula>
    </cfRule>
  </conditionalFormatting>
  <conditionalFormatting sqref="D165:E165">
    <cfRule type="cellIs" dxfId="2072" priority="48" operator="equal">
      <formula>0</formula>
    </cfRule>
  </conditionalFormatting>
  <conditionalFormatting sqref="F165">
    <cfRule type="expression" dxfId="2071" priority="66">
      <formula>Y165="JAUNE"</formula>
    </cfRule>
  </conditionalFormatting>
  <conditionalFormatting sqref="F180">
    <cfRule type="notContainsBlanks" dxfId="2070" priority="51">
      <formula>LEN(TRIM(F180))&gt;0</formula>
    </cfRule>
  </conditionalFormatting>
  <conditionalFormatting sqref="F183">
    <cfRule type="notContainsBlanks" dxfId="2069" priority="50">
      <formula>LEN(TRIM(F183))&gt;0</formula>
    </cfRule>
  </conditionalFormatting>
  <conditionalFormatting sqref="F85:H85">
    <cfRule type="expression" dxfId="2068" priority="10">
      <formula>Z84="JAUNE"</formula>
    </cfRule>
  </conditionalFormatting>
  <conditionalFormatting sqref="F87:H87">
    <cfRule type="expression" dxfId="2067"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cfRule type="expression" dxfId="2066" priority="2">
      <formula>Z88="JAUNE"</formula>
    </cfRule>
  </conditionalFormatting>
  <conditionalFormatting sqref="I85">
    <cfRule type="expression" dxfId="2065" priority="9">
      <formula>AA84="JAUNE"</formula>
    </cfRule>
  </conditionalFormatting>
  <conditionalFormatting sqref="I87">
    <cfRule type="expression" dxfId="2064" priority="5">
      <formula>AA86="JAUNE"</formula>
    </cfRule>
  </conditionalFormatting>
  <conditionalFormatting sqref="I89 I91 I93 I95 I97 I99 I101 I103 I105 I107 I109 I111 I113 I115 I117 I119 I121 I123 I125 I127 I129 I131 I133 I135 I137 I139 I141 I143 I145 I147 I149 I151 I153 I155">
    <cfRule type="expression" dxfId="2063" priority="1">
      <formula>AA88="JAUNE"</formula>
    </cfRule>
  </conditionalFormatting>
  <conditionalFormatting sqref="I165">
    <cfRule type="expression" dxfId="2062" priority="64">
      <formula>AA165="JAUNE"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59"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D3" sqref="D3"/>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57" t="s">
        <v>1457</v>
      </c>
    </row>
    <row r="2" spans="1:13" ht="30.75" customHeight="1" x14ac:dyDescent="0.2">
      <c r="A2" s="2468" t="s">
        <v>1148</v>
      </c>
      <c r="B2" s="2468"/>
      <c r="C2" s="2468"/>
      <c r="D2" s="2468"/>
      <c r="E2" s="2468"/>
      <c r="F2" s="2468"/>
      <c r="G2" s="2468"/>
      <c r="H2" s="2468"/>
      <c r="I2" s="2468"/>
      <c r="J2" s="2468"/>
      <c r="K2" s="2468"/>
    </row>
    <row r="4" spans="1:13" ht="13.5" thickBot="1" x14ac:dyDescent="0.25"/>
    <row r="5" spans="1:13" ht="62.25" customHeight="1" thickTop="1" thickBot="1" x14ac:dyDescent="0.25">
      <c r="A5" s="715" t="s">
        <v>30</v>
      </c>
      <c r="B5" s="716" t="s">
        <v>1153</v>
      </c>
      <c r="C5" s="717" t="s">
        <v>1154</v>
      </c>
      <c r="D5" s="720" t="s">
        <v>1155</v>
      </c>
      <c r="E5" s="721" t="s">
        <v>1156</v>
      </c>
      <c r="F5" s="722" t="s">
        <v>1157</v>
      </c>
      <c r="G5" s="723" t="s">
        <v>1158</v>
      </c>
      <c r="H5" s="724" t="s">
        <v>1149</v>
      </c>
      <c r="I5" s="725" t="s">
        <v>1150</v>
      </c>
      <c r="J5" s="726" t="s">
        <v>1159</v>
      </c>
      <c r="K5" s="823" t="s">
        <v>1160</v>
      </c>
      <c r="L5" s="1504" t="s">
        <v>1604</v>
      </c>
      <c r="M5" s="1505" t="s">
        <v>1605</v>
      </c>
    </row>
    <row r="6" spans="1:13" x14ac:dyDescent="0.2">
      <c r="A6" s="727">
        <f>+Janvier!X3</f>
        <v>45658</v>
      </c>
      <c r="B6" s="711">
        <f ca="1">+Janvier!$T$35</f>
        <v>0</v>
      </c>
      <c r="C6" s="712">
        <f ca="1">+B6</f>
        <v>0</v>
      </c>
      <c r="D6" s="711">
        <f ca="1">+Janvier!$N$62</f>
        <v>0</v>
      </c>
      <c r="E6" s="712">
        <f ca="1">+D6</f>
        <v>0</v>
      </c>
      <c r="F6" s="711">
        <f ca="1">+Janvier!$Q$76</f>
        <v>0</v>
      </c>
      <c r="G6" s="712">
        <f ca="1">+F6</f>
        <v>0</v>
      </c>
      <c r="H6" s="711">
        <f ca="1">+Janvier!$Q$78</f>
        <v>0</v>
      </c>
      <c r="I6" s="712">
        <f ca="1">+H6</f>
        <v>0</v>
      </c>
      <c r="J6" s="711">
        <f ca="1">+Janvier!$Q$85</f>
        <v>0</v>
      </c>
      <c r="K6" s="728">
        <f ca="1">+J6</f>
        <v>0</v>
      </c>
      <c r="L6" s="711">
        <f ca="1">+Janvier!$Q$74</f>
        <v>0</v>
      </c>
      <c r="M6" s="728">
        <f ca="1">+L6</f>
        <v>0</v>
      </c>
    </row>
    <row r="7" spans="1:13" x14ac:dyDescent="0.2">
      <c r="A7" s="729">
        <f>+DATE(YEAR(A6),MONTH(A6)+1,DAY(A6))</f>
        <v>45689</v>
      </c>
      <c r="B7" s="713">
        <f>+Février!$T$35</f>
        <v>0</v>
      </c>
      <c r="C7" s="714">
        <f>IF(OR(B7="",B7=0),0,+B7+C6)</f>
        <v>0</v>
      </c>
      <c r="D7" s="713">
        <f>+Février!$N$62</f>
        <v>0</v>
      </c>
      <c r="E7" s="714">
        <f>IF(OR(D7="",D7=0),0,+D7+E6)</f>
        <v>0</v>
      </c>
      <c r="F7" s="713">
        <f>+Février!$Q$76</f>
        <v>0</v>
      </c>
      <c r="G7" s="714">
        <f>IF(OR(F7="",F7=0),0,+F7+G6)</f>
        <v>0</v>
      </c>
      <c r="H7" s="713">
        <f>+Février!$Q$78</f>
        <v>0</v>
      </c>
      <c r="I7" s="714">
        <f>IF(OR(H7="",H7=0),0,+H7+I6)</f>
        <v>0</v>
      </c>
      <c r="J7" s="713">
        <f>+Février!$Q$85</f>
        <v>0</v>
      </c>
      <c r="K7" s="730">
        <f>IF(OR(J7="",J7=0),0,+J7+K6)</f>
        <v>0</v>
      </c>
      <c r="L7" s="713">
        <f>+Février!$Q$74</f>
        <v>0</v>
      </c>
      <c r="M7" s="730">
        <f>IF(OR(L7="",L7=0),0,+L7+M6)</f>
        <v>0</v>
      </c>
    </row>
    <row r="8" spans="1:13" x14ac:dyDescent="0.2">
      <c r="A8" s="729">
        <f t="shared" ref="A8:A17" si="0">+DATE(YEAR(A7),MONTH(A7)+1,DAY(A7))</f>
        <v>45717</v>
      </c>
      <c r="B8" s="713">
        <f>+Mars!$T$35</f>
        <v>0</v>
      </c>
      <c r="C8" s="714">
        <f t="shared" ref="C8:K17" si="1">IF(OR(B8="",B8=0),0,+B8+C7)</f>
        <v>0</v>
      </c>
      <c r="D8" s="713">
        <f>+Mars!$N$62</f>
        <v>0</v>
      </c>
      <c r="E8" s="714">
        <f t="shared" si="1"/>
        <v>0</v>
      </c>
      <c r="F8" s="713">
        <f>+Mars!$Q$76</f>
        <v>0</v>
      </c>
      <c r="G8" s="714">
        <f t="shared" si="1"/>
        <v>0</v>
      </c>
      <c r="H8" s="713">
        <f>+Mars!$Q$78</f>
        <v>0</v>
      </c>
      <c r="I8" s="714">
        <f t="shared" si="1"/>
        <v>0</v>
      </c>
      <c r="J8" s="713">
        <f>+Mars!$Q$85</f>
        <v>0</v>
      </c>
      <c r="K8" s="730">
        <f t="shared" si="1"/>
        <v>0</v>
      </c>
      <c r="L8" s="713">
        <f>+Mars!$Q$74</f>
        <v>0</v>
      </c>
      <c r="M8" s="730">
        <f t="shared" ref="M8:M17" si="2">IF(OR(L8="",L8=0),0,+L8+M7)</f>
        <v>0</v>
      </c>
    </row>
    <row r="9" spans="1:13" x14ac:dyDescent="0.2">
      <c r="A9" s="729">
        <f t="shared" si="0"/>
        <v>45748</v>
      </c>
      <c r="B9" s="713">
        <f>+Avril!$T$35</f>
        <v>0</v>
      </c>
      <c r="C9" s="714">
        <f t="shared" si="1"/>
        <v>0</v>
      </c>
      <c r="D9" s="713">
        <f>+Avril!$N$62</f>
        <v>0</v>
      </c>
      <c r="E9" s="714">
        <f t="shared" si="1"/>
        <v>0</v>
      </c>
      <c r="F9" s="713">
        <f>+Avril!$Q$76</f>
        <v>0</v>
      </c>
      <c r="G9" s="714">
        <f t="shared" si="1"/>
        <v>0</v>
      </c>
      <c r="H9" s="713">
        <f>+Avril!$Q$78</f>
        <v>0</v>
      </c>
      <c r="I9" s="714">
        <f t="shared" si="1"/>
        <v>0</v>
      </c>
      <c r="J9" s="713">
        <f>+Avril!$Q$85</f>
        <v>0</v>
      </c>
      <c r="K9" s="730">
        <f t="shared" si="1"/>
        <v>0</v>
      </c>
      <c r="L9" s="713">
        <f>+Avril!$Q$74</f>
        <v>0</v>
      </c>
      <c r="M9" s="730">
        <f t="shared" si="2"/>
        <v>0</v>
      </c>
    </row>
    <row r="10" spans="1:13" x14ac:dyDescent="0.2">
      <c r="A10" s="729">
        <f t="shared" si="0"/>
        <v>45778</v>
      </c>
      <c r="B10" s="713">
        <f>+Mai!$T$35</f>
        <v>0</v>
      </c>
      <c r="C10" s="714">
        <f t="shared" si="1"/>
        <v>0</v>
      </c>
      <c r="D10" s="713">
        <f>+Mai!$N$62</f>
        <v>0</v>
      </c>
      <c r="E10" s="714">
        <f t="shared" si="1"/>
        <v>0</v>
      </c>
      <c r="F10" s="713">
        <f>+Mai!$Q$76</f>
        <v>0</v>
      </c>
      <c r="G10" s="714">
        <f t="shared" si="1"/>
        <v>0</v>
      </c>
      <c r="H10" s="713">
        <f>+Mai!$Q$78</f>
        <v>0</v>
      </c>
      <c r="I10" s="714">
        <f t="shared" si="1"/>
        <v>0</v>
      </c>
      <c r="J10" s="713">
        <f>+Mai!$Q$85</f>
        <v>0</v>
      </c>
      <c r="K10" s="730">
        <f t="shared" si="1"/>
        <v>0</v>
      </c>
      <c r="L10" s="713">
        <f>+Mai!$Q$74</f>
        <v>0</v>
      </c>
      <c r="M10" s="730">
        <f t="shared" si="2"/>
        <v>0</v>
      </c>
    </row>
    <row r="11" spans="1:13" x14ac:dyDescent="0.2">
      <c r="A11" s="729">
        <f t="shared" si="0"/>
        <v>45809</v>
      </c>
      <c r="B11" s="713">
        <f ca="1">+Juin!$T$35</f>
        <v>0</v>
      </c>
      <c r="C11" s="714">
        <f t="shared" ca="1" si="1"/>
        <v>0</v>
      </c>
      <c r="D11" s="713">
        <f ca="1">+Juin!$N$62</f>
        <v>0</v>
      </c>
      <c r="E11" s="714">
        <f t="shared" ca="1" si="1"/>
        <v>0</v>
      </c>
      <c r="F11" s="713">
        <f ca="1">+Juin!$Q$76</f>
        <v>0</v>
      </c>
      <c r="G11" s="714">
        <f t="shared" ca="1" si="1"/>
        <v>0</v>
      </c>
      <c r="H11" s="713">
        <f ca="1">+Juin!$Q$78</f>
        <v>0</v>
      </c>
      <c r="I11" s="714">
        <f t="shared" ca="1" si="1"/>
        <v>0</v>
      </c>
      <c r="J11" s="713">
        <f ca="1">+Juin!$Q$85</f>
        <v>0</v>
      </c>
      <c r="K11" s="730">
        <f t="shared" ca="1" si="1"/>
        <v>0</v>
      </c>
      <c r="L11" s="713">
        <f ca="1">+Juin!$Q$74</f>
        <v>0</v>
      </c>
      <c r="M11" s="730">
        <f t="shared" ca="1" si="2"/>
        <v>0</v>
      </c>
    </row>
    <row r="12" spans="1:13" x14ac:dyDescent="0.2">
      <c r="A12" s="729">
        <f t="shared" si="0"/>
        <v>45839</v>
      </c>
      <c r="B12" s="713">
        <f>+Juillet!$T$35</f>
        <v>0</v>
      </c>
      <c r="C12" s="714">
        <f t="shared" si="1"/>
        <v>0</v>
      </c>
      <c r="D12" s="713">
        <f>+Juillet!$N$62</f>
        <v>0</v>
      </c>
      <c r="E12" s="714">
        <f t="shared" si="1"/>
        <v>0</v>
      </c>
      <c r="F12" s="713">
        <f>+Juillet!$Q$76</f>
        <v>0</v>
      </c>
      <c r="G12" s="714">
        <f t="shared" si="1"/>
        <v>0</v>
      </c>
      <c r="H12" s="713">
        <f>+Juillet!$Q$78</f>
        <v>0</v>
      </c>
      <c r="I12" s="714">
        <f t="shared" si="1"/>
        <v>0</v>
      </c>
      <c r="J12" s="713">
        <f>+Juillet!$Q$85</f>
        <v>0</v>
      </c>
      <c r="K12" s="730">
        <f t="shared" si="1"/>
        <v>0</v>
      </c>
      <c r="L12" s="713">
        <f>+Juillet!$Q$74</f>
        <v>0</v>
      </c>
      <c r="M12" s="730">
        <f t="shared" si="2"/>
        <v>0</v>
      </c>
    </row>
    <row r="13" spans="1:13" x14ac:dyDescent="0.2">
      <c r="A13" s="729">
        <f t="shared" si="0"/>
        <v>45870</v>
      </c>
      <c r="B13" s="713">
        <f>+Aout!$T$35</f>
        <v>0</v>
      </c>
      <c r="C13" s="714">
        <f t="shared" si="1"/>
        <v>0</v>
      </c>
      <c r="D13" s="713">
        <f>+Aout!$N$62</f>
        <v>0</v>
      </c>
      <c r="E13" s="714">
        <f t="shared" si="1"/>
        <v>0</v>
      </c>
      <c r="F13" s="713">
        <f>+Aout!$Q$76</f>
        <v>0</v>
      </c>
      <c r="G13" s="714">
        <f t="shared" si="1"/>
        <v>0</v>
      </c>
      <c r="H13" s="713">
        <f>+Aout!$Q$78</f>
        <v>0</v>
      </c>
      <c r="I13" s="714">
        <f t="shared" si="1"/>
        <v>0</v>
      </c>
      <c r="J13" s="713">
        <f>+Aout!$Q$85</f>
        <v>0</v>
      </c>
      <c r="K13" s="730">
        <f t="shared" si="1"/>
        <v>0</v>
      </c>
      <c r="L13" s="713">
        <f>+Aout!$Q$74</f>
        <v>0</v>
      </c>
      <c r="M13" s="730">
        <f t="shared" si="2"/>
        <v>0</v>
      </c>
    </row>
    <row r="14" spans="1:13" x14ac:dyDescent="0.2">
      <c r="A14" s="729">
        <f t="shared" si="0"/>
        <v>45901</v>
      </c>
      <c r="B14" s="713">
        <f>+Septembre!$T$35</f>
        <v>0</v>
      </c>
      <c r="C14" s="714">
        <f t="shared" si="1"/>
        <v>0</v>
      </c>
      <c r="D14" s="713">
        <f>+Septembre!$N$62</f>
        <v>0</v>
      </c>
      <c r="E14" s="714">
        <f t="shared" si="1"/>
        <v>0</v>
      </c>
      <c r="F14" s="713">
        <f>+Septembre!$Q$76</f>
        <v>0</v>
      </c>
      <c r="G14" s="714">
        <f t="shared" si="1"/>
        <v>0</v>
      </c>
      <c r="H14" s="713">
        <f>+Septembre!$Q$78</f>
        <v>0</v>
      </c>
      <c r="I14" s="714">
        <f t="shared" si="1"/>
        <v>0</v>
      </c>
      <c r="J14" s="713">
        <f>+Septembre!$Q$85</f>
        <v>0</v>
      </c>
      <c r="K14" s="730">
        <f t="shared" si="1"/>
        <v>0</v>
      </c>
      <c r="L14" s="713">
        <f>+Septembre!$Q$74</f>
        <v>0</v>
      </c>
      <c r="M14" s="730">
        <f t="shared" si="2"/>
        <v>0</v>
      </c>
    </row>
    <row r="15" spans="1:13" x14ac:dyDescent="0.2">
      <c r="A15" s="729">
        <f t="shared" si="0"/>
        <v>45931</v>
      </c>
      <c r="B15" s="713">
        <f>+Octobre!$T$35</f>
        <v>0</v>
      </c>
      <c r="C15" s="714">
        <f t="shared" si="1"/>
        <v>0</v>
      </c>
      <c r="D15" s="713">
        <f>+Octobre!$N$62</f>
        <v>0</v>
      </c>
      <c r="E15" s="714">
        <f t="shared" si="1"/>
        <v>0</v>
      </c>
      <c r="F15" s="713">
        <f>+Octobre!$Q$76</f>
        <v>0</v>
      </c>
      <c r="G15" s="714">
        <f t="shared" si="1"/>
        <v>0</v>
      </c>
      <c r="H15" s="713">
        <f>+Octobre!$Q$78</f>
        <v>0</v>
      </c>
      <c r="I15" s="714">
        <f t="shared" si="1"/>
        <v>0</v>
      </c>
      <c r="J15" s="713">
        <f>+Octobre!$Q$85</f>
        <v>0</v>
      </c>
      <c r="K15" s="730">
        <f t="shared" si="1"/>
        <v>0</v>
      </c>
      <c r="L15" s="713">
        <f>+Octobre!$Q$74</f>
        <v>0</v>
      </c>
      <c r="M15" s="730">
        <f t="shared" si="2"/>
        <v>0</v>
      </c>
    </row>
    <row r="16" spans="1:13" x14ac:dyDescent="0.2">
      <c r="A16" s="729">
        <f t="shared" si="0"/>
        <v>45962</v>
      </c>
      <c r="B16" s="713">
        <f>+Novembre!$T$35</f>
        <v>0</v>
      </c>
      <c r="C16" s="714">
        <f t="shared" si="1"/>
        <v>0</v>
      </c>
      <c r="D16" s="713">
        <f>+Novembre!$N$62</f>
        <v>0</v>
      </c>
      <c r="E16" s="714">
        <f t="shared" si="1"/>
        <v>0</v>
      </c>
      <c r="F16" s="713">
        <f>+Novembre!$Q$76</f>
        <v>0</v>
      </c>
      <c r="G16" s="714">
        <f t="shared" si="1"/>
        <v>0</v>
      </c>
      <c r="H16" s="713">
        <f>+Novembre!$Q$78</f>
        <v>0</v>
      </c>
      <c r="I16" s="714">
        <f t="shared" si="1"/>
        <v>0</v>
      </c>
      <c r="J16" s="713">
        <f>+Novembre!$Q$85</f>
        <v>0</v>
      </c>
      <c r="K16" s="730">
        <f t="shared" si="1"/>
        <v>0</v>
      </c>
      <c r="L16" s="713">
        <f>+Novembre!$Q$74</f>
        <v>0</v>
      </c>
      <c r="M16" s="730">
        <f t="shared" si="2"/>
        <v>0</v>
      </c>
    </row>
    <row r="17" spans="1:13" ht="13.5" thickBot="1" x14ac:dyDescent="0.25">
      <c r="A17" s="731">
        <f t="shared" si="0"/>
        <v>45992</v>
      </c>
      <c r="B17" s="732">
        <f>+Décembre!$T$35</f>
        <v>0</v>
      </c>
      <c r="C17" s="1032">
        <f t="shared" si="1"/>
        <v>0</v>
      </c>
      <c r="D17" s="732">
        <f>+Décembre!$N$62</f>
        <v>0</v>
      </c>
      <c r="E17" s="1032">
        <f t="shared" si="1"/>
        <v>0</v>
      </c>
      <c r="F17" s="732">
        <f>+Décembre!$Q$76</f>
        <v>0</v>
      </c>
      <c r="G17" s="1032">
        <f t="shared" si="1"/>
        <v>0</v>
      </c>
      <c r="H17" s="732">
        <f>+Décembre!$Q$78</f>
        <v>0</v>
      </c>
      <c r="I17" s="1032">
        <f t="shared" si="1"/>
        <v>0</v>
      </c>
      <c r="J17" s="732">
        <f>+Décembre!$Q$85</f>
        <v>0</v>
      </c>
      <c r="K17" s="733">
        <f t="shared" si="1"/>
        <v>0</v>
      </c>
      <c r="L17" s="732">
        <f>+Décembre!$Q$74</f>
        <v>0</v>
      </c>
      <c r="M17" s="733">
        <f t="shared" si="2"/>
        <v>0</v>
      </c>
    </row>
    <row r="18" spans="1:13" ht="14.25" thickTop="1" thickBot="1" x14ac:dyDescent="0.25"/>
    <row r="19" spans="1:13" ht="14.25" thickTop="1" thickBot="1" x14ac:dyDescent="0.25">
      <c r="B19" s="734">
        <f ca="1">SUM(B6:B17)</f>
        <v>0</v>
      </c>
      <c r="D19" s="734">
        <f ca="1">SUM(D6:D17)</f>
        <v>0</v>
      </c>
      <c r="F19" s="734">
        <f ca="1">SUM(F6:F17)</f>
        <v>0</v>
      </c>
      <c r="H19" s="734">
        <f ca="1">SUM(H6:H17)</f>
        <v>0</v>
      </c>
      <c r="J19" s="734">
        <f ca="1">SUM(J6:J17)</f>
        <v>0</v>
      </c>
      <c r="L19" s="734">
        <f ca="1">SUM(L6:L17)</f>
        <v>0</v>
      </c>
    </row>
    <row r="20" spans="1:13" ht="13.5" thickTop="1" x14ac:dyDescent="0.2"/>
    <row r="27" spans="1:13" ht="13.5" thickBot="1" x14ac:dyDescent="0.25"/>
    <row r="28" spans="1:13" ht="52.5" thickTop="1" thickBot="1" x14ac:dyDescent="0.25">
      <c r="A28" s="715" t="str">
        <f t="shared" ref="A28:A40" si="3">A5</f>
        <v>Mois</v>
      </c>
      <c r="B28" s="735" t="s">
        <v>1405</v>
      </c>
      <c r="C28" s="739" t="s">
        <v>1406</v>
      </c>
      <c r="D28" s="718" t="s">
        <v>1152</v>
      </c>
      <c r="E28" s="719" t="s">
        <v>1151</v>
      </c>
      <c r="F28" s="736" t="s">
        <v>1407</v>
      </c>
      <c r="G28" s="740" t="s">
        <v>1408</v>
      </c>
      <c r="H28" s="737" t="s">
        <v>1161</v>
      </c>
      <c r="I28" s="738" t="s">
        <v>1162</v>
      </c>
      <c r="J28" s="811" t="s">
        <v>1486</v>
      </c>
      <c r="K28" s="812" t="s">
        <v>1173</v>
      </c>
      <c r="L28" s="813" t="s">
        <v>1174</v>
      </c>
    </row>
    <row r="29" spans="1:13" x14ac:dyDescent="0.2">
      <c r="A29" s="727">
        <f t="shared" si="3"/>
        <v>45658</v>
      </c>
      <c r="B29" s="711">
        <f>+Janvier!$E$75</f>
        <v>0</v>
      </c>
      <c r="C29" s="712">
        <f>+B29</f>
        <v>0</v>
      </c>
      <c r="D29" s="711">
        <f ca="1">+Janvier!$E$74</f>
        <v>0</v>
      </c>
      <c r="E29" s="712">
        <f ca="1">+D29</f>
        <v>0</v>
      </c>
      <c r="F29" s="711">
        <f>+Impôts!I6</f>
        <v>0</v>
      </c>
      <c r="G29" s="712">
        <f>+F29</f>
        <v>0</v>
      </c>
      <c r="H29" s="711">
        <f ca="1">+Impôts!G6</f>
        <v>0</v>
      </c>
      <c r="I29" s="728">
        <f ca="1">+H29</f>
        <v>0</v>
      </c>
      <c r="J29" s="814">
        <f>+Janvier!$BZ$68</f>
        <v>0</v>
      </c>
      <c r="K29" s="815">
        <f ca="1">IFERROR(+Janvier!$BZ$81,0)</f>
        <v>0</v>
      </c>
      <c r="L29" s="816">
        <f>+Janvier!$BZ$84</f>
        <v>0</v>
      </c>
    </row>
    <row r="30" spans="1:13" x14ac:dyDescent="0.2">
      <c r="A30" s="729">
        <f t="shared" si="3"/>
        <v>45689</v>
      </c>
      <c r="B30" s="713">
        <f>+Février!$E$75</f>
        <v>0</v>
      </c>
      <c r="C30" s="714">
        <f>IF(OR(B30="",B30=0),0,+B30+C29)</f>
        <v>0</v>
      </c>
      <c r="D30" s="713">
        <f>+Février!$E$74</f>
        <v>0</v>
      </c>
      <c r="E30" s="714">
        <f>IF(OR(D30="",D30=0),0,+D30+E29)</f>
        <v>0</v>
      </c>
      <c r="F30" s="711">
        <f>+Impôts!I7</f>
        <v>0</v>
      </c>
      <c r="G30" s="714">
        <f>IF(OR(F30="",F30=0),0,+F30+G29)</f>
        <v>0</v>
      </c>
      <c r="H30" s="711">
        <f>+Impôts!G7</f>
        <v>0</v>
      </c>
      <c r="I30" s="730">
        <f>IF(OR(H30="",H30=0),0,+H30+I29)</f>
        <v>0</v>
      </c>
      <c r="J30" s="817">
        <f>+Février!$BZ$68</f>
        <v>0</v>
      </c>
      <c r="K30" s="818">
        <f>+IFERROR(Février!$BZ$81,0)</f>
        <v>0</v>
      </c>
      <c r="L30" s="819">
        <f>+Février!$BZ$84</f>
        <v>0</v>
      </c>
    </row>
    <row r="31" spans="1:13" x14ac:dyDescent="0.2">
      <c r="A31" s="729">
        <f t="shared" si="3"/>
        <v>45717</v>
      </c>
      <c r="B31" s="713">
        <f>+Mars!$E$75</f>
        <v>0</v>
      </c>
      <c r="C31" s="714">
        <f t="shared" ref="C31:C40" si="4">IF(OR(B31="",B31=0),0,+B31+C30)</f>
        <v>0</v>
      </c>
      <c r="D31" s="713">
        <f>+Mars!$E$74</f>
        <v>0</v>
      </c>
      <c r="E31" s="714">
        <f t="shared" ref="E31:E40" si="5">IF(OR(D31="",D31=0),0,+D31+E30)</f>
        <v>0</v>
      </c>
      <c r="F31" s="711">
        <f>+Impôts!I8</f>
        <v>0</v>
      </c>
      <c r="G31" s="714">
        <f t="shared" ref="G31:G40" si="6">IF(OR(F31="",F31=0),0,+F31+G30)</f>
        <v>0</v>
      </c>
      <c r="H31" s="711">
        <f>+Impôts!G8</f>
        <v>0</v>
      </c>
      <c r="I31" s="730">
        <f t="shared" ref="I31:I40" si="7">IF(OR(H31="",H31=0),0,+H31+I30)</f>
        <v>0</v>
      </c>
      <c r="J31" s="817">
        <f>+Mars!$BZ$68</f>
        <v>0</v>
      </c>
      <c r="K31" s="818">
        <f>+IFERROR(Mars!$BZ$81,0)</f>
        <v>0</v>
      </c>
      <c r="L31" s="819">
        <f>+Mars!$BZ$84</f>
        <v>0</v>
      </c>
    </row>
    <row r="32" spans="1:13" x14ac:dyDescent="0.2">
      <c r="A32" s="729">
        <f t="shared" si="3"/>
        <v>45748</v>
      </c>
      <c r="B32" s="713">
        <f>+Avril!$E$75</f>
        <v>0</v>
      </c>
      <c r="C32" s="714">
        <f t="shared" si="4"/>
        <v>0</v>
      </c>
      <c r="D32" s="713">
        <f>+Avril!$E$74</f>
        <v>0</v>
      </c>
      <c r="E32" s="714">
        <f t="shared" si="5"/>
        <v>0</v>
      </c>
      <c r="F32" s="711">
        <f>+Impôts!I9</f>
        <v>0</v>
      </c>
      <c r="G32" s="714">
        <f t="shared" si="6"/>
        <v>0</v>
      </c>
      <c r="H32" s="711">
        <f>+Impôts!G9</f>
        <v>0</v>
      </c>
      <c r="I32" s="730">
        <f t="shared" si="7"/>
        <v>0</v>
      </c>
      <c r="J32" s="817">
        <f>+Avril!$BZ$68</f>
        <v>0</v>
      </c>
      <c r="K32" s="818">
        <f>IFERROR(+Avril!$BZ$81,0)</f>
        <v>0</v>
      </c>
      <c r="L32" s="819">
        <f>+Avril!$BZ$84</f>
        <v>0</v>
      </c>
    </row>
    <row r="33" spans="1:12" x14ac:dyDescent="0.2">
      <c r="A33" s="729">
        <f t="shared" si="3"/>
        <v>45778</v>
      </c>
      <c r="B33" s="713">
        <f>+Mai!$E$75</f>
        <v>0</v>
      </c>
      <c r="C33" s="714">
        <f t="shared" si="4"/>
        <v>0</v>
      </c>
      <c r="D33" s="713">
        <f>+Mai!$E$74</f>
        <v>0</v>
      </c>
      <c r="E33" s="714">
        <f t="shared" si="5"/>
        <v>0</v>
      </c>
      <c r="F33" s="711">
        <f>+Impôts!I10</f>
        <v>0</v>
      </c>
      <c r="G33" s="714">
        <f t="shared" si="6"/>
        <v>0</v>
      </c>
      <c r="H33" s="711">
        <f>+Impôts!G10</f>
        <v>0</v>
      </c>
      <c r="I33" s="730">
        <f t="shared" si="7"/>
        <v>0</v>
      </c>
      <c r="J33" s="817">
        <f>+Mai!$BZ$68</f>
        <v>0</v>
      </c>
      <c r="K33" s="818">
        <f>IFERROR(+Mai!$BZ$81,0)</f>
        <v>0</v>
      </c>
      <c r="L33" s="819">
        <f>+Mai!$BZ$84</f>
        <v>0</v>
      </c>
    </row>
    <row r="34" spans="1:12" x14ac:dyDescent="0.2">
      <c r="A34" s="729">
        <f t="shared" si="3"/>
        <v>45809</v>
      </c>
      <c r="B34" s="713">
        <f>+Juin!$E$75</f>
        <v>0</v>
      </c>
      <c r="C34" s="714">
        <f t="shared" si="4"/>
        <v>0</v>
      </c>
      <c r="D34" s="713">
        <f ca="1">+Juin!$E$74</f>
        <v>0</v>
      </c>
      <c r="E34" s="714">
        <f t="shared" ca="1" si="5"/>
        <v>0</v>
      </c>
      <c r="F34" s="711">
        <f>+Impôts!I11</f>
        <v>0</v>
      </c>
      <c r="G34" s="714">
        <f t="shared" si="6"/>
        <v>0</v>
      </c>
      <c r="H34" s="711">
        <f>+Impôts!G11</f>
        <v>0</v>
      </c>
      <c r="I34" s="730">
        <f t="shared" si="7"/>
        <v>0</v>
      </c>
      <c r="J34" s="817">
        <f>+Juin!$BZ$68</f>
        <v>0</v>
      </c>
      <c r="K34" s="818">
        <f>IFERROR(+Juin!$BZ$81,0)</f>
        <v>0</v>
      </c>
      <c r="L34" s="819">
        <f>+Juin!$BZ$84</f>
        <v>0</v>
      </c>
    </row>
    <row r="35" spans="1:12" x14ac:dyDescent="0.2">
      <c r="A35" s="729">
        <f t="shared" si="3"/>
        <v>45839</v>
      </c>
      <c r="B35" s="713">
        <f>+Juillet!$E$75</f>
        <v>0</v>
      </c>
      <c r="C35" s="714">
        <f t="shared" si="4"/>
        <v>0</v>
      </c>
      <c r="D35" s="713">
        <f>+Juillet!$E$74</f>
        <v>0</v>
      </c>
      <c r="E35" s="714">
        <f t="shared" si="5"/>
        <v>0</v>
      </c>
      <c r="F35" s="711">
        <f>+Impôts!I12</f>
        <v>0</v>
      </c>
      <c r="G35" s="714">
        <f t="shared" si="6"/>
        <v>0</v>
      </c>
      <c r="H35" s="711">
        <f>+Impôts!G12</f>
        <v>0</v>
      </c>
      <c r="I35" s="730">
        <f t="shared" si="7"/>
        <v>0</v>
      </c>
      <c r="J35" s="817">
        <f>+Juillet!$BZ$68</f>
        <v>0</v>
      </c>
      <c r="K35" s="818">
        <f>IFERROR(+Juillet!$BZ$81,0)</f>
        <v>0</v>
      </c>
      <c r="L35" s="819">
        <f>+Juillet!$BZ$84</f>
        <v>0</v>
      </c>
    </row>
    <row r="36" spans="1:12" x14ac:dyDescent="0.2">
      <c r="A36" s="729">
        <f t="shared" si="3"/>
        <v>45870</v>
      </c>
      <c r="B36" s="713">
        <f>+Aout!$E$75</f>
        <v>0</v>
      </c>
      <c r="C36" s="714">
        <f t="shared" si="4"/>
        <v>0</v>
      </c>
      <c r="D36" s="713">
        <f>+Aout!$E$74</f>
        <v>0</v>
      </c>
      <c r="E36" s="714">
        <f t="shared" si="5"/>
        <v>0</v>
      </c>
      <c r="F36" s="711">
        <f>+Impôts!I13</f>
        <v>0</v>
      </c>
      <c r="G36" s="714">
        <f t="shared" si="6"/>
        <v>0</v>
      </c>
      <c r="H36" s="711">
        <f>+Impôts!G13</f>
        <v>0</v>
      </c>
      <c r="I36" s="730">
        <f t="shared" si="7"/>
        <v>0</v>
      </c>
      <c r="J36" s="817">
        <f>+Aout!$BZ$68</f>
        <v>0</v>
      </c>
      <c r="K36" s="818">
        <f>+IFERROR(Aout!$BZ$81,0)</f>
        <v>0</v>
      </c>
      <c r="L36" s="819">
        <f>+Aout!$BZ$84</f>
        <v>0</v>
      </c>
    </row>
    <row r="37" spans="1:12" x14ac:dyDescent="0.2">
      <c r="A37" s="729">
        <f t="shared" si="3"/>
        <v>45901</v>
      </c>
      <c r="B37" s="713">
        <f>+Septembre!$E$75</f>
        <v>0</v>
      </c>
      <c r="C37" s="714">
        <f t="shared" si="4"/>
        <v>0</v>
      </c>
      <c r="D37" s="713">
        <f>+Septembre!$E$74</f>
        <v>0</v>
      </c>
      <c r="E37" s="714">
        <f t="shared" si="5"/>
        <v>0</v>
      </c>
      <c r="F37" s="711">
        <f>+Impôts!I14</f>
        <v>0</v>
      </c>
      <c r="G37" s="714">
        <f t="shared" si="6"/>
        <v>0</v>
      </c>
      <c r="H37" s="711">
        <f>+Impôts!G14</f>
        <v>0</v>
      </c>
      <c r="I37" s="730">
        <f t="shared" si="7"/>
        <v>0</v>
      </c>
      <c r="J37" s="817">
        <f>+Septembre!$BZ$68</f>
        <v>0</v>
      </c>
      <c r="K37" s="818">
        <f>+IFERROR(Septembre!$BZ$81,0)</f>
        <v>0</v>
      </c>
      <c r="L37" s="819">
        <f>+Septembre!$BZ$84</f>
        <v>0</v>
      </c>
    </row>
    <row r="38" spans="1:12" x14ac:dyDescent="0.2">
      <c r="A38" s="729">
        <f t="shared" si="3"/>
        <v>45931</v>
      </c>
      <c r="B38" s="713">
        <f>+Octobre!$E$75</f>
        <v>0</v>
      </c>
      <c r="C38" s="714">
        <f t="shared" si="4"/>
        <v>0</v>
      </c>
      <c r="D38" s="713">
        <f>+Octobre!$E$74</f>
        <v>0</v>
      </c>
      <c r="E38" s="714">
        <f t="shared" si="5"/>
        <v>0</v>
      </c>
      <c r="F38" s="711">
        <f>+Impôts!I15</f>
        <v>0</v>
      </c>
      <c r="G38" s="714">
        <f t="shared" si="6"/>
        <v>0</v>
      </c>
      <c r="H38" s="711">
        <f>+Impôts!G15</f>
        <v>0</v>
      </c>
      <c r="I38" s="730">
        <f t="shared" si="7"/>
        <v>0</v>
      </c>
      <c r="J38" s="817">
        <f>+Octobre!$BZ$68</f>
        <v>0</v>
      </c>
      <c r="K38" s="818">
        <f>+IFERROR(Octobre!$BZ$81,0)</f>
        <v>0</v>
      </c>
      <c r="L38" s="819">
        <f>+Octobre!$BZ$84</f>
        <v>0</v>
      </c>
    </row>
    <row r="39" spans="1:12" x14ac:dyDescent="0.2">
      <c r="A39" s="729">
        <f t="shared" si="3"/>
        <v>45962</v>
      </c>
      <c r="B39" s="713">
        <f>+Novembre!$E$75</f>
        <v>0</v>
      </c>
      <c r="C39" s="714">
        <f t="shared" si="4"/>
        <v>0</v>
      </c>
      <c r="D39" s="713">
        <f>+Novembre!$E$74</f>
        <v>0</v>
      </c>
      <c r="E39" s="714">
        <f t="shared" si="5"/>
        <v>0</v>
      </c>
      <c r="F39" s="711">
        <f>+Impôts!I16</f>
        <v>0</v>
      </c>
      <c r="G39" s="714">
        <f t="shared" si="6"/>
        <v>0</v>
      </c>
      <c r="H39" s="711">
        <f>+Impôts!G16</f>
        <v>0</v>
      </c>
      <c r="I39" s="730">
        <f t="shared" si="7"/>
        <v>0</v>
      </c>
      <c r="J39" s="817">
        <f>+Novembre!$BZ$68</f>
        <v>0</v>
      </c>
      <c r="K39" s="818">
        <f>+IFERROR(Novembre!$BZ$81,0)</f>
        <v>0</v>
      </c>
      <c r="L39" s="819">
        <f>+Novembre!$BZ$84</f>
        <v>0</v>
      </c>
    </row>
    <row r="40" spans="1:12" ht="13.5" thickBot="1" x14ac:dyDescent="0.25">
      <c r="A40" s="731">
        <f t="shared" si="3"/>
        <v>45992</v>
      </c>
      <c r="B40" s="732">
        <f>+Décembre!$E$75</f>
        <v>0</v>
      </c>
      <c r="C40" s="1032">
        <f t="shared" si="4"/>
        <v>0</v>
      </c>
      <c r="D40" s="732">
        <f>+Décembre!$E$74</f>
        <v>0</v>
      </c>
      <c r="E40" s="1032">
        <f t="shared" si="5"/>
        <v>0</v>
      </c>
      <c r="F40" s="741">
        <f>+Impôts!I17</f>
        <v>0</v>
      </c>
      <c r="G40" s="1032">
        <f t="shared" si="6"/>
        <v>0</v>
      </c>
      <c r="H40" s="741">
        <f>+Impôts!G17</f>
        <v>0</v>
      </c>
      <c r="I40" s="733">
        <f t="shared" si="7"/>
        <v>0</v>
      </c>
      <c r="J40" s="820">
        <f>+Décembre!$BZ$68</f>
        <v>0</v>
      </c>
      <c r="K40" s="821">
        <f>+IFERROR(Décembre!$BZ$81,0)</f>
        <v>0</v>
      </c>
      <c r="L40" s="822">
        <f>+Décembre!$BZ$84</f>
        <v>0</v>
      </c>
    </row>
    <row r="41" spans="1:12" ht="14.25" thickTop="1" thickBot="1" x14ac:dyDescent="0.25"/>
    <row r="42" spans="1:12" ht="14.25" thickTop="1" thickBot="1" x14ac:dyDescent="0.25">
      <c r="B42" s="734">
        <f>SUM(B29:B40)</f>
        <v>0</v>
      </c>
      <c r="D42" s="734">
        <f ca="1">SUM(D29:D40)</f>
        <v>0</v>
      </c>
      <c r="F42" s="734">
        <f>SUM(F29:F40)</f>
        <v>0</v>
      </c>
      <c r="H42" s="734">
        <f ca="1">SUM(H29:H40)</f>
        <v>0</v>
      </c>
    </row>
    <row r="43" spans="1:12" ht="13.5" thickTop="1" x14ac:dyDescent="0.2"/>
  </sheetData>
  <sheetProtection algorithmName="SHA-512" hashValue="paPp/THebiWTDWgiQnc6JQnTE959Wfg8vm0YM71R/VzZFigRXI9BZDbwTyOKd4BKgGhqBjNyimUkfmxuWH3/aQ==" saltValue="nNbHcik1VyaI72qF6fdvYQ==" spinCount="100000" sheet="1" objects="1" scenarios="1" formatCells="0" formatColumns="0" formatRows="0" insertColumns="0" insertRows="0" insertHyperlink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F7" sqref="F7"/>
    </sheetView>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1013" t="s">
        <v>1682</v>
      </c>
    </row>
    <row r="2" spans="1:8" x14ac:dyDescent="0.2">
      <c r="A2" t="s">
        <v>1683</v>
      </c>
    </row>
    <row r="4" spans="1:8" ht="75.75" customHeight="1" x14ac:dyDescent="0.2">
      <c r="A4" s="1557" t="s">
        <v>30</v>
      </c>
      <c r="B4" s="1557" t="s">
        <v>1684</v>
      </c>
      <c r="C4" s="1558" t="s">
        <v>1685</v>
      </c>
      <c r="D4" s="1558" t="s">
        <v>1686</v>
      </c>
      <c r="E4" s="1559" t="s">
        <v>1687</v>
      </c>
      <c r="F4" s="1557" t="s">
        <v>1688</v>
      </c>
      <c r="G4" s="1560"/>
      <c r="H4" s="1560"/>
    </row>
    <row r="5" spans="1:8" x14ac:dyDescent="0.2">
      <c r="A5" s="1561">
        <f>+Janvier!X3</f>
        <v>45658</v>
      </c>
      <c r="B5" s="1562">
        <f t="shared" ref="B5:B16" ca="1" si="0">+VLOOKUP(A5,BDD,2,FALSE)</f>
        <v>0</v>
      </c>
      <c r="C5" s="1562" t="e">
        <f>+'Retenue Janv'!$F$90</f>
        <v>#DIV/0!</v>
      </c>
      <c r="D5" s="1562" t="e">
        <f>+'Retenue Janv'!$G$90</f>
        <v>#DIV/0!</v>
      </c>
      <c r="E5" s="1563" t="e">
        <f>ROUND(+D5+C5,2)</f>
        <v>#DIV/0!</v>
      </c>
      <c r="F5" s="1563" t="e">
        <f ca="1">+E5+B5</f>
        <v>#DIV/0!</v>
      </c>
    </row>
    <row r="6" spans="1:8" x14ac:dyDescent="0.2">
      <c r="A6" s="1561">
        <f>+DATE(YEAR(A5),MONTH(A5)+1,DAY(A5))</f>
        <v>45689</v>
      </c>
      <c r="B6" s="1562">
        <f t="shared" si="0"/>
        <v>0</v>
      </c>
      <c r="C6" s="1562" t="e">
        <f>+'Retenue Fev'!$F$90</f>
        <v>#DIV/0!</v>
      </c>
      <c r="D6" s="1562" t="e">
        <f>+'Retenue Fev'!$G$90</f>
        <v>#DIV/0!</v>
      </c>
      <c r="E6" s="1563" t="e">
        <f t="shared" ref="E6:E16" si="1">ROUND(+D6+C6,2)</f>
        <v>#DIV/0!</v>
      </c>
      <c r="F6" s="1563" t="e">
        <f t="shared" ref="F6:F16" si="2">+E6+B6</f>
        <v>#DIV/0!</v>
      </c>
    </row>
    <row r="7" spans="1:8" x14ac:dyDescent="0.2">
      <c r="A7" s="1561">
        <f t="shared" ref="A7:A16" si="3">+DATE(YEAR(A6),MONTH(A6)+1,DAY(A6))</f>
        <v>45717</v>
      </c>
      <c r="B7" s="1562">
        <f t="shared" si="0"/>
        <v>0</v>
      </c>
      <c r="C7" s="1562" t="e">
        <f>+'Retenue Mars'!$F$90</f>
        <v>#DIV/0!</v>
      </c>
      <c r="D7" s="1562" t="e">
        <f>+'Retenue Mars'!$G$90</f>
        <v>#DIV/0!</v>
      </c>
      <c r="E7" s="1563" t="e">
        <f t="shared" si="1"/>
        <v>#DIV/0!</v>
      </c>
      <c r="F7" s="1563" t="e">
        <f t="shared" si="2"/>
        <v>#DIV/0!</v>
      </c>
    </row>
    <row r="8" spans="1:8" x14ac:dyDescent="0.2">
      <c r="A8" s="1561">
        <f t="shared" si="3"/>
        <v>45748</v>
      </c>
      <c r="B8" s="1562">
        <f t="shared" si="0"/>
        <v>0</v>
      </c>
      <c r="C8" s="1562" t="e">
        <f>+'Retenue Avril'!$F$90</f>
        <v>#DIV/0!</v>
      </c>
      <c r="D8" s="1562" t="e">
        <f>+'Retenue Avril'!$G$90</f>
        <v>#DIV/0!</v>
      </c>
      <c r="E8" s="1563" t="e">
        <f t="shared" si="1"/>
        <v>#DIV/0!</v>
      </c>
      <c r="F8" s="1563" t="e">
        <f t="shared" si="2"/>
        <v>#DIV/0!</v>
      </c>
    </row>
    <row r="9" spans="1:8" x14ac:dyDescent="0.2">
      <c r="A9" s="1561">
        <f t="shared" si="3"/>
        <v>45778</v>
      </c>
      <c r="B9" s="1562">
        <f t="shared" si="0"/>
        <v>0</v>
      </c>
      <c r="C9" s="1562" t="e">
        <f>+'Retenue Mai'!$F$90</f>
        <v>#DIV/0!</v>
      </c>
      <c r="D9" s="1562" t="e">
        <f>+'Retenue Mai'!$G$90</f>
        <v>#DIV/0!</v>
      </c>
      <c r="E9" s="1563" t="e">
        <f t="shared" si="1"/>
        <v>#DIV/0!</v>
      </c>
      <c r="F9" s="1563" t="e">
        <f t="shared" si="2"/>
        <v>#DIV/0!</v>
      </c>
    </row>
    <row r="10" spans="1:8" x14ac:dyDescent="0.2">
      <c r="A10" s="1561">
        <f t="shared" si="3"/>
        <v>45809</v>
      </c>
      <c r="B10" s="1562">
        <f t="shared" si="0"/>
        <v>0</v>
      </c>
      <c r="C10" s="1562" t="e">
        <f>+'Retenue Juin'!$F$90</f>
        <v>#DIV/0!</v>
      </c>
      <c r="D10" s="1562" t="e">
        <f>+'Retenue Juin'!$G$90</f>
        <v>#DIV/0!</v>
      </c>
      <c r="E10" s="1563" t="e">
        <f t="shared" si="1"/>
        <v>#DIV/0!</v>
      </c>
      <c r="F10" s="1563" t="e">
        <f t="shared" si="2"/>
        <v>#DIV/0!</v>
      </c>
    </row>
    <row r="11" spans="1:8" x14ac:dyDescent="0.2">
      <c r="A11" s="1561">
        <f t="shared" si="3"/>
        <v>45839</v>
      </c>
      <c r="B11" s="1562">
        <f t="shared" si="0"/>
        <v>0</v>
      </c>
      <c r="C11" s="1562" t="e">
        <f>+'Retenue Juil'!$F$90</f>
        <v>#DIV/0!</v>
      </c>
      <c r="D11" s="1562" t="e">
        <f>+'Retenue Juil'!$G$90</f>
        <v>#DIV/0!</v>
      </c>
      <c r="E11" s="1563" t="e">
        <f t="shared" si="1"/>
        <v>#DIV/0!</v>
      </c>
      <c r="F11" s="1563" t="e">
        <f t="shared" si="2"/>
        <v>#DIV/0!</v>
      </c>
    </row>
    <row r="12" spans="1:8" x14ac:dyDescent="0.2">
      <c r="A12" s="1561">
        <f t="shared" si="3"/>
        <v>45870</v>
      </c>
      <c r="B12" s="1562">
        <f t="shared" si="0"/>
        <v>0</v>
      </c>
      <c r="C12" s="1562" t="e">
        <f>+'Retenue Aout'!$F$90</f>
        <v>#DIV/0!</v>
      </c>
      <c r="D12" s="1562" t="e">
        <f>+'Retenue Aout'!$G$90</f>
        <v>#DIV/0!</v>
      </c>
      <c r="E12" s="1563" t="e">
        <f t="shared" si="1"/>
        <v>#DIV/0!</v>
      </c>
      <c r="F12" s="1563" t="e">
        <f t="shared" si="2"/>
        <v>#DIV/0!</v>
      </c>
    </row>
    <row r="13" spans="1:8" x14ac:dyDescent="0.2">
      <c r="A13" s="1561">
        <f t="shared" si="3"/>
        <v>45901</v>
      </c>
      <c r="B13" s="1562">
        <f t="shared" si="0"/>
        <v>0</v>
      </c>
      <c r="C13" s="1562" t="e">
        <f>+'Retenue Sept'!$F$90</f>
        <v>#DIV/0!</v>
      </c>
      <c r="D13" s="1562" t="e">
        <f>+'Retenue Sept'!$G$90</f>
        <v>#DIV/0!</v>
      </c>
      <c r="E13" s="1563" t="e">
        <f t="shared" si="1"/>
        <v>#DIV/0!</v>
      </c>
      <c r="F13" s="1563" t="e">
        <f t="shared" si="2"/>
        <v>#DIV/0!</v>
      </c>
    </row>
    <row r="14" spans="1:8" x14ac:dyDescent="0.2">
      <c r="A14" s="1561">
        <f t="shared" si="3"/>
        <v>45931</v>
      </c>
      <c r="B14" s="1562">
        <f t="shared" si="0"/>
        <v>0</v>
      </c>
      <c r="C14" s="1562" t="e">
        <f>+'Retenue Oct'!$F$90</f>
        <v>#DIV/0!</v>
      </c>
      <c r="D14" s="1562" t="e">
        <f>+'Retenue Oct'!$G$90</f>
        <v>#DIV/0!</v>
      </c>
      <c r="E14" s="1563" t="e">
        <f t="shared" si="1"/>
        <v>#DIV/0!</v>
      </c>
      <c r="F14" s="1563" t="e">
        <f t="shared" si="2"/>
        <v>#DIV/0!</v>
      </c>
    </row>
    <row r="15" spans="1:8" x14ac:dyDescent="0.2">
      <c r="A15" s="1561">
        <f t="shared" si="3"/>
        <v>45962</v>
      </c>
      <c r="B15" s="1562">
        <f t="shared" si="0"/>
        <v>0</v>
      </c>
      <c r="C15" s="1562" t="e">
        <f>+'Retenue Nov'!$F$90</f>
        <v>#DIV/0!</v>
      </c>
      <c r="D15" s="1562" t="e">
        <f>+'Retenue Nov'!$G$90</f>
        <v>#DIV/0!</v>
      </c>
      <c r="E15" s="1563" t="e">
        <f t="shared" si="1"/>
        <v>#DIV/0!</v>
      </c>
      <c r="F15" s="1563" t="e">
        <f t="shared" si="2"/>
        <v>#DIV/0!</v>
      </c>
    </row>
    <row r="16" spans="1:8" x14ac:dyDescent="0.2">
      <c r="A16" s="1561">
        <f t="shared" si="3"/>
        <v>45992</v>
      </c>
      <c r="B16" s="1562">
        <f t="shared" si="0"/>
        <v>0</v>
      </c>
      <c r="C16" s="1562" t="e">
        <f>+'Retenue Déc'!$F$90</f>
        <v>#DIV/0!</v>
      </c>
      <c r="D16" s="1562" t="e">
        <f>+'Retenue Déc'!$G$90</f>
        <v>#DIV/0!</v>
      </c>
      <c r="E16" s="1563" t="e">
        <f t="shared" si="1"/>
        <v>#DIV/0!</v>
      </c>
      <c r="F16" s="1563" t="e">
        <f t="shared" si="2"/>
        <v>#DIV/0!</v>
      </c>
    </row>
  </sheetData>
  <sheetProtection algorithmName="SHA-512" hashValue="1hyupUbzWCqsdPf5oAFAcS6OnkZGFXFueXhQbTLaFotwqA/cu7HXGoRvhHAidS5gqgq3SZ0cZh+XIvA46Cn1Cw==" saltValue="Pk4tjroh5gg9DOg6E7wrMg==" spinCount="100000" sheet="1" objects="1" scenarios="1" formatCells="0" formatColumns="0" formatRows="0" insertColumns="0" insertRows="0" insertHyperlink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17.5703125" style="581" hidden="1" customWidth="1"/>
    <col min="34" max="38" width="11.42578125" style="581" hidden="1" customWidth="1"/>
    <col min="39" max="39" width="12.85546875" style="581" hidden="1" customWidth="1"/>
    <col min="40" max="44" width="11.42578125" style="581" hidden="1" customWidth="1"/>
    <col min="45" max="45" width="12.7109375" style="581" hidden="1" customWidth="1"/>
    <col min="46"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905"/>
      <c r="G4" s="905"/>
      <c r="H4" s="905"/>
      <c r="I4" s="905"/>
      <c r="J4" s="906"/>
      <c r="K4" s="905"/>
      <c r="L4" s="905"/>
      <c r="M4" s="905"/>
      <c r="N4" s="905"/>
      <c r="O4" s="395"/>
      <c r="P4" s="905"/>
      <c r="BA4" s="346"/>
      <c r="BC4" s="17"/>
      <c r="BD4" s="17"/>
      <c r="BE4" s="17"/>
      <c r="BF4" s="17"/>
      <c r="BG4" s="17"/>
      <c r="BI4" s="17"/>
      <c r="CD4" s="346"/>
    </row>
    <row r="5" spans="1:144" ht="26.25" customHeight="1" x14ac:dyDescent="0.25">
      <c r="A5" s="1190" t="s">
        <v>362</v>
      </c>
      <c r="B5" s="544"/>
      <c r="C5" s="1190" t="s">
        <v>1501</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+Janvier!DP4</f>
        <v>Fiche info</v>
      </c>
      <c r="BA5" s="1360" t="s">
        <v>359</v>
      </c>
      <c r="BB5" s="358"/>
      <c r="BC5" s="358"/>
      <c r="BD5" s="358"/>
      <c r="BE5" s="358"/>
      <c r="BF5" s="358"/>
      <c r="BG5" s="358"/>
      <c r="BH5" s="358"/>
      <c r="BI5" s="358"/>
      <c r="BL5" s="146" t="s">
        <v>360</v>
      </c>
      <c r="BW5" s="16" t="s">
        <v>352</v>
      </c>
      <c r="BX5" s="16" t="str">
        <f>+AT5</f>
        <v>Fiche info</v>
      </c>
      <c r="CD5" s="346"/>
      <c r="DT5" s="685"/>
      <c r="DU5" s="685"/>
      <c r="DV5" s="685"/>
      <c r="DW5" s="685"/>
      <c r="DX5" s="907"/>
      <c r="DY5" s="685" t="str">
        <f>+Janvier!AR13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35.25" customHeight="1" x14ac:dyDescent="0.25">
      <c r="A8" s="150"/>
      <c r="B8" s="358"/>
      <c r="C8" s="95" t="s">
        <v>127</v>
      </c>
      <c r="D8" s="2334">
        <f>Janvier!AI3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685"/>
      <c r="N9" s="685"/>
      <c r="O9" s="685"/>
      <c r="P9" s="685"/>
      <c r="Q9" s="395"/>
      <c r="R9" s="395"/>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+Janvier!I14</f>
        <v>0</v>
      </c>
      <c r="F10" s="151"/>
      <c r="G10" s="151"/>
      <c r="H10" s="151"/>
      <c r="I10" s="151"/>
      <c r="J10" s="151"/>
      <c r="K10" s="151"/>
      <c r="L10" s="151"/>
      <c r="M10" s="395"/>
      <c r="N10" s="395"/>
      <c r="O10" s="395"/>
      <c r="P10" s="29" t="s">
        <v>1468</v>
      </c>
      <c r="Q10" s="356">
        <f>+Janvier!P18</f>
        <v>0</v>
      </c>
      <c r="R10" s="395"/>
      <c r="V10" s="1211" t="s">
        <v>1469</v>
      </c>
      <c r="W10" s="1335">
        <f>+E10</f>
        <v>0</v>
      </c>
      <c r="AB10" s="1211" t="s">
        <v>1466</v>
      </c>
      <c r="AC10" s="1336">
        <f>+Q10</f>
        <v>0</v>
      </c>
      <c r="AJ10" s="121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29" t="s">
        <v>799</v>
      </c>
      <c r="BE10" s="448">
        <f>+Janvier!T18+Janvier!T19</f>
        <v>0</v>
      </c>
      <c r="BI10" s="29" t="s">
        <v>1476</v>
      </c>
      <c r="BJ10" s="356">
        <f>+Janvier!AL14</f>
        <v>0</v>
      </c>
      <c r="BL10" s="35"/>
      <c r="BN10" s="183"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+Janvier!U14</f>
        <v>0</v>
      </c>
      <c r="F11" s="151"/>
      <c r="G11" s="151"/>
      <c r="H11" s="151"/>
      <c r="I11" s="151"/>
      <c r="J11" s="151"/>
      <c r="K11" s="151"/>
      <c r="L11" s="151"/>
      <c r="M11" s="1201"/>
      <c r="N11" s="183"/>
      <c r="O11" s="1202"/>
      <c r="P11" s="183" t="s">
        <v>1120</v>
      </c>
      <c r="Q11" s="1203">
        <f>+Janvier!P19</f>
        <v>0</v>
      </c>
      <c r="R11" s="395"/>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M12" s="395"/>
      <c r="N12" s="395"/>
      <c r="O12" s="395"/>
      <c r="P12" s="395"/>
      <c r="Q12" s="395"/>
      <c r="R12" s="395"/>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+Janvier!X3</f>
        <v>45658</v>
      </c>
      <c r="M13" s="686"/>
      <c r="N13" s="155">
        <f>DATE(YEAR($D$13),MONTH($D$13)+1,DAY($D$13))</f>
        <v>45689</v>
      </c>
      <c r="O13" s="156">
        <f>N13</f>
        <v>45689</v>
      </c>
      <c r="P13" s="24"/>
      <c r="Q13" s="395"/>
      <c r="R13" s="395"/>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45658</v>
      </c>
      <c r="BF13" s="154"/>
      <c r="BG13" s="155">
        <f>DATE(YEAR($D$13),MONTH($D$13)+1,DAY($D$13))</f>
        <v>45689</v>
      </c>
      <c r="BH13" s="156">
        <f>BG13</f>
        <v>45689</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45689</v>
      </c>
    </row>
    <row r="14" spans="1:144" ht="13.5" thickBot="1" x14ac:dyDescent="0.25">
      <c r="C14" s="95"/>
      <c r="D14" s="154"/>
      <c r="M14" s="686"/>
      <c r="N14" s="686"/>
      <c r="O14" s="687"/>
      <c r="P14" s="395"/>
      <c r="Q14" s="395"/>
      <c r="R14" s="395"/>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45658</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45658</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45658</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+Janvier!BJ20</f>
        <v>Fiche infoA3</v>
      </c>
      <c r="B18" s="170">
        <f>+D13</f>
        <v>45658</v>
      </c>
      <c r="C18" s="171">
        <f>+$D$13</f>
        <v>45658</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7">A18</f>
        <v>Fiche infoA3</v>
      </c>
      <c r="BB18" s="170">
        <f>+BD13</f>
        <v>45658</v>
      </c>
      <c r="BC18" s="171">
        <f>+$D$13</f>
        <v>45658</v>
      </c>
      <c r="BD18" s="173" t="str">
        <f>+D18</f>
        <v/>
      </c>
      <c r="BE18" s="353" t="str">
        <f>+IF(OR(BF18=S.CAL!$BJ$3,BF18=S.CAL!$BJ$4),BD18,"")</f>
        <v/>
      </c>
      <c r="BF18" s="350">
        <f>IF($DY$5=S.CAL!$CU$2,Janvier!AR20,IF($DY$5=S.CAL!$CU$3,VLOOKUP(BC18,planning_fp,7,FALSE),""))</f>
        <v>0</v>
      </c>
      <c r="BG18" s="362" t="str">
        <f>Janvier!BL20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45658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45658</v>
      </c>
      <c r="EM18" s="16" t="str">
        <f>A18&amp;C18</f>
        <v>Fiche infoA345658</v>
      </c>
      <c r="EN18" s="16">
        <f t="shared" ref="EN18:EN48" si="21">+VLOOKUP(EM18,Base_feuille_présence_heure_potentiel,11,FALSE)</f>
        <v>0</v>
      </c>
      <c r="EQ18" s="16" t="str">
        <f>Janvier!FS20</f>
        <v/>
      </c>
    </row>
    <row r="19" spans="1:147" ht="18" customHeight="1" x14ac:dyDescent="0.2">
      <c r="A19" s="24" t="str">
        <f>+Janvier!BJ21</f>
        <v>Fiche infoA4</v>
      </c>
      <c r="B19" s="107">
        <f>C19</f>
        <v>45659</v>
      </c>
      <c r="C19" s="172">
        <f>+$D$13+1</f>
        <v>45659</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Janvier!BC21</f>
        <v>0</v>
      </c>
      <c r="J19" s="34">
        <f>Janvier!BE21</f>
        <v>0</v>
      </c>
      <c r="K19" s="34">
        <f t="shared" si="15"/>
        <v>0</v>
      </c>
      <c r="L19" s="34" t="str">
        <f t="shared" si="16"/>
        <v/>
      </c>
      <c r="O19" s="39" t="s">
        <v>1502</v>
      </c>
      <c r="P19" s="197" t="s">
        <v>1503</v>
      </c>
      <c r="S19" s="2328" t="s">
        <v>1473</v>
      </c>
      <c r="T19" s="2328"/>
      <c r="U19" s="2328"/>
      <c r="V19" s="2328"/>
      <c r="W19" s="1338">
        <f ca="1">+AF40-AF54</f>
        <v>0</v>
      </c>
      <c r="AA19" s="2328" t="s">
        <v>1236</v>
      </c>
      <c r="AB19" s="2328"/>
      <c r="AC19" s="1338">
        <f ca="1">+AB40-AB54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7"/>
        <v>Fiche infoA4</v>
      </c>
      <c r="BB19" s="107">
        <f>BC19</f>
        <v>45659</v>
      </c>
      <c r="BC19" s="172">
        <f>+$D$13+1</f>
        <v>45659</v>
      </c>
      <c r="BD19" s="173" t="str">
        <f>+D19</f>
        <v/>
      </c>
      <c r="BE19" s="173" t="str">
        <f>+IF(OR(BF19=S.CAL!$BJ$3,BF19=S.CAL!$BJ$4),BD19,"")</f>
        <v/>
      </c>
      <c r="BF19" s="351">
        <f>IF($DY$5=S.CAL!$CU$2,Janvier!AR21,IF($DY$5=S.CAL!$CU$3,VLOOKUP(BC19,planning_fp,7,FALSE),""))</f>
        <v>0</v>
      </c>
      <c r="BG19" s="363" t="str">
        <f>Janvier!BL21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45659</v>
      </c>
      <c r="CF19" s="172">
        <f>+$D$13+1</f>
        <v>45659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45659</v>
      </c>
      <c r="EM19" s="16" t="str">
        <f t="shared" ref="EM19:EM48" si="29">A19&amp;C19</f>
        <v>Fiche infoA445659</v>
      </c>
      <c r="EN19" s="16">
        <f t="shared" si="21"/>
        <v>0</v>
      </c>
      <c r="EQ19" s="16" t="str">
        <f>Janvier!FS21</f>
        <v/>
      </c>
    </row>
    <row r="20" spans="1:147" ht="18" customHeight="1" x14ac:dyDescent="0.2">
      <c r="A20" s="24" t="str">
        <f>+Janvier!BJ22</f>
        <v>Fiche infoA5</v>
      </c>
      <c r="B20" s="107">
        <f t="shared" ref="B20:B48" si="30">C20</f>
        <v>45660</v>
      </c>
      <c r="C20" s="172">
        <f>+$D$13+2</f>
        <v>45660</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Janvier!BC22</f>
        <v>0</v>
      </c>
      <c r="J20" s="34">
        <f>Janvier!BE22</f>
        <v>0</v>
      </c>
      <c r="K20" s="34">
        <f t="shared" si="15"/>
        <v>0</v>
      </c>
      <c r="L20" s="34" t="str">
        <f t="shared" si="16"/>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7"/>
        <v>Fiche infoA5</v>
      </c>
      <c r="BB20" s="107">
        <f t="shared" ref="BB20:BB48" si="31">BC20</f>
        <v>45660</v>
      </c>
      <c r="BC20" s="172">
        <f>+$D$13+2</f>
        <v>45660</v>
      </c>
      <c r="BD20" s="173" t="str">
        <f t="shared" ref="BD20:BD48" si="32">+D20</f>
        <v/>
      </c>
      <c r="BE20" s="173" t="str">
        <f>+IF(OR(BF20=S.CAL!$BJ$3,BF20=S.CAL!$BJ$4),BD20,"")</f>
        <v/>
      </c>
      <c r="BF20" s="351">
        <f>IF($DY$5=S.CAL!$CU$2,Janvier!AR22,IF($DY$5=S.CAL!$CU$3,VLOOKUP(BC20,planning_fp,7,FALSE),""))</f>
        <v>0</v>
      </c>
      <c r="BG20" s="363" t="str">
        <f>Janvier!BL22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45660</v>
      </c>
      <c r="CF20" s="172">
        <f>+$D$13+2</f>
        <v>45660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45660</v>
      </c>
      <c r="EM20" s="16" t="str">
        <f t="shared" si="29"/>
        <v>Fiche infoA545660</v>
      </c>
      <c r="EN20" s="16">
        <f t="shared" si="21"/>
        <v>0</v>
      </c>
      <c r="EQ20" s="16" t="str">
        <f>Janvier!FS22</f>
        <v/>
      </c>
    </row>
    <row r="21" spans="1:147" ht="18" customHeight="1" x14ac:dyDescent="0.2">
      <c r="A21" s="24" t="str">
        <f>+Janvier!BJ23</f>
        <v>Fiche infoA6</v>
      </c>
      <c r="B21" s="107">
        <f t="shared" si="30"/>
        <v>45661</v>
      </c>
      <c r="C21" s="172">
        <f>+$D$13+3</f>
        <v>45661</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28" t="s">
        <v>1481</v>
      </c>
      <c r="T21" s="2328"/>
      <c r="U21" s="2328"/>
      <c r="V21" s="2328"/>
      <c r="W21" s="1338">
        <f ca="1">+AF40</f>
        <v>0</v>
      </c>
      <c r="AA21" s="2328" t="s">
        <v>1237</v>
      </c>
      <c r="AB21" s="2328"/>
      <c r="AC21" s="1338">
        <f ca="1">+AB40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7"/>
        <v>Fiche infoA6</v>
      </c>
      <c r="BB21" s="107">
        <f t="shared" si="31"/>
        <v>45661</v>
      </c>
      <c r="BC21" s="172">
        <f>+$D$13+3</f>
        <v>45661</v>
      </c>
      <c r="BD21" s="173" t="str">
        <f t="shared" si="32"/>
        <v/>
      </c>
      <c r="BE21" s="173" t="str">
        <f>+IF(OR(BF21=S.CAL!$BJ$3,BF21=S.CAL!$BJ$4),BD21,"")</f>
        <v/>
      </c>
      <c r="BF21" s="351">
        <f>IF($DY$5=S.CAL!$CU$2,Janvier!AR23,IF($DY$5=S.CAL!$CU$3,VLOOKUP(BC21,planning_fp,7,FALSE),""))</f>
        <v>0</v>
      </c>
      <c r="BG21" s="363" t="str">
        <f>Janvier!BL23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45661</v>
      </c>
      <c r="CF21" s="172">
        <f>+$D$13+3</f>
        <v>45661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45661</v>
      </c>
      <c r="EM21" s="16" t="str">
        <f t="shared" si="29"/>
        <v>Fiche infoA645661</v>
      </c>
      <c r="EN21" s="16">
        <f t="shared" si="21"/>
        <v>0</v>
      </c>
      <c r="EQ21" s="16" t="str">
        <f>Janvier!FS23</f>
        <v/>
      </c>
    </row>
    <row r="22" spans="1:147" ht="18" customHeight="1" x14ac:dyDescent="0.25">
      <c r="A22" s="24" t="str">
        <f>+Janvier!BJ24</f>
        <v>Fiche infoA7</v>
      </c>
      <c r="B22" s="107">
        <f t="shared" si="30"/>
        <v>45662</v>
      </c>
      <c r="C22" s="172">
        <f>+$D$13+4</f>
        <v>45662</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Janvier!BC24</f>
        <v>0</v>
      </c>
      <c r="J22" s="34">
        <f>Janvier!BE24</f>
        <v>0</v>
      </c>
      <c r="K22" s="34">
        <f t="shared" si="15"/>
        <v>0</v>
      </c>
      <c r="L22" s="34" t="str">
        <f t="shared" si="16"/>
        <v/>
      </c>
      <c r="O22" s="19"/>
      <c r="AK22" s="1211" t="s">
        <v>41</v>
      </c>
      <c r="AL22" s="1340">
        <f>+Janvier!AL14</f>
        <v>0</v>
      </c>
      <c r="BA22" s="349" t="str">
        <f t="shared" si="17"/>
        <v>Fiche infoA7</v>
      </c>
      <c r="BB22" s="107">
        <f t="shared" si="31"/>
        <v>45662</v>
      </c>
      <c r="BC22" s="172">
        <f>+$D$13+4</f>
        <v>45662</v>
      </c>
      <c r="BD22" s="173" t="str">
        <f t="shared" si="32"/>
        <v/>
      </c>
      <c r="BE22" s="173" t="str">
        <f>+IF(OR(BF22=S.CAL!$BJ$3,BF22=S.CAL!$BJ$4),BD22,"")</f>
        <v/>
      </c>
      <c r="BF22" s="351">
        <f>IF($DY$5=S.CAL!$CU$2,Janvier!AR24,IF($DY$5=S.CAL!$CU$3,VLOOKUP(BC22,planning_fp,7,FALSE),""))</f>
        <v>0</v>
      </c>
      <c r="BG22" s="363" t="str">
        <f>Janvier!BL24</f>
        <v>A</v>
      </c>
      <c r="BH22" s="150"/>
      <c r="BL22" s="146"/>
      <c r="BM22" s="197"/>
      <c r="CD22" s="346"/>
      <c r="CE22" s="107">
        <f t="shared" si="33"/>
        <v>45662</v>
      </c>
      <c r="CF22" s="172">
        <f>+$D$13+4</f>
        <v>45662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45662</v>
      </c>
      <c r="EM22" s="16" t="str">
        <f t="shared" si="29"/>
        <v>Fiche infoA745662</v>
      </c>
      <c r="EN22" s="16">
        <f t="shared" si="21"/>
        <v>0</v>
      </c>
      <c r="EQ22" s="16" t="str">
        <f>Janvier!FS24</f>
        <v/>
      </c>
    </row>
    <row r="23" spans="1:147" ht="18" customHeight="1" x14ac:dyDescent="0.2">
      <c r="A23" s="24" t="str">
        <f>+Janvier!BJ25</f>
        <v>Fiche infoA1</v>
      </c>
      <c r="B23" s="107">
        <f t="shared" si="30"/>
        <v>45663</v>
      </c>
      <c r="C23" s="172">
        <f>+$D$13+5</f>
        <v>45663</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Janvier!BC25</f>
        <v>0</v>
      </c>
      <c r="J23" s="34">
        <f>Janvier!BE25</f>
        <v>0</v>
      </c>
      <c r="K23" s="34">
        <f t="shared" si="15"/>
        <v>0</v>
      </c>
      <c r="L23" s="34" t="str">
        <f t="shared" si="16"/>
        <v/>
      </c>
      <c r="O23" s="39" t="str">
        <f>+O21</f>
        <v xml:space="preserve">Retenue sur salaire = </v>
      </c>
      <c r="P23" s="689">
        <f>+P30+P33</f>
        <v>0</v>
      </c>
      <c r="T23" s="581" t="s">
        <v>1123</v>
      </c>
      <c r="Z23" s="581" t="s">
        <v>1123</v>
      </c>
      <c r="BA23" s="349" t="str">
        <f t="shared" si="17"/>
        <v>Fiche infoA1</v>
      </c>
      <c r="BB23" s="107">
        <f t="shared" si="31"/>
        <v>45663</v>
      </c>
      <c r="BC23" s="172">
        <f>+$D$13+5</f>
        <v>45663</v>
      </c>
      <c r="BD23" s="173" t="str">
        <f t="shared" si="32"/>
        <v/>
      </c>
      <c r="BE23" s="173" t="str">
        <f>+IF(OR(BF23=S.CAL!$BJ$3,BF23=S.CAL!$BJ$4),BD23,"")</f>
        <v/>
      </c>
      <c r="BF23" s="351">
        <f>IF($DY$5=S.CAL!$CU$2,Janvier!AR25,IF($DY$5=S.CAL!$CU$3,VLOOKUP(BC23,planning_fp,7,FALSE),""))</f>
        <v>0</v>
      </c>
      <c r="BG23" s="363" t="str">
        <f>Janvier!BL25</f>
        <v>A</v>
      </c>
      <c r="BH23" s="29"/>
      <c r="BI23" s="354"/>
      <c r="BL23" s="149"/>
      <c r="CD23" s="346"/>
      <c r="CE23" s="107">
        <f t="shared" si="33"/>
        <v>45663</v>
      </c>
      <c r="CF23" s="172">
        <f>+$D$13+5</f>
        <v>45663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45663</v>
      </c>
      <c r="EM23" s="16" t="str">
        <f t="shared" si="29"/>
        <v>Fiche infoA145663</v>
      </c>
      <c r="EN23" s="16">
        <f t="shared" si="21"/>
        <v>0</v>
      </c>
      <c r="EQ23" s="16" t="str">
        <f>Janvier!FS25</f>
        <v/>
      </c>
    </row>
    <row r="24" spans="1:147" ht="18" customHeight="1" x14ac:dyDescent="0.2">
      <c r="A24" s="24" t="str">
        <f>+Janvier!BJ26</f>
        <v>Fiche infoA2</v>
      </c>
      <c r="B24" s="107">
        <f t="shared" si="30"/>
        <v>45664</v>
      </c>
      <c r="C24" s="172">
        <f>+$D$13+6</f>
        <v>45664</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Janvier!BC26</f>
        <v>0</v>
      </c>
      <c r="J24" s="34">
        <f>Janvier!BE26</f>
        <v>0</v>
      </c>
      <c r="K24" s="34">
        <f t="shared" si="15"/>
        <v>0</v>
      </c>
      <c r="L24" s="34" t="str">
        <f t="shared" si="16"/>
        <v/>
      </c>
      <c r="V24" s="1211" t="str">
        <f ca="1">+ROUND(W13,2)&amp;" / "&amp;ROUND(W21,2)&amp;" X "&amp;ROUND(W19,2)&amp;" = "</f>
        <v xml:space="preserve">0 / 0 X 0 = </v>
      </c>
      <c r="W24" s="1337">
        <f ca="1">IFERROR(ROUND(W13/W21*W19,2),0)</f>
        <v>0</v>
      </c>
      <c r="AB24" s="1211" t="str">
        <f ca="1">+ROUND(W14,2)&amp;" / "&amp;ROUND(AC21,2)&amp;" X "&amp;ROUND(AC19,2)&amp;" = "</f>
        <v xml:space="preserve">0 / 0 X 0 = </v>
      </c>
      <c r="AC24" s="1337">
        <f ca="1">IFERROR(ROUND(W14/AC21*AC19,2),0)</f>
        <v>0</v>
      </c>
      <c r="AK24" s="1211" t="s">
        <v>690</v>
      </c>
      <c r="AL24" s="1341" t="e">
        <f>+AT21*AL22/12</f>
        <v>#VALUE!</v>
      </c>
      <c r="BA24" s="349" t="str">
        <f t="shared" si="17"/>
        <v>Fiche infoA2</v>
      </c>
      <c r="BB24" s="107">
        <f t="shared" si="31"/>
        <v>45664</v>
      </c>
      <c r="BC24" s="172">
        <f>+$D$13+6</f>
        <v>45664</v>
      </c>
      <c r="BD24" s="173" t="str">
        <f t="shared" si="32"/>
        <v/>
      </c>
      <c r="BE24" s="173" t="str">
        <f>+IF(OR(BF24=S.CAL!$BJ$3,BF24=S.CAL!$BJ$4),BD24,"")</f>
        <v/>
      </c>
      <c r="BF24" s="351">
        <f>IF($DY$5=S.CAL!$CU$2,Janvier!AR26,IF($DY$5=S.CAL!$CU$3,VLOOKUP(BC24,planning_fp,7,FALSE),""))</f>
        <v>0</v>
      </c>
      <c r="BG24" s="363" t="str">
        <f>Janvier!BL26</f>
        <v>A</v>
      </c>
      <c r="BL24" s="35"/>
      <c r="BM24" s="197"/>
      <c r="BO24" s="29"/>
      <c r="BP24" s="184"/>
      <c r="BR24" s="16" t="s">
        <v>758</v>
      </c>
      <c r="BV24" s="373"/>
      <c r="BW24" s="373"/>
      <c r="BX24" s="373"/>
      <c r="BY24" s="373" t="s">
        <v>708</v>
      </c>
      <c r="BZ24" s="373"/>
      <c r="CA24" s="373"/>
      <c r="CB24" s="373"/>
      <c r="CD24" s="346"/>
      <c r="CE24" s="107">
        <f t="shared" si="33"/>
        <v>45664</v>
      </c>
      <c r="CF24" s="172">
        <f>+$D$13+6</f>
        <v>45664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45664</v>
      </c>
      <c r="EM24" s="16" t="str">
        <f t="shared" si="29"/>
        <v>Fiche infoA245664</v>
      </c>
      <c r="EN24" s="16">
        <f t="shared" si="21"/>
        <v>0</v>
      </c>
      <c r="EQ24" s="16" t="str">
        <f>Janvier!FS26</f>
        <v/>
      </c>
    </row>
    <row r="25" spans="1:147" ht="18" customHeight="1" x14ac:dyDescent="0.2">
      <c r="A25" s="24" t="str">
        <f>+Janvier!BJ27</f>
        <v>Fiche infoA3</v>
      </c>
      <c r="B25" s="107">
        <f t="shared" si="30"/>
        <v>45665</v>
      </c>
      <c r="C25" s="172">
        <f>+$D$13+7</f>
        <v>45665</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Janvier!BC27</f>
        <v>0</v>
      </c>
      <c r="J25" s="34">
        <f>Janvier!BE27</f>
        <v>0</v>
      </c>
      <c r="K25" s="34">
        <f t="shared" si="15"/>
        <v>0</v>
      </c>
      <c r="L25" s="34" t="str">
        <f t="shared" si="16"/>
        <v/>
      </c>
      <c r="AK25" s="1211" t="s">
        <v>329</v>
      </c>
      <c r="AL25" s="1335">
        <f>+IF(AL22,AL24/AL22,0)</f>
        <v>0</v>
      </c>
      <c r="BA25" s="349" t="str">
        <f t="shared" si="17"/>
        <v>Fiche infoA3</v>
      </c>
      <c r="BB25" s="107">
        <f t="shared" si="31"/>
        <v>45665</v>
      </c>
      <c r="BC25" s="172">
        <f>+$D$13+7</f>
        <v>45665</v>
      </c>
      <c r="BD25" s="173" t="str">
        <f t="shared" si="32"/>
        <v/>
      </c>
      <c r="BE25" s="173" t="str">
        <f>+IF(OR(BF25=S.CAL!$BJ$3,BF25=S.CAL!$BJ$4),BD25,"")</f>
        <v/>
      </c>
      <c r="BF25" s="351">
        <f>IF($DY$5=S.CAL!$CU$2,Janvier!AR27,IF($DY$5=S.CAL!$CU$3,VLOOKUP(BC25,planning_fp,7,FALSE),""))</f>
        <v>0</v>
      </c>
      <c r="BG25" s="363" t="str">
        <f>Janvier!BL27</f>
        <v>A</v>
      </c>
      <c r="BH25" s="150"/>
      <c r="BL25" s="35"/>
      <c r="BO25" s="29"/>
      <c r="BP25" s="184"/>
      <c r="BV25" s="373"/>
      <c r="BW25" s="373"/>
      <c r="BX25" s="373"/>
      <c r="BY25" s="373"/>
      <c r="BZ25" s="373"/>
      <c r="CA25" s="373"/>
      <c r="CB25" s="373"/>
      <c r="CD25" s="346"/>
      <c r="CE25" s="107">
        <f t="shared" si="33"/>
        <v>45665</v>
      </c>
      <c r="CF25" s="172">
        <f>+$D$13+7</f>
        <v>45665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45665</v>
      </c>
      <c r="EM25" s="16" t="str">
        <f t="shared" si="29"/>
        <v>Fiche infoA345665</v>
      </c>
      <c r="EN25" s="16">
        <f t="shared" si="21"/>
        <v>0</v>
      </c>
      <c r="EQ25" s="16" t="str">
        <f>Janvier!FS27</f>
        <v/>
      </c>
    </row>
    <row r="26" spans="1:147" ht="18" customHeight="1" x14ac:dyDescent="0.2">
      <c r="A26" s="24" t="str">
        <f>+Janvier!BJ28</f>
        <v>Fiche infoA4</v>
      </c>
      <c r="B26" s="107">
        <f t="shared" si="30"/>
        <v>45666</v>
      </c>
      <c r="C26" s="172">
        <f>+$D$13+8</f>
        <v>45666</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Janvier!BC28</f>
        <v>0</v>
      </c>
      <c r="J26" s="34">
        <f>Janvier!BE28</f>
        <v>0</v>
      </c>
      <c r="K26" s="34">
        <f t="shared" si="15"/>
        <v>0</v>
      </c>
      <c r="L26" s="34" t="str">
        <f t="shared" si="16"/>
        <v/>
      </c>
      <c r="O26" s="16" t="s">
        <v>1217</v>
      </c>
      <c r="AK26" s="1211" t="s">
        <v>330</v>
      </c>
      <c r="AL26" s="1335">
        <f>IF(AS21,SUM(AT13:AT20)/AS21,0)</f>
        <v>0</v>
      </c>
      <c r="BA26" s="349" t="str">
        <f t="shared" si="17"/>
        <v>Fiche infoA4</v>
      </c>
      <c r="BB26" s="107">
        <f t="shared" si="31"/>
        <v>45666</v>
      </c>
      <c r="BC26" s="172">
        <f>+$D$13+8</f>
        <v>45666</v>
      </c>
      <c r="BD26" s="173" t="str">
        <f t="shared" si="32"/>
        <v/>
      </c>
      <c r="BE26" s="173" t="str">
        <f>+IF(OR(BF26=S.CAL!$BJ$3,BF26=S.CAL!$BJ$4),BD26,"")</f>
        <v/>
      </c>
      <c r="BF26" s="351">
        <f>IF($DY$5=S.CAL!$CU$2,Janvier!AR28,IF($DY$5=S.CAL!$CU$3,VLOOKUP(BC26,planning_fp,7,FALSE),""))</f>
        <v>0</v>
      </c>
      <c r="BG26" s="363" t="str">
        <f>Janvier!BL28</f>
        <v>A</v>
      </c>
      <c r="BH26" s="29"/>
      <c r="BI26" s="354"/>
      <c r="BL26" s="35"/>
      <c r="BO26" s="29"/>
      <c r="BP26" s="2400" t="s">
        <v>783</v>
      </c>
      <c r="BQ26" s="2400" t="s">
        <v>335</v>
      </c>
      <c r="BR26" s="2400" t="s">
        <v>784</v>
      </c>
      <c r="BS26" s="2400" t="s">
        <v>785</v>
      </c>
      <c r="BT26" s="2400" t="s">
        <v>786</v>
      </c>
      <c r="BV26" s="373"/>
      <c r="BW26" s="374"/>
      <c r="BX26" s="2487" t="s">
        <v>789</v>
      </c>
      <c r="BY26" s="2487" t="s">
        <v>335</v>
      </c>
      <c r="BZ26" s="2487" t="s">
        <v>784</v>
      </c>
      <c r="CA26" s="2487" t="s">
        <v>785</v>
      </c>
      <c r="CB26" s="2487" t="s">
        <v>786</v>
      </c>
      <c r="CD26" s="346"/>
      <c r="CE26" s="107">
        <f t="shared" si="33"/>
        <v>45666</v>
      </c>
      <c r="CF26" s="172">
        <f>+$D$13+8</f>
        <v>45666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45666</v>
      </c>
      <c r="EM26" s="16" t="str">
        <f t="shared" si="29"/>
        <v>Fiche infoA445666</v>
      </c>
      <c r="EN26" s="16">
        <f t="shared" si="21"/>
        <v>0</v>
      </c>
      <c r="EQ26" s="16" t="str">
        <f>Janvier!FS28</f>
        <v/>
      </c>
    </row>
    <row r="27" spans="1:147" ht="18" customHeight="1" x14ac:dyDescent="0.2">
      <c r="A27" s="24" t="str">
        <f>+Janvier!BJ29</f>
        <v>Fiche infoA5</v>
      </c>
      <c r="B27" s="107">
        <f t="shared" si="30"/>
        <v>45667</v>
      </c>
      <c r="C27" s="172">
        <f>+$D$13+9</f>
        <v>45667</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Janvier!BC29</f>
        <v>0</v>
      </c>
      <c r="J27" s="34">
        <f>Janvier!BE29</f>
        <v>0</v>
      </c>
      <c r="K27" s="34">
        <f t="shared" si="15"/>
        <v>0</v>
      </c>
      <c r="L27" s="34" t="str">
        <f t="shared" si="16"/>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7"/>
        <v>Fiche infoA5</v>
      </c>
      <c r="BB27" s="107">
        <f t="shared" si="31"/>
        <v>45667</v>
      </c>
      <c r="BC27" s="172">
        <f>+$D$13+9</f>
        <v>45667</v>
      </c>
      <c r="BD27" s="173" t="str">
        <f t="shared" si="32"/>
        <v/>
      </c>
      <c r="BE27" s="173" t="str">
        <f>+IF(OR(BF27=S.CAL!$BJ$3,BF27=S.CAL!$BJ$4),BD27,"")</f>
        <v/>
      </c>
      <c r="BF27" s="351">
        <f>IF($DY$5=S.CAL!$CU$2,Janvier!AR29,IF($DY$5=S.CAL!$CU$3,VLOOKUP(BC27,planning_fp,7,FALSE),""))</f>
        <v>0</v>
      </c>
      <c r="BG27" s="363" t="str">
        <f>Janvier!BL29</f>
        <v>A</v>
      </c>
      <c r="BI27" s="16" t="s">
        <v>758</v>
      </c>
      <c r="BL27" s="35"/>
      <c r="BP27" s="2401"/>
      <c r="BQ27" s="2401"/>
      <c r="BR27" s="2401"/>
      <c r="BS27" s="2401"/>
      <c r="BT27" s="2400"/>
      <c r="BV27" s="373"/>
      <c r="BW27" s="373"/>
      <c r="BX27" s="2488"/>
      <c r="BY27" s="2488"/>
      <c r="BZ27" s="2488"/>
      <c r="CA27" s="2488"/>
      <c r="CB27" s="2487"/>
      <c r="CD27" s="346"/>
      <c r="CE27" s="107">
        <f t="shared" si="33"/>
        <v>45667</v>
      </c>
      <c r="CF27" s="172">
        <f>+$D$13+9</f>
        <v>45667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45667</v>
      </c>
      <c r="EM27" s="16" t="str">
        <f t="shared" si="29"/>
        <v>Fiche infoA545667</v>
      </c>
      <c r="EN27" s="16">
        <f t="shared" si="21"/>
        <v>0</v>
      </c>
      <c r="EQ27" s="16" t="str">
        <f>Janvier!FS29</f>
        <v/>
      </c>
    </row>
    <row r="28" spans="1:147" ht="18" customHeight="1" x14ac:dyDescent="0.2">
      <c r="A28" s="24" t="str">
        <f>+Janvier!BJ30</f>
        <v>Fiche infoA6</v>
      </c>
      <c r="B28" s="107">
        <f t="shared" si="30"/>
        <v>45668</v>
      </c>
      <c r="C28" s="172">
        <f>+$D$13+10</f>
        <v>45668</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Janvier!BC30</f>
        <v>0</v>
      </c>
      <c r="J28" s="34">
        <f>Janvier!BE30</f>
        <v>0</v>
      </c>
      <c r="K28" s="34">
        <f t="shared" si="15"/>
        <v>0</v>
      </c>
      <c r="L28" s="34" t="str">
        <f t="shared" si="16"/>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7"/>
        <v>Fiche infoA6</v>
      </c>
      <c r="BB28" s="107">
        <f t="shared" si="31"/>
        <v>45668</v>
      </c>
      <c r="BC28" s="172">
        <f>+$D$13+10</f>
        <v>45668</v>
      </c>
      <c r="BD28" s="173" t="str">
        <f t="shared" si="32"/>
        <v/>
      </c>
      <c r="BE28" s="173" t="str">
        <f>+IF(OR(BF28=S.CAL!$BJ$3,BF28=S.CAL!$BJ$4),BD28,"")</f>
        <v/>
      </c>
      <c r="BF28" s="351">
        <f>IF($DY$5=S.CAL!$CU$2,Janvier!AR30,IF($DY$5=S.CAL!$CU$3,VLOOKUP(BC28,planning_fp,7,FALSE),""))</f>
        <v>0</v>
      </c>
      <c r="BG28" s="363" t="str">
        <f>Janvier!BL30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45668</v>
      </c>
      <c r="CF28" s="172">
        <f>+$D$13+10</f>
        <v>45668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45668</v>
      </c>
      <c r="EM28" s="16" t="str">
        <f t="shared" si="29"/>
        <v>Fiche infoA645668</v>
      </c>
      <c r="EN28" s="16">
        <f t="shared" si="21"/>
        <v>0</v>
      </c>
      <c r="EQ28" s="16" t="str">
        <f>Janvier!FS30</f>
        <v/>
      </c>
    </row>
    <row r="29" spans="1:147" ht="18" customHeight="1" x14ac:dyDescent="0.2">
      <c r="A29" s="24" t="str">
        <f>+Janvier!BJ31</f>
        <v>Fiche infoA7</v>
      </c>
      <c r="B29" s="107">
        <f t="shared" si="30"/>
        <v>45669</v>
      </c>
      <c r="C29" s="172">
        <f>+$D$13+11</f>
        <v>45669</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Janvier!BC31</f>
        <v>0</v>
      </c>
      <c r="J29" s="34">
        <f>Janvier!BE31</f>
        <v>0</v>
      </c>
      <c r="K29" s="34">
        <f t="shared" si="15"/>
        <v>0</v>
      </c>
      <c r="L29" s="34" t="str">
        <f t="shared" si="16"/>
        <v/>
      </c>
      <c r="O29" s="877" t="s">
        <v>1471</v>
      </c>
      <c r="P29" s="877"/>
      <c r="Q29" s="877"/>
      <c r="R29" s="877"/>
      <c r="BA29" s="349" t="str">
        <f t="shared" si="17"/>
        <v>Fiche infoA7</v>
      </c>
      <c r="BB29" s="107">
        <f t="shared" si="31"/>
        <v>45669</v>
      </c>
      <c r="BC29" s="172">
        <f>+$D$13+11</f>
        <v>45669</v>
      </c>
      <c r="BD29" s="173" t="str">
        <f t="shared" si="32"/>
        <v/>
      </c>
      <c r="BE29" s="173" t="str">
        <f>+IF(OR(BF29=S.CAL!$BJ$3,BF29=S.CAL!$BJ$4),BD29,"")</f>
        <v/>
      </c>
      <c r="BF29" s="351">
        <f>IF($DY$5=S.CAL!$CU$2,Janvier!AR31,IF($DY$5=S.CAL!$CU$3,VLOOKUP(BC29,planning_fp,7,FALSE),""))</f>
        <v>0</v>
      </c>
      <c r="BG29" s="363" t="str">
        <f>Janvier!BL31</f>
        <v>A</v>
      </c>
      <c r="BH29" s="2507" t="str">
        <f>+ROUND(BE10,2)&amp;" X "&amp;BF51&amp;" / 26 ="</f>
        <v>0 X 0 / 26 =</v>
      </c>
      <c r="BI29" s="2341"/>
      <c r="BJ29" s="447">
        <f>+BE10*BF51/26</f>
        <v>0</v>
      </c>
      <c r="BL29" s="35"/>
      <c r="BN29" s="188"/>
      <c r="BO29" s="29" t="s">
        <v>322</v>
      </c>
      <c r="BP29" s="399">
        <f>SUMIFS(BD18:BD48,BF18:BF48,S.CAL!BJ3,BG18:BG48,"B")</f>
        <v>0</v>
      </c>
      <c r="BQ29" s="410">
        <f>+$BV$14</f>
        <v>0</v>
      </c>
      <c r="BR29" s="402">
        <f t="shared" ref="BR29:BR35" si="38">+IF(BQ29&gt;0,BP29*BQ29/BQ29,0)</f>
        <v>0</v>
      </c>
      <c r="BS29" s="402">
        <f t="shared" si="36"/>
        <v>0</v>
      </c>
      <c r="BT29" s="402">
        <f t="shared" ref="BT29:BT35" si="39">+BR29-BS29</f>
        <v>0</v>
      </c>
      <c r="BV29" s="381"/>
      <c r="BW29" s="374" t="s">
        <v>322</v>
      </c>
      <c r="BX29" s="382">
        <f>SUMIFS(BD18:BD48,BF18:BF48,S.CAL!BJ4,BG18:BG48,"B")</f>
        <v>0</v>
      </c>
      <c r="BY29" s="415">
        <f>+$BV$14</f>
        <v>0</v>
      </c>
      <c r="BZ29" s="412">
        <f t="shared" ref="BZ29:BZ35" si="40">+IF(BY29&gt;0,BX29*BY29/BY29,0)</f>
        <v>0</v>
      </c>
      <c r="CA29" s="383">
        <f t="shared" si="37"/>
        <v>0</v>
      </c>
      <c r="CB29" s="384">
        <f t="shared" ref="CB29:CB35" si="41">+BZ29-CA29</f>
        <v>0</v>
      </c>
      <c r="CD29" s="346"/>
      <c r="CE29" s="107">
        <f t="shared" si="33"/>
        <v>45669</v>
      </c>
      <c r="CF29" s="172">
        <f>+$D$13+11</f>
        <v>45669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45669</v>
      </c>
      <c r="EM29" s="16" t="str">
        <f t="shared" si="29"/>
        <v>Fiche infoA745669</v>
      </c>
      <c r="EN29" s="16">
        <f t="shared" si="21"/>
        <v>0</v>
      </c>
      <c r="EQ29" s="16" t="str">
        <f>Janvier!FS31</f>
        <v/>
      </c>
    </row>
    <row r="30" spans="1:147" ht="18" customHeight="1" x14ac:dyDescent="0.25">
      <c r="A30" s="24" t="str">
        <f>+Janvier!BJ32</f>
        <v>Fiche infoA1</v>
      </c>
      <c r="B30" s="107">
        <f t="shared" si="30"/>
        <v>45670</v>
      </c>
      <c r="C30" s="172">
        <f>+$D$13+12</f>
        <v>45670</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Janvier!BC32</f>
        <v>0</v>
      </c>
      <c r="J30" s="34">
        <f>Janvier!BE32</f>
        <v>0</v>
      </c>
      <c r="K30" s="34">
        <f t="shared" si="15"/>
        <v>0</v>
      </c>
      <c r="L30" s="34" t="str">
        <f t="shared" si="16"/>
        <v/>
      </c>
      <c r="O30" s="29" t="str">
        <f>+Q16&amp;" € x "&amp;ROUND(P27,4)&amp;" ="</f>
        <v>0 € x 0 =</v>
      </c>
      <c r="P30" s="689">
        <f>ROUND(Q16*P27,2)</f>
        <v>0</v>
      </c>
      <c r="Z30" s="1325" t="s">
        <v>1443</v>
      </c>
      <c r="AK30" s="1211" t="s">
        <v>691</v>
      </c>
      <c r="AL30" s="1343" t="e">
        <f>ROUND(IF(AO47&lt;AL25,+AL27*4.333333,AO47/AL28),2)</f>
        <v>#VALUE!</v>
      </c>
      <c r="AN30" s="1211" t="s">
        <v>32</v>
      </c>
      <c r="AO30" s="2496">
        <f>+D13</f>
        <v>45658</v>
      </c>
      <c r="AP30" s="2496"/>
      <c r="AQ30" s="2496"/>
      <c r="BA30" s="349" t="str">
        <f t="shared" si="17"/>
        <v>Fiche infoA1</v>
      </c>
      <c r="BB30" s="107">
        <f t="shared" si="31"/>
        <v>45670</v>
      </c>
      <c r="BC30" s="172">
        <f>+$D$13+12</f>
        <v>45670</v>
      </c>
      <c r="BD30" s="173" t="str">
        <f t="shared" si="32"/>
        <v/>
      </c>
      <c r="BE30" s="173" t="str">
        <f>+IF(OR(BF30=S.CAL!$BJ$3,BF30=S.CAL!$BJ$4),BD30,"")</f>
        <v/>
      </c>
      <c r="BF30" s="351">
        <f>IF($DY$5=S.CAL!$CU$2,Janvier!AR32,IF($DY$5=S.CAL!$CU$3,VLOOKUP(BC30,planning_fp,7,FALSE),""))</f>
        <v>0</v>
      </c>
      <c r="BG30" s="363" t="str">
        <f>Janvier!BL32</f>
        <v>A</v>
      </c>
      <c r="BL30" s="35"/>
      <c r="BN30" s="188"/>
      <c r="BO30" s="95" t="s">
        <v>323</v>
      </c>
      <c r="BP30" s="399">
        <f>SUMIFS(BD18:BD48,BF18:BF48,S.CAL!BJ3,BG18:BG48,"C")</f>
        <v>0</v>
      </c>
      <c r="BQ30" s="410">
        <f>+$BV$15</f>
        <v>0</v>
      </c>
      <c r="BR30" s="402">
        <f t="shared" si="38"/>
        <v>0</v>
      </c>
      <c r="BS30" s="402">
        <f t="shared" si="36"/>
        <v>0</v>
      </c>
      <c r="BT30" s="402">
        <f t="shared" si="39"/>
        <v>0</v>
      </c>
      <c r="BV30" s="381"/>
      <c r="BW30" s="374" t="s">
        <v>323</v>
      </c>
      <c r="BX30" s="382">
        <f>SUMIFS(BD18:BD48,BF18:BF48,S.CAL!BJ4,BG18:BG48,"C")</f>
        <v>0</v>
      </c>
      <c r="BY30" s="415">
        <f>+$BV$15</f>
        <v>0</v>
      </c>
      <c r="BZ30" s="412">
        <f t="shared" si="40"/>
        <v>0</v>
      </c>
      <c r="CA30" s="383">
        <f t="shared" si="37"/>
        <v>0</v>
      </c>
      <c r="CB30" s="384">
        <f t="shared" si="41"/>
        <v>0</v>
      </c>
      <c r="CD30" s="346"/>
      <c r="CE30" s="107">
        <f t="shared" si="33"/>
        <v>45670</v>
      </c>
      <c r="CF30" s="172">
        <f>+$D$13+12</f>
        <v>45670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45670</v>
      </c>
      <c r="EM30" s="16" t="str">
        <f t="shared" si="29"/>
        <v>Fiche infoA145670</v>
      </c>
      <c r="EN30" s="16">
        <f t="shared" si="21"/>
        <v>0</v>
      </c>
      <c r="EQ30" s="16" t="str">
        <f>Janvier!FS32</f>
        <v/>
      </c>
    </row>
    <row r="31" spans="1:147" ht="18" customHeight="1" x14ac:dyDescent="0.2">
      <c r="A31" s="24" t="str">
        <f>+Janvier!BJ33</f>
        <v>Fiche infoA2</v>
      </c>
      <c r="B31" s="107">
        <f t="shared" si="30"/>
        <v>45671</v>
      </c>
      <c r="C31" s="172">
        <f>+$D$13+13</f>
        <v>45671</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Janvier!BC33</f>
        <v>0</v>
      </c>
      <c r="J31" s="34">
        <f>Janvier!BE33</f>
        <v>0</v>
      </c>
      <c r="K31" s="34">
        <f t="shared" si="15"/>
        <v>0</v>
      </c>
      <c r="L31" s="34" t="str">
        <f t="shared" si="16"/>
        <v/>
      </c>
      <c r="AL31" s="581" t="s">
        <v>351</v>
      </c>
      <c r="BA31" s="349" t="str">
        <f t="shared" si="17"/>
        <v>Fiche infoA2</v>
      </c>
      <c r="BB31" s="107">
        <f t="shared" si="31"/>
        <v>45671</v>
      </c>
      <c r="BC31" s="172">
        <f>+$D$13+13</f>
        <v>45671</v>
      </c>
      <c r="BD31" s="173" t="str">
        <f t="shared" si="32"/>
        <v/>
      </c>
      <c r="BE31" s="173" t="str">
        <f>+IF(OR(BF31=S.CAL!$BJ$3,BF31=S.CAL!$BJ$4),BD31,"")</f>
        <v/>
      </c>
      <c r="BF31" s="351">
        <f>IF($DY$5=S.CAL!$CU$2,Janvier!AR33,IF($DY$5=S.CAL!$CU$3,VLOOKUP(BC31,planning_fp,7,FALSE),""))</f>
        <v>0</v>
      </c>
      <c r="BG31" s="363" t="str">
        <f>Janvier!BL33</f>
        <v>A</v>
      </c>
      <c r="BL31" s="35"/>
      <c r="BN31" s="188"/>
      <c r="BO31" s="95" t="s">
        <v>324</v>
      </c>
      <c r="BP31" s="399">
        <f>SUMIFS(BD18:BD48,BF18:BF48,S.CAL!BJ3,BG18:BG48,"D")</f>
        <v>0</v>
      </c>
      <c r="BQ31" s="410">
        <f>+$BV$16</f>
        <v>0</v>
      </c>
      <c r="BR31" s="402">
        <f t="shared" si="38"/>
        <v>0</v>
      </c>
      <c r="BS31" s="402">
        <f t="shared" si="36"/>
        <v>0</v>
      </c>
      <c r="BT31" s="402">
        <f t="shared" si="39"/>
        <v>0</v>
      </c>
      <c r="BV31" s="381"/>
      <c r="BW31" s="374" t="s">
        <v>324</v>
      </c>
      <c r="BX31" s="382">
        <f>SUMIFS(BD18:BD48,BF18:BF48,S.CAL!BJ4,BG18:BG48,"D")</f>
        <v>0</v>
      </c>
      <c r="BY31" s="415">
        <f>+$BV$16</f>
        <v>0</v>
      </c>
      <c r="BZ31" s="412">
        <f t="shared" si="40"/>
        <v>0</v>
      </c>
      <c r="CA31" s="383">
        <f t="shared" si="37"/>
        <v>0</v>
      </c>
      <c r="CB31" s="384">
        <f t="shared" si="41"/>
        <v>0</v>
      </c>
      <c r="CD31" s="346"/>
      <c r="CE31" s="107">
        <f t="shared" si="33"/>
        <v>45671</v>
      </c>
      <c r="CF31" s="172">
        <f>+$D$13+13</f>
        <v>45671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45671</v>
      </c>
      <c r="EM31" s="16" t="str">
        <f t="shared" si="29"/>
        <v>Fiche infoA245671</v>
      </c>
      <c r="EN31" s="16">
        <f t="shared" si="21"/>
        <v>0</v>
      </c>
      <c r="EQ31" s="16" t="str">
        <f>Janvier!FS33</f>
        <v/>
      </c>
    </row>
    <row r="32" spans="1:147" ht="18" customHeight="1" x14ac:dyDescent="0.2">
      <c r="A32" s="24" t="str">
        <f>+Janvier!BJ34</f>
        <v>Fiche infoA3</v>
      </c>
      <c r="B32" s="107">
        <f t="shared" si="30"/>
        <v>45672</v>
      </c>
      <c r="C32" s="172">
        <f>+$D$13+14</f>
        <v>45672</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Janvier!BC34</f>
        <v>0</v>
      </c>
      <c r="J32" s="34">
        <f>Janvier!BE34</f>
        <v>0</v>
      </c>
      <c r="K32" s="34">
        <f t="shared" si="15"/>
        <v>0</v>
      </c>
      <c r="L32" s="34" t="str">
        <f t="shared" si="16"/>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7"/>
        <v>Fiche infoA3</v>
      </c>
      <c r="BB32" s="107">
        <f t="shared" si="31"/>
        <v>45672</v>
      </c>
      <c r="BC32" s="172">
        <f>+$D$13+14</f>
        <v>45672</v>
      </c>
      <c r="BD32" s="173" t="str">
        <f t="shared" si="32"/>
        <v/>
      </c>
      <c r="BE32" s="173" t="str">
        <f>+IF(OR(BF32=S.CAL!$BJ$3,BF32=S.CAL!$BJ$4),BD32,"")</f>
        <v/>
      </c>
      <c r="BF32" s="351">
        <f>IF($DY$5=S.CAL!$CU$2,Janvier!AR34,IF($DY$5=S.CAL!$CU$3,VLOOKUP(BC32,planning_fp,7,FALSE),""))</f>
        <v>0</v>
      </c>
      <c r="BG32" s="363" t="str">
        <f>Janvier!BL34</f>
        <v>A</v>
      </c>
      <c r="BH32" s="29"/>
      <c r="BL32" s="35"/>
      <c r="BM32" s="197"/>
      <c r="BN32" s="188"/>
      <c r="BO32" s="95" t="s">
        <v>325</v>
      </c>
      <c r="BP32" s="399">
        <f>SUMIFS(BD18:BD48,BF18:BF48,S.CAL!BJ3,BG18:BG48,"E")</f>
        <v>0</v>
      </c>
      <c r="BQ32" s="410">
        <f>+$BV$17</f>
        <v>0</v>
      </c>
      <c r="BR32" s="402">
        <f t="shared" si="38"/>
        <v>0</v>
      </c>
      <c r="BS32" s="402">
        <f t="shared" si="36"/>
        <v>0</v>
      </c>
      <c r="BT32" s="402">
        <f t="shared" si="39"/>
        <v>0</v>
      </c>
      <c r="BV32" s="381"/>
      <c r="BW32" s="374" t="s">
        <v>325</v>
      </c>
      <c r="BX32" s="382">
        <f>SUMIFS(BD18:BD48,BF18:BF48,S.CAL!BJ4,BG18:BG48,"E")</f>
        <v>0</v>
      </c>
      <c r="BY32" s="415">
        <f>+$BV$17</f>
        <v>0</v>
      </c>
      <c r="BZ32" s="412">
        <f t="shared" si="40"/>
        <v>0</v>
      </c>
      <c r="CA32" s="383">
        <f t="shared" si="37"/>
        <v>0</v>
      </c>
      <c r="CB32" s="384">
        <f t="shared" si="41"/>
        <v>0</v>
      </c>
      <c r="CD32" s="346"/>
      <c r="CE32" s="107">
        <f t="shared" si="33"/>
        <v>45672</v>
      </c>
      <c r="CF32" s="172">
        <f>+$D$13+14</f>
        <v>45672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45672</v>
      </c>
      <c r="EM32" s="16" t="str">
        <f t="shared" si="29"/>
        <v>Fiche infoA345672</v>
      </c>
      <c r="EN32" s="16">
        <f t="shared" si="21"/>
        <v>0</v>
      </c>
      <c r="EQ32" s="16" t="str">
        <f>Janvier!FS34</f>
        <v/>
      </c>
    </row>
    <row r="33" spans="1:147" ht="18" customHeight="1" x14ac:dyDescent="0.2">
      <c r="A33" s="24" t="str">
        <f>+Janvier!BJ35</f>
        <v>Fiche infoA4</v>
      </c>
      <c r="B33" s="107">
        <f t="shared" si="30"/>
        <v>45673</v>
      </c>
      <c r="C33" s="172">
        <f>+$D$13+15</f>
        <v>45673</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Janvier!BC35</f>
        <v>0</v>
      </c>
      <c r="J33" s="34">
        <f>Janvier!BE35</f>
        <v>0</v>
      </c>
      <c r="K33" s="34">
        <f t="shared" si="15"/>
        <v>0</v>
      </c>
      <c r="L33" s="34" t="str">
        <f t="shared" si="16"/>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AG33" s="581" t="s">
        <v>1249</v>
      </c>
      <c r="BA33" s="349" t="str">
        <f t="shared" si="17"/>
        <v>Fiche infoA4</v>
      </c>
      <c r="BB33" s="107">
        <f t="shared" si="31"/>
        <v>45673</v>
      </c>
      <c r="BC33" s="172">
        <f>+$D$13+15</f>
        <v>45673</v>
      </c>
      <c r="BD33" s="173" t="str">
        <f t="shared" si="32"/>
        <v/>
      </c>
      <c r="BE33" s="173" t="str">
        <f>+IF(OR(BF33=S.CAL!$BJ$3,BF33=S.CAL!$BJ$4),BD33,"")</f>
        <v/>
      </c>
      <c r="BF33" s="351">
        <f>IF($DY$5=S.CAL!$CU$2,Janvier!AR35,IF($DY$5=S.CAL!$CU$3,VLOOKUP(BC33,planning_fp,7,FALSE),""))</f>
        <v>0</v>
      </c>
      <c r="BG33" s="363" t="str">
        <f>Janvier!BL35</f>
        <v>A</v>
      </c>
      <c r="BL33" s="35"/>
      <c r="BN33" s="188"/>
      <c r="BO33" s="95" t="s">
        <v>326</v>
      </c>
      <c r="BP33" s="399">
        <f>SUMIFS(BD18:BD48,BF18:BF48,S.CAL!BJ3,BG18:BG48,"F")</f>
        <v>0</v>
      </c>
      <c r="BQ33" s="410">
        <f>+$BV$18</f>
        <v>0</v>
      </c>
      <c r="BR33" s="402">
        <f t="shared" si="38"/>
        <v>0</v>
      </c>
      <c r="BS33" s="402">
        <f t="shared" si="36"/>
        <v>0</v>
      </c>
      <c r="BT33" s="402">
        <f t="shared" si="39"/>
        <v>0</v>
      </c>
      <c r="BV33" s="381"/>
      <c r="BW33" s="374" t="s">
        <v>326</v>
      </c>
      <c r="BX33" s="382">
        <f>SUMIFS(BD18:BD48,BF18:BF48,S.CAL!BJ4,BG18:BG48,"F")</f>
        <v>0</v>
      </c>
      <c r="BY33" s="415">
        <f>+$BV$18</f>
        <v>0</v>
      </c>
      <c r="BZ33" s="412">
        <f t="shared" si="40"/>
        <v>0</v>
      </c>
      <c r="CA33" s="383">
        <f t="shared" si="37"/>
        <v>0</v>
      </c>
      <c r="CB33" s="384">
        <f t="shared" si="41"/>
        <v>0</v>
      </c>
      <c r="CD33" s="346"/>
      <c r="CE33" s="107">
        <f t="shared" si="33"/>
        <v>45673</v>
      </c>
      <c r="CF33" s="172">
        <f>+$D$13+15</f>
        <v>45673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45673</v>
      </c>
      <c r="EM33" s="16" t="str">
        <f t="shared" si="29"/>
        <v>Fiche infoA445673</v>
      </c>
      <c r="EN33" s="16">
        <f t="shared" si="21"/>
        <v>0</v>
      </c>
      <c r="EQ33" s="16" t="str">
        <f>Janvier!FS35</f>
        <v/>
      </c>
    </row>
    <row r="34" spans="1:147" ht="18" customHeight="1" x14ac:dyDescent="0.2">
      <c r="A34" s="24" t="str">
        <f>+Janvier!BJ36</f>
        <v>Fiche infoA5</v>
      </c>
      <c r="B34" s="107">
        <f t="shared" si="30"/>
        <v>45674</v>
      </c>
      <c r="C34" s="172">
        <f>+$D$13+16</f>
        <v>45674</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Janvier!BC36</f>
        <v>0</v>
      </c>
      <c r="J34" s="34">
        <f>Janvier!BE36</f>
        <v>0</v>
      </c>
      <c r="K34" s="34">
        <f t="shared" si="15"/>
        <v>0</v>
      </c>
      <c r="L34" s="34" t="str">
        <f t="shared" si="16"/>
        <v/>
      </c>
      <c r="N34" s="395"/>
      <c r="O34" s="395"/>
      <c r="P34" s="395"/>
      <c r="Q34" s="395"/>
      <c r="R34" s="395"/>
      <c r="T34" s="581">
        <f ca="1">+IF(AD34=0,V34,0)</f>
        <v>0</v>
      </c>
      <c r="U34" s="1323" t="str">
        <f>+Janvier!AU4</f>
        <v>A</v>
      </c>
      <c r="V34" s="1323">
        <f>IFERROR(+VLOOKUP(U34,U35:AB39,7,FALSE),"")</f>
        <v>0</v>
      </c>
      <c r="W34" s="2482" t="str">
        <f>Janvier!BS28</f>
        <v>Semaine numéro : 1</v>
      </c>
      <c r="X34" s="2482"/>
      <c r="Y34" s="2482"/>
      <c r="Z34" s="1345"/>
      <c r="AA34" s="1338">
        <f ca="1">+IF(Z34&lt;&gt;"",Z34,IF(T34&gt;0,T34,IF(AND(AD34&gt;0,AC34&gt;0),AD34+AC34,IF(AE34&gt;0,0,AC34))))</f>
        <v>0</v>
      </c>
      <c r="AB34" s="1338">
        <f ca="1">IF(AND(AA34&gt;45,AD34=AD48),AA34-45,0)</f>
        <v>0</v>
      </c>
      <c r="AC34" s="1344">
        <f>+SUMIF(Janvier!$BK$20:$BK$50,Janvier!AT4,$D$18:$D$48)</f>
        <v>0</v>
      </c>
      <c r="AD34" s="1344">
        <f ca="1">+IF(SUMIF(AG34:AG39,Report!D36,Report!D37)&gt;0,SUMIF(AG34:AG39,Report!D36,Report!D37),AC35-AC34)</f>
        <v>0</v>
      </c>
      <c r="AE34" s="1344">
        <f>+SUMIF(Février!$BK$20:$BK$50,Janvier!AT4,'Retenue Fev'!$D$18:$D$48)</f>
        <v>0</v>
      </c>
      <c r="AF34" s="1338">
        <f ca="1">+AC34-AB34</f>
        <v>0</v>
      </c>
      <c r="AG34" s="581">
        <f>+Janvier!AT4</f>
        <v>1</v>
      </c>
      <c r="AK34" s="1211" t="s">
        <v>333</v>
      </c>
      <c r="AL34" s="1324" t="e">
        <f>IF(AL32,+AL24/AL32,0)</f>
        <v>#VALUE!</v>
      </c>
      <c r="BA34" s="349" t="str">
        <f t="shared" si="17"/>
        <v>Fiche infoA5</v>
      </c>
      <c r="BB34" s="107">
        <f t="shared" si="31"/>
        <v>45674</v>
      </c>
      <c r="BC34" s="172">
        <f>+$D$13+16</f>
        <v>45674</v>
      </c>
      <c r="BD34" s="173" t="str">
        <f t="shared" si="32"/>
        <v/>
      </c>
      <c r="BE34" s="173" t="str">
        <f>+IF(OR(BF34=S.CAL!$BJ$3,BF34=S.CAL!$BJ$4),BD34,"")</f>
        <v/>
      </c>
      <c r="BF34" s="351">
        <f>IF($DY$5=S.CAL!$CU$2,Janvier!AR36,IF($DY$5=S.CAL!$CU$3,VLOOKUP(BC34,planning_fp,7,FALSE),""))</f>
        <v>0</v>
      </c>
      <c r="BG34" s="363" t="str">
        <f>Janvier!BL36</f>
        <v>A</v>
      </c>
      <c r="BH34" s="373"/>
      <c r="BJ34" s="373"/>
      <c r="BK34" s="373"/>
      <c r="BL34" s="35"/>
      <c r="BN34" s="188"/>
      <c r="BO34" s="95" t="s">
        <v>327</v>
      </c>
      <c r="BP34" s="399">
        <f>SUMIFS(BD18:BD48,BF18:BF48,S.CAL!BJ3,BG18:BG48,"G")</f>
        <v>0</v>
      </c>
      <c r="BQ34" s="410">
        <f>+$BV$19</f>
        <v>0</v>
      </c>
      <c r="BR34" s="402">
        <f t="shared" si="38"/>
        <v>0</v>
      </c>
      <c r="BS34" s="402">
        <f t="shared" si="36"/>
        <v>0</v>
      </c>
      <c r="BT34" s="402">
        <f t="shared" si="39"/>
        <v>0</v>
      </c>
      <c r="BV34" s="381"/>
      <c r="BW34" s="374" t="s">
        <v>327</v>
      </c>
      <c r="BX34" s="382">
        <f>SUMIFS(BD18:BD48,BF18:BF48,S.CAL!BJ4,BG18:BG48,"G")</f>
        <v>0</v>
      </c>
      <c r="BY34" s="415">
        <f>+$BV$19</f>
        <v>0</v>
      </c>
      <c r="BZ34" s="412">
        <f t="shared" si="40"/>
        <v>0</v>
      </c>
      <c r="CA34" s="383">
        <f t="shared" si="37"/>
        <v>0</v>
      </c>
      <c r="CB34" s="384">
        <f t="shared" si="41"/>
        <v>0</v>
      </c>
      <c r="CD34" s="346"/>
      <c r="CE34" s="107">
        <f t="shared" si="33"/>
        <v>45674</v>
      </c>
      <c r="CF34" s="172">
        <f>+$D$13+16</f>
        <v>45674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45674</v>
      </c>
      <c r="EM34" s="16" t="str">
        <f t="shared" si="29"/>
        <v>Fiche infoA545674</v>
      </c>
      <c r="EN34" s="16">
        <f t="shared" si="21"/>
        <v>0</v>
      </c>
      <c r="EQ34" s="16" t="str">
        <f>Janvier!FS36</f>
        <v/>
      </c>
    </row>
    <row r="35" spans="1:147" ht="18" customHeight="1" x14ac:dyDescent="0.2">
      <c r="A35" s="24" t="str">
        <f>+Janvier!BJ37</f>
        <v>Fiche infoA6</v>
      </c>
      <c r="B35" s="107">
        <f t="shared" si="30"/>
        <v>45675</v>
      </c>
      <c r="C35" s="172">
        <f>+$D$13+17</f>
        <v>45675</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Janvier!BC37</f>
        <v>0</v>
      </c>
      <c r="J35" s="34">
        <f>Janvier!BE37</f>
        <v>0</v>
      </c>
      <c r="K35" s="34">
        <f t="shared" si="15"/>
        <v>0</v>
      </c>
      <c r="L35" s="34" t="str">
        <f t="shared" si="16"/>
        <v/>
      </c>
      <c r="N35" s="395"/>
      <c r="O35" s="879" t="s">
        <v>1218</v>
      </c>
      <c r="P35" s="880"/>
      <c r="Q35" s="880"/>
      <c r="R35" s="876"/>
      <c r="T35" s="581">
        <f>+IF(AD35=0,V35,0)</f>
        <v>0</v>
      </c>
      <c r="U35" s="1323" t="str">
        <f>+Janvier!AU5</f>
        <v>A</v>
      </c>
      <c r="V35" s="1323">
        <f>IFERROR(+VLOOKUP(U35,U36:AB39,7,FALSE),"")</f>
        <v>0</v>
      </c>
      <c r="W35" s="2482" t="str">
        <f>Janvier!BS29</f>
        <v>Semaine numéro : 2</v>
      </c>
      <c r="X35" s="2482"/>
      <c r="Y35" s="2482"/>
      <c r="Z35" s="1345"/>
      <c r="AA35" s="1338">
        <f>+IF(Z35&lt;&gt;"",Z35,IF(T35&gt;0,T35,IF(AND(AD35&gt;0,AC35&gt;0),AD35+AC35,IF(AE35&gt;0,0,AC35))))</f>
        <v>0</v>
      </c>
      <c r="AB35" s="1338">
        <f t="shared" ref="AB35:AB39" si="42">IF(AND(AA35&gt;45,AD35=AD49),AA35-45,0)</f>
        <v>0</v>
      </c>
      <c r="AC35" s="1344">
        <f>+SUMIF(Janvier!$BK$20:$BK$50,Janvier!AT5,$D$18:$D$48)</f>
        <v>0</v>
      </c>
      <c r="AD35" s="1344"/>
      <c r="AE35" s="1344">
        <f>+SUMIF(Février!$BK$20:$BK$50,Janvier!AT5,'Retenue Fev'!$D$18:$D$48)</f>
        <v>0</v>
      </c>
      <c r="AF35" s="1338">
        <f t="shared" ref="AF35:AF39" si="43">+AC35-AB35</f>
        <v>0</v>
      </c>
      <c r="AG35" s="581">
        <f>+Janvier!AT5</f>
        <v>2</v>
      </c>
      <c r="AK35" s="1211"/>
      <c r="AL35" s="1324"/>
      <c r="BA35" s="349" t="str">
        <f t="shared" si="17"/>
        <v>Fiche infoA6</v>
      </c>
      <c r="BB35" s="107">
        <f t="shared" si="31"/>
        <v>45675</v>
      </c>
      <c r="BC35" s="172">
        <f>+$D$13+17</f>
        <v>45675</v>
      </c>
      <c r="BD35" s="173" t="str">
        <f t="shared" si="32"/>
        <v/>
      </c>
      <c r="BE35" s="173" t="str">
        <f>+IF(OR(BF35=S.CAL!$BJ$3,BF35=S.CAL!$BJ$4),BD35,"")</f>
        <v/>
      </c>
      <c r="BF35" s="351">
        <f>IF($DY$5=S.CAL!$CU$2,Janvier!AR37,IF($DY$5=S.CAL!$CU$3,VLOOKUP(BC35,planning_fp,7,FALSE),""))</f>
        <v>0</v>
      </c>
      <c r="BG35" s="363" t="str">
        <f>Janvier!BL37</f>
        <v>A</v>
      </c>
      <c r="BH35" s="373"/>
      <c r="BI35" s="373"/>
      <c r="BJ35" s="373"/>
      <c r="BK35" s="373"/>
      <c r="BL35" s="35"/>
      <c r="BN35" s="189"/>
      <c r="BO35" s="175" t="s">
        <v>328</v>
      </c>
      <c r="BP35" s="400">
        <f>SUMIFS(BD18:BD48,BF18:BF48,S.CAL!BJ3,BG18:BG48,"H")</f>
        <v>0</v>
      </c>
      <c r="BQ35" s="182">
        <f>+$BV$20</f>
        <v>0</v>
      </c>
      <c r="BR35" s="403">
        <f t="shared" si="38"/>
        <v>0</v>
      </c>
      <c r="BS35" s="403">
        <f t="shared" si="36"/>
        <v>0</v>
      </c>
      <c r="BT35" s="403">
        <f t="shared" si="39"/>
        <v>0</v>
      </c>
      <c r="BV35" s="385"/>
      <c r="BW35" s="405" t="s">
        <v>328</v>
      </c>
      <c r="BX35" s="386">
        <f>SUMIFS(BD18:BD48,BF18:BF48,S.CAL!BJ4,BG18:BG48,"H")</f>
        <v>0</v>
      </c>
      <c r="BY35" s="416">
        <f>+$BV$20</f>
        <v>0</v>
      </c>
      <c r="BZ35" s="413">
        <f t="shared" si="40"/>
        <v>0</v>
      </c>
      <c r="CA35" s="387">
        <f t="shared" si="37"/>
        <v>0</v>
      </c>
      <c r="CB35" s="388">
        <f t="shared" si="41"/>
        <v>0</v>
      </c>
      <c r="CD35" s="346"/>
      <c r="CE35" s="107">
        <f t="shared" si="33"/>
        <v>45675</v>
      </c>
      <c r="CF35" s="172">
        <f>+$D$13+17</f>
        <v>45675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45675</v>
      </c>
      <c r="EM35" s="16" t="str">
        <f t="shared" si="29"/>
        <v>Fiche infoA645675</v>
      </c>
      <c r="EN35" s="16">
        <f t="shared" si="21"/>
        <v>0</v>
      </c>
      <c r="EQ35" s="16" t="str">
        <f>Janvier!FS37</f>
        <v/>
      </c>
    </row>
    <row r="36" spans="1:147" ht="18" customHeight="1" x14ac:dyDescent="0.2">
      <c r="A36" s="24" t="str">
        <f>+Janvier!BJ38</f>
        <v>Fiche infoA7</v>
      </c>
      <c r="B36" s="107">
        <f t="shared" si="30"/>
        <v>45676</v>
      </c>
      <c r="C36" s="172">
        <f>+$D$13+18</f>
        <v>45676</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Janvier!BC38</f>
        <v>0</v>
      </c>
      <c r="J36" s="34">
        <f>Janvier!BE38</f>
        <v>0</v>
      </c>
      <c r="K36" s="34">
        <f t="shared" si="15"/>
        <v>0</v>
      </c>
      <c r="L36" s="34" t="str">
        <f t="shared" si="16"/>
        <v/>
      </c>
      <c r="N36" s="395"/>
      <c r="O36" s="486"/>
      <c r="P36" s="487" t="str">
        <f>+E11&amp;" / ( "&amp;E10&amp;" + "&amp;E11&amp;" ) ="</f>
        <v>0 / ( 0 + 0 ) =</v>
      </c>
      <c r="Q36" s="486" t="e">
        <f>+ROUND(E11/(E11+E10),6)</f>
        <v>#DIV/0!</v>
      </c>
      <c r="R36" s="395"/>
      <c r="U36" s="1323" t="str">
        <f>+Janvier!AU6</f>
        <v>A</v>
      </c>
      <c r="V36" s="1323"/>
      <c r="W36" s="2482" t="str">
        <f>Janvier!BS30</f>
        <v>Semaine numéro : 3</v>
      </c>
      <c r="X36" s="2482"/>
      <c r="Y36" s="2482"/>
      <c r="Z36" s="1345"/>
      <c r="AA36" s="1338">
        <f t="shared" ref="AA36:AA39" si="44">+IF(Z36="",IF(AND(AD36&gt;0,AC36&gt;0),AD36+AC36,IF(AE36&gt;0,0,AC36)),Z36)</f>
        <v>0</v>
      </c>
      <c r="AB36" s="1338">
        <f t="shared" si="42"/>
        <v>0</v>
      </c>
      <c r="AC36" s="1344">
        <f>+SUMIF(Janvier!$BK$20:$BK$50,Janvier!AT6,$D$18:$D$48)</f>
        <v>0</v>
      </c>
      <c r="AD36" s="1344"/>
      <c r="AE36" s="1344">
        <f>+SUMIF(Février!$BK$20:$BK$50,Janvier!AT6,'Retenue Fev'!$D$18:$D$48)</f>
        <v>0</v>
      </c>
      <c r="AF36" s="1338">
        <f t="shared" si="43"/>
        <v>0</v>
      </c>
      <c r="AG36" s="581">
        <f>+Janvier!AT6</f>
        <v>3</v>
      </c>
      <c r="AK36" s="1211"/>
      <c r="AL36" s="1324"/>
      <c r="BA36" s="349" t="str">
        <f t="shared" si="17"/>
        <v>Fiche infoA7</v>
      </c>
      <c r="BB36" s="107">
        <f t="shared" si="31"/>
        <v>45676</v>
      </c>
      <c r="BC36" s="172">
        <f>+$D$13+18</f>
        <v>45676</v>
      </c>
      <c r="BD36" s="173" t="str">
        <f t="shared" si="32"/>
        <v/>
      </c>
      <c r="BE36" s="173" t="str">
        <f>+IF(OR(BF36=S.CAL!$BJ$3,BF36=S.CAL!$BJ$4),BD36,"")</f>
        <v/>
      </c>
      <c r="BF36" s="351">
        <f>IF($DY$5=S.CAL!$CU$2,Janvier!AR38,IF($DY$5=S.CAL!$CU$3,VLOOKUP(BC36,planning_fp,7,FALSE),""))</f>
        <v>0</v>
      </c>
      <c r="BG36" s="363" t="str">
        <f>Janvier!BL38</f>
        <v>A</v>
      </c>
      <c r="BH36" s="374"/>
      <c r="BI36" s="375"/>
      <c r="BJ36" s="373"/>
      <c r="BK36" s="373"/>
      <c r="BL36" s="35"/>
      <c r="BS36" s="191"/>
      <c r="BT36" s="360"/>
      <c r="BU36" s="360"/>
      <c r="BV36" s="373"/>
      <c r="BW36" s="373"/>
      <c r="BX36" s="373"/>
      <c r="BY36" s="373"/>
      <c r="BZ36" s="373"/>
      <c r="CA36" s="373"/>
      <c r="CB36" s="373"/>
      <c r="CD36" s="346"/>
      <c r="CE36" s="107">
        <f t="shared" si="33"/>
        <v>45676</v>
      </c>
      <c r="CF36" s="172">
        <f>+$D$13+18</f>
        <v>45676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45676</v>
      </c>
      <c r="EM36" s="16" t="str">
        <f t="shared" si="29"/>
        <v>Fiche infoA745676</v>
      </c>
      <c r="EN36" s="16">
        <f t="shared" si="21"/>
        <v>0</v>
      </c>
      <c r="EQ36" s="16" t="str">
        <f>Janvier!FS38</f>
        <v/>
      </c>
    </row>
    <row r="37" spans="1:147" ht="18" customHeight="1" x14ac:dyDescent="0.2">
      <c r="A37" s="24" t="str">
        <f>+Janvier!BJ39</f>
        <v>Fiche infoA1</v>
      </c>
      <c r="B37" s="107">
        <f t="shared" si="30"/>
        <v>45677</v>
      </c>
      <c r="C37" s="172">
        <f>+$D$13+19</f>
        <v>45677</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Janvier!BC39</f>
        <v>0</v>
      </c>
      <c r="J37" s="34">
        <f>Janvier!BE39</f>
        <v>0</v>
      </c>
      <c r="K37" s="34">
        <f t="shared" si="15"/>
        <v>0</v>
      </c>
      <c r="L37" s="34" t="str">
        <f t="shared" si="16"/>
        <v/>
      </c>
      <c r="N37" s="395"/>
      <c r="O37" s="881"/>
      <c r="P37" s="881"/>
      <c r="Q37" s="881"/>
      <c r="R37" s="395"/>
      <c r="U37" s="1323" t="str">
        <f>+Janvier!AU7</f>
        <v>A</v>
      </c>
      <c r="V37" s="1323"/>
      <c r="W37" s="2482" t="str">
        <f>Janvier!BS31</f>
        <v>Semaine numéro : 4</v>
      </c>
      <c r="X37" s="2482"/>
      <c r="Y37" s="2482"/>
      <c r="Z37" s="1345"/>
      <c r="AA37" s="1338">
        <f t="shared" si="44"/>
        <v>0</v>
      </c>
      <c r="AB37" s="1338">
        <f t="shared" si="42"/>
        <v>0</v>
      </c>
      <c r="AC37" s="1344">
        <f>+SUMIF(Janvier!$BK$20:$BK$50,Janvier!AT7,$D$18:$D$48)</f>
        <v>0</v>
      </c>
      <c r="AD37" s="1344"/>
      <c r="AE37" s="1344">
        <f>+SUMIF(Février!$BK$20:$BK$50,Janvier!AT7,'Retenue Fev'!$D$18:$D$48)</f>
        <v>0</v>
      </c>
      <c r="AF37" s="1338">
        <f t="shared" si="43"/>
        <v>0</v>
      </c>
      <c r="AG37" s="581">
        <f>+Janvier!AT7</f>
        <v>4</v>
      </c>
      <c r="AK37" s="1211"/>
      <c r="AL37" s="2494" t="s">
        <v>334</v>
      </c>
      <c r="AM37" s="2494" t="s">
        <v>335</v>
      </c>
      <c r="AN37" s="2495" t="s">
        <v>336</v>
      </c>
      <c r="AO37" s="2494" t="s">
        <v>337</v>
      </c>
      <c r="AP37" s="2494" t="s">
        <v>357</v>
      </c>
      <c r="AQ37" s="2494" t="s">
        <v>358</v>
      </c>
      <c r="BA37" s="349" t="str">
        <f t="shared" si="17"/>
        <v>Fiche infoA1</v>
      </c>
      <c r="BB37" s="107">
        <f t="shared" si="31"/>
        <v>45677</v>
      </c>
      <c r="BC37" s="172">
        <f>+$D$13+19</f>
        <v>45677</v>
      </c>
      <c r="BD37" s="173" t="str">
        <f t="shared" si="32"/>
        <v/>
      </c>
      <c r="BE37" s="173" t="str">
        <f>+IF(OR(BF37=S.CAL!$BJ$3,BF37=S.CAL!$BJ$4),BD37,"")</f>
        <v/>
      </c>
      <c r="BF37" s="351">
        <f>IF($DY$5=S.CAL!$CU$2,Janvier!AR39,IF($DY$5=S.CAL!$CU$3,VLOOKUP(BC37,planning_fp,7,FALSE),""))</f>
        <v>0</v>
      </c>
      <c r="BG37" s="363" t="str">
        <f>Janvier!BL39</f>
        <v>A</v>
      </c>
      <c r="BH37" s="373"/>
      <c r="BI37" s="373"/>
      <c r="BJ37" s="373"/>
      <c r="BK37" s="373"/>
      <c r="BL37" s="35"/>
      <c r="BO37" s="29"/>
      <c r="BP37" s="34"/>
      <c r="BS37" s="191"/>
      <c r="BT37" s="191"/>
      <c r="BV37" s="373"/>
      <c r="BW37" s="373"/>
      <c r="BX37" s="373"/>
      <c r="BY37" s="373"/>
      <c r="BZ37" s="373"/>
      <c r="CA37" s="373"/>
      <c r="CB37" s="373"/>
      <c r="CD37" s="346"/>
      <c r="CE37" s="107">
        <f t="shared" si="33"/>
        <v>45677</v>
      </c>
      <c r="CF37" s="172">
        <f>+$D$13+19</f>
        <v>45677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45677</v>
      </c>
      <c r="EM37" s="16" t="str">
        <f t="shared" si="29"/>
        <v>Fiche infoA145677</v>
      </c>
      <c r="EN37" s="16">
        <f t="shared" si="21"/>
        <v>0</v>
      </c>
      <c r="EQ37" s="16" t="str">
        <f>Janvier!FS39</f>
        <v/>
      </c>
    </row>
    <row r="38" spans="1:147" ht="21" customHeight="1" x14ac:dyDescent="0.2">
      <c r="A38" s="24" t="str">
        <f>+Janvier!BJ40</f>
        <v>Fiche infoA2</v>
      </c>
      <c r="B38" s="107">
        <f t="shared" si="30"/>
        <v>45678</v>
      </c>
      <c r="C38" s="172">
        <f>+$D$13+20</f>
        <v>45678</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Janvier!BC40</f>
        <v>0</v>
      </c>
      <c r="J38" s="34">
        <f>Janvier!BE40</f>
        <v>0</v>
      </c>
      <c r="K38" s="34">
        <f t="shared" si="15"/>
        <v>0</v>
      </c>
      <c r="L38" s="34" t="str">
        <f t="shared" si="16"/>
        <v/>
      </c>
      <c r="N38" s="395"/>
      <c r="O38" s="882" t="s">
        <v>1472</v>
      </c>
      <c r="P38" s="882"/>
      <c r="Q38" s="882"/>
      <c r="R38" s="878"/>
      <c r="U38" s="1323" t="str">
        <f>+Janvier!AU8</f>
        <v>A</v>
      </c>
      <c r="V38" s="1323"/>
      <c r="W38" s="2482" t="str">
        <f>Janvier!BS32</f>
        <v>Semaine numéro : 5</v>
      </c>
      <c r="X38" s="2482"/>
      <c r="Y38" s="2482"/>
      <c r="Z38" s="1345"/>
      <c r="AA38" s="1338">
        <f t="shared" si="44"/>
        <v>0</v>
      </c>
      <c r="AB38" s="1338">
        <f t="shared" si="42"/>
        <v>0</v>
      </c>
      <c r="AC38" s="1344">
        <f>+SUMIF(Janvier!$BK$20:$BK$50,Janvier!AT8,$D$18:$D$48)</f>
        <v>0</v>
      </c>
      <c r="AD38" s="1344"/>
      <c r="AE38" s="1344">
        <f>+SUMIF(Février!$BK$20:$BK$50,Janvier!AT8,'Retenue Fev'!$D$18:$D$48)</f>
        <v>0</v>
      </c>
      <c r="AF38" s="1338">
        <f t="shared" si="43"/>
        <v>0</v>
      </c>
      <c r="AG38" s="581">
        <f>+Janvier!AT8</f>
        <v>5</v>
      </c>
      <c r="AL38" s="2494"/>
      <c r="AM38" s="2494"/>
      <c r="AN38" s="2495"/>
      <c r="AO38" s="2494"/>
      <c r="AP38" s="2494"/>
      <c r="AQ38" s="2494"/>
      <c r="BA38" s="349" t="str">
        <f t="shared" si="17"/>
        <v>Fiche infoA2</v>
      </c>
      <c r="BB38" s="107">
        <f t="shared" si="31"/>
        <v>45678</v>
      </c>
      <c r="BC38" s="172">
        <f>+$D$13+20</f>
        <v>45678</v>
      </c>
      <c r="BD38" s="173" t="str">
        <f t="shared" si="32"/>
        <v/>
      </c>
      <c r="BE38" s="173" t="str">
        <f>+IF(OR(BF38=S.CAL!$BJ$3,BF38=S.CAL!$BJ$4),BD38,"")</f>
        <v/>
      </c>
      <c r="BF38" s="351">
        <f>IF($DY$5=S.CAL!$CU$2,Janvier!AR40,IF($DY$5=S.CAL!$CU$3,VLOOKUP(BC38,planning_fp,7,FALSE),""))</f>
        <v>0</v>
      </c>
      <c r="BG38" s="363" t="str">
        <f>Janvier!BL40</f>
        <v>A</v>
      </c>
      <c r="BH38" s="373"/>
      <c r="BI38" s="373"/>
      <c r="BJ38" s="373"/>
      <c r="BK38" s="373"/>
      <c r="BL38" s="35"/>
      <c r="BO38" s="29"/>
      <c r="BP38" s="34"/>
      <c r="BS38" s="191"/>
      <c r="BT38" s="191"/>
      <c r="BV38" s="373"/>
      <c r="BW38" s="373"/>
      <c r="BX38" s="373"/>
      <c r="BY38" s="373"/>
      <c r="BZ38" s="373"/>
      <c r="CA38" s="373"/>
      <c r="CB38" s="373"/>
      <c r="CD38" s="346"/>
      <c r="CE38" s="107">
        <f t="shared" si="33"/>
        <v>45678</v>
      </c>
      <c r="CF38" s="172">
        <f>+$D$13+20</f>
        <v>45678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45678</v>
      </c>
      <c r="EM38" s="16" t="str">
        <f t="shared" si="29"/>
        <v>Fiche infoA245678</v>
      </c>
      <c r="EN38" s="16">
        <f t="shared" si="21"/>
        <v>0</v>
      </c>
      <c r="EQ38" s="16" t="str">
        <f>Janvier!FS40</f>
        <v/>
      </c>
    </row>
    <row r="39" spans="1:147" ht="18" customHeight="1" x14ac:dyDescent="0.2">
      <c r="A39" s="24" t="str">
        <f>+Janvier!BJ41</f>
        <v>Fiche infoA3</v>
      </c>
      <c r="B39" s="107">
        <f t="shared" si="30"/>
        <v>45679</v>
      </c>
      <c r="C39" s="172">
        <f>+$D$13+21</f>
        <v>45679</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Janvier!BC41</f>
        <v>0</v>
      </c>
      <c r="J39" s="34">
        <f>Janvier!BE41</f>
        <v>0</v>
      </c>
      <c r="K39" s="34">
        <f t="shared" si="15"/>
        <v>0</v>
      </c>
      <c r="L39" s="34" t="str">
        <f t="shared" si="16"/>
        <v/>
      </c>
      <c r="N39" s="395"/>
      <c r="O39" s="486"/>
      <c r="P39" s="487" t="str">
        <f>+E10&amp;" / ( "&amp;E10&amp;" + "&amp;E11&amp;" ) ="</f>
        <v>0 / ( 0 + 0 ) =</v>
      </c>
      <c r="Q39" s="486" t="e">
        <f>ROUND(+E10/(E11+E10),6)</f>
        <v>#DIV/0!</v>
      </c>
      <c r="R39" s="395"/>
      <c r="U39" s="1323" t="str">
        <f>+Janvier!AU9</f>
        <v>A</v>
      </c>
      <c r="V39" s="1323"/>
      <c r="W39" s="2482" t="str">
        <f>Janvier!BS33</f>
        <v xml:space="preserve">Semaine numéro : </v>
      </c>
      <c r="X39" s="2482"/>
      <c r="Y39" s="2482"/>
      <c r="Z39" s="1345"/>
      <c r="AA39" s="1338">
        <f t="shared" si="44"/>
        <v>0</v>
      </c>
      <c r="AB39" s="1338">
        <f t="shared" si="42"/>
        <v>0</v>
      </c>
      <c r="AC39" s="1344">
        <f>+SUMIF(Janvier!$BK$20:$BK$50,Janvier!AT9,$D$18:$D$48)</f>
        <v>0</v>
      </c>
      <c r="AD39" s="1344"/>
      <c r="AE39" s="1344">
        <f>+SUMIF(Février!$BK$20:$BK$50,Janvier!AT9,'Retenue Fev'!$D$18:$D$48)</f>
        <v>0</v>
      </c>
      <c r="AF39" s="1338">
        <f t="shared" si="43"/>
        <v>0</v>
      </c>
      <c r="AG39" s="581" t="str">
        <f>+Janvier!AT9</f>
        <v/>
      </c>
      <c r="AJ39" s="1211"/>
      <c r="AK39" s="1211" t="s">
        <v>321</v>
      </c>
      <c r="AL39" s="581">
        <f>+SUMIF(H18:H48,"A",E18:E48)</f>
        <v>0</v>
      </c>
      <c r="AM39" s="1335">
        <f t="shared" ref="AM39:AM46" si="45">+AR13</f>
        <v>0</v>
      </c>
      <c r="AN39" s="2497">
        <v>0</v>
      </c>
      <c r="AO39" s="1224">
        <f>+IF(AM39&gt;0,AL39*AL26/AM39,0)</f>
        <v>0</v>
      </c>
      <c r="AP39" s="1224">
        <f t="shared" ref="AP39:AP46" si="46">+AO39*(1-AX13)</f>
        <v>0</v>
      </c>
      <c r="AQ39" s="1224">
        <f>+AO39-AP39</f>
        <v>0</v>
      </c>
      <c r="BA39" s="349" t="str">
        <f t="shared" si="17"/>
        <v>Fiche infoA3</v>
      </c>
      <c r="BB39" s="107">
        <f t="shared" si="31"/>
        <v>45679</v>
      </c>
      <c r="BC39" s="172">
        <f>+$D$13+21</f>
        <v>45679</v>
      </c>
      <c r="BD39" s="173" t="str">
        <f t="shared" si="32"/>
        <v/>
      </c>
      <c r="BE39" s="173" t="str">
        <f>+IF(OR(BF39=S.CAL!$BJ$3,BF39=S.CAL!$BJ$4),BD39,"")</f>
        <v/>
      </c>
      <c r="BF39" s="351">
        <f>IF($DY$5=S.CAL!$CU$2,Janvier!AR41,IF($DY$5=S.CAL!$CU$3,VLOOKUP(BC39,planning_fp,7,FALSE),""))</f>
        <v>0</v>
      </c>
      <c r="BG39" s="363" t="str">
        <f>Janvier!BL41</f>
        <v>A</v>
      </c>
      <c r="BH39" s="374"/>
      <c r="BI39" s="376"/>
      <c r="BJ39" s="373"/>
      <c r="BK39" s="373"/>
      <c r="BL39" s="35"/>
      <c r="BM39" s="197"/>
      <c r="BN39" s="19"/>
      <c r="BO39" s="39"/>
      <c r="BP39" s="195"/>
      <c r="BS39" s="29" t="s">
        <v>1477</v>
      </c>
      <c r="BT39" s="196">
        <f>ROUND(SUM(BS28:BS35),2)</f>
        <v>0</v>
      </c>
      <c r="BV39" s="373"/>
      <c r="BW39" s="373"/>
      <c r="BX39" s="389"/>
      <c r="BY39" s="373"/>
      <c r="BZ39" s="373"/>
      <c r="CA39" s="374" t="s">
        <v>1477</v>
      </c>
      <c r="CB39" s="390">
        <f>ROUND(SUM(CA28:CA35),2)</f>
        <v>0</v>
      </c>
      <c r="CD39" s="346"/>
      <c r="CE39" s="107">
        <f t="shared" si="33"/>
        <v>45679</v>
      </c>
      <c r="CF39" s="172">
        <f>+$D$13+21</f>
        <v>45679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45679</v>
      </c>
      <c r="EM39" s="16" t="str">
        <f t="shared" si="29"/>
        <v>Fiche infoA345679</v>
      </c>
      <c r="EN39" s="16">
        <f t="shared" si="21"/>
        <v>0</v>
      </c>
      <c r="EQ39" s="16" t="str">
        <f>Janvier!FS41</f>
        <v/>
      </c>
    </row>
    <row r="40" spans="1:147" ht="18" customHeight="1" x14ac:dyDescent="0.2">
      <c r="A40" s="24" t="str">
        <f>+Janvier!BJ42</f>
        <v>Fiche infoA4</v>
      </c>
      <c r="B40" s="107">
        <f t="shared" si="30"/>
        <v>45680</v>
      </c>
      <c r="C40" s="172">
        <f>+$D$13+22</f>
        <v>45680</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Janvier!BC42</f>
        <v>0</v>
      </c>
      <c r="J40" s="34">
        <f>Janvier!BE42</f>
        <v>0</v>
      </c>
      <c r="K40" s="34">
        <f t="shared" si="15"/>
        <v>0</v>
      </c>
      <c r="L40" s="34" t="str">
        <f t="shared" si="16"/>
        <v/>
      </c>
      <c r="N40" s="395"/>
      <c r="T40" s="1344"/>
      <c r="U40" s="1344"/>
      <c r="V40" s="1344"/>
      <c r="W40" s="1344"/>
      <c r="X40" s="1344"/>
      <c r="Y40" s="1344"/>
      <c r="Z40" s="1344"/>
      <c r="AA40" s="1346" t="str">
        <f>Février!BZ34</f>
        <v>Total :</v>
      </c>
      <c r="AB40" s="1330">
        <f ca="1">SUM(AB34:AB39)</f>
        <v>0</v>
      </c>
      <c r="AC40" s="1344"/>
      <c r="AD40" s="1344"/>
      <c r="AE40" s="1344"/>
      <c r="AF40" s="1330">
        <f ca="1">SUM(AF34:AF39)</f>
        <v>0</v>
      </c>
      <c r="AJ40" s="1211"/>
      <c r="AK40" s="1211" t="s">
        <v>322</v>
      </c>
      <c r="AL40" s="581">
        <f>+SUMIF(H18:H48,"B",E18:E48)</f>
        <v>0</v>
      </c>
      <c r="AM40" s="1335">
        <f t="shared" si="45"/>
        <v>0</v>
      </c>
      <c r="AN40" s="2497"/>
      <c r="AO40" s="1224">
        <f>+IF(AM40&gt;0,AL40*AL26/AM40,0)</f>
        <v>0</v>
      </c>
      <c r="AP40" s="1224">
        <f t="shared" si="46"/>
        <v>0</v>
      </c>
      <c r="AQ40" s="1224">
        <f t="shared" ref="AQ40:AQ46" si="47">+AO40-AP40</f>
        <v>0</v>
      </c>
      <c r="BA40" s="349" t="str">
        <f t="shared" si="17"/>
        <v>Fiche infoA4</v>
      </c>
      <c r="BB40" s="107">
        <f t="shared" si="31"/>
        <v>45680</v>
      </c>
      <c r="BC40" s="172">
        <f>+$D$13+22</f>
        <v>45680</v>
      </c>
      <c r="BD40" s="173" t="str">
        <f t="shared" si="32"/>
        <v/>
      </c>
      <c r="BE40" s="173" t="str">
        <f>+IF(OR(BF40=S.CAL!$BJ$3,BF40=S.CAL!$BJ$4),BD40,"")</f>
        <v/>
      </c>
      <c r="BF40" s="351">
        <f>IF($DY$5=S.CAL!$CU$2,Janvier!AR42,IF($DY$5=S.CAL!$CU$3,VLOOKUP(BC40,planning_fp,7,FALSE),""))</f>
        <v>0</v>
      </c>
      <c r="BG40" s="363" t="str">
        <f>Janvier!BL42</f>
        <v>A</v>
      </c>
      <c r="BH40" s="373"/>
      <c r="BI40" s="373"/>
      <c r="BJ40" s="373"/>
      <c r="BK40" s="373"/>
      <c r="BL40" s="35"/>
      <c r="BN40" s="19"/>
      <c r="BO40" s="39"/>
      <c r="BP40" s="196"/>
      <c r="BV40" s="373"/>
      <c r="BW40" s="373"/>
      <c r="BX40" s="390"/>
      <c r="BY40" s="373"/>
      <c r="BZ40" s="373"/>
      <c r="CA40" s="373"/>
      <c r="CB40" s="373"/>
      <c r="CD40" s="346"/>
      <c r="CE40" s="107">
        <f t="shared" si="33"/>
        <v>45680</v>
      </c>
      <c r="CF40" s="172">
        <f>+$D$13+22</f>
        <v>45680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45680</v>
      </c>
      <c r="EM40" s="16" t="str">
        <f t="shared" si="29"/>
        <v>Fiche infoA445680</v>
      </c>
      <c r="EN40" s="16">
        <f t="shared" si="21"/>
        <v>0</v>
      </c>
      <c r="EQ40" s="16" t="str">
        <f>Janvier!FS42</f>
        <v/>
      </c>
    </row>
    <row r="41" spans="1:147" ht="18" customHeight="1" x14ac:dyDescent="0.2">
      <c r="A41" s="24" t="str">
        <f>+Janvier!BJ43</f>
        <v>Fiche infoA5</v>
      </c>
      <c r="B41" s="107">
        <f t="shared" si="30"/>
        <v>45681</v>
      </c>
      <c r="C41" s="172">
        <f>+$D$13+23</f>
        <v>45681</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Janvier!BC43</f>
        <v>0</v>
      </c>
      <c r="J41" s="34">
        <f>Janvier!BE43</f>
        <v>0</v>
      </c>
      <c r="K41" s="34">
        <f t="shared" si="15"/>
        <v>0</v>
      </c>
      <c r="L41" s="34" t="str">
        <f t="shared" si="16"/>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5"/>
        <v>0</v>
      </c>
      <c r="AN41" s="2497"/>
      <c r="AO41" s="1224">
        <f>+IF(AM41&gt;0,AL41*AL26/AM41,0)</f>
        <v>0</v>
      </c>
      <c r="AP41" s="1224">
        <f t="shared" si="46"/>
        <v>0</v>
      </c>
      <c r="AQ41" s="1224">
        <f t="shared" si="47"/>
        <v>0</v>
      </c>
      <c r="BA41" s="349" t="str">
        <f t="shared" si="17"/>
        <v>Fiche infoA5</v>
      </c>
      <c r="BB41" s="107">
        <f t="shared" si="31"/>
        <v>45681</v>
      </c>
      <c r="BC41" s="172">
        <f>+$D$13+23</f>
        <v>45681</v>
      </c>
      <c r="BD41" s="173" t="str">
        <f t="shared" si="32"/>
        <v/>
      </c>
      <c r="BE41" s="173" t="str">
        <f>+IF(OR(BF41=S.CAL!$BJ$3,BF41=S.CAL!$BJ$4),BD41,"")</f>
        <v/>
      </c>
      <c r="BF41" s="351">
        <f>IF($DY$5=S.CAL!$CU$2,Janvier!AR43,IF($DY$5=S.CAL!$CU$3,VLOOKUP(BC41,planning_fp,7,FALSE),""))</f>
        <v>0</v>
      </c>
      <c r="BG41" s="363" t="str">
        <f>Janvier!BL43</f>
        <v>A</v>
      </c>
      <c r="BH41" s="373"/>
      <c r="BI41" s="373"/>
      <c r="BJ41" s="373"/>
      <c r="BK41" s="373"/>
      <c r="BL41" s="35"/>
      <c r="BS41" s="29" t="s">
        <v>845</v>
      </c>
      <c r="BT41" s="196">
        <f>ROUND(SUM(BT28:BT35),2)</f>
        <v>0</v>
      </c>
      <c r="BV41" s="373"/>
      <c r="BW41" s="373"/>
      <c r="BX41" s="373"/>
      <c r="BY41" s="373"/>
      <c r="BZ41" s="373"/>
      <c r="CA41" s="374" t="s">
        <v>845</v>
      </c>
      <c r="CB41" s="390">
        <f>ROUND(SUM(CB28:CB35),2)</f>
        <v>0</v>
      </c>
      <c r="CD41" s="346"/>
      <c r="CE41" s="107">
        <f t="shared" si="33"/>
        <v>45681</v>
      </c>
      <c r="CF41" s="172">
        <f>+$D$13+23</f>
        <v>45681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45681</v>
      </c>
      <c r="EM41" s="16" t="str">
        <f t="shared" si="29"/>
        <v>Fiche infoA545681</v>
      </c>
      <c r="EN41" s="16">
        <f t="shared" si="21"/>
        <v>0</v>
      </c>
      <c r="EQ41" s="16" t="str">
        <f>Janvier!FS43</f>
        <v/>
      </c>
    </row>
    <row r="42" spans="1:147" ht="18" customHeight="1" x14ac:dyDescent="0.2">
      <c r="A42" s="24" t="str">
        <f>+Janvier!BJ44</f>
        <v>Fiche infoA6</v>
      </c>
      <c r="B42" s="107">
        <f t="shared" si="30"/>
        <v>45682</v>
      </c>
      <c r="C42" s="172">
        <f>+$D$13+24</f>
        <v>45682</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Janvier!BC44</f>
        <v>0</v>
      </c>
      <c r="J42" s="34">
        <f>Janvier!BE44</f>
        <v>0</v>
      </c>
      <c r="K42" s="34">
        <f t="shared" si="15"/>
        <v>0</v>
      </c>
      <c r="L42" s="34" t="str">
        <f t="shared" si="16"/>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5"/>
        <v>0</v>
      </c>
      <c r="AN42" s="2497"/>
      <c r="AO42" s="1224">
        <f>+IF(AM42&gt;0,AL42*AL26/AM42,0)</f>
        <v>0</v>
      </c>
      <c r="AP42" s="1224">
        <f t="shared" si="46"/>
        <v>0</v>
      </c>
      <c r="AQ42" s="1224">
        <f t="shared" si="47"/>
        <v>0</v>
      </c>
      <c r="BA42" s="349" t="str">
        <f t="shared" si="17"/>
        <v>Fiche infoA6</v>
      </c>
      <c r="BB42" s="107">
        <f t="shared" si="31"/>
        <v>45682</v>
      </c>
      <c r="BC42" s="172">
        <f>+$D$13+24</f>
        <v>45682</v>
      </c>
      <c r="BD42" s="173" t="str">
        <f t="shared" si="32"/>
        <v/>
      </c>
      <c r="BE42" s="173" t="str">
        <f>+IF(OR(BF42=S.CAL!$BJ$3,BF42=S.CAL!$BJ$4),BD42,"")</f>
        <v/>
      </c>
      <c r="BF42" s="351">
        <f>IF($DY$5=S.CAL!$CU$2,Janvier!AR44,IF($DY$5=S.CAL!$CU$3,VLOOKUP(BC42,planning_fp,7,FALSE),""))</f>
        <v>0</v>
      </c>
      <c r="BG42" s="363" t="str">
        <f>Janvier!BL44</f>
        <v>A</v>
      </c>
      <c r="BH42" s="374"/>
      <c r="BI42" s="376"/>
      <c r="BJ42" s="373"/>
      <c r="BK42" s="373"/>
      <c r="BL42" s="35"/>
      <c r="BV42" s="373"/>
      <c r="BW42" s="373"/>
      <c r="BX42" s="373"/>
      <c r="BY42" s="373"/>
      <c r="BZ42" s="373"/>
      <c r="CA42" s="373"/>
      <c r="CB42" s="373"/>
      <c r="CD42" s="346"/>
      <c r="CE42" s="107">
        <f t="shared" si="33"/>
        <v>45682</v>
      </c>
      <c r="CF42" s="172">
        <f>+$D$13+24</f>
        <v>45682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45682</v>
      </c>
      <c r="EM42" s="16" t="str">
        <f t="shared" si="29"/>
        <v>Fiche infoA645682</v>
      </c>
      <c r="EN42" s="16">
        <f t="shared" si="21"/>
        <v>0</v>
      </c>
      <c r="EQ42" s="16" t="str">
        <f>Janvier!FS44</f>
        <v/>
      </c>
    </row>
    <row r="43" spans="1:147" ht="18" customHeight="1" x14ac:dyDescent="0.2">
      <c r="A43" s="24" t="str">
        <f>+Janvier!BJ45</f>
        <v>Fiche infoA7</v>
      </c>
      <c r="B43" s="107">
        <f t="shared" si="30"/>
        <v>45683</v>
      </c>
      <c r="C43" s="172">
        <f>+$D$13+25</f>
        <v>45683</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Janvier!BC45</f>
        <v>0</v>
      </c>
      <c r="J43" s="34">
        <f>Janvier!BE45</f>
        <v>0</v>
      </c>
      <c r="K43" s="34">
        <f t="shared" si="15"/>
        <v>0</v>
      </c>
      <c r="L43" s="34" t="str">
        <f t="shared" si="16"/>
        <v/>
      </c>
      <c r="N43" s="395"/>
      <c r="O43" s="395"/>
      <c r="P43" s="395"/>
      <c r="Q43" s="395"/>
      <c r="R43" s="395"/>
      <c r="AJ43" s="1211"/>
      <c r="AK43" s="1211" t="s">
        <v>325</v>
      </c>
      <c r="AL43" s="581">
        <f>+SUMIF(H18:H48,"E",E18:E48)</f>
        <v>0</v>
      </c>
      <c r="AM43" s="1335">
        <f t="shared" si="45"/>
        <v>0</v>
      </c>
      <c r="AN43" s="2497"/>
      <c r="AO43" s="1224">
        <f>+IF(AM43&gt;0,AL43*AL26/AM43,0)</f>
        <v>0</v>
      </c>
      <c r="AP43" s="1224">
        <f t="shared" si="46"/>
        <v>0</v>
      </c>
      <c r="AQ43" s="1224">
        <f t="shared" si="47"/>
        <v>0</v>
      </c>
      <c r="BA43" s="349" t="str">
        <f t="shared" si="17"/>
        <v>Fiche infoA7</v>
      </c>
      <c r="BB43" s="107">
        <f t="shared" si="31"/>
        <v>45683</v>
      </c>
      <c r="BC43" s="172">
        <f>+$D$13+25</f>
        <v>45683</v>
      </c>
      <c r="BD43" s="173" t="str">
        <f t="shared" si="32"/>
        <v/>
      </c>
      <c r="BE43" s="173" t="str">
        <f>+IF(OR(BF43=S.CAL!$BJ$3,BF43=S.CAL!$BJ$4),BD43,"")</f>
        <v/>
      </c>
      <c r="BF43" s="351">
        <f>IF($DY$5=S.CAL!$CU$2,Janvier!AR45,IF($DY$5=S.CAL!$CU$3,VLOOKUP(BC43,planning_fp,7,FALSE),""))</f>
        <v>0</v>
      </c>
      <c r="BG43" s="363" t="str">
        <f>Janvier!BL45</f>
        <v>A</v>
      </c>
      <c r="BH43" s="24"/>
      <c r="BI43" s="24" t="s">
        <v>708</v>
      </c>
      <c r="BJ43" s="24"/>
      <c r="BK43" s="373"/>
      <c r="BL43" s="35"/>
      <c r="BV43" s="373"/>
      <c r="BW43" s="373"/>
      <c r="BX43" s="373"/>
      <c r="BY43" s="373"/>
      <c r="BZ43" s="373"/>
      <c r="CA43" s="373"/>
      <c r="CB43" s="373"/>
      <c r="CD43" s="346"/>
      <c r="CE43" s="107">
        <f t="shared" si="33"/>
        <v>45683</v>
      </c>
      <c r="CF43" s="172">
        <f>+$D$13+25</f>
        <v>45683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45683</v>
      </c>
      <c r="EM43" s="16" t="str">
        <f t="shared" si="29"/>
        <v>Fiche infoA745683</v>
      </c>
      <c r="EN43" s="16">
        <f t="shared" si="21"/>
        <v>0</v>
      </c>
      <c r="EQ43" s="16" t="str">
        <f>Janvier!FS45</f>
        <v/>
      </c>
    </row>
    <row r="44" spans="1:147" ht="18" customHeight="1" x14ac:dyDescent="0.25">
      <c r="A44" s="24" t="str">
        <f>+Janvier!BJ46</f>
        <v>Fiche infoA1</v>
      </c>
      <c r="B44" s="107">
        <f t="shared" si="30"/>
        <v>45684</v>
      </c>
      <c r="C44" s="172">
        <f>+$D$13+26</f>
        <v>45684</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Janvier!BC46</f>
        <v>0</v>
      </c>
      <c r="J44" s="34">
        <f>Janvier!BE46</f>
        <v>0</v>
      </c>
      <c r="K44" s="34">
        <f t="shared" si="15"/>
        <v>0</v>
      </c>
      <c r="L44" s="34" t="str">
        <f t="shared" si="16"/>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5"/>
        <v>0</v>
      </c>
      <c r="AN44" s="2497"/>
      <c r="AO44" s="1224">
        <f>+IF(AM44&gt;0,AL44*AL26/AM44,0)</f>
        <v>0</v>
      </c>
      <c r="AP44" s="1224">
        <f t="shared" si="46"/>
        <v>0</v>
      </c>
      <c r="AQ44" s="1224">
        <f t="shared" si="47"/>
        <v>0</v>
      </c>
      <c r="BA44" s="349" t="str">
        <f t="shared" si="17"/>
        <v>Fiche infoA1</v>
      </c>
      <c r="BB44" s="107">
        <f t="shared" si="31"/>
        <v>45684</v>
      </c>
      <c r="BC44" s="172">
        <f>+$D$13+26</f>
        <v>45684</v>
      </c>
      <c r="BD44" s="173" t="str">
        <f t="shared" si="32"/>
        <v/>
      </c>
      <c r="BE44" s="173" t="str">
        <f>+IF(OR(BF44=S.CAL!$BJ$3,BF44=S.CAL!$BJ$4),BD44,"")</f>
        <v/>
      </c>
      <c r="BF44" s="351">
        <f>IF($DY$5=S.CAL!$CU$2,Janvier!AR46,IF($DY$5=S.CAL!$CU$3,VLOOKUP(BC44,planning_fp,7,FALSE),""))</f>
        <v>0</v>
      </c>
      <c r="BG44" s="363" t="str">
        <f>Janvier!BL46</f>
        <v>A</v>
      </c>
      <c r="BH44" s="24" t="s">
        <v>800</v>
      </c>
      <c r="BI44" s="24"/>
      <c r="BJ44" s="24"/>
      <c r="BK44" s="373"/>
      <c r="BL44" s="35"/>
      <c r="BV44" s="373"/>
      <c r="BW44" s="373"/>
      <c r="BX44" s="373"/>
      <c r="BY44" s="373"/>
      <c r="BZ44" s="373"/>
      <c r="CA44" s="373"/>
      <c r="CB44" s="373"/>
      <c r="CD44" s="346"/>
      <c r="CE44" s="107">
        <f t="shared" si="33"/>
        <v>45684</v>
      </c>
      <c r="CF44" s="172">
        <f>+$D$13+26</f>
        <v>45684</v>
      </c>
      <c r="CG44" s="173">
        <f t="shared" si="22"/>
        <v>0</v>
      </c>
      <c r="CH44" s="34"/>
      <c r="CL44" s="99" t="str">
        <f t="shared" ref="CL44" si="48">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45684</v>
      </c>
      <c r="EM44" s="16" t="str">
        <f t="shared" si="29"/>
        <v>Fiche infoA145684</v>
      </c>
      <c r="EN44" s="16">
        <f t="shared" si="21"/>
        <v>0</v>
      </c>
      <c r="EQ44" s="16" t="str">
        <f>Janvier!FS46</f>
        <v/>
      </c>
    </row>
    <row r="45" spans="1:147" ht="18" customHeight="1" x14ac:dyDescent="0.2">
      <c r="A45" s="24" t="str">
        <f>+Janvier!BJ47</f>
        <v>Fiche infoA2</v>
      </c>
      <c r="B45" s="107">
        <f t="shared" si="30"/>
        <v>45685</v>
      </c>
      <c r="C45" s="172">
        <f>IF(C$18+27&lt;DATE(YEAR(O$13),MONTH(O$13),DAY(O$13)),C$18+27,"")</f>
        <v>45685</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Janvier!BC47</f>
        <v>0</v>
      </c>
      <c r="J45" s="34">
        <f>Janvier!BE47</f>
        <v>0</v>
      </c>
      <c r="K45" s="34">
        <f t="shared" si="15"/>
        <v>0</v>
      </c>
      <c r="L45" s="34" t="str">
        <f t="shared" si="16"/>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5"/>
        <v>0</v>
      </c>
      <c r="AN45" s="2497"/>
      <c r="AO45" s="1224">
        <f>+IF(AM45&gt;0,AL45*AL26/AM45,0)</f>
        <v>0</v>
      </c>
      <c r="AP45" s="1224">
        <f t="shared" si="46"/>
        <v>0</v>
      </c>
      <c r="AQ45" s="1224">
        <f t="shared" si="47"/>
        <v>0</v>
      </c>
      <c r="BA45" s="349" t="str">
        <f t="shared" si="17"/>
        <v>Fiche infoA2</v>
      </c>
      <c r="BB45" s="107">
        <f t="shared" si="31"/>
        <v>45685</v>
      </c>
      <c r="BC45" s="172">
        <f>IF(BC$18+27&lt;DATE(YEAR(BH$13),MONTH(BH$13),DAY(BH$13)),BC$18+27,"")</f>
        <v>45685</v>
      </c>
      <c r="BD45" s="173" t="str">
        <f t="shared" si="32"/>
        <v/>
      </c>
      <c r="BE45" s="173" t="str">
        <f>+IF(OR(BF45=S.CAL!$BJ$3,BF45=S.CAL!$BJ$4),BD45,"")</f>
        <v/>
      </c>
      <c r="BF45" s="351">
        <f>IF($DY$5=S.CAL!$CU$2,Janvier!AR47,IF($DY$5=S.CAL!$CU$3,VLOOKUP(BC45,planning_fp,7,FALSE),""))</f>
        <v>0</v>
      </c>
      <c r="BG45" s="363" t="str">
        <f>Janvier!BL47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45685</v>
      </c>
      <c r="CF45" s="172">
        <f>IF(CF$18+27&lt;DATE(YEAR(CQ$13),MONTH(CQ$13),DAY(CQ$13)),CF$18+27,"")</f>
        <v>45685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45685</v>
      </c>
      <c r="EM45" s="16" t="str">
        <f t="shared" si="29"/>
        <v>Fiche infoA245685</v>
      </c>
      <c r="EN45" s="16">
        <f t="shared" si="21"/>
        <v>0</v>
      </c>
      <c r="EQ45" s="16" t="str">
        <f>Janvier!FS47</f>
        <v/>
      </c>
    </row>
    <row r="46" spans="1:147" ht="18" customHeight="1" x14ac:dyDescent="0.2">
      <c r="A46" s="24" t="str">
        <f>+Janvier!BJ48</f>
        <v>Fiche infoA3</v>
      </c>
      <c r="B46" s="107">
        <f t="shared" si="30"/>
        <v>45686</v>
      </c>
      <c r="C46" s="172">
        <f>IF(C$18+28&lt;DATE(YEAR(O$13),MONTH(O$13),DAY(O$13)),C$18+28,"")</f>
        <v>45686</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Janvier!BC48</f>
        <v>0</v>
      </c>
      <c r="J46" s="34">
        <f>Janvier!BE48</f>
        <v>0</v>
      </c>
      <c r="K46" s="34">
        <f t="shared" si="15"/>
        <v>0</v>
      </c>
      <c r="L46" s="34" t="str">
        <f t="shared" si="16"/>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5"/>
        <v>0</v>
      </c>
      <c r="AN46" s="2497"/>
      <c r="AO46" s="1224">
        <f>+IF(AM46&gt;0,AL46*AL26/AM46,0)</f>
        <v>0</v>
      </c>
      <c r="AP46" s="1224">
        <f t="shared" si="46"/>
        <v>0</v>
      </c>
      <c r="AQ46" s="1224">
        <f t="shared" si="47"/>
        <v>0</v>
      </c>
      <c r="BA46" s="349" t="str">
        <f t="shared" si="17"/>
        <v>Fiche infoA3</v>
      </c>
      <c r="BB46" s="107">
        <f t="shared" si="31"/>
        <v>45686</v>
      </c>
      <c r="BC46" s="172">
        <f>IF(BC$18+28&lt;DATE(YEAR(BH$13),MONTH(BH$13),DAY(BH$13)),BC$18+28,"")</f>
        <v>45686</v>
      </c>
      <c r="BD46" s="173" t="str">
        <f t="shared" si="32"/>
        <v/>
      </c>
      <c r="BE46" s="173" t="str">
        <f>+IF(OR(BF46=S.CAL!$BJ$3,BF46=S.CAL!$BJ$4),BD46,"")</f>
        <v/>
      </c>
      <c r="BF46" s="351">
        <f>IF($DY$5=S.CAL!$CU$2,Janvier!AR48,IF($DY$5=S.CAL!$CU$3,VLOOKUP(BC46,planning_fp,7,FALSE),""))</f>
        <v>0</v>
      </c>
      <c r="BG46" s="363" t="str">
        <f>Janvier!BL48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45686</v>
      </c>
      <c r="CF46" s="172">
        <f>IF(CF$18+28&lt;DATE(YEAR(CQ$13),MONTH(CQ$13),DAY(CQ$13)),CF$18+28,"")</f>
        <v>45686</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45686</v>
      </c>
      <c r="EM46" s="16" t="str">
        <f t="shared" si="29"/>
        <v>Fiche infoA345686</v>
      </c>
      <c r="EN46" s="16">
        <f t="shared" si="21"/>
        <v>0</v>
      </c>
      <c r="EQ46" s="16" t="str">
        <f>Janvier!FS48</f>
        <v/>
      </c>
    </row>
    <row r="47" spans="1:147" ht="18" customHeight="1" x14ac:dyDescent="0.2">
      <c r="A47" s="24" t="str">
        <f>+Janvier!BJ49</f>
        <v>Fiche infoA4</v>
      </c>
      <c r="B47" s="107">
        <f t="shared" si="30"/>
        <v>45687</v>
      </c>
      <c r="C47" s="172">
        <f>IF(C$18+29&lt;DATE(YEAR(O$13),MONTH(O$13),DAY(O$13)),C$18+29,"")</f>
        <v>45687</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Janvier!BC49</f>
        <v>0</v>
      </c>
      <c r="J47" s="34">
        <f>Janvier!BE49</f>
        <v>0</v>
      </c>
      <c r="K47" s="34">
        <f t="shared" si="15"/>
        <v>0</v>
      </c>
      <c r="L47" s="34" t="str">
        <f t="shared" si="16"/>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t="s">
        <v>1249</v>
      </c>
      <c r="AO47" s="1224">
        <f>SUM(AO39:AO46)</f>
        <v>0</v>
      </c>
      <c r="AP47" s="1224">
        <f t="shared" ref="AP47:AQ47" si="49">SUM(AP39:AP46)</f>
        <v>0</v>
      </c>
      <c r="AQ47" s="1224">
        <f t="shared" si="49"/>
        <v>0</v>
      </c>
      <c r="BA47" s="349" t="str">
        <f t="shared" si="17"/>
        <v>Fiche infoA4</v>
      </c>
      <c r="BB47" s="107">
        <f t="shared" si="31"/>
        <v>45687</v>
      </c>
      <c r="BC47" s="172">
        <f>IF(BC$18+29&lt;DATE(YEAR(BH$13),MONTH(BH$13),DAY(BH$13)),BC$18+29,"")</f>
        <v>45687</v>
      </c>
      <c r="BD47" s="173" t="str">
        <f t="shared" si="32"/>
        <v/>
      </c>
      <c r="BE47" s="173" t="str">
        <f>+IF(OR(BF47=S.CAL!$BJ$3,BF47=S.CAL!$BJ$4),BD47,"")</f>
        <v/>
      </c>
      <c r="BF47" s="351">
        <f>IF($DY$5=S.CAL!$CU$2,Janvier!AR49,IF($DY$5=S.CAL!$CU$3,VLOOKUP(BC47,planning_fp,7,FALSE),""))</f>
        <v>0</v>
      </c>
      <c r="BG47" s="363" t="str">
        <f>Janvier!BL49</f>
        <v>A</v>
      </c>
      <c r="BH47" s="373"/>
      <c r="BI47" s="373"/>
      <c r="BJ47" s="373"/>
      <c r="BK47" s="373"/>
      <c r="BL47" s="35"/>
      <c r="BV47" s="373"/>
      <c r="BW47" s="373"/>
      <c r="BX47" s="373"/>
      <c r="BY47" s="373"/>
      <c r="BZ47" s="373"/>
      <c r="CA47" s="373"/>
      <c r="CB47" s="373"/>
      <c r="CD47" s="346"/>
      <c r="CE47" s="107">
        <f t="shared" si="33"/>
        <v>45687</v>
      </c>
      <c r="CF47" s="172">
        <f>IF(CF$18+29&lt;DATE(YEAR(CQ$13),MONTH(CQ$13),DAY(CQ$13)),CF$18+29,"")</f>
        <v>45687</v>
      </c>
      <c r="CG47" s="173">
        <f t="shared" si="22"/>
        <v>0</v>
      </c>
      <c r="CH47" s="34"/>
      <c r="CI47" s="129"/>
      <c r="CJ47" s="129"/>
      <c r="CK47" s="595"/>
      <c r="CL47" s="2501"/>
      <c r="CM47" s="2503"/>
      <c r="CN47" s="2084"/>
      <c r="CO47" s="198" t="s">
        <v>1111</v>
      </c>
      <c r="CP47" s="198" t="s">
        <v>1112</v>
      </c>
      <c r="CQ47" s="198" t="s">
        <v>1113</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45687</v>
      </c>
      <c r="EM47" s="16" t="str">
        <f t="shared" si="29"/>
        <v>Fiche infoA445687</v>
      </c>
      <c r="EN47" s="16">
        <f t="shared" si="21"/>
        <v>0</v>
      </c>
      <c r="EQ47" s="16" t="str">
        <f>Janvier!FS49</f>
        <v/>
      </c>
    </row>
    <row r="48" spans="1:147" ht="18" customHeight="1" thickBot="1" x14ac:dyDescent="0.25">
      <c r="A48" s="24" t="str">
        <f>+Janvier!BJ50</f>
        <v>Fiche infoA5</v>
      </c>
      <c r="B48" s="110">
        <f t="shared" si="30"/>
        <v>45688</v>
      </c>
      <c r="C48" s="192">
        <f>IF(C$18+30&lt;DATE(YEAR(O$13),MONTH(O$13),DAY(O$13)),C$18+30,"")</f>
        <v>45688</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Janvier!BC50</f>
        <v>0</v>
      </c>
      <c r="J48" s="34">
        <f>Janvier!BE50</f>
        <v>0</v>
      </c>
      <c r="K48" s="34">
        <f t="shared" si="15"/>
        <v>0</v>
      </c>
      <c r="L48" s="34" t="str">
        <f t="shared" si="16"/>
        <v/>
      </c>
      <c r="N48" s="24"/>
      <c r="O48" s="24"/>
      <c r="P48" s="24"/>
      <c r="Q48" s="183" t="s">
        <v>1482</v>
      </c>
      <c r="R48" s="692" t="e">
        <f>+IF(R3="Méthode 1",Q42,IF(AND(R3="Méthode 1A",ED1=S.CAL!EP1),W19,IF(AND(R3="Méthode 1A",ED1=S.CAL!EP2),W28,AP61)))</f>
        <v>#DIV/0!</v>
      </c>
      <c r="U48" s="1323"/>
      <c r="V48" s="1323"/>
      <c r="W48" s="2482" t="str">
        <f t="shared" ref="W48:W53" si="50">W34</f>
        <v>Semaine numéro : 1</v>
      </c>
      <c r="X48" s="2482"/>
      <c r="Y48" s="2482"/>
      <c r="Z48" s="1345" t="str">
        <f>+IF(Z34="","",Z34)</f>
        <v/>
      </c>
      <c r="AA48" s="1338">
        <f ca="1">+IF(Z48="",IF(AND(AD48&gt;0,AC48&gt;0),AD48+AC48,IF(AE48&gt;0,0,AC48)),Z48)</f>
        <v>0</v>
      </c>
      <c r="AB48" s="1338">
        <f ca="1">IF(AA48&gt;45,AA48-45,0)</f>
        <v>0</v>
      </c>
      <c r="AC48" s="1344">
        <f>+SUMIF(Janvier!$BK$20:$BK$50,Janvier!AT4,$D$18:$D$48)-SUMIF(Janvier!$BK$20:$BK$50,Janvier!AT4,$E$18:$E$48)</f>
        <v>0</v>
      </c>
      <c r="AD48" s="1344">
        <f ca="1">IF(+SUMIF(AG48:AG53,Report!D36,Report!D38)&gt;0,SUMIF(AG48:AG53,Report!D36,Report!D38),AD34)</f>
        <v>0</v>
      </c>
      <c r="AE48" s="1344">
        <f>+SUMIF(Février!$BK$20:$BK$50,Janvier!AT4,'Retenue Fev'!$D$18:$D$48)</f>
        <v>0</v>
      </c>
      <c r="AF48" s="1338">
        <f ca="1">+AC48-AB48</f>
        <v>0</v>
      </c>
      <c r="AG48" s="581">
        <f>+Janvier!AT4</f>
        <v>1</v>
      </c>
      <c r="AK48" s="1211"/>
      <c r="AL48" s="1224"/>
      <c r="AO48" s="1224">
        <f>+AN39*AL26</f>
        <v>0</v>
      </c>
      <c r="AP48" s="1224">
        <f>+AO48*(1-AX21)</f>
        <v>0</v>
      </c>
      <c r="AQ48" s="1224">
        <f>+AO48-AP48</f>
        <v>0</v>
      </c>
      <c r="BA48" s="349" t="str">
        <f t="shared" si="17"/>
        <v>Fiche infoA5</v>
      </c>
      <c r="BB48" s="110">
        <f t="shared" si="31"/>
        <v>45688</v>
      </c>
      <c r="BC48" s="192">
        <f>IF(BC$18+30&lt;DATE(YEAR(BH$13),MONTH(BH$13),DAY(BH$13)),BC$18+30,"")</f>
        <v>45688</v>
      </c>
      <c r="BD48" s="193" t="str">
        <f t="shared" si="32"/>
        <v/>
      </c>
      <c r="BE48" s="193" t="str">
        <f>+IF(OR(BF48=S.CAL!$BJ$3,BF48=S.CAL!$BJ$4),BD48,"")</f>
        <v/>
      </c>
      <c r="BF48" s="352">
        <f>IF($DY$5=S.CAL!$CU$2,Janvier!AR50,IF($DY$5=S.CAL!$CU$3,VLOOKUP(BC48,planning_fp,7,FALSE),""))</f>
        <v>0</v>
      </c>
      <c r="BG48" s="364" t="str">
        <f>Janvier!BL50</f>
        <v>A</v>
      </c>
      <c r="BH48" s="374"/>
      <c r="BI48" s="373"/>
      <c r="BJ48" s="373"/>
      <c r="BK48" s="373"/>
      <c r="BL48" s="35"/>
      <c r="BQ48" s="16" t="s">
        <v>846</v>
      </c>
      <c r="BV48" s="373"/>
      <c r="BW48" s="373"/>
      <c r="BX48" s="373" t="s">
        <v>846</v>
      </c>
      <c r="BZ48" s="373"/>
      <c r="CA48" s="373"/>
      <c r="CB48" s="373"/>
      <c r="CD48" s="346"/>
      <c r="CE48" s="110">
        <f t="shared" si="33"/>
        <v>45688</v>
      </c>
      <c r="CF48" s="192">
        <f>IF(CF$18+30&lt;DATE(YEAR(CQ$13),MONTH(CQ$13),DAY(CQ$13)),CF$18+30,"")</f>
        <v>45688</v>
      </c>
      <c r="CG48" s="193">
        <f t="shared" si="22"/>
        <v>0</v>
      </c>
      <c r="CH48" s="34"/>
      <c r="CI48" s="2491" t="str">
        <f t="shared" ref="CI48:CI53" si="51">W48</f>
        <v>Semaine numéro : 1</v>
      </c>
      <c r="CJ48" s="2492"/>
      <c r="CK48" s="2493"/>
      <c r="CL48" s="893" t="str">
        <f>+IF(CL34="","",CL34)</f>
        <v/>
      </c>
      <c r="CM48" s="674">
        <f ca="1">+IF(CL48="",IF(AND(CP48&gt;0,CO48&gt;0),CP48+CO48,IF(CQ48&gt;0,0,CO48)),CL48)</f>
        <v>0</v>
      </c>
      <c r="CN48" s="673">
        <f ca="1">IF(CM48&gt;45,CM48-45,0)</f>
        <v>0</v>
      </c>
      <c r="CO48" s="198">
        <f>+SUMIF(Janvier!$BK$20:$BK$50,Janvier!AT4,$CG$18:$CG$48)</f>
        <v>0</v>
      </c>
      <c r="CP48" s="198">
        <f ca="1">IF(+SUMIF($AG$48:$AG$53,Report!$D$36,Report!$D$38)&gt;0,SUMIF($AG$48:$AG$53,Report!$D$36,Report!$D$38),AD34)</f>
        <v>0</v>
      </c>
      <c r="CQ48" s="198">
        <f>+SUMIF(Février!$BK$20:$BK$50,Janvier!AT4,'Retenue Fev'!$D$18:$D$48)</f>
        <v>0</v>
      </c>
      <c r="CR48" s="674">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45688</v>
      </c>
      <c r="EM48" s="16" t="str">
        <f t="shared" si="29"/>
        <v>Fiche infoA545688</v>
      </c>
      <c r="EN48" s="16">
        <f t="shared" si="21"/>
        <v>0</v>
      </c>
      <c r="EQ48" s="16" t="str">
        <f>Janvier!FS50</f>
        <v/>
      </c>
    </row>
    <row r="49" spans="2:139" ht="18" customHeight="1" thickBot="1" x14ac:dyDescent="0.25">
      <c r="N49" s="24"/>
      <c r="O49" s="24"/>
      <c r="P49" s="24"/>
      <c r="Q49" s="24"/>
      <c r="R49" s="24"/>
      <c r="S49" s="1347"/>
      <c r="U49" s="1323"/>
      <c r="V49" s="1323"/>
      <c r="W49" s="2482" t="str">
        <f t="shared" si="50"/>
        <v>Semaine numéro : 2</v>
      </c>
      <c r="X49" s="2482"/>
      <c r="Y49" s="2482"/>
      <c r="Z49" s="1345" t="str">
        <f t="shared" ref="Z49:Z53" si="52">+IF(Z35="","",Z35)</f>
        <v/>
      </c>
      <c r="AA49" s="1338">
        <f t="shared" ref="AA49:AA53" si="53">+IF(Z49="",IF(AND(AD49&gt;0,AC49&gt;0),AD49+AC49,IF(AE49&gt;0,0,AC49)),Z49)</f>
        <v>0</v>
      </c>
      <c r="AB49" s="1338">
        <f t="shared" ref="AB49:AB53" si="54">IF(AA49&gt;45,AA49-45,0)</f>
        <v>0</v>
      </c>
      <c r="AC49" s="1344">
        <f>+SUMIF(Janvier!$BK$20:$BK$50,Janvier!AT5,$D$18:$D$48)-SUMIF(Janvier!$BK$20:$BK$50,Janvier!AT5,$E$18:$E$48)</f>
        <v>0</v>
      </c>
      <c r="AD49" s="1344"/>
      <c r="AE49" s="1344">
        <f>+SUMIF(Février!$BK$20:$BK$50,Janvier!AT5,'Retenue Fev'!$D$18:$D$48)</f>
        <v>0</v>
      </c>
      <c r="AF49" s="1338">
        <f t="shared" ref="AF49:AF53" si="55">+AC49-AB49</f>
        <v>0</v>
      </c>
      <c r="AG49" s="581">
        <f>+Janvier!AT5</f>
        <v>2</v>
      </c>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1"/>
        <v>Semaine numéro : 2</v>
      </c>
      <c r="CJ49" s="2492"/>
      <c r="CK49" s="2493"/>
      <c r="CL49" s="893" t="str">
        <f t="shared" ref="CL49:CL53" si="56">+IF(CL35="","",CL35)</f>
        <v/>
      </c>
      <c r="CM49" s="674">
        <f t="shared" ref="CM49:CM53" ca="1" si="57">+IF(CL49="",IF(AND(CP49&gt;0,CO49&gt;0),CP49+CO49,IF(CQ49&gt;0,0,CO49)),CL49)</f>
        <v>0</v>
      </c>
      <c r="CN49" s="673">
        <f t="shared" ref="CN49:CN53" ca="1" si="58">IF(CM49&gt;45,CM49-45,0)</f>
        <v>0</v>
      </c>
      <c r="CO49" s="198">
        <f>+SUMIF(Janvier!$BK$20:$BK$50,Janvier!AT5,$CG$18:$CG$48)</f>
        <v>0</v>
      </c>
      <c r="CP49" s="198">
        <f ca="1">IF(+SUMIF($AG$48:$AG$53,Report!$D$36,Report!$D$38)&gt;0,SUMIF($AG$48:$AG$53,Report!$D$36,Report!$D$38),AD35)</f>
        <v>0</v>
      </c>
      <c r="CQ49" s="198">
        <f>+SUMIF(Février!$BK$20:$BK$50,Janvier!AT5,'Retenue Fev'!$D$18:$D$48)</f>
        <v>0</v>
      </c>
      <c r="CR49" s="674">
        <f t="shared" ref="CR49:CR53" ca="1" si="59">+CO49-CN49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0"/>
        <v>Semaine numéro : 3</v>
      </c>
      <c r="X50" s="2482"/>
      <c r="Y50" s="2482"/>
      <c r="Z50" s="1345" t="str">
        <f t="shared" si="52"/>
        <v/>
      </c>
      <c r="AA50" s="1338">
        <f t="shared" si="53"/>
        <v>0</v>
      </c>
      <c r="AB50" s="1338">
        <f t="shared" si="54"/>
        <v>0</v>
      </c>
      <c r="AC50" s="1344">
        <f>+SUMIF(Janvier!$BK$20:$BK$50,Janvier!AT6,$D$18:$D$48)-SUMIF(Janvier!$BK$20:$BK$50,Janvier!AT6,$E$18:$E$48)</f>
        <v>0</v>
      </c>
      <c r="AD50" s="1344"/>
      <c r="AE50" s="1344">
        <f>+SUMIF(Février!$BK$20:$BK$50,Janvier!AT6,'Retenue Fev'!$D$18:$D$48)</f>
        <v>0</v>
      </c>
      <c r="AF50" s="1338">
        <f t="shared" si="55"/>
        <v>0</v>
      </c>
      <c r="AG50" s="581">
        <f>+Janvier!AT6</f>
        <v>3</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1"/>
        <v>Semaine numéro : 3</v>
      </c>
      <c r="CJ50" s="2492"/>
      <c r="CK50" s="2493"/>
      <c r="CL50" s="893" t="str">
        <f t="shared" si="56"/>
        <v/>
      </c>
      <c r="CM50" s="674">
        <f t="shared" ca="1" si="57"/>
        <v>0</v>
      </c>
      <c r="CN50" s="673">
        <f t="shared" ca="1" si="58"/>
        <v>0</v>
      </c>
      <c r="CO50" s="198">
        <f>+SUMIF(Janvier!$BK$20:$BK$50,Janvier!AT6,$CG$18:$CG$48)</f>
        <v>0</v>
      </c>
      <c r="CP50" s="198">
        <f ca="1">IF(+SUMIF($AG$48:$AG$53,Report!$D$36,Report!$D$38)&gt;0,SUMIF($AG$48:$AG$53,Report!$D$36,Report!$D$38),AD36)</f>
        <v>0</v>
      </c>
      <c r="CQ50" s="198">
        <f>+SUMIF(Février!$BK$20:$BK$50,Janvier!AT6,'Retenue Fev'!$D$18:$D$48)</f>
        <v>0</v>
      </c>
      <c r="CR50" s="674">
        <f t="shared" ca="1" si="59"/>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0"/>
        <v>Semaine numéro : 4</v>
      </c>
      <c r="X51" s="2482"/>
      <c r="Y51" s="2482"/>
      <c r="Z51" s="1345" t="str">
        <f t="shared" si="52"/>
        <v/>
      </c>
      <c r="AA51" s="1338">
        <f t="shared" si="53"/>
        <v>0</v>
      </c>
      <c r="AB51" s="1338">
        <f t="shared" si="54"/>
        <v>0</v>
      </c>
      <c r="AC51" s="1344">
        <f>+SUMIF(Janvier!$BK$20:$BK$50,Janvier!AT7,$D$18:$D$48)-SUMIF(Janvier!$BK$20:$BK$50,Janvier!AT7,$E$18:$E$48)</f>
        <v>0</v>
      </c>
      <c r="AD51" s="1344"/>
      <c r="AE51" s="1344">
        <f>+SUMIF(Février!$BK$20:$BK$50,Janvier!AT7,'Retenue Fev'!$D$18:$D$48)</f>
        <v>0</v>
      </c>
      <c r="AF51" s="1338">
        <f t="shared" si="55"/>
        <v>0</v>
      </c>
      <c r="AG51" s="581">
        <f>+Janvier!AT7</f>
        <v>4</v>
      </c>
      <c r="AJ51" s="1326"/>
      <c r="AK51" s="1327"/>
      <c r="AL51" s="1329"/>
      <c r="BA51" s="346"/>
      <c r="BD51" s="369" t="s">
        <v>758</v>
      </c>
      <c r="BE51" s="194">
        <f>+SUMIFS(BE18:BE48,BF18:BF48,S.CAL!BJ3)</f>
        <v>0</v>
      </c>
      <c r="BF51" s="370">
        <f>IF(Janvier!AZ90="",+COUNTIF(BF18:BF48,S.CAL!BJ3),Janvier!AZ90)</f>
        <v>0</v>
      </c>
      <c r="BL51" s="35"/>
      <c r="CD51" s="346"/>
      <c r="CI51" s="2491" t="str">
        <f t="shared" si="51"/>
        <v>Semaine numéro : 4</v>
      </c>
      <c r="CJ51" s="2492"/>
      <c r="CK51" s="2493"/>
      <c r="CL51" s="893" t="str">
        <f t="shared" si="56"/>
        <v/>
      </c>
      <c r="CM51" s="674">
        <f t="shared" ca="1" si="57"/>
        <v>0</v>
      </c>
      <c r="CN51" s="673">
        <f t="shared" ca="1" si="58"/>
        <v>0</v>
      </c>
      <c r="CO51" s="198">
        <f>+SUMIF(Janvier!$BK$20:$BK$50,Janvier!AT7,$CG$18:$CG$48)</f>
        <v>0</v>
      </c>
      <c r="CP51" s="198">
        <f ca="1">IF(+SUMIF($AG$48:$AG$53,Report!$D$36,Report!$D$38)&gt;0,SUMIF($AG$48:$AG$53,Report!$D$36,Report!$D$38),AD37)</f>
        <v>0</v>
      </c>
      <c r="CQ51" s="198">
        <f>+SUMIF(Février!$BK$20:$BK$50,Janvier!AT7,'Retenue Fev'!$D$18:$D$48)</f>
        <v>0</v>
      </c>
      <c r="CR51" s="674">
        <f t="shared" ca="1" si="59"/>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0"/>
        <v>Semaine numéro : 5</v>
      </c>
      <c r="X52" s="2482"/>
      <c r="Y52" s="2482"/>
      <c r="Z52" s="1345" t="str">
        <f t="shared" si="52"/>
        <v/>
      </c>
      <c r="AA52" s="1338">
        <f t="shared" si="53"/>
        <v>0</v>
      </c>
      <c r="AB52" s="1338">
        <f t="shared" si="54"/>
        <v>0</v>
      </c>
      <c r="AC52" s="1344">
        <f>+SUMIF(Janvier!$BK$20:$BK$50,Janvier!AT8,$D$18:$D$48)-SUMIF(Janvier!$BK$20:$BK$50,Janvier!AT8,$E$18:$E$48)</f>
        <v>0</v>
      </c>
      <c r="AD52" s="1344"/>
      <c r="AE52" s="1344">
        <f>+SUMIF(Février!$BK$20:$BK$50,Janvier!AT8,'Retenue Fev'!$D$18:$D$48)</f>
        <v>0</v>
      </c>
      <c r="AF52" s="1338">
        <f t="shared" si="55"/>
        <v>0</v>
      </c>
      <c r="AG52" s="581">
        <f>+Janvier!AT8</f>
        <v>5</v>
      </c>
      <c r="AO52" s="1211" t="s">
        <v>1126</v>
      </c>
      <c r="AP52" s="1348">
        <f>IF(AL22,+ROUND((AQ48+SUM(AQ39:AQ46))*AL34/AL22*Q11,2),0)</f>
        <v>0</v>
      </c>
      <c r="BA52" s="346"/>
      <c r="BD52" s="1363" t="s">
        <v>708</v>
      </c>
      <c r="BE52" s="1364">
        <f>+SUMIFS(BE18:BE48,BF18:BF48,S.CAL!BJ4)</f>
        <v>0</v>
      </c>
      <c r="BF52" s="1365">
        <f>IF(Janvier!BA90="",+COUNTIF(BF18:BF48,S.CAL!BJ4),Janvier!BA90)</f>
        <v>0</v>
      </c>
      <c r="BL52" s="35"/>
      <c r="BU52" s="16" t="s">
        <v>788</v>
      </c>
      <c r="BW52" s="357">
        <f>+BR46+BR49+BZ46+BZ49</f>
        <v>0</v>
      </c>
      <c r="CD52" s="346"/>
      <c r="CI52" s="2491" t="str">
        <f t="shared" si="51"/>
        <v>Semaine numéro : 5</v>
      </c>
      <c r="CJ52" s="2492"/>
      <c r="CK52" s="2493"/>
      <c r="CL52" s="893" t="str">
        <f t="shared" si="56"/>
        <v/>
      </c>
      <c r="CM52" s="674">
        <f t="shared" ca="1" si="57"/>
        <v>0</v>
      </c>
      <c r="CN52" s="673">
        <f t="shared" ca="1" si="58"/>
        <v>0</v>
      </c>
      <c r="CO52" s="198">
        <f>+SUMIF(Janvier!$BK$20:$BK$50,Janvier!AT8,$CG$18:$CG$48)</f>
        <v>0</v>
      </c>
      <c r="CP52" s="198">
        <f ca="1">IF(+SUMIF($AG$48:$AG$53,Report!$D$36,Report!$D$38)&gt;0,SUMIF($AG$48:$AG$53,Report!$D$36,Report!$D$38),AD38)</f>
        <v>0</v>
      </c>
      <c r="CQ52" s="198">
        <f>+SUMIF(Février!$BK$20:$BK$50,Janvier!AT8,'Retenue Fev'!$D$18:$D$48)</f>
        <v>0</v>
      </c>
      <c r="CR52" s="674">
        <f t="shared" ca="1" si="59"/>
        <v>0</v>
      </c>
      <c r="EE52" s="19"/>
      <c r="EF52" s="19"/>
      <c r="EG52" s="19"/>
      <c r="EH52" s="19"/>
      <c r="EI52" s="19"/>
    </row>
    <row r="53" spans="2:139" ht="13.5" thickBot="1" x14ac:dyDescent="0.25">
      <c r="N53" s="24"/>
      <c r="O53" s="24"/>
      <c r="P53" s="24"/>
      <c r="Q53" s="24"/>
      <c r="R53" s="24"/>
      <c r="S53" s="1350"/>
      <c r="U53" s="1323"/>
      <c r="V53" s="1323"/>
      <c r="W53" s="2482" t="str">
        <f t="shared" si="50"/>
        <v xml:space="preserve">Semaine numéro : </v>
      </c>
      <c r="X53" s="2482"/>
      <c r="Y53" s="2482"/>
      <c r="Z53" s="1345" t="str">
        <f t="shared" si="52"/>
        <v/>
      </c>
      <c r="AA53" s="1338">
        <f t="shared" si="53"/>
        <v>0</v>
      </c>
      <c r="AB53" s="1338">
        <f t="shared" si="54"/>
        <v>0</v>
      </c>
      <c r="AC53" s="1344">
        <f>+SUMIF(Janvier!$BK$20:$BK$50,Janvier!AT9,$D$18:$D$48)-SUMIF(Janvier!$BK$20:$BK$50,Janvier!AT9,$E$18:$E$48)</f>
        <v>0</v>
      </c>
      <c r="AD53" s="1344"/>
      <c r="AE53" s="1344">
        <f>+SUMIF(Février!$BK$20:$BK$50,Janvier!AT9,'Retenue Fev'!$D$18:$D$48)</f>
        <v>0</v>
      </c>
      <c r="AF53" s="1338">
        <f t="shared" si="55"/>
        <v>0</v>
      </c>
      <c r="AG53" s="581" t="str">
        <f>+Janvier!AT9</f>
        <v/>
      </c>
      <c r="BA53" s="346"/>
      <c r="BD53" s="392" t="s">
        <v>722</v>
      </c>
      <c r="BE53" s="394">
        <f>+COUNTIF(BE18:BE48,"&gt;0")</f>
        <v>0</v>
      </c>
      <c r="BF53" s="393"/>
      <c r="BH53" s="443"/>
      <c r="BI53" s="444" t="s">
        <v>701</v>
      </c>
      <c r="BJ53" s="445">
        <f>IF(BK3=S.CAL!BP2,BI50,IF(BK3=S.CAL!BP3,BW54,0))</f>
        <v>0</v>
      </c>
      <c r="BK53" s="443"/>
      <c r="BL53" s="35"/>
      <c r="CD53" s="346"/>
      <c r="CI53" s="2491" t="str">
        <f t="shared" si="51"/>
        <v xml:space="preserve">Semaine numéro : </v>
      </c>
      <c r="CJ53" s="2492"/>
      <c r="CK53" s="2493"/>
      <c r="CL53" s="893" t="str">
        <f t="shared" si="56"/>
        <v/>
      </c>
      <c r="CM53" s="674">
        <f t="shared" ca="1" si="57"/>
        <v>0</v>
      </c>
      <c r="CN53" s="673">
        <f t="shared" ca="1" si="58"/>
        <v>0</v>
      </c>
      <c r="CO53" s="198">
        <f>+SUMIF(Janvier!$BK$20:$BK$50,Janvier!AT9,$CG$18:$CG$48)</f>
        <v>0</v>
      </c>
      <c r="CP53" s="198">
        <f ca="1">IF(+SUMIF($AG$48:$AG$53,Report!$D$36,Report!$D$38)&gt;0,SUMIF($AG$48:$AG$53,Report!$D$36,Report!$D$38),AD39)</f>
        <v>0</v>
      </c>
      <c r="CQ53" s="198">
        <f>+SUMIF(Février!$BK$20:$BK$50,Janvier!AT9,'Retenue Fev'!$D$18:$D$48)</f>
        <v>0</v>
      </c>
      <c r="CR53" s="674">
        <f t="shared" ca="1" si="59"/>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 ca="1">SUM(AB48:AB53)</f>
        <v>0</v>
      </c>
      <c r="AC54" s="1344"/>
      <c r="AD54" s="1344"/>
      <c r="AE54" s="1344"/>
      <c r="AF54" s="1330">
        <f ca="1">SUM(AF48:AF53)</f>
        <v>0</v>
      </c>
      <c r="AO54" s="1211" t="s">
        <v>1122</v>
      </c>
      <c r="BA54" s="346"/>
      <c r="BH54" s="443"/>
      <c r="BI54" s="443"/>
      <c r="BJ54" s="443"/>
      <c r="BK54" s="443"/>
      <c r="BU54" s="16" t="s">
        <v>790</v>
      </c>
      <c r="BW54" s="357">
        <f>+BR46+BR49+BZ46+BZ49</f>
        <v>0</v>
      </c>
      <c r="CD54" s="346"/>
      <c r="CI54" s="129"/>
      <c r="CJ54" s="129"/>
      <c r="CK54" s="129"/>
      <c r="CL54" s="129"/>
      <c r="CM54" s="676" t="s">
        <v>450</v>
      </c>
      <c r="CN54" s="677">
        <f ca="1">SUM(CN48:CN53)</f>
        <v>0</v>
      </c>
      <c r="CO54" s="900"/>
      <c r="CP54" s="900"/>
      <c r="CQ54" s="900"/>
      <c r="CR54" s="677">
        <f ca="1">SUM(CR48:CR53)</f>
        <v>0</v>
      </c>
      <c r="EE54" s="19"/>
      <c r="EF54" s="19"/>
      <c r="EG54" s="19"/>
      <c r="EH54" s="19"/>
      <c r="EI54" s="19"/>
    </row>
    <row r="55" spans="2:139" ht="13.5" thickBot="1" x14ac:dyDescent="0.25">
      <c r="B55" s="2469">
        <f>B17</f>
        <v>45658</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H56" s="82" t="s">
        <v>1679</v>
      </c>
      <c r="Q56" s="395"/>
      <c r="R56" s="395"/>
      <c r="BA56" s="346"/>
      <c r="BH56" s="581"/>
      <c r="BI56" s="1211" t="s">
        <v>717</v>
      </c>
      <c r="BJ56" s="1362">
        <f>+IF(BK3=S.CAL!BP2,BJ45,IF(BK3=S.CAL!BP3,BZ46+BZ49,0))</f>
        <v>0</v>
      </c>
      <c r="BK56" s="581"/>
      <c r="CD56" s="346"/>
      <c r="EE56" s="19"/>
      <c r="EF56" s="79"/>
      <c r="EG56" s="79"/>
      <c r="EH56" s="19"/>
      <c r="EI56" s="79"/>
    </row>
    <row r="57" spans="2:139" x14ac:dyDescent="0.2">
      <c r="B57" s="170">
        <f t="shared" ref="B57:C72" si="60">B18</f>
        <v>45658</v>
      </c>
      <c r="C57" s="171">
        <f t="shared" si="60"/>
        <v>45658</v>
      </c>
      <c r="D57" s="353" t="str">
        <f t="shared" ref="D57:D87" si="61">E18</f>
        <v/>
      </c>
      <c r="E57" s="353" t="str">
        <f>+IF(D57="","",VLOOKUP(C57,$CF$18:$CG$48,2,FALSE))</f>
        <v/>
      </c>
      <c r="F57" s="1553" t="str">
        <f t="shared" ref="F57:F87" si="62">+IFERROR(IF(VLOOKUP(E57,Liste_motif_formule,10,FALSE)="OUI",D57,""),"")</f>
        <v/>
      </c>
      <c r="G57" s="1553" t="str">
        <f t="shared" ref="G57:G87" si="63">+IFERROR(IF(VLOOKUP(E57,Liste_motif_formule,11,FALSE)="OUI",D57,""),"")</f>
        <v/>
      </c>
      <c r="H57" s="1553" t="str">
        <f t="shared" ref="H57:H87" si="64">+IFERROR(IF(VLOOKUP(E57,Liste_motif_formule,11,FALSE)="OUI",D57,""),"")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0"/>
        <v>45659</v>
      </c>
      <c r="C58" s="172">
        <f t="shared" si="60"/>
        <v>45659</v>
      </c>
      <c r="D58" s="173" t="str">
        <f t="shared" si="61"/>
        <v/>
      </c>
      <c r="E58" s="173" t="str">
        <f t="shared" ref="E58:E87" si="65">+IF(D58="","",VLOOKUP(C58,$CF$18:$CG$48,2,FALSE))</f>
        <v/>
      </c>
      <c r="F58" s="1554" t="str">
        <f t="shared" si="62"/>
        <v/>
      </c>
      <c r="G58" s="1554" t="str">
        <f t="shared" si="63"/>
        <v/>
      </c>
      <c r="H58" s="1554" t="str">
        <f t="shared" si="64"/>
        <v/>
      </c>
      <c r="AO58" s="1211" t="str">
        <f>+ROUND(AP47,4)&amp;" / "&amp;ROUND(AO47,4)&amp;" ="</f>
        <v>0 / 0 =</v>
      </c>
      <c r="AP58" s="581">
        <f>IFERROR(ROUND(+AP47/AO47,6),0)</f>
        <v>0</v>
      </c>
      <c r="BA58" s="346"/>
      <c r="CD58" s="346"/>
      <c r="EE58" s="19"/>
      <c r="EF58" s="19"/>
      <c r="EG58" s="19"/>
      <c r="EH58" s="19"/>
      <c r="EI58" s="19"/>
    </row>
    <row r="59" spans="2:139" x14ac:dyDescent="0.2">
      <c r="B59" s="107">
        <f t="shared" si="60"/>
        <v>45660</v>
      </c>
      <c r="C59" s="172">
        <f t="shared" si="60"/>
        <v>45660</v>
      </c>
      <c r="D59" s="173" t="str">
        <f t="shared" si="61"/>
        <v/>
      </c>
      <c r="E59" s="173" t="str">
        <f t="shared" si="65"/>
        <v/>
      </c>
      <c r="F59" s="1554" t="str">
        <f t="shared" si="62"/>
        <v/>
      </c>
      <c r="G59" s="1554" t="str">
        <f t="shared" si="63"/>
        <v/>
      </c>
      <c r="H59" s="1554" t="str">
        <f t="shared" si="64"/>
        <v/>
      </c>
      <c r="BA59" s="346"/>
      <c r="BH59" s="29" t="s">
        <v>791</v>
      </c>
      <c r="BI59" s="58">
        <f>+BJ45+BJ29</f>
        <v>0</v>
      </c>
      <c r="CD59" s="346"/>
    </row>
    <row r="60" spans="2:139" x14ac:dyDescent="0.2">
      <c r="B60" s="107">
        <f t="shared" si="60"/>
        <v>45661</v>
      </c>
      <c r="C60" s="172">
        <f t="shared" si="60"/>
        <v>45661</v>
      </c>
      <c r="D60" s="173" t="str">
        <f t="shared" si="61"/>
        <v/>
      </c>
      <c r="E60" s="173" t="str">
        <f t="shared" si="65"/>
        <v/>
      </c>
      <c r="F60" s="1554" t="str">
        <f t="shared" si="62"/>
        <v/>
      </c>
      <c r="G60" s="1554" t="str">
        <f t="shared" si="63"/>
        <v/>
      </c>
      <c r="H60" s="1554" t="str">
        <f t="shared" si="64"/>
        <v/>
      </c>
      <c r="AM60" s="1351"/>
      <c r="AN60" s="1351"/>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0"/>
        <v>45662</v>
      </c>
      <c r="C61" s="172">
        <f t="shared" si="60"/>
        <v>45662</v>
      </c>
      <c r="D61" s="173" t="str">
        <f t="shared" si="61"/>
        <v/>
      </c>
      <c r="E61" s="173" t="str">
        <f t="shared" si="65"/>
        <v/>
      </c>
      <c r="F61" s="1554" t="str">
        <f t="shared" si="62"/>
        <v/>
      </c>
      <c r="G61" s="1554" t="str">
        <f t="shared" si="63"/>
        <v/>
      </c>
      <c r="H61" s="1554" t="str">
        <f t="shared" si="64"/>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0"/>
        <v>45663</v>
      </c>
      <c r="C62" s="172">
        <f t="shared" si="60"/>
        <v>45663</v>
      </c>
      <c r="D62" s="173" t="str">
        <f t="shared" si="61"/>
        <v/>
      </c>
      <c r="E62" s="173" t="str">
        <f t="shared" si="65"/>
        <v/>
      </c>
      <c r="F62" s="1554" t="str">
        <f t="shared" si="62"/>
        <v/>
      </c>
      <c r="G62" s="1554" t="str">
        <f t="shared" si="63"/>
        <v/>
      </c>
      <c r="H62" s="1554" t="str">
        <f t="shared" si="64"/>
        <v/>
      </c>
      <c r="BA62" s="346"/>
      <c r="BH62" s="443"/>
      <c r="BI62" s="443"/>
      <c r="BJ62" s="443"/>
      <c r="BK62" s="443"/>
      <c r="CD62" s="346"/>
    </row>
    <row r="63" spans="2:139" x14ac:dyDescent="0.2">
      <c r="B63" s="107">
        <f t="shared" si="60"/>
        <v>45664</v>
      </c>
      <c r="C63" s="172">
        <f t="shared" si="60"/>
        <v>45664</v>
      </c>
      <c r="D63" s="173" t="str">
        <f t="shared" si="61"/>
        <v/>
      </c>
      <c r="E63" s="173" t="str">
        <f t="shared" si="65"/>
        <v/>
      </c>
      <c r="F63" s="1554" t="str">
        <f t="shared" si="62"/>
        <v/>
      </c>
      <c r="G63" s="1554" t="str">
        <f t="shared" si="63"/>
        <v/>
      </c>
      <c r="H63" s="1554" t="str">
        <f t="shared" si="64"/>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0"/>
        <v>45665</v>
      </c>
      <c r="C64" s="172">
        <f t="shared" si="60"/>
        <v>45665</v>
      </c>
      <c r="D64" s="173" t="str">
        <f t="shared" si="61"/>
        <v/>
      </c>
      <c r="E64" s="173" t="str">
        <f t="shared" si="65"/>
        <v/>
      </c>
      <c r="F64" s="1554" t="str">
        <f t="shared" si="62"/>
        <v/>
      </c>
      <c r="G64" s="1554" t="str">
        <f t="shared" si="63"/>
        <v/>
      </c>
      <c r="H64" s="1554" t="str">
        <f t="shared" si="64"/>
        <v/>
      </c>
      <c r="AO64" s="1353"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0"/>
        <v>45666</v>
      </c>
      <c r="C65" s="172">
        <f t="shared" si="60"/>
        <v>45666</v>
      </c>
      <c r="D65" s="173" t="str">
        <f t="shared" si="61"/>
        <v/>
      </c>
      <c r="E65" s="173" t="str">
        <f t="shared" si="65"/>
        <v/>
      </c>
      <c r="F65" s="1554" t="str">
        <f t="shared" si="62"/>
        <v/>
      </c>
      <c r="G65" s="1554" t="str">
        <f t="shared" si="63"/>
        <v/>
      </c>
      <c r="H65" s="1554" t="str">
        <f t="shared" si="64"/>
        <v/>
      </c>
      <c r="BA65" s="346"/>
      <c r="CD65" s="346"/>
    </row>
    <row r="66" spans="2:82" ht="12.75" customHeight="1" x14ac:dyDescent="0.2">
      <c r="B66" s="107">
        <f t="shared" si="60"/>
        <v>45667</v>
      </c>
      <c r="C66" s="172">
        <f t="shared" si="60"/>
        <v>45667</v>
      </c>
      <c r="D66" s="173" t="str">
        <f t="shared" si="61"/>
        <v/>
      </c>
      <c r="E66" s="173" t="str">
        <f t="shared" si="65"/>
        <v/>
      </c>
      <c r="F66" s="1554" t="str">
        <f t="shared" si="62"/>
        <v/>
      </c>
      <c r="G66" s="1554" t="str">
        <f t="shared" si="63"/>
        <v/>
      </c>
      <c r="H66" s="1554" t="str">
        <f t="shared" si="64"/>
        <v/>
      </c>
      <c r="BA66" s="346"/>
      <c r="CD66" s="346"/>
    </row>
    <row r="67" spans="2:82" ht="12.75" customHeight="1" x14ac:dyDescent="0.2">
      <c r="B67" s="107">
        <f t="shared" si="60"/>
        <v>45668</v>
      </c>
      <c r="C67" s="172">
        <f t="shared" si="60"/>
        <v>45668</v>
      </c>
      <c r="D67" s="173" t="str">
        <f t="shared" si="61"/>
        <v/>
      </c>
      <c r="E67" s="173" t="str">
        <f t="shared" si="65"/>
        <v/>
      </c>
      <c r="F67" s="1554" t="str">
        <f t="shared" si="62"/>
        <v/>
      </c>
      <c r="G67" s="1554" t="str">
        <f t="shared" si="63"/>
        <v/>
      </c>
      <c r="H67" s="1554" t="str">
        <f t="shared" si="64"/>
        <v/>
      </c>
      <c r="BA67" s="346"/>
      <c r="CD67" s="346"/>
    </row>
    <row r="68" spans="2:82" ht="12.75" customHeight="1" x14ac:dyDescent="0.2">
      <c r="B68" s="107">
        <f t="shared" si="60"/>
        <v>45669</v>
      </c>
      <c r="C68" s="172">
        <f t="shared" si="60"/>
        <v>45669</v>
      </c>
      <c r="D68" s="173" t="str">
        <f t="shared" si="61"/>
        <v/>
      </c>
      <c r="E68" s="173" t="str">
        <f t="shared" si="65"/>
        <v/>
      </c>
      <c r="F68" s="1554" t="str">
        <f t="shared" si="62"/>
        <v/>
      </c>
      <c r="G68" s="1554" t="str">
        <f t="shared" si="63"/>
        <v/>
      </c>
      <c r="H68" s="1554" t="str">
        <f t="shared" si="64"/>
        <v/>
      </c>
      <c r="AI68" s="1354" t="s">
        <v>338</v>
      </c>
      <c r="BA68" s="346"/>
      <c r="CD68" s="346"/>
    </row>
    <row r="69" spans="2:82" ht="12.75" customHeight="1" x14ac:dyDescent="0.2">
      <c r="B69" s="107">
        <f t="shared" si="60"/>
        <v>45670</v>
      </c>
      <c r="C69" s="172">
        <f t="shared" si="60"/>
        <v>45670</v>
      </c>
      <c r="D69" s="173" t="str">
        <f t="shared" si="61"/>
        <v/>
      </c>
      <c r="E69" s="173" t="str">
        <f t="shared" si="65"/>
        <v/>
      </c>
      <c r="F69" s="1554" t="str">
        <f t="shared" si="62"/>
        <v/>
      </c>
      <c r="G69" s="1554" t="str">
        <f t="shared" si="63"/>
        <v/>
      </c>
      <c r="H69" s="1554" t="str">
        <f t="shared" si="64"/>
        <v/>
      </c>
      <c r="BA69" s="346"/>
      <c r="CD69" s="346"/>
    </row>
    <row r="70" spans="2:82" ht="12.75" customHeight="1" x14ac:dyDescent="0.2">
      <c r="B70" s="107">
        <f t="shared" si="60"/>
        <v>45671</v>
      </c>
      <c r="C70" s="172">
        <f t="shared" si="60"/>
        <v>45671</v>
      </c>
      <c r="D70" s="173" t="str">
        <f t="shared" si="61"/>
        <v/>
      </c>
      <c r="E70" s="173" t="str">
        <f t="shared" si="65"/>
        <v/>
      </c>
      <c r="F70" s="1554" t="str">
        <f t="shared" si="62"/>
        <v/>
      </c>
      <c r="G70" s="1554" t="str">
        <f t="shared" si="63"/>
        <v/>
      </c>
      <c r="H70" s="1554" t="str">
        <f t="shared" si="64"/>
        <v/>
      </c>
      <c r="AI70" s="581" t="s">
        <v>339</v>
      </c>
      <c r="BA70" s="346"/>
      <c r="CD70" s="346"/>
    </row>
    <row r="71" spans="2:82" ht="12.75" customHeight="1" x14ac:dyDescent="0.2">
      <c r="B71" s="107">
        <f t="shared" si="60"/>
        <v>45672</v>
      </c>
      <c r="C71" s="172">
        <f t="shared" si="60"/>
        <v>45672</v>
      </c>
      <c r="D71" s="173" t="str">
        <f t="shared" si="61"/>
        <v/>
      </c>
      <c r="E71" s="173" t="str">
        <f t="shared" si="65"/>
        <v/>
      </c>
      <c r="F71" s="1554" t="str">
        <f t="shared" si="62"/>
        <v/>
      </c>
      <c r="G71" s="1554" t="str">
        <f t="shared" si="63"/>
        <v/>
      </c>
      <c r="H71" s="1554" t="str">
        <f t="shared" si="64"/>
        <v/>
      </c>
      <c r="AI71" s="1355" t="s">
        <v>340</v>
      </c>
      <c r="BA71" s="346"/>
      <c r="CD71" s="346"/>
    </row>
    <row r="72" spans="2:82" ht="12.75" customHeight="1" x14ac:dyDescent="0.2">
      <c r="B72" s="107">
        <f t="shared" si="60"/>
        <v>45673</v>
      </c>
      <c r="C72" s="172">
        <f t="shared" si="60"/>
        <v>45673</v>
      </c>
      <c r="D72" s="173" t="str">
        <f t="shared" si="61"/>
        <v/>
      </c>
      <c r="E72" s="173" t="str">
        <f t="shared" si="65"/>
        <v/>
      </c>
      <c r="F72" s="1554" t="str">
        <f t="shared" si="62"/>
        <v/>
      </c>
      <c r="G72" s="1554" t="str">
        <f t="shared" si="63"/>
        <v/>
      </c>
      <c r="H72" s="1554" t="str">
        <f t="shared" si="64"/>
        <v/>
      </c>
      <c r="AI72" s="581" t="e">
        <f>ROUND(AL24,2)&amp;" / "&amp;AL22&amp;" ="&amp;ROUND(AL25,2)&amp;" hrs"</f>
        <v>#VALUE!</v>
      </c>
      <c r="BA72" s="346"/>
      <c r="CD72" s="346"/>
    </row>
    <row r="73" spans="2:82" ht="12.75" customHeight="1" x14ac:dyDescent="0.2">
      <c r="B73" s="107">
        <f t="shared" ref="B73:C87" si="66">B34</f>
        <v>45674</v>
      </c>
      <c r="C73" s="172">
        <f t="shared" si="66"/>
        <v>45674</v>
      </c>
      <c r="D73" s="173" t="str">
        <f t="shared" si="61"/>
        <v/>
      </c>
      <c r="E73" s="173" t="str">
        <f t="shared" si="65"/>
        <v/>
      </c>
      <c r="F73" s="1554" t="str">
        <f t="shared" si="62"/>
        <v/>
      </c>
      <c r="G73" s="1554" t="str">
        <f t="shared" si="63"/>
        <v/>
      </c>
      <c r="H73" s="1554" t="str">
        <f t="shared" si="64"/>
        <v/>
      </c>
      <c r="BA73" s="346"/>
      <c r="CD73" s="346"/>
    </row>
    <row r="74" spans="2:82" ht="12.75" customHeight="1" x14ac:dyDescent="0.2">
      <c r="B74" s="107">
        <f t="shared" si="66"/>
        <v>45675</v>
      </c>
      <c r="C74" s="172">
        <f t="shared" si="66"/>
        <v>45675</v>
      </c>
      <c r="D74" s="173" t="str">
        <f t="shared" si="61"/>
        <v/>
      </c>
      <c r="E74" s="173" t="str">
        <f t="shared" si="65"/>
        <v/>
      </c>
      <c r="F74" s="1554" t="str">
        <f t="shared" si="62"/>
        <v/>
      </c>
      <c r="G74" s="1554" t="str">
        <f t="shared" si="63"/>
        <v/>
      </c>
      <c r="H74" s="1554" t="str">
        <f t="shared" si="64"/>
        <v/>
      </c>
      <c r="AI74" s="581" t="s">
        <v>341</v>
      </c>
      <c r="BA74" s="346"/>
      <c r="CD74" s="346"/>
    </row>
    <row r="75" spans="2:82" x14ac:dyDescent="0.2">
      <c r="B75" s="107">
        <f t="shared" si="66"/>
        <v>45676</v>
      </c>
      <c r="C75" s="172">
        <f t="shared" si="66"/>
        <v>45676</v>
      </c>
      <c r="D75" s="173" t="str">
        <f t="shared" si="61"/>
        <v/>
      </c>
      <c r="E75" s="173" t="str">
        <f t="shared" si="65"/>
        <v/>
      </c>
      <c r="F75" s="1554" t="str">
        <f t="shared" si="62"/>
        <v/>
      </c>
      <c r="G75" s="1554" t="str">
        <f t="shared" si="63"/>
        <v/>
      </c>
      <c r="H75" s="1554" t="str">
        <f t="shared" si="64"/>
        <v/>
      </c>
      <c r="AI75" s="1355" t="s">
        <v>342</v>
      </c>
      <c r="BA75" s="346"/>
      <c r="CD75" s="346"/>
    </row>
    <row r="76" spans="2:82" ht="12.75" customHeight="1" x14ac:dyDescent="0.2">
      <c r="B76" s="107">
        <f t="shared" si="66"/>
        <v>45677</v>
      </c>
      <c r="C76" s="172">
        <f t="shared" si="66"/>
        <v>45677</v>
      </c>
      <c r="D76" s="173" t="str">
        <f t="shared" si="61"/>
        <v/>
      </c>
      <c r="E76" s="173" t="str">
        <f t="shared" si="65"/>
        <v/>
      </c>
      <c r="F76" s="1554" t="str">
        <f t="shared" si="62"/>
        <v/>
      </c>
      <c r="G76" s="1554" t="str">
        <f t="shared" si="63"/>
        <v/>
      </c>
      <c r="H76" s="1554" t="str">
        <f t="shared" si="64"/>
        <v/>
      </c>
      <c r="BA76" s="346"/>
      <c r="CD76" s="346"/>
    </row>
    <row r="77" spans="2:82" ht="12.75" customHeight="1" x14ac:dyDescent="0.2">
      <c r="B77" s="107">
        <f t="shared" si="66"/>
        <v>45678</v>
      </c>
      <c r="C77" s="172">
        <f t="shared" si="66"/>
        <v>45678</v>
      </c>
      <c r="D77" s="173" t="str">
        <f t="shared" si="61"/>
        <v/>
      </c>
      <c r="E77" s="173" t="str">
        <f t="shared" si="65"/>
        <v/>
      </c>
      <c r="F77" s="1554" t="str">
        <f t="shared" si="62"/>
        <v/>
      </c>
      <c r="G77" s="1554" t="str">
        <f t="shared" si="63"/>
        <v/>
      </c>
      <c r="H77" s="1554" t="str">
        <f t="shared" si="64"/>
        <v/>
      </c>
      <c r="AI77" s="581" t="s">
        <v>343</v>
      </c>
      <c r="BA77" s="346"/>
      <c r="CD77" s="346"/>
    </row>
    <row r="78" spans="2:82" ht="12.75" customHeight="1" x14ac:dyDescent="0.2">
      <c r="B78" s="107">
        <f t="shared" si="66"/>
        <v>45679</v>
      </c>
      <c r="C78" s="172">
        <f t="shared" si="66"/>
        <v>45679</v>
      </c>
      <c r="D78" s="173" t="str">
        <f t="shared" si="61"/>
        <v/>
      </c>
      <c r="E78" s="173" t="str">
        <f t="shared" si="65"/>
        <v/>
      </c>
      <c r="F78" s="1554" t="str">
        <f t="shared" si="62"/>
        <v/>
      </c>
      <c r="G78" s="1554" t="str">
        <f t="shared" si="63"/>
        <v/>
      </c>
      <c r="H78" s="1554" t="str">
        <f t="shared" si="64"/>
        <v/>
      </c>
      <c r="AI78" s="1355" t="s">
        <v>692</v>
      </c>
      <c r="BA78" s="346"/>
      <c r="CD78" s="346"/>
    </row>
    <row r="79" spans="2:82" ht="12.75" customHeight="1" x14ac:dyDescent="0.2">
      <c r="B79" s="107">
        <f t="shared" si="66"/>
        <v>45680</v>
      </c>
      <c r="C79" s="172">
        <f t="shared" si="66"/>
        <v>45680</v>
      </c>
      <c r="D79" s="173" t="str">
        <f t="shared" si="61"/>
        <v/>
      </c>
      <c r="E79" s="173" t="str">
        <f t="shared" si="65"/>
        <v/>
      </c>
      <c r="F79" s="1554" t="str">
        <f t="shared" si="62"/>
        <v/>
      </c>
      <c r="G79" s="1554" t="str">
        <f t="shared" si="63"/>
        <v/>
      </c>
      <c r="H79" s="1554" t="str">
        <f t="shared" si="64"/>
        <v/>
      </c>
      <c r="AI79" s="581" t="e">
        <f>ROUND(AT21,2)&amp;" /"&amp; AS21&amp;" = "&amp;ROUND(AL26,2)&amp;" hrs"</f>
        <v>#VALUE!</v>
      </c>
      <c r="BA79" s="346"/>
      <c r="CD79" s="346"/>
    </row>
    <row r="80" spans="2:82" ht="12.75" customHeight="1" x14ac:dyDescent="0.2">
      <c r="B80" s="107">
        <f t="shared" si="66"/>
        <v>45681</v>
      </c>
      <c r="C80" s="172">
        <f t="shared" si="66"/>
        <v>45681</v>
      </c>
      <c r="D80" s="173" t="str">
        <f t="shared" si="61"/>
        <v/>
      </c>
      <c r="E80" s="173" t="str">
        <f t="shared" si="65"/>
        <v/>
      </c>
      <c r="F80" s="1554" t="str">
        <f t="shared" si="62"/>
        <v/>
      </c>
      <c r="G80" s="1554" t="str">
        <f t="shared" si="63"/>
        <v/>
      </c>
      <c r="H80" s="1554" t="str">
        <f t="shared" si="64"/>
        <v/>
      </c>
      <c r="BA80" s="346"/>
      <c r="CD80" s="346"/>
    </row>
    <row r="81" spans="2:82" ht="12.75" customHeight="1" x14ac:dyDescent="0.2">
      <c r="B81" s="107">
        <f t="shared" si="66"/>
        <v>45682</v>
      </c>
      <c r="C81" s="172">
        <f t="shared" si="66"/>
        <v>45682</v>
      </c>
      <c r="D81" s="173" t="str">
        <f t="shared" si="61"/>
        <v/>
      </c>
      <c r="E81" s="173" t="str">
        <f t="shared" si="65"/>
        <v/>
      </c>
      <c r="F81" s="1554" t="str">
        <f t="shared" si="62"/>
        <v/>
      </c>
      <c r="G81" s="1554" t="str">
        <f t="shared" si="63"/>
        <v/>
      </c>
      <c r="H81" s="1554" t="str">
        <f t="shared" si="64"/>
        <v/>
      </c>
      <c r="AI81" s="581" t="s">
        <v>529</v>
      </c>
      <c r="BA81" s="346"/>
      <c r="CD81" s="346"/>
    </row>
    <row r="82" spans="2:82" ht="12.75" customHeight="1" x14ac:dyDescent="0.2">
      <c r="B82" s="107">
        <f t="shared" si="66"/>
        <v>45683</v>
      </c>
      <c r="C82" s="172">
        <f t="shared" si="66"/>
        <v>45683</v>
      </c>
      <c r="D82" s="173" t="str">
        <f t="shared" si="61"/>
        <v/>
      </c>
      <c r="E82" s="173" t="str">
        <f t="shared" si="65"/>
        <v/>
      </c>
      <c r="F82" s="1554" t="str">
        <f t="shared" si="62"/>
        <v/>
      </c>
      <c r="G82" s="1554" t="str">
        <f t="shared" si="63"/>
        <v/>
      </c>
      <c r="H82" s="1554" t="str">
        <f t="shared" si="64"/>
        <v/>
      </c>
      <c r="AI82" s="1355" t="s">
        <v>693</v>
      </c>
      <c r="BA82" s="346"/>
      <c r="CD82" s="346"/>
    </row>
    <row r="83" spans="2:82" ht="12.75" customHeight="1" x14ac:dyDescent="0.2">
      <c r="B83" s="107">
        <f t="shared" si="66"/>
        <v>45684</v>
      </c>
      <c r="C83" s="172">
        <f t="shared" si="66"/>
        <v>45684</v>
      </c>
      <c r="D83" s="173" t="str">
        <f t="shared" si="61"/>
        <v/>
      </c>
      <c r="E83" s="173" t="str">
        <f t="shared" si="65"/>
        <v/>
      </c>
      <c r="F83" s="1554" t="str">
        <f t="shared" si="62"/>
        <v/>
      </c>
      <c r="G83" s="1554" t="str">
        <f t="shared" si="63"/>
        <v/>
      </c>
      <c r="H83" s="1554" t="str">
        <f t="shared" si="64"/>
        <v/>
      </c>
      <c r="AI83" s="581" t="e">
        <f>AV21&amp;" / "&amp;AS21&amp;" = "&amp;ROUND(AL27,2)&amp;" jrs"</f>
        <v>#VALUE!</v>
      </c>
      <c r="BA83" s="346"/>
      <c r="CD83" s="346"/>
    </row>
    <row r="84" spans="2:82" ht="12.75" customHeight="1" x14ac:dyDescent="0.2">
      <c r="B84" s="107">
        <f t="shared" si="66"/>
        <v>45685</v>
      </c>
      <c r="C84" s="172">
        <f t="shared" si="66"/>
        <v>45685</v>
      </c>
      <c r="D84" s="173" t="str">
        <f t="shared" si="61"/>
        <v/>
      </c>
      <c r="E84" s="173" t="str">
        <f t="shared" si="65"/>
        <v/>
      </c>
      <c r="F84" s="1554" t="str">
        <f t="shared" si="62"/>
        <v/>
      </c>
      <c r="G84" s="1554" t="str">
        <f t="shared" si="63"/>
        <v/>
      </c>
      <c r="H84" s="1554" t="str">
        <f t="shared" si="64"/>
        <v/>
      </c>
      <c r="BA84" s="346"/>
      <c r="CD84" s="346"/>
    </row>
    <row r="85" spans="2:82" ht="12.75" customHeight="1" x14ac:dyDescent="0.2">
      <c r="B85" s="107">
        <f t="shared" si="66"/>
        <v>45686</v>
      </c>
      <c r="C85" s="172">
        <f t="shared" si="66"/>
        <v>45686</v>
      </c>
      <c r="D85" s="173" t="str">
        <f t="shared" si="61"/>
        <v/>
      </c>
      <c r="E85" s="173" t="str">
        <f t="shared" si="65"/>
        <v/>
      </c>
      <c r="F85" s="1554" t="str">
        <f t="shared" si="62"/>
        <v/>
      </c>
      <c r="G85" s="1554" t="str">
        <f t="shared" si="63"/>
        <v/>
      </c>
      <c r="H85" s="1554" t="str">
        <f t="shared" si="64"/>
        <v/>
      </c>
      <c r="AI85" s="1355" t="s">
        <v>344</v>
      </c>
      <c r="BA85" s="346"/>
      <c r="CD85" s="346"/>
    </row>
    <row r="86" spans="2:82" ht="12.75" customHeight="1" x14ac:dyDescent="0.2">
      <c r="B86" s="107">
        <f t="shared" si="66"/>
        <v>45687</v>
      </c>
      <c r="C86" s="172">
        <f t="shared" si="66"/>
        <v>45687</v>
      </c>
      <c r="D86" s="173" t="str">
        <f t="shared" si="61"/>
        <v/>
      </c>
      <c r="E86" s="173" t="str">
        <f t="shared" si="65"/>
        <v/>
      </c>
      <c r="F86" s="1554" t="str">
        <f t="shared" si="62"/>
        <v/>
      </c>
      <c r="G86" s="1554" t="str">
        <f t="shared" si="63"/>
        <v/>
      </c>
      <c r="H86" s="1554" t="str">
        <f t="shared" si="64"/>
        <v/>
      </c>
      <c r="AI86" s="1355" t="s">
        <v>345</v>
      </c>
      <c r="BA86" s="346"/>
      <c r="CD86" s="346"/>
    </row>
    <row r="87" spans="2:82" ht="13.5" customHeight="1" thickBot="1" x14ac:dyDescent="0.25">
      <c r="B87" s="110">
        <f t="shared" si="66"/>
        <v>45688</v>
      </c>
      <c r="C87" s="192">
        <f t="shared" si="66"/>
        <v>45688</v>
      </c>
      <c r="D87" s="193" t="str">
        <f t="shared" si="61"/>
        <v/>
      </c>
      <c r="E87" s="193" t="str">
        <f t="shared" si="65"/>
        <v/>
      </c>
      <c r="F87" s="1555" t="str">
        <f t="shared" si="62"/>
        <v/>
      </c>
      <c r="G87" s="1555" t="str">
        <f t="shared" si="63"/>
        <v/>
      </c>
      <c r="H87" s="1555" t="str">
        <f t="shared" si="64"/>
        <v/>
      </c>
      <c r="AI87" s="581" t="e">
        <f>ROUND(AL26,2)&amp;" / "&amp;ROUND(AL27,3)&amp;" ="&amp;ROUND(AL28,3)&amp;" hrs"</f>
        <v>#VALUE!</v>
      </c>
      <c r="BA87" s="346"/>
      <c r="CD87" s="346"/>
    </row>
    <row r="88" spans="2:82" ht="13.5" customHeight="1" thickBot="1" x14ac:dyDescent="0.25">
      <c r="D88" s="194">
        <f>SUM(D57:D87)</f>
        <v>0</v>
      </c>
      <c r="F88" s="194">
        <f>SUM(F57:F87)</f>
        <v>0</v>
      </c>
      <c r="G88" s="194">
        <f>SUM(G57:G87)</f>
        <v>0</v>
      </c>
      <c r="H88" s="194">
        <f>SUM(H57:H87)</f>
        <v>0</v>
      </c>
      <c r="BA88" s="346"/>
      <c r="CD88" s="346"/>
    </row>
    <row r="89" spans="2:82" ht="12.75" customHeight="1" x14ac:dyDescent="0.2">
      <c r="AI89" s="581" t="s">
        <v>346</v>
      </c>
      <c r="BA89" s="346"/>
      <c r="CD89" s="346"/>
    </row>
    <row r="90" spans="2:82" ht="12.75" customHeight="1" x14ac:dyDescent="0.2">
      <c r="E90" s="29" t="s">
        <v>1680</v>
      </c>
      <c r="F90" s="355" t="e">
        <f>+(Q16+Q17)/D50*F88</f>
        <v>#DIV/0!</v>
      </c>
      <c r="G90" s="355" t="e">
        <f>+(Q16+Q17)/D50*G88*0.8</f>
        <v>#DIV/0!</v>
      </c>
      <c r="H90" s="355" t="e">
        <f>+(R16+R17)/D50*H88</f>
        <v>#DIV/0!</v>
      </c>
      <c r="AI90" s="1355" t="s">
        <v>530</v>
      </c>
      <c r="BA90" s="346"/>
      <c r="CD90" s="346"/>
    </row>
    <row r="91" spans="2:82" ht="12.75" customHeight="1" x14ac:dyDescent="0.2">
      <c r="AI91" s="581" t="e">
        <f>ROUND(AL30,2)&amp;" X "&amp;ROUND(AL28,2)&amp;" = "&amp;ROUND(AL32,2)&amp;" hrs"</f>
        <v>#VALUE!</v>
      </c>
      <c r="BA91" s="346"/>
      <c r="CD91" s="346"/>
    </row>
    <row r="92" spans="2:82" ht="12.75" customHeight="1" x14ac:dyDescent="0.2">
      <c r="B92" s="16" t="s">
        <v>1681</v>
      </c>
      <c r="BA92" s="346"/>
      <c r="CD92" s="346"/>
    </row>
    <row r="93" spans="2:82" ht="12.75" customHeight="1" x14ac:dyDescent="0.2">
      <c r="B93" s="16" t="e">
        <f>" ( "&amp;Q16&amp;" € + "&amp;Q17&amp;" € ) / "&amp;D50&amp;" X "&amp;F88&amp;" = "&amp;ROUND(F90,2)&amp;" €"</f>
        <v>#DIV/0!</v>
      </c>
      <c r="AI93" s="581" t="s">
        <v>347</v>
      </c>
      <c r="BA93" s="346"/>
      <c r="CD93" s="346"/>
    </row>
    <row r="94" spans="2:82" ht="12.75" customHeight="1"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6zKijl6yjXkyW6s4uMrCbZw4w5aeq1yUxSFlRS01p0nKyvaKUKnRxBo/KutbLPoIWjIa8FS51BFP06AdFPI1qw==" saltValue="bLUgwK02dORk0qNCS7aiCg==" spinCount="100000" sheet="1" objects="1" scenarios="1" formatCells="0" formatColumns="0" formatRows="0" insertColumns="0" insertRows="0" insertHyperlinks="0" sort="0" autoFilter="0" pivotTables="0"/>
  <mergeCells count="73">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 ref="CI52:CK52"/>
    <mergeCell ref="CI53:CK53"/>
    <mergeCell ref="CL46:CL47"/>
    <mergeCell ref="CM46:CM47"/>
    <mergeCell ref="CN46:CN47"/>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BT26:BT27"/>
    <mergeCell ref="BX26:BX27"/>
    <mergeCell ref="BY26:BY27"/>
    <mergeCell ref="W51:Y51"/>
    <mergeCell ref="W52:Y52"/>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s>
  <conditionalFormatting sqref="A7:R7">
    <cfRule type="expression" dxfId="2061" priority="10">
      <formula>$R$3=$A$5</formula>
    </cfRule>
  </conditionalFormatting>
  <conditionalFormatting sqref="M19:Q23">
    <cfRule type="expression" dxfId="2060" priority="4">
      <formula>$E$11&gt;0</formula>
    </cfRule>
  </conditionalFormatting>
  <conditionalFormatting sqref="M26:R46">
    <cfRule type="expression" dxfId="2059" priority="3">
      <formula>$E$11=0</formula>
    </cfRule>
  </conditionalFormatting>
  <conditionalFormatting sqref="P17">
    <cfRule type="expression" dxfId="2058" priority="7">
      <formula>$E$11=0</formula>
    </cfRule>
  </conditionalFormatting>
  <conditionalFormatting sqref="P30">
    <cfRule type="expression" dxfId="2057" priority="35">
      <formula>AND($R$3="Méthode 1",$E$11&lt;0)</formula>
    </cfRule>
  </conditionalFormatting>
  <conditionalFormatting sqref="P33">
    <cfRule type="expression" dxfId="2056" priority="33">
      <formula>AND($R$3="Méthode 1",$E$11&lt;0)</formula>
    </cfRule>
  </conditionalFormatting>
  <conditionalFormatting sqref="Q17">
    <cfRule type="cellIs" dxfId="2055" priority="6" operator="equal">
      <formula>0</formula>
    </cfRule>
  </conditionalFormatting>
  <conditionalFormatting sqref="Q42">
    <cfRule type="expression" dxfId="2054" priority="16">
      <formula>AND($R$3="Méthode 1",$E$11&lt;0)</formula>
    </cfRule>
  </conditionalFormatting>
  <conditionalFormatting sqref="Q45">
    <cfRule type="expression" dxfId="2053" priority="15">
      <formula>AND($R$3="Méthode 1",$E$11&lt;0)</formula>
    </cfRule>
  </conditionalFormatting>
  <conditionalFormatting sqref="S7:AF7">
    <cfRule type="expression" dxfId="2052" priority="9">
      <formula>$R$3=$T$5</formula>
    </cfRule>
  </conditionalFormatting>
  <conditionalFormatting sqref="W19">
    <cfRule type="expression" dxfId="2051" priority="14">
      <formula>$EF$14=1</formula>
    </cfRule>
  </conditionalFormatting>
  <conditionalFormatting sqref="W21">
    <cfRule type="expression" dxfId="2050" priority="13">
      <formula>$EF$14=1</formula>
    </cfRule>
  </conditionalFormatting>
  <conditionalFormatting sqref="AC19">
    <cfRule type="expression" dxfId="2049" priority="12">
      <formula>$EF$14=1</formula>
    </cfRule>
  </conditionalFormatting>
  <conditionalFormatting sqref="AC21">
    <cfRule type="expression" dxfId="2048" priority="11">
      <formula>$EF$14=1</formula>
    </cfRule>
  </conditionalFormatting>
  <conditionalFormatting sqref="AH7:AZ7">
    <cfRule type="expression" dxfId="2047" priority="8">
      <formula>$R$3=$AI$5</formula>
    </cfRule>
  </conditionalFormatting>
  <conditionalFormatting sqref="AP50">
    <cfRule type="expression" dxfId="2046" priority="34">
      <formula>$R$3="Méthode 2"</formula>
    </cfRule>
  </conditionalFormatting>
  <conditionalFormatting sqref="AP52">
    <cfRule type="expression" dxfId="2045" priority="32">
      <formula>$R$3="Méthode 2"</formula>
    </cfRule>
  </conditionalFormatting>
  <conditionalFormatting sqref="AP61">
    <cfRule type="expression" dxfId="2044" priority="18">
      <formula>$R$3="Méthode 2"</formula>
    </cfRule>
  </conditionalFormatting>
  <conditionalFormatting sqref="AP64">
    <cfRule type="expression" dxfId="2043" priority="17">
      <formula>$R$3="Méthode 2"</formula>
    </cfRule>
  </conditionalFormatting>
  <conditionalFormatting sqref="BI50">
    <cfRule type="expression" dxfId="2042" priority="29">
      <formula>$BK$3="Méthode 1"</formula>
    </cfRule>
  </conditionalFormatting>
  <conditionalFormatting sqref="BJ29">
    <cfRule type="expression" dxfId="2041" priority="37">
      <formula>$BK$3="Méthode 1"</formula>
    </cfRule>
  </conditionalFormatting>
  <conditionalFormatting sqref="BJ45">
    <cfRule type="expression" dxfId="2040" priority="31">
      <formula>$BK$3="Méthode 1"</formula>
    </cfRule>
  </conditionalFormatting>
  <conditionalFormatting sqref="BR46">
    <cfRule type="expression" dxfId="2039" priority="27">
      <formula>$BK$3="Méthode 2"</formula>
    </cfRule>
  </conditionalFormatting>
  <conditionalFormatting sqref="BR49">
    <cfRule type="expression" dxfId="2038" priority="28">
      <formula>$BK$3="Méthode 2"</formula>
    </cfRule>
  </conditionalFormatting>
  <conditionalFormatting sqref="BW52">
    <cfRule type="expression" dxfId="2037" priority="24">
      <formula>$BK$3="Méthode 2"</formula>
    </cfRule>
  </conditionalFormatting>
  <conditionalFormatting sqref="BW54">
    <cfRule type="expression" dxfId="2036" priority="19">
      <formula>$BK$3="Méthode 2"</formula>
    </cfRule>
  </conditionalFormatting>
  <conditionalFormatting sqref="BZ46">
    <cfRule type="expression" dxfId="2035" priority="25">
      <formula>$BK$3="Méthode 2"</formula>
    </cfRule>
  </conditionalFormatting>
  <conditionalFormatting sqref="BZ49">
    <cfRule type="expression" dxfId="2034" priority="26">
      <formula>$BK$3="Méthode 2"</formula>
    </cfRule>
  </conditionalFormatting>
  <conditionalFormatting sqref="CG18:CG48">
    <cfRule type="cellIs" dxfId="2033"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+Février!DP4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+Février!AR13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+Février!AI3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+Février!I14</f>
        <v>0</v>
      </c>
      <c r="F10" s="151"/>
      <c r="G10" s="151"/>
      <c r="H10" s="151"/>
      <c r="I10" s="151"/>
      <c r="J10" s="151"/>
      <c r="K10" s="151"/>
      <c r="L10" s="151"/>
      <c r="P10" s="29" t="s">
        <v>1468</v>
      </c>
      <c r="Q10" s="356">
        <f>+Février!P18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+Février!T18+Février!T19</f>
        <v>0</v>
      </c>
      <c r="BI10" s="29" t="s">
        <v>1476</v>
      </c>
      <c r="BJ10" s="356">
        <f>+Février!AL14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+Février!U14</f>
        <v>0</v>
      </c>
      <c r="F11" s="151"/>
      <c r="G11" s="151"/>
      <c r="H11" s="151"/>
      <c r="I11" s="151"/>
      <c r="J11" s="151"/>
      <c r="K11" s="151"/>
      <c r="L11" s="151"/>
      <c r="M11" s="1201"/>
      <c r="N11" s="183"/>
      <c r="O11" s="1202"/>
      <c r="P11" s="183" t="s">
        <v>1120</v>
      </c>
      <c r="Q11" s="1203">
        <f>+Février!P19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+Février!X3</f>
        <v>45689</v>
      </c>
      <c r="M13" s="154"/>
      <c r="N13" s="155">
        <f>DATE(YEAR($D$13),MONTH($D$13)+1,DAY($D$13))</f>
        <v>45717</v>
      </c>
      <c r="O13" s="156">
        <f>N13</f>
        <v>45717</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45689</v>
      </c>
      <c r="BF13" s="154"/>
      <c r="BG13" s="155">
        <f>DATE(YEAR($D$13),MONTH($D$13)+1,DAY($D$13))</f>
        <v>45717</v>
      </c>
      <c r="BH13" s="156">
        <f>BG13</f>
        <v>45717</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45717</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F16" s="16" t="s">
        <v>1279</v>
      </c>
      <c r="EM16" s="843"/>
      <c r="EN16" s="843"/>
    </row>
    <row r="17" spans="1:147" ht="18" customHeight="1" thickBot="1" x14ac:dyDescent="0.25">
      <c r="A17" s="24" t="s">
        <v>257</v>
      </c>
      <c r="B17" s="2484">
        <f>+$D$13</f>
        <v>45689</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45689</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45689</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+Février!BJ20</f>
        <v>Fiche infoA6</v>
      </c>
      <c r="B18" s="170">
        <f>+D13</f>
        <v>45689</v>
      </c>
      <c r="C18" s="171">
        <f>+$D$13</f>
        <v>45689</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Février!BC20</f>
        <v>0</v>
      </c>
      <c r="J18" s="34">
        <f>Février!BE20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infoA6</v>
      </c>
      <c r="BB18" s="170">
        <f>+BD13</f>
        <v>45689</v>
      </c>
      <c r="BC18" s="171">
        <f>+$D$13</f>
        <v>45689</v>
      </c>
      <c r="BD18" s="173" t="str">
        <f>+D18</f>
        <v/>
      </c>
      <c r="BE18" s="353" t="str">
        <f>+IF(OR(BF18=S.CAL!$BJ$3,BF18=S.CAL!$BJ$4),BD18,"")</f>
        <v/>
      </c>
      <c r="BF18" s="350">
        <f>IF($DY$5=S.CAL!$CU$2,Février!AR20,IF($DY$5=S.CAL!$CU$3,VLOOKUP(BC18,planning_fp,7,FALSE),""))</f>
        <v>0</v>
      </c>
      <c r="BG18" s="362" t="str">
        <f>Février!BL20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45689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45689</v>
      </c>
      <c r="EM18" s="16" t="str">
        <f>A18&amp;C18</f>
        <v>Fiche infoA645689</v>
      </c>
      <c r="EN18" s="16">
        <f t="shared" ref="EN18:EN48" si="20">+VLOOKUP(EM18,Base_feuille_présence_heure_potentiel,11,FALSE)</f>
        <v>0</v>
      </c>
      <c r="EQ18" s="16" t="str">
        <f>Février!FS20</f>
        <v/>
      </c>
    </row>
    <row r="19" spans="1:147" ht="18" customHeight="1" x14ac:dyDescent="0.2">
      <c r="A19" s="24" t="str">
        <f>+Février!BJ21</f>
        <v>Fiche infoA7</v>
      </c>
      <c r="B19" s="107">
        <f>C19</f>
        <v>45690</v>
      </c>
      <c r="C19" s="172">
        <f>+$D$13+1</f>
        <v>45690</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Février!BC21</f>
        <v>0</v>
      </c>
      <c r="J19" s="34">
        <f>Février!BE21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infoA7</v>
      </c>
      <c r="BB19" s="107">
        <f>BC19</f>
        <v>45690</v>
      </c>
      <c r="BC19" s="172">
        <f>+$D$13+1</f>
        <v>45690</v>
      </c>
      <c r="BD19" s="173" t="str">
        <f>+D19</f>
        <v/>
      </c>
      <c r="BE19" s="173" t="str">
        <f>+IF(OR(BF19=S.CAL!$BJ$3,BF19=S.CAL!$BJ$4),BD19,"")</f>
        <v/>
      </c>
      <c r="BF19" s="351">
        <f>IF($DY$5=S.CAL!$CU$2,Février!AR21,IF($DY$5=S.CAL!$CU$3,VLOOKUP(BC19,planning_fp,7,FALSE),""))</f>
        <v>0</v>
      </c>
      <c r="BG19" s="363" t="str">
        <f>Février!BL21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45690</v>
      </c>
      <c r="CF19" s="172">
        <f>+$D$13+1</f>
        <v>45690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45690</v>
      </c>
      <c r="EM19" s="16" t="str">
        <f t="shared" ref="EM19:EM48" si="29">A19&amp;C19</f>
        <v>Fiche infoA745690</v>
      </c>
      <c r="EN19" s="16">
        <f t="shared" si="20"/>
        <v>0</v>
      </c>
      <c r="EQ19" s="16" t="str">
        <f>Février!FS21</f>
        <v/>
      </c>
    </row>
    <row r="20" spans="1:147" ht="18" customHeight="1" x14ac:dyDescent="0.2">
      <c r="A20" s="24" t="str">
        <f>+Février!BJ22</f>
        <v>Fiche infoA1</v>
      </c>
      <c r="B20" s="107">
        <f t="shared" ref="B20:B48" si="30">C20</f>
        <v>45691</v>
      </c>
      <c r="C20" s="172">
        <f>+$D$13+2</f>
        <v>45691</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Février!BC22</f>
        <v>0</v>
      </c>
      <c r="J20" s="34">
        <f>Février!BE22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infoA1</v>
      </c>
      <c r="BB20" s="107">
        <f t="shared" ref="BB20:BB48" si="31">BC20</f>
        <v>45691</v>
      </c>
      <c r="BC20" s="172">
        <f>+$D$13+2</f>
        <v>45691</v>
      </c>
      <c r="BD20" s="173" t="str">
        <f t="shared" ref="BD20:BD48" si="32">+D20</f>
        <v/>
      </c>
      <c r="BE20" s="173" t="str">
        <f>+IF(OR(BF20=S.CAL!$BJ$3,BF20=S.CAL!$BJ$4),BD20,"")</f>
        <v/>
      </c>
      <c r="BF20" s="351">
        <f>IF($DY$5=S.CAL!$CU$2,Février!AR22,IF($DY$5=S.CAL!$CU$3,VLOOKUP(BC20,planning_fp,7,FALSE),""))</f>
        <v>0</v>
      </c>
      <c r="BG20" s="363" t="str">
        <f>Février!BL22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45691</v>
      </c>
      <c r="CF20" s="172">
        <f>+$D$13+2</f>
        <v>45691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45691</v>
      </c>
      <c r="EM20" s="16" t="str">
        <f t="shared" si="29"/>
        <v>Fiche infoA145691</v>
      </c>
      <c r="EN20" s="16">
        <f t="shared" si="20"/>
        <v>0</v>
      </c>
      <c r="EQ20" s="16" t="str">
        <f>Février!FS22</f>
        <v/>
      </c>
    </row>
    <row r="21" spans="1:147" ht="18" customHeight="1" x14ac:dyDescent="0.2">
      <c r="A21" s="24" t="str">
        <f>+Février!BJ23</f>
        <v>Fiche infoA2</v>
      </c>
      <c r="B21" s="107">
        <f t="shared" si="30"/>
        <v>45692</v>
      </c>
      <c r="C21" s="172">
        <f>+$D$13+3</f>
        <v>45692</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infoA2</v>
      </c>
      <c r="BB21" s="107">
        <f t="shared" si="31"/>
        <v>45692</v>
      </c>
      <c r="BC21" s="172">
        <f>+$D$13+3</f>
        <v>45692</v>
      </c>
      <c r="BD21" s="173" t="str">
        <f t="shared" si="32"/>
        <v/>
      </c>
      <c r="BE21" s="173" t="str">
        <f>+IF(OR(BF21=S.CAL!$BJ$3,BF21=S.CAL!$BJ$4),BD21,"")</f>
        <v/>
      </c>
      <c r="BF21" s="351">
        <f>IF($DY$5=S.CAL!$CU$2,Février!AR23,IF($DY$5=S.CAL!$CU$3,VLOOKUP(BC21,planning_fp,7,FALSE),""))</f>
        <v>0</v>
      </c>
      <c r="BG21" s="363" t="str">
        <f>Février!BL23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45692</v>
      </c>
      <c r="CF21" s="172">
        <f>+$D$13+3</f>
        <v>45692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45692</v>
      </c>
      <c r="EM21" s="16" t="str">
        <f t="shared" si="29"/>
        <v>Fiche infoA245692</v>
      </c>
      <c r="EN21" s="16">
        <f t="shared" si="20"/>
        <v>0</v>
      </c>
      <c r="EQ21" s="16" t="str">
        <f>Février!FS23</f>
        <v/>
      </c>
    </row>
    <row r="22" spans="1:147" ht="18" customHeight="1" x14ac:dyDescent="0.25">
      <c r="A22" s="24" t="str">
        <f>+Février!BJ24</f>
        <v>Fiche infoA3</v>
      </c>
      <c r="B22" s="107">
        <f t="shared" si="30"/>
        <v>45693</v>
      </c>
      <c r="C22" s="172">
        <f>+$D$13+4</f>
        <v>45693</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Février!BC24</f>
        <v>0</v>
      </c>
      <c r="J22" s="34">
        <f>Février!BE24</f>
        <v>0</v>
      </c>
      <c r="K22" s="34">
        <f t="shared" si="15"/>
        <v>0</v>
      </c>
      <c r="L22" s="34" t="str">
        <f t="shared" si="21"/>
        <v/>
      </c>
      <c r="O22" s="19"/>
      <c r="AK22" s="1211" t="s">
        <v>41</v>
      </c>
      <c r="AL22" s="1340">
        <f>+Février!AL14</f>
        <v>0</v>
      </c>
      <c r="BA22" s="349" t="str">
        <f t="shared" si="16"/>
        <v>Fiche infoA3</v>
      </c>
      <c r="BB22" s="107">
        <f t="shared" si="31"/>
        <v>45693</v>
      </c>
      <c r="BC22" s="172">
        <f>+$D$13+4</f>
        <v>45693</v>
      </c>
      <c r="BD22" s="173" t="str">
        <f t="shared" si="32"/>
        <v/>
      </c>
      <c r="BE22" s="173" t="str">
        <f>+IF(OR(BF22=S.CAL!$BJ$3,BF22=S.CAL!$BJ$4),BD22,"")</f>
        <v/>
      </c>
      <c r="BF22" s="351">
        <f>IF($DY$5=S.CAL!$CU$2,Février!AR24,IF($DY$5=S.CAL!$CU$3,VLOOKUP(BC22,planning_fp,7,FALSE),""))</f>
        <v>0</v>
      </c>
      <c r="BG22" s="363" t="str">
        <f>Février!BL24</f>
        <v>A</v>
      </c>
      <c r="BH22" s="150"/>
      <c r="BL22" s="146"/>
      <c r="BM22" s="197"/>
      <c r="CD22" s="346"/>
      <c r="CE22" s="107">
        <f t="shared" si="33"/>
        <v>45693</v>
      </c>
      <c r="CF22" s="172">
        <f>+$D$13+4</f>
        <v>45693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45693</v>
      </c>
      <c r="EM22" s="16" t="str">
        <f t="shared" si="29"/>
        <v>Fiche infoA345693</v>
      </c>
      <c r="EN22" s="16">
        <f t="shared" si="20"/>
        <v>0</v>
      </c>
      <c r="EQ22" s="16" t="str">
        <f>Février!FS24</f>
        <v/>
      </c>
    </row>
    <row r="23" spans="1:147" ht="18" customHeight="1" x14ac:dyDescent="0.2">
      <c r="A23" s="24" t="str">
        <f>+Février!BJ25</f>
        <v>Fiche infoA4</v>
      </c>
      <c r="B23" s="107">
        <f t="shared" si="30"/>
        <v>45694</v>
      </c>
      <c r="C23" s="172">
        <f>+$D$13+5</f>
        <v>45694</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Février!BC25</f>
        <v>0</v>
      </c>
      <c r="J23" s="34">
        <f>Février!BE25</f>
        <v>0</v>
      </c>
      <c r="K23" s="34">
        <f t="shared" si="15"/>
        <v>0</v>
      </c>
      <c r="L23" s="34" t="str">
        <f t="shared" si="21"/>
        <v/>
      </c>
      <c r="O23" s="39" t="str">
        <f>+O21</f>
        <v xml:space="preserve">Retenue sur salaire = </v>
      </c>
      <c r="P23" s="689">
        <f>+P30+P33</f>
        <v>0</v>
      </c>
      <c r="T23" s="581" t="s">
        <v>1123</v>
      </c>
      <c r="Z23" s="581" t="s">
        <v>1123</v>
      </c>
      <c r="BA23" s="349" t="str">
        <f t="shared" si="16"/>
        <v>Fiche infoA4</v>
      </c>
      <c r="BB23" s="107">
        <f t="shared" si="31"/>
        <v>45694</v>
      </c>
      <c r="BC23" s="172">
        <f>+$D$13+5</f>
        <v>45694</v>
      </c>
      <c r="BD23" s="173" t="str">
        <f t="shared" si="32"/>
        <v/>
      </c>
      <c r="BE23" s="173" t="str">
        <f>+IF(OR(BF23=S.CAL!$BJ$3,BF23=S.CAL!$BJ$4),BD23,"")</f>
        <v/>
      </c>
      <c r="BF23" s="351">
        <f>IF($DY$5=S.CAL!$CU$2,Février!AR25,IF($DY$5=S.CAL!$CU$3,VLOOKUP(BC23,planning_fp,7,FALSE),""))</f>
        <v>0</v>
      </c>
      <c r="BG23" s="363" t="str">
        <f>Février!BL25</f>
        <v>A</v>
      </c>
      <c r="BH23" s="29"/>
      <c r="BI23" s="354"/>
      <c r="BL23" s="149"/>
      <c r="CD23" s="346"/>
      <c r="CE23" s="107">
        <f t="shared" si="33"/>
        <v>45694</v>
      </c>
      <c r="CF23" s="172">
        <f>+$D$13+5</f>
        <v>45694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45694</v>
      </c>
      <c r="EM23" s="16" t="str">
        <f t="shared" si="29"/>
        <v>Fiche infoA445694</v>
      </c>
      <c r="EN23" s="16">
        <f t="shared" si="20"/>
        <v>0</v>
      </c>
      <c r="EQ23" s="16" t="str">
        <f>Février!FS25</f>
        <v/>
      </c>
    </row>
    <row r="24" spans="1:147" ht="18" customHeight="1" x14ac:dyDescent="0.2">
      <c r="A24" s="24" t="str">
        <f>+Février!BJ26</f>
        <v>Fiche infoA5</v>
      </c>
      <c r="B24" s="107">
        <f t="shared" si="30"/>
        <v>45695</v>
      </c>
      <c r="C24" s="172">
        <f>+$D$13+6</f>
        <v>45695</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Février!BC26</f>
        <v>0</v>
      </c>
      <c r="J24" s="34">
        <f>Février!BE26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infoA5</v>
      </c>
      <c r="BB24" s="107">
        <f t="shared" si="31"/>
        <v>45695</v>
      </c>
      <c r="BC24" s="172">
        <f>+$D$13+6</f>
        <v>45695</v>
      </c>
      <c r="BD24" s="173" t="str">
        <f t="shared" si="32"/>
        <v/>
      </c>
      <c r="BE24" s="173" t="str">
        <f>+IF(OR(BF24=S.CAL!$BJ$3,BF24=S.CAL!$BJ$4),BD24,"")</f>
        <v/>
      </c>
      <c r="BF24" s="351">
        <f>IF($DY$5=S.CAL!$CU$2,Février!AR26,IF($DY$5=S.CAL!$CU$3,VLOOKUP(BC24,planning_fp,7,FALSE),""))</f>
        <v>0</v>
      </c>
      <c r="BG24" s="363" t="str">
        <f>Février!BL26</f>
        <v>A</v>
      </c>
      <c r="BL24" s="35"/>
      <c r="BM24" s="197"/>
      <c r="BO24" s="29"/>
      <c r="BP24" s="184"/>
      <c r="BR24" s="16" t="s">
        <v>758</v>
      </c>
      <c r="BV24" s="373"/>
      <c r="BW24" s="373"/>
      <c r="BX24" s="373"/>
      <c r="BY24" s="373" t="s">
        <v>708</v>
      </c>
      <c r="BZ24" s="373"/>
      <c r="CA24" s="373"/>
      <c r="CB24" s="373"/>
      <c r="CD24" s="346"/>
      <c r="CE24" s="107">
        <f t="shared" si="33"/>
        <v>45695</v>
      </c>
      <c r="CF24" s="172">
        <f>+$D$13+6</f>
        <v>45695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45695</v>
      </c>
      <c r="EM24" s="16" t="str">
        <f t="shared" si="29"/>
        <v>Fiche infoA545695</v>
      </c>
      <c r="EN24" s="16">
        <f t="shared" si="20"/>
        <v>0</v>
      </c>
      <c r="EQ24" s="16" t="str">
        <f>Février!FS26</f>
        <v/>
      </c>
    </row>
    <row r="25" spans="1:147" ht="18" customHeight="1" x14ac:dyDescent="0.2">
      <c r="A25" s="24" t="str">
        <f>+Février!BJ27</f>
        <v>Fiche infoA6</v>
      </c>
      <c r="B25" s="107">
        <f t="shared" si="30"/>
        <v>45696</v>
      </c>
      <c r="C25" s="172">
        <f>+$D$13+7</f>
        <v>45696</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Février!BC27</f>
        <v>0</v>
      </c>
      <c r="J25" s="34">
        <f>Février!BE27</f>
        <v>0</v>
      </c>
      <c r="K25" s="34">
        <f t="shared" si="15"/>
        <v>0</v>
      </c>
      <c r="L25" s="34" t="str">
        <f t="shared" si="21"/>
        <v/>
      </c>
      <c r="AK25" s="1211" t="s">
        <v>329</v>
      </c>
      <c r="AL25" s="1335">
        <f>+IF(AL22,AL24/AL22,0)</f>
        <v>0</v>
      </c>
      <c r="BA25" s="349" t="str">
        <f t="shared" si="16"/>
        <v>Fiche infoA6</v>
      </c>
      <c r="BB25" s="107">
        <f t="shared" si="31"/>
        <v>45696</v>
      </c>
      <c r="BC25" s="172">
        <f>+$D$13+7</f>
        <v>45696</v>
      </c>
      <c r="BD25" s="173" t="str">
        <f t="shared" si="32"/>
        <v/>
      </c>
      <c r="BE25" s="173" t="str">
        <f>+IF(OR(BF25=S.CAL!$BJ$3,BF25=S.CAL!$BJ$4),BD25,"")</f>
        <v/>
      </c>
      <c r="BF25" s="351">
        <f>IF($DY$5=S.CAL!$CU$2,Février!AR27,IF($DY$5=S.CAL!$CU$3,VLOOKUP(BC25,planning_fp,7,FALSE),""))</f>
        <v>0</v>
      </c>
      <c r="BG25" s="363" t="str">
        <f>Février!BL27</f>
        <v>A</v>
      </c>
      <c r="BH25" s="150"/>
      <c r="BL25" s="35"/>
      <c r="BO25" s="29"/>
      <c r="BP25" s="184"/>
      <c r="BV25" s="373"/>
      <c r="BW25" s="373"/>
      <c r="BX25" s="373"/>
      <c r="BY25" s="373"/>
      <c r="BZ25" s="373"/>
      <c r="CA25" s="373"/>
      <c r="CB25" s="373"/>
      <c r="CD25" s="346"/>
      <c r="CE25" s="107">
        <f t="shared" si="33"/>
        <v>45696</v>
      </c>
      <c r="CF25" s="172">
        <f>+$D$13+7</f>
        <v>45696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45696</v>
      </c>
      <c r="EM25" s="16" t="str">
        <f t="shared" si="29"/>
        <v>Fiche infoA645696</v>
      </c>
      <c r="EN25" s="16">
        <f t="shared" si="20"/>
        <v>0</v>
      </c>
      <c r="EQ25" s="16" t="str">
        <f>Février!FS27</f>
        <v/>
      </c>
    </row>
    <row r="26" spans="1:147" ht="18" customHeight="1" x14ac:dyDescent="0.2">
      <c r="A26" s="24" t="str">
        <f>+Février!BJ28</f>
        <v>Fiche infoA7</v>
      </c>
      <c r="B26" s="107">
        <f t="shared" si="30"/>
        <v>45697</v>
      </c>
      <c r="C26" s="172">
        <f>+$D$13+8</f>
        <v>45697</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Février!BC28</f>
        <v>0</v>
      </c>
      <c r="J26" s="34">
        <f>Février!BE28</f>
        <v>0</v>
      </c>
      <c r="K26" s="34">
        <f t="shared" si="15"/>
        <v>0</v>
      </c>
      <c r="L26" s="34" t="str">
        <f t="shared" si="21"/>
        <v/>
      </c>
      <c r="O26" s="16" t="s">
        <v>1217</v>
      </c>
      <c r="AK26" s="1211" t="s">
        <v>330</v>
      </c>
      <c r="AL26" s="1335">
        <f>IF(AS21,SUM(AT13:AT20)/AS21,0)</f>
        <v>0</v>
      </c>
      <c r="BA26" s="349" t="str">
        <f t="shared" si="16"/>
        <v>Fiche infoA7</v>
      </c>
      <c r="BB26" s="107">
        <f t="shared" si="31"/>
        <v>45697</v>
      </c>
      <c r="BC26" s="172">
        <f>+$D$13+8</f>
        <v>45697</v>
      </c>
      <c r="BD26" s="173" t="str">
        <f t="shared" si="32"/>
        <v/>
      </c>
      <c r="BE26" s="173" t="str">
        <f>+IF(OR(BF26=S.CAL!$BJ$3,BF26=S.CAL!$BJ$4),BD26,"")</f>
        <v/>
      </c>
      <c r="BF26" s="351">
        <f>IF($DY$5=S.CAL!$CU$2,Février!AR28,IF($DY$5=S.CAL!$CU$3,VLOOKUP(BC26,planning_fp,7,FALSE),""))</f>
        <v>0</v>
      </c>
      <c r="BG26" s="363" t="str">
        <f>Février!BL28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45697</v>
      </c>
      <c r="CF26" s="172">
        <f>+$D$13+8</f>
        <v>45697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45697</v>
      </c>
      <c r="EM26" s="16" t="str">
        <f t="shared" si="29"/>
        <v>Fiche infoA745697</v>
      </c>
      <c r="EN26" s="16">
        <f t="shared" si="20"/>
        <v>0</v>
      </c>
      <c r="EQ26" s="16" t="str">
        <f>Février!FS28</f>
        <v/>
      </c>
    </row>
    <row r="27" spans="1:147" ht="21.75" customHeight="1" x14ac:dyDescent="0.2">
      <c r="A27" s="24" t="str">
        <f>+Février!BJ29</f>
        <v>Fiche infoA1</v>
      </c>
      <c r="B27" s="107">
        <f t="shared" si="30"/>
        <v>45698</v>
      </c>
      <c r="C27" s="172">
        <f>+$D$13+9</f>
        <v>45698</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Février!BC29</f>
        <v>0</v>
      </c>
      <c r="J27" s="34">
        <f>Février!BE29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infoA1</v>
      </c>
      <c r="BB27" s="107">
        <f t="shared" si="31"/>
        <v>45698</v>
      </c>
      <c r="BC27" s="172">
        <f>+$D$13+9</f>
        <v>45698</v>
      </c>
      <c r="BD27" s="173" t="str">
        <f t="shared" si="32"/>
        <v/>
      </c>
      <c r="BE27" s="173" t="str">
        <f>+IF(OR(BF27=S.CAL!$BJ$3,BF27=S.CAL!$BJ$4),BD27,"")</f>
        <v/>
      </c>
      <c r="BF27" s="351">
        <f>IF($DY$5=S.CAL!$CU$2,Février!AR29,IF($DY$5=S.CAL!$CU$3,VLOOKUP(BC27,planning_fp,7,FALSE),""))</f>
        <v>0</v>
      </c>
      <c r="BG27" s="363" t="str">
        <f>Février!BL29</f>
        <v>A</v>
      </c>
      <c r="BI27" s="16" t="s">
        <v>758</v>
      </c>
      <c r="BL27" s="35"/>
      <c r="BP27" s="2401"/>
      <c r="BQ27" s="2401"/>
      <c r="BR27" s="2401"/>
      <c r="BS27" s="2401"/>
      <c r="BT27" s="2400"/>
      <c r="BV27" s="373"/>
      <c r="BW27" s="373"/>
      <c r="BX27" s="2488"/>
      <c r="BY27" s="2488"/>
      <c r="BZ27" s="2488"/>
      <c r="CA27" s="2488"/>
      <c r="CB27" s="2487"/>
      <c r="CD27" s="346"/>
      <c r="CE27" s="107">
        <f t="shared" si="33"/>
        <v>45698</v>
      </c>
      <c r="CF27" s="172">
        <f>+$D$13+9</f>
        <v>45698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45698</v>
      </c>
      <c r="EM27" s="16" t="str">
        <f t="shared" si="29"/>
        <v>Fiche infoA145698</v>
      </c>
      <c r="EN27" s="16">
        <f t="shared" si="20"/>
        <v>0</v>
      </c>
      <c r="EQ27" s="16" t="str">
        <f>Février!FS29</f>
        <v/>
      </c>
    </row>
    <row r="28" spans="1:147" ht="18" customHeight="1" x14ac:dyDescent="0.2">
      <c r="A28" s="24" t="str">
        <f>+Février!BJ30</f>
        <v>Fiche infoA2</v>
      </c>
      <c r="B28" s="107">
        <f t="shared" si="30"/>
        <v>45699</v>
      </c>
      <c r="C28" s="172">
        <f>+$D$13+10</f>
        <v>45699</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Février!BC30</f>
        <v>0</v>
      </c>
      <c r="J28" s="34">
        <f>Février!BE30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infoA2</v>
      </c>
      <c r="BB28" s="107">
        <f t="shared" si="31"/>
        <v>45699</v>
      </c>
      <c r="BC28" s="172">
        <f>+$D$13+10</f>
        <v>45699</v>
      </c>
      <c r="BD28" s="173" t="str">
        <f t="shared" si="32"/>
        <v/>
      </c>
      <c r="BE28" s="173" t="str">
        <f>+IF(OR(BF28=S.CAL!$BJ$3,BF28=S.CAL!$BJ$4),BD28,"")</f>
        <v/>
      </c>
      <c r="BF28" s="351">
        <f>IF($DY$5=S.CAL!$CU$2,Février!AR30,IF($DY$5=S.CAL!$CU$3,VLOOKUP(BC28,planning_fp,7,FALSE),""))</f>
        <v>0</v>
      </c>
      <c r="BG28" s="363" t="str">
        <f>Février!BL30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45699</v>
      </c>
      <c r="CF28" s="172">
        <f>+$D$13+10</f>
        <v>45699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45699</v>
      </c>
      <c r="EM28" s="16" t="str">
        <f t="shared" si="29"/>
        <v>Fiche infoA245699</v>
      </c>
      <c r="EN28" s="16">
        <f t="shared" si="20"/>
        <v>0</v>
      </c>
      <c r="EQ28" s="16" t="str">
        <f>Février!FS30</f>
        <v/>
      </c>
    </row>
    <row r="29" spans="1:147" ht="18" customHeight="1" x14ac:dyDescent="0.2">
      <c r="A29" s="24" t="str">
        <f>+Février!BJ31</f>
        <v>Fiche infoA3</v>
      </c>
      <c r="B29" s="107">
        <f t="shared" si="30"/>
        <v>45700</v>
      </c>
      <c r="C29" s="172">
        <f>+$D$13+11</f>
        <v>45700</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Février!BC31</f>
        <v>0</v>
      </c>
      <c r="J29" s="34">
        <f>Février!BE31</f>
        <v>0</v>
      </c>
      <c r="K29" s="34">
        <f t="shared" si="15"/>
        <v>0</v>
      </c>
      <c r="L29" s="34" t="str">
        <f t="shared" si="21"/>
        <v/>
      </c>
      <c r="O29" s="877" t="s">
        <v>1471</v>
      </c>
      <c r="P29" s="877"/>
      <c r="Q29" s="877"/>
      <c r="R29" s="877"/>
      <c r="BA29" s="349" t="str">
        <f t="shared" si="16"/>
        <v>Fiche infoA3</v>
      </c>
      <c r="BB29" s="107">
        <f t="shared" si="31"/>
        <v>45700</v>
      </c>
      <c r="BC29" s="172">
        <f>+$D$13+11</f>
        <v>45700</v>
      </c>
      <c r="BD29" s="173" t="str">
        <f t="shared" si="32"/>
        <v/>
      </c>
      <c r="BE29" s="173" t="str">
        <f>+IF(OR(BF29=S.CAL!$BJ$3,BF29=S.CAL!$BJ$4),BD29,"")</f>
        <v/>
      </c>
      <c r="BF29" s="351">
        <f>IF($DY$5=S.CAL!$CU$2,Février!AR31,IF($DY$5=S.CAL!$CU$3,VLOOKUP(BC29,planning_fp,7,FALSE),""))</f>
        <v>0</v>
      </c>
      <c r="BG29" s="363" t="str">
        <f>Février!BL31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45700</v>
      </c>
      <c r="CF29" s="172">
        <f>+$D$13+11</f>
        <v>45700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45700</v>
      </c>
      <c r="EM29" s="16" t="str">
        <f t="shared" si="29"/>
        <v>Fiche infoA345700</v>
      </c>
      <c r="EN29" s="16">
        <f t="shared" si="20"/>
        <v>0</v>
      </c>
      <c r="EQ29" s="16" t="str">
        <f>Février!FS31</f>
        <v/>
      </c>
    </row>
    <row r="30" spans="1:147" ht="18" customHeight="1" x14ac:dyDescent="0.25">
      <c r="A30" s="24" t="str">
        <f>+Février!BJ32</f>
        <v>Fiche infoA4</v>
      </c>
      <c r="B30" s="107">
        <f t="shared" si="30"/>
        <v>45701</v>
      </c>
      <c r="C30" s="172">
        <f>+$D$13+12</f>
        <v>45701</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Février!BC32</f>
        <v>0</v>
      </c>
      <c r="J30" s="34">
        <f>Février!BE32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45689</v>
      </c>
      <c r="AP30" s="2496"/>
      <c r="AQ30" s="2496"/>
      <c r="BA30" s="349" t="str">
        <f t="shared" si="16"/>
        <v>Fiche infoA4</v>
      </c>
      <c r="BB30" s="107">
        <f t="shared" si="31"/>
        <v>45701</v>
      </c>
      <c r="BC30" s="172">
        <f>+$D$13+12</f>
        <v>45701</v>
      </c>
      <c r="BD30" s="173" t="str">
        <f t="shared" si="32"/>
        <v/>
      </c>
      <c r="BE30" s="173" t="str">
        <f>+IF(OR(BF30=S.CAL!$BJ$3,BF30=S.CAL!$BJ$4),BD30,"")</f>
        <v/>
      </c>
      <c r="BF30" s="351">
        <f>IF($DY$5=S.CAL!$CU$2,Février!AR32,IF($DY$5=S.CAL!$CU$3,VLOOKUP(BC30,planning_fp,7,FALSE),""))</f>
        <v>0</v>
      </c>
      <c r="BG30" s="363" t="str">
        <f>Février!BL32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45701</v>
      </c>
      <c r="CF30" s="172">
        <f>+$D$13+12</f>
        <v>45701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45701</v>
      </c>
      <c r="EM30" s="16" t="str">
        <f t="shared" si="29"/>
        <v>Fiche infoA445701</v>
      </c>
      <c r="EN30" s="16">
        <f t="shared" si="20"/>
        <v>0</v>
      </c>
      <c r="EQ30" s="16" t="str">
        <f>Février!FS32</f>
        <v/>
      </c>
    </row>
    <row r="31" spans="1:147" ht="18" customHeight="1" x14ac:dyDescent="0.2">
      <c r="A31" s="24" t="str">
        <f>+Février!BJ33</f>
        <v>Fiche infoA5</v>
      </c>
      <c r="B31" s="107">
        <f t="shared" si="30"/>
        <v>45702</v>
      </c>
      <c r="C31" s="172">
        <f>+$D$13+13</f>
        <v>45702</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Février!BC33</f>
        <v>0</v>
      </c>
      <c r="J31" s="34">
        <f>Février!BE33</f>
        <v>0</v>
      </c>
      <c r="K31" s="34">
        <f t="shared" si="15"/>
        <v>0</v>
      </c>
      <c r="L31" s="34" t="str">
        <f t="shared" si="21"/>
        <v/>
      </c>
      <c r="AL31" s="581" t="s">
        <v>351</v>
      </c>
      <c r="BA31" s="349" t="str">
        <f t="shared" si="16"/>
        <v>Fiche infoA5</v>
      </c>
      <c r="BB31" s="107">
        <f t="shared" si="31"/>
        <v>45702</v>
      </c>
      <c r="BC31" s="172">
        <f>+$D$13+13</f>
        <v>45702</v>
      </c>
      <c r="BD31" s="173" t="str">
        <f t="shared" si="32"/>
        <v/>
      </c>
      <c r="BE31" s="173" t="str">
        <f>+IF(OR(BF31=S.CAL!$BJ$3,BF31=S.CAL!$BJ$4),BD31,"")</f>
        <v/>
      </c>
      <c r="BF31" s="351">
        <f>IF($DY$5=S.CAL!$CU$2,Février!AR33,IF($DY$5=S.CAL!$CU$3,VLOOKUP(BC31,planning_fp,7,FALSE),""))</f>
        <v>0</v>
      </c>
      <c r="BG31" s="363" t="str">
        <f>Février!BL33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45702</v>
      </c>
      <c r="CF31" s="172">
        <f>+$D$13+13</f>
        <v>45702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45702</v>
      </c>
      <c r="EM31" s="16" t="str">
        <f t="shared" si="29"/>
        <v>Fiche infoA545702</v>
      </c>
      <c r="EN31" s="16">
        <f t="shared" si="20"/>
        <v>0</v>
      </c>
      <c r="EQ31" s="16" t="str">
        <f>Février!FS33</f>
        <v/>
      </c>
    </row>
    <row r="32" spans="1:147" ht="18" customHeight="1" x14ac:dyDescent="0.2">
      <c r="A32" s="24" t="str">
        <f>+Février!BJ34</f>
        <v>Fiche infoA6</v>
      </c>
      <c r="B32" s="107">
        <f t="shared" si="30"/>
        <v>45703</v>
      </c>
      <c r="C32" s="172">
        <f>+$D$13+14</f>
        <v>45703</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Février!BC34</f>
        <v>0</v>
      </c>
      <c r="J32" s="34">
        <f>Février!BE34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infoA6</v>
      </c>
      <c r="BB32" s="107">
        <f t="shared" si="31"/>
        <v>45703</v>
      </c>
      <c r="BC32" s="172">
        <f>+$D$13+14</f>
        <v>45703</v>
      </c>
      <c r="BD32" s="173" t="str">
        <f t="shared" si="32"/>
        <v/>
      </c>
      <c r="BE32" s="173" t="str">
        <f>+IF(OR(BF32=S.CAL!$BJ$3,BF32=S.CAL!$BJ$4),BD32,"")</f>
        <v/>
      </c>
      <c r="BF32" s="351">
        <f>IF($DY$5=S.CAL!$CU$2,Février!AR34,IF($DY$5=S.CAL!$CU$3,VLOOKUP(BC32,planning_fp,7,FALSE),""))</f>
        <v>0</v>
      </c>
      <c r="BG32" s="363" t="str">
        <f>Février!BL34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45703</v>
      </c>
      <c r="CF32" s="172">
        <f>+$D$13+14</f>
        <v>45703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45703</v>
      </c>
      <c r="EM32" s="16" t="str">
        <f t="shared" si="29"/>
        <v>Fiche infoA645703</v>
      </c>
      <c r="EN32" s="16">
        <f t="shared" si="20"/>
        <v>0</v>
      </c>
      <c r="EQ32" s="16" t="str">
        <f>Février!FS34</f>
        <v/>
      </c>
    </row>
    <row r="33" spans="1:147" ht="18" customHeight="1" x14ac:dyDescent="0.2">
      <c r="A33" s="24" t="str">
        <f>+Février!BJ35</f>
        <v>Fiche infoA7</v>
      </c>
      <c r="B33" s="107">
        <f t="shared" si="30"/>
        <v>45704</v>
      </c>
      <c r="C33" s="172">
        <f>+$D$13+15</f>
        <v>45704</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Février!BC35</f>
        <v>0</v>
      </c>
      <c r="J33" s="34">
        <f>Février!BE35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infoA7</v>
      </c>
      <c r="BB33" s="107">
        <f t="shared" si="31"/>
        <v>45704</v>
      </c>
      <c r="BC33" s="172">
        <f>+$D$13+15</f>
        <v>45704</v>
      </c>
      <c r="BD33" s="173" t="str">
        <f t="shared" si="32"/>
        <v/>
      </c>
      <c r="BE33" s="173" t="str">
        <f>+IF(OR(BF33=S.CAL!$BJ$3,BF33=S.CAL!$BJ$4),BD33,"")</f>
        <v/>
      </c>
      <c r="BF33" s="351">
        <f>IF($DY$5=S.CAL!$CU$2,Février!AR35,IF($DY$5=S.CAL!$CU$3,VLOOKUP(BC33,planning_fp,7,FALSE),""))</f>
        <v>0</v>
      </c>
      <c r="BG33" s="363" t="str">
        <f>Février!BL35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45704</v>
      </c>
      <c r="CF33" s="172">
        <f>+$D$13+15</f>
        <v>45704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45704</v>
      </c>
      <c r="EM33" s="16" t="str">
        <f t="shared" si="29"/>
        <v>Fiche infoA745704</v>
      </c>
      <c r="EN33" s="16">
        <f t="shared" si="20"/>
        <v>0</v>
      </c>
      <c r="EQ33" s="16" t="str">
        <f>Février!FS35</f>
        <v/>
      </c>
    </row>
    <row r="34" spans="1:147" ht="18" customHeight="1" x14ac:dyDescent="0.2">
      <c r="A34" s="24" t="str">
        <f>+Février!BJ36</f>
        <v>Fiche infoA1</v>
      </c>
      <c r="B34" s="107">
        <f t="shared" si="30"/>
        <v>45705</v>
      </c>
      <c r="C34" s="172">
        <f>+$D$13+16</f>
        <v>45705</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Février!BC36</f>
        <v>0</v>
      </c>
      <c r="J34" s="34">
        <f>Février!BE36</f>
        <v>0</v>
      </c>
      <c r="K34" s="34">
        <f t="shared" si="15"/>
        <v>0</v>
      </c>
      <c r="L34" s="34" t="str">
        <f t="shared" si="21"/>
        <v/>
      </c>
      <c r="N34" s="395"/>
      <c r="O34" s="395"/>
      <c r="P34" s="395"/>
      <c r="Q34" s="395"/>
      <c r="R34" s="395"/>
      <c r="T34" s="581">
        <f>+IF(AD34=0,V34,0)</f>
        <v>0</v>
      </c>
      <c r="U34" s="1323" t="str">
        <f>+Février!AU4</f>
        <v>A</v>
      </c>
      <c r="V34" s="1323">
        <f>IFERROR(+VLOOKUP(U34,U35:AB39,7,FALSE),"")</f>
        <v>0</v>
      </c>
      <c r="W34" s="2482" t="str">
        <f>Février!BS28</f>
        <v>Semaine numéro : 5</v>
      </c>
      <c r="X34" s="2482"/>
      <c r="Y34" s="2482"/>
      <c r="Z34" s="1345"/>
      <c r="AA34" s="1338">
        <f>+IF(Z34&lt;&gt;"",Z34,IF(T34&gt;0,T34,IF(AND(AD34&gt;0,AC34&gt;0),AD34+AC34,IF(AE34&gt;0,0,AC34))))</f>
        <v>0</v>
      </c>
      <c r="AB34" s="1338">
        <f>IF(AND(AA34&gt;45,AD34=AD48),AA34-45,0)</f>
        <v>0</v>
      </c>
      <c r="AC34" s="1344">
        <f>+SUMIF(Février!$BK$20:$BK$50,Février!AT4,$D$18:$D$48)</f>
        <v>0</v>
      </c>
      <c r="AD34" s="1344">
        <f>+SUMIF(Janvier!$BK$20:$BK$50,Février!AT4,'Retenue Janv'!$D$18:$D$48)</f>
        <v>0</v>
      </c>
      <c r="AE34" s="1344">
        <f>+SUMIF(Mars!$BK$20:$BK$50,Février!AT4,'Retenue Mars'!$D$18:$D$48)</f>
        <v>0</v>
      </c>
      <c r="AF34" s="1338">
        <f>+AC34-AB34</f>
        <v>0</v>
      </c>
      <c r="AK34" s="1211" t="s">
        <v>333</v>
      </c>
      <c r="AL34" s="1324" t="e">
        <f>IF(AL32,+AL24/AL32,0)</f>
        <v>#VALUE!</v>
      </c>
      <c r="BA34" s="349" t="str">
        <f t="shared" si="16"/>
        <v>Fiche infoA1</v>
      </c>
      <c r="BB34" s="107">
        <f t="shared" si="31"/>
        <v>45705</v>
      </c>
      <c r="BC34" s="172">
        <f>+$D$13+16</f>
        <v>45705</v>
      </c>
      <c r="BD34" s="173" t="str">
        <f t="shared" si="32"/>
        <v/>
      </c>
      <c r="BE34" s="173" t="str">
        <f>+IF(OR(BF34=S.CAL!$BJ$3,BF34=S.CAL!$BJ$4),BD34,"")</f>
        <v/>
      </c>
      <c r="BF34" s="351">
        <f>IF($DY$5=S.CAL!$CU$2,Février!AR36,IF($DY$5=S.CAL!$CU$3,VLOOKUP(BC34,planning_fp,7,FALSE),""))</f>
        <v>0</v>
      </c>
      <c r="BG34" s="363" t="str">
        <f>Février!BL36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45705</v>
      </c>
      <c r="CF34" s="172">
        <f>+$D$13+16</f>
        <v>45705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45705</v>
      </c>
      <c r="EM34" s="16" t="str">
        <f t="shared" si="29"/>
        <v>Fiche infoA145705</v>
      </c>
      <c r="EN34" s="16">
        <f t="shared" si="20"/>
        <v>0</v>
      </c>
      <c r="EQ34" s="16" t="str">
        <f>Février!FS36</f>
        <v/>
      </c>
    </row>
    <row r="35" spans="1:147" ht="18" customHeight="1" x14ac:dyDescent="0.2">
      <c r="A35" s="24" t="str">
        <f>+Février!BJ37</f>
        <v>Fiche infoA2</v>
      </c>
      <c r="B35" s="107">
        <f t="shared" si="30"/>
        <v>45706</v>
      </c>
      <c r="C35" s="172">
        <f>+$D$13+17</f>
        <v>45706</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Février!BC37</f>
        <v>0</v>
      </c>
      <c r="J35" s="34">
        <f>Février!BE37</f>
        <v>0</v>
      </c>
      <c r="K35" s="34">
        <f t="shared" si="15"/>
        <v>0</v>
      </c>
      <c r="L35" s="34" t="str">
        <f t="shared" si="21"/>
        <v/>
      </c>
      <c r="N35" s="395"/>
      <c r="O35" s="879" t="s">
        <v>1218</v>
      </c>
      <c r="P35" s="880"/>
      <c r="Q35" s="880"/>
      <c r="R35" s="876"/>
      <c r="T35" s="581">
        <f>+IF(AD35=0,V35,0)</f>
        <v>0</v>
      </c>
      <c r="U35" s="1323" t="str">
        <f>+Février!AU5</f>
        <v>A</v>
      </c>
      <c r="V35" s="1323">
        <f>IFERROR(+VLOOKUP(U35,U36:AB39,7,FALSE),"")</f>
        <v>0</v>
      </c>
      <c r="W35" s="2482" t="str">
        <f>Février!BS29</f>
        <v>Semaine numéro : 6</v>
      </c>
      <c r="X35" s="2482"/>
      <c r="Y35" s="2482"/>
      <c r="Z35" s="1345"/>
      <c r="AA35" s="1338">
        <f>+IF(Z35&lt;&gt;"",Z35,IF(T35&gt;0,T35,IF(AND(AD35&gt;0,AC35&gt;0),AD35+AC35,IF(AE35&gt;0,0,AC35))))</f>
        <v>0</v>
      </c>
      <c r="AB35" s="1338">
        <f t="shared" ref="AB35:AB39" si="44">IF(AND(AA35&gt;45,AD35=AD49),AA35-45,0)</f>
        <v>0</v>
      </c>
      <c r="AC35" s="1344">
        <f>+SUMIF(Février!$BK$20:$BK$50,Février!AT5,$D$18:$D$48)</f>
        <v>0</v>
      </c>
      <c r="AD35" s="1344">
        <f>+SUMIF(Janvier!$BK$20:$BK$50,Février!AT5,'Retenue Janv'!$D$18:$D$48)</f>
        <v>0</v>
      </c>
      <c r="AE35" s="1344">
        <f>+SUMIF(Mars!$BK$20:$BK$50,Février!AT5,'Retenue Mars'!$D$18:$D$48)</f>
        <v>0</v>
      </c>
      <c r="AF35" s="1338">
        <f t="shared" ref="AF35:AF39" si="45">+AC35-AB35</f>
        <v>0</v>
      </c>
      <c r="AK35" s="1211"/>
      <c r="AL35" s="1324"/>
      <c r="BA35" s="349" t="str">
        <f t="shared" si="16"/>
        <v>Fiche infoA2</v>
      </c>
      <c r="BB35" s="107">
        <f t="shared" si="31"/>
        <v>45706</v>
      </c>
      <c r="BC35" s="172">
        <f>+$D$13+17</f>
        <v>45706</v>
      </c>
      <c r="BD35" s="173" t="str">
        <f t="shared" si="32"/>
        <v/>
      </c>
      <c r="BE35" s="173" t="str">
        <f>+IF(OR(BF35=S.CAL!$BJ$3,BF35=S.CAL!$BJ$4),BD35,"")</f>
        <v/>
      </c>
      <c r="BF35" s="351">
        <f>IF($DY$5=S.CAL!$CU$2,Février!AR37,IF($DY$5=S.CAL!$CU$3,VLOOKUP(BC35,planning_fp,7,FALSE),""))</f>
        <v>0</v>
      </c>
      <c r="BG35" s="363" t="str">
        <f>Février!BL37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45706</v>
      </c>
      <c r="CF35" s="172">
        <f>+$D$13+17</f>
        <v>45706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45706</v>
      </c>
      <c r="EM35" s="16" t="str">
        <f t="shared" si="29"/>
        <v>Fiche infoA245706</v>
      </c>
      <c r="EN35" s="16">
        <f t="shared" si="20"/>
        <v>0</v>
      </c>
      <c r="EQ35" s="16" t="str">
        <f>Février!FS37</f>
        <v/>
      </c>
    </row>
    <row r="36" spans="1:147" ht="18" customHeight="1" x14ac:dyDescent="0.2">
      <c r="A36" s="24" t="str">
        <f>+Février!BJ38</f>
        <v>Fiche infoA3</v>
      </c>
      <c r="B36" s="107">
        <f t="shared" si="30"/>
        <v>45707</v>
      </c>
      <c r="C36" s="172">
        <f>+$D$13+18</f>
        <v>45707</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Février!BC38</f>
        <v>0</v>
      </c>
      <c r="J36" s="34">
        <f>Février!BE38</f>
        <v>0</v>
      </c>
      <c r="K36" s="34">
        <f t="shared" si="15"/>
        <v>0</v>
      </c>
      <c r="L36" s="34" t="str">
        <f t="shared" si="21"/>
        <v/>
      </c>
      <c r="N36" s="395"/>
      <c r="O36" s="486"/>
      <c r="P36" s="487" t="str">
        <f>+E11&amp;" / ( "&amp;E10&amp;" + "&amp;E11&amp;" ) ="</f>
        <v>0 / ( 0 + 0 ) =</v>
      </c>
      <c r="Q36" s="486" t="e">
        <f>+ROUND(E11/(E11+E10),6)</f>
        <v>#DIV/0!</v>
      </c>
      <c r="R36" s="395"/>
      <c r="U36" s="1323" t="str">
        <f>+Février!AU6</f>
        <v>A</v>
      </c>
      <c r="V36" s="1323"/>
      <c r="W36" s="2482" t="str">
        <f>Février!BS30</f>
        <v>Semaine numéro : 7</v>
      </c>
      <c r="X36" s="2482"/>
      <c r="Y36" s="2482"/>
      <c r="Z36" s="1345"/>
      <c r="AA36" s="1338">
        <f t="shared" ref="AA36:AA39" si="46">+IF(Z36="",IF(AND(AD36&gt;0,AC36&gt;0),AD36+AC36,IF(AE36&gt;0,0,AC36)),Z36)</f>
        <v>0</v>
      </c>
      <c r="AB36" s="1338">
        <f t="shared" si="44"/>
        <v>0</v>
      </c>
      <c r="AC36" s="1344">
        <f>+SUMIF(Février!$BK$20:$BK$50,Février!AT6,$D$18:$D$48)</f>
        <v>0</v>
      </c>
      <c r="AD36" s="1344">
        <f>+SUMIF(Janvier!$BK$20:$BK$50,Février!AT6,'Retenue Janv'!$D$18:$D$48)</f>
        <v>0</v>
      </c>
      <c r="AE36" s="1344">
        <f>+SUMIF(Mars!$BK$20:$BK$50,Février!AT6,'Retenue Mars'!$D$18:$D$48)</f>
        <v>0</v>
      </c>
      <c r="AF36" s="1338">
        <f t="shared" si="45"/>
        <v>0</v>
      </c>
      <c r="AK36" s="1211"/>
      <c r="AL36" s="1324"/>
      <c r="BA36" s="349" t="str">
        <f t="shared" si="16"/>
        <v>Fiche infoA3</v>
      </c>
      <c r="BB36" s="107">
        <f t="shared" si="31"/>
        <v>45707</v>
      </c>
      <c r="BC36" s="172">
        <f>+$D$13+18</f>
        <v>45707</v>
      </c>
      <c r="BD36" s="173" t="str">
        <f t="shared" si="32"/>
        <v/>
      </c>
      <c r="BE36" s="173" t="str">
        <f>+IF(OR(BF36=S.CAL!$BJ$3,BF36=S.CAL!$BJ$4),BD36,"")</f>
        <v/>
      </c>
      <c r="BF36" s="351">
        <f>IF($DY$5=S.CAL!$CU$2,Février!AR38,IF($DY$5=S.CAL!$CU$3,VLOOKUP(BC36,planning_fp,7,FALSE),""))</f>
        <v>0</v>
      </c>
      <c r="BG36" s="363" t="str">
        <f>Février!BL38</f>
        <v>A</v>
      </c>
      <c r="BH36" s="374"/>
      <c r="BI36" s="375"/>
      <c r="BJ36" s="373"/>
      <c r="BK36" s="373"/>
      <c r="BL36" s="35"/>
      <c r="BS36" s="191"/>
      <c r="BT36" s="360"/>
      <c r="BU36" s="360"/>
      <c r="BV36" s="373"/>
      <c r="BW36" s="373"/>
      <c r="BX36" s="373"/>
      <c r="BY36" s="373"/>
      <c r="BZ36" s="373"/>
      <c r="CA36" s="373"/>
      <c r="CB36" s="373"/>
      <c r="CD36" s="346"/>
      <c r="CE36" s="107">
        <f t="shared" si="33"/>
        <v>45707</v>
      </c>
      <c r="CF36" s="172">
        <f>+$D$13+18</f>
        <v>45707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45707</v>
      </c>
      <c r="EM36" s="16" t="str">
        <f t="shared" si="29"/>
        <v>Fiche infoA345707</v>
      </c>
      <c r="EN36" s="16">
        <f t="shared" si="20"/>
        <v>0</v>
      </c>
      <c r="EQ36" s="16" t="str">
        <f>Février!FS38</f>
        <v/>
      </c>
    </row>
    <row r="37" spans="1:147" ht="18" customHeight="1" x14ac:dyDescent="0.2">
      <c r="A37" s="24" t="str">
        <f>+Février!BJ39</f>
        <v>Fiche infoA4</v>
      </c>
      <c r="B37" s="107">
        <f t="shared" si="30"/>
        <v>45708</v>
      </c>
      <c r="C37" s="172">
        <f>+$D$13+19</f>
        <v>45708</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Février!BC39</f>
        <v>0</v>
      </c>
      <c r="J37" s="34">
        <f>Février!BE39</f>
        <v>0</v>
      </c>
      <c r="K37" s="34">
        <f t="shared" si="15"/>
        <v>0</v>
      </c>
      <c r="L37" s="34" t="str">
        <f t="shared" si="21"/>
        <v/>
      </c>
      <c r="N37" s="395"/>
      <c r="O37" s="881"/>
      <c r="P37" s="881"/>
      <c r="Q37" s="881"/>
      <c r="R37" s="395"/>
      <c r="U37" s="1323" t="str">
        <f>+Février!AU7</f>
        <v>A</v>
      </c>
      <c r="V37" s="1323"/>
      <c r="W37" s="2482" t="str">
        <f>Février!BS31</f>
        <v>Semaine numéro : 8</v>
      </c>
      <c r="X37" s="2482"/>
      <c r="Y37" s="2482"/>
      <c r="Z37" s="1345"/>
      <c r="AA37" s="1338">
        <f t="shared" si="46"/>
        <v>0</v>
      </c>
      <c r="AB37" s="1338">
        <f t="shared" si="44"/>
        <v>0</v>
      </c>
      <c r="AC37" s="1344">
        <f>+SUMIF(Février!$BK$20:$BK$50,Février!AT7,$D$18:$D$48)</f>
        <v>0</v>
      </c>
      <c r="AD37" s="1344">
        <f>+SUMIF(Janvier!$BK$20:$BK$50,Février!AT7,'Retenue Janv'!$D$18:$D$48)</f>
        <v>0</v>
      </c>
      <c r="AE37" s="1344">
        <f>+SUMIF(Mars!$BK$20:$BK$50,Février!AT7,'Retenue Mars'!$D$18:$D$48)</f>
        <v>0</v>
      </c>
      <c r="AF37" s="1338">
        <f t="shared" si="45"/>
        <v>0</v>
      </c>
      <c r="AK37" s="1211"/>
      <c r="AL37" s="2494" t="s">
        <v>334</v>
      </c>
      <c r="AM37" s="2494" t="s">
        <v>335</v>
      </c>
      <c r="AN37" s="2495" t="s">
        <v>336</v>
      </c>
      <c r="AO37" s="2494" t="s">
        <v>337</v>
      </c>
      <c r="AP37" s="2494" t="s">
        <v>357</v>
      </c>
      <c r="AQ37" s="2494" t="s">
        <v>358</v>
      </c>
      <c r="BA37" s="349" t="str">
        <f t="shared" si="16"/>
        <v>Fiche infoA4</v>
      </c>
      <c r="BB37" s="107">
        <f t="shared" si="31"/>
        <v>45708</v>
      </c>
      <c r="BC37" s="172">
        <f>+$D$13+19</f>
        <v>45708</v>
      </c>
      <c r="BD37" s="173" t="str">
        <f t="shared" si="32"/>
        <v/>
      </c>
      <c r="BE37" s="173" t="str">
        <f>+IF(OR(BF37=S.CAL!$BJ$3,BF37=S.CAL!$BJ$4),BD37,"")</f>
        <v/>
      </c>
      <c r="BF37" s="351">
        <f>IF($DY$5=S.CAL!$CU$2,Février!AR39,IF($DY$5=S.CAL!$CU$3,VLOOKUP(BC37,planning_fp,7,FALSE),""))</f>
        <v>0</v>
      </c>
      <c r="BG37" s="363" t="str">
        <f>Février!BL39</f>
        <v>A</v>
      </c>
      <c r="BH37" s="373"/>
      <c r="BI37" s="373"/>
      <c r="BJ37" s="373"/>
      <c r="BK37" s="373"/>
      <c r="BL37" s="35"/>
      <c r="BO37" s="29"/>
      <c r="BP37" s="34"/>
      <c r="BS37" s="191"/>
      <c r="BT37" s="191"/>
      <c r="BV37" s="373"/>
      <c r="BW37" s="373"/>
      <c r="BX37" s="373"/>
      <c r="BY37" s="373"/>
      <c r="BZ37" s="373"/>
      <c r="CA37" s="373"/>
      <c r="CB37" s="373"/>
      <c r="CD37" s="346"/>
      <c r="CE37" s="107">
        <f t="shared" si="33"/>
        <v>45708</v>
      </c>
      <c r="CF37" s="172">
        <f>+$D$13+19</f>
        <v>45708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45708</v>
      </c>
      <c r="EM37" s="16" t="str">
        <f t="shared" si="29"/>
        <v>Fiche infoA445708</v>
      </c>
      <c r="EN37" s="16">
        <f t="shared" si="20"/>
        <v>0</v>
      </c>
      <c r="EQ37" s="16" t="str">
        <f>Février!FS39</f>
        <v/>
      </c>
    </row>
    <row r="38" spans="1:147" ht="18" customHeight="1" x14ac:dyDescent="0.2">
      <c r="A38" s="24" t="str">
        <f>+Février!BJ40</f>
        <v>Fiche infoA5</v>
      </c>
      <c r="B38" s="107">
        <f t="shared" si="30"/>
        <v>45709</v>
      </c>
      <c r="C38" s="172">
        <f>+$D$13+20</f>
        <v>45709</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Février!BC40</f>
        <v>0</v>
      </c>
      <c r="J38" s="34">
        <f>Février!BE40</f>
        <v>0</v>
      </c>
      <c r="K38" s="34">
        <f t="shared" si="15"/>
        <v>0</v>
      </c>
      <c r="L38" s="34" t="str">
        <f t="shared" si="21"/>
        <v/>
      </c>
      <c r="N38" s="395"/>
      <c r="O38" s="882" t="s">
        <v>1472</v>
      </c>
      <c r="P38" s="882"/>
      <c r="Q38" s="882"/>
      <c r="R38" s="878"/>
      <c r="U38" s="1323" t="str">
        <f>+Février!AU8</f>
        <v>A</v>
      </c>
      <c r="V38" s="1323"/>
      <c r="W38" s="2482" t="str">
        <f>Février!BS32</f>
        <v>Semaine numéro : 9</v>
      </c>
      <c r="X38" s="2482"/>
      <c r="Y38" s="2482"/>
      <c r="Z38" s="1345"/>
      <c r="AA38" s="1338">
        <f t="shared" si="46"/>
        <v>0</v>
      </c>
      <c r="AB38" s="1338">
        <f t="shared" si="44"/>
        <v>0</v>
      </c>
      <c r="AC38" s="1344">
        <f>+SUMIF(Février!$BK$20:$BK$50,Février!AT8,$D$18:$D$48)</f>
        <v>0</v>
      </c>
      <c r="AD38" s="1344">
        <f>+SUMIF(Janvier!$BK$20:$BK$50,Février!AT8,'Retenue Janv'!$D$18:$D$48)</f>
        <v>0</v>
      </c>
      <c r="AE38" s="1344">
        <f>+SUMIF(Mars!$BK$20:$BK$50,Février!AT8,'Retenue Mars'!$D$18:$D$48)</f>
        <v>0</v>
      </c>
      <c r="AF38" s="1338">
        <f t="shared" si="45"/>
        <v>0</v>
      </c>
      <c r="AL38" s="2494"/>
      <c r="AM38" s="2494"/>
      <c r="AN38" s="2495"/>
      <c r="AO38" s="2494"/>
      <c r="AP38" s="2494"/>
      <c r="AQ38" s="2494"/>
      <c r="BA38" s="349" t="str">
        <f t="shared" si="16"/>
        <v>Fiche infoA5</v>
      </c>
      <c r="BB38" s="107">
        <f t="shared" si="31"/>
        <v>45709</v>
      </c>
      <c r="BC38" s="172">
        <f>+$D$13+20</f>
        <v>45709</v>
      </c>
      <c r="BD38" s="173" t="str">
        <f t="shared" si="32"/>
        <v/>
      </c>
      <c r="BE38" s="173" t="str">
        <f>+IF(OR(BF38=S.CAL!$BJ$3,BF38=S.CAL!$BJ$4),BD38,"")</f>
        <v/>
      </c>
      <c r="BF38" s="351">
        <f>IF($DY$5=S.CAL!$CU$2,Février!AR40,IF($DY$5=S.CAL!$CU$3,VLOOKUP(BC38,planning_fp,7,FALSE),""))</f>
        <v>0</v>
      </c>
      <c r="BG38" s="363" t="str">
        <f>Février!BL40</f>
        <v>A</v>
      </c>
      <c r="BH38" s="373"/>
      <c r="BI38" s="373"/>
      <c r="BJ38" s="373"/>
      <c r="BK38" s="373"/>
      <c r="BL38" s="35"/>
      <c r="BO38" s="29"/>
      <c r="BP38" s="34"/>
      <c r="BS38" s="191"/>
      <c r="BT38" s="191"/>
      <c r="BV38" s="373"/>
      <c r="BW38" s="373"/>
      <c r="BX38" s="373"/>
      <c r="BY38" s="373"/>
      <c r="BZ38" s="373"/>
      <c r="CA38" s="373"/>
      <c r="CB38" s="373"/>
      <c r="CD38" s="346"/>
      <c r="CE38" s="107">
        <f t="shared" si="33"/>
        <v>45709</v>
      </c>
      <c r="CF38" s="172">
        <f>+$D$13+20</f>
        <v>45709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45709</v>
      </c>
      <c r="EM38" s="16" t="str">
        <f t="shared" si="29"/>
        <v>Fiche infoA545709</v>
      </c>
      <c r="EN38" s="16">
        <f t="shared" si="20"/>
        <v>0</v>
      </c>
      <c r="EQ38" s="16" t="str">
        <f>Février!FS40</f>
        <v/>
      </c>
    </row>
    <row r="39" spans="1:147" ht="18" customHeight="1" x14ac:dyDescent="0.2">
      <c r="A39" s="24" t="str">
        <f>+Février!BJ41</f>
        <v>Fiche infoA6</v>
      </c>
      <c r="B39" s="107">
        <f t="shared" si="30"/>
        <v>45710</v>
      </c>
      <c r="C39" s="172">
        <f>+$D$13+21</f>
        <v>45710</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Février!BC41</f>
        <v>0</v>
      </c>
      <c r="J39" s="34">
        <f>Février!BE41</f>
        <v>0</v>
      </c>
      <c r="K39" s="34">
        <f t="shared" si="15"/>
        <v>0</v>
      </c>
      <c r="L39" s="34" t="str">
        <f t="shared" si="21"/>
        <v/>
      </c>
      <c r="N39" s="395"/>
      <c r="O39" s="486"/>
      <c r="P39" s="487" t="str">
        <f>+E10&amp;" / ( "&amp;E10&amp;" + "&amp;E11&amp;" ) ="</f>
        <v>0 / ( 0 + 0 ) =</v>
      </c>
      <c r="Q39" s="486" t="e">
        <f>ROUND(+E10/(E11+E10),6)</f>
        <v>#DIV/0!</v>
      </c>
      <c r="R39" s="395"/>
      <c r="U39" s="1323" t="str">
        <f>+Février!AU9</f>
        <v>A</v>
      </c>
      <c r="V39" s="1323"/>
      <c r="W39" s="2482" t="str">
        <f>Février!BS33</f>
        <v xml:space="preserve">Semaine numéro : </v>
      </c>
      <c r="X39" s="2482"/>
      <c r="Y39" s="2482"/>
      <c r="Z39" s="1345"/>
      <c r="AA39" s="1338">
        <f t="shared" si="46"/>
        <v>0</v>
      </c>
      <c r="AB39" s="1338">
        <f t="shared" si="44"/>
        <v>0</v>
      </c>
      <c r="AC39" s="1344">
        <f>+SUMIF(Février!$BK$20:$BK$50,Février!AT9,$D$18:$D$48)</f>
        <v>0</v>
      </c>
      <c r="AD39" s="1344">
        <f>+SUMIF(Janvier!$BK$20:$BK$50,Février!AT9,'Retenue Janv'!$D$18:$D$48)</f>
        <v>0</v>
      </c>
      <c r="AE39" s="1344">
        <f>+SUMIF(Mars!$BK$20:$BK$50,Février!AT9,'Retenue Mars'!$D$18:$D$48)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infoA6</v>
      </c>
      <c r="BB39" s="107">
        <f t="shared" si="31"/>
        <v>45710</v>
      </c>
      <c r="BC39" s="172">
        <f>+$D$13+21</f>
        <v>45710</v>
      </c>
      <c r="BD39" s="173" t="str">
        <f t="shared" si="32"/>
        <v/>
      </c>
      <c r="BE39" s="173" t="str">
        <f>+IF(OR(BF39=S.CAL!$BJ$3,BF39=S.CAL!$BJ$4),BD39,"")</f>
        <v/>
      </c>
      <c r="BF39" s="351">
        <f>IF($DY$5=S.CAL!$CU$2,Février!AR41,IF($DY$5=S.CAL!$CU$3,VLOOKUP(BC39,planning_fp,7,FALSE),""))</f>
        <v>0</v>
      </c>
      <c r="BG39" s="363" t="str">
        <f>Février!BL41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45710</v>
      </c>
      <c r="CF39" s="172">
        <f>+$D$13+21</f>
        <v>45710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45710</v>
      </c>
      <c r="EM39" s="16" t="str">
        <f t="shared" si="29"/>
        <v>Fiche infoA645710</v>
      </c>
      <c r="EN39" s="16">
        <f t="shared" si="20"/>
        <v>0</v>
      </c>
      <c r="EQ39" s="16" t="str">
        <f>Février!FS41</f>
        <v/>
      </c>
    </row>
    <row r="40" spans="1:147" ht="18" customHeight="1" x14ac:dyDescent="0.2">
      <c r="A40" s="24" t="str">
        <f>+Février!BJ42</f>
        <v>Fiche infoA7</v>
      </c>
      <c r="B40" s="107">
        <f t="shared" si="30"/>
        <v>45711</v>
      </c>
      <c r="C40" s="172">
        <f>+$D$13+22</f>
        <v>45711</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Février!BC42</f>
        <v>0</v>
      </c>
      <c r="J40" s="34">
        <f>Février!BE42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infoA7</v>
      </c>
      <c r="BB40" s="107">
        <f t="shared" si="31"/>
        <v>45711</v>
      </c>
      <c r="BC40" s="172">
        <f>+$D$13+22</f>
        <v>45711</v>
      </c>
      <c r="BD40" s="173" t="str">
        <f t="shared" si="32"/>
        <v/>
      </c>
      <c r="BE40" s="173" t="str">
        <f>+IF(OR(BF40=S.CAL!$BJ$3,BF40=S.CAL!$BJ$4),BD40,"")</f>
        <v/>
      </c>
      <c r="BF40" s="351">
        <f>IF($DY$5=S.CAL!$CU$2,Février!AR42,IF($DY$5=S.CAL!$CU$3,VLOOKUP(BC40,planning_fp,7,FALSE),""))</f>
        <v>0</v>
      </c>
      <c r="BG40" s="363" t="str">
        <f>Février!BL42</f>
        <v>A</v>
      </c>
      <c r="BH40" s="373"/>
      <c r="BI40" s="373"/>
      <c r="BJ40" s="373"/>
      <c r="BK40" s="373"/>
      <c r="BL40" s="35"/>
      <c r="BN40" s="19"/>
      <c r="BO40" s="39"/>
      <c r="BP40" s="196"/>
      <c r="BV40" s="373"/>
      <c r="BW40" s="373"/>
      <c r="BX40" s="390"/>
      <c r="BY40" s="373"/>
      <c r="BZ40" s="373"/>
      <c r="CA40" s="373"/>
      <c r="CB40" s="373"/>
      <c r="CD40" s="346"/>
      <c r="CE40" s="107">
        <f t="shared" si="33"/>
        <v>45711</v>
      </c>
      <c r="CF40" s="172">
        <f>+$D$13+22</f>
        <v>45711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45711</v>
      </c>
      <c r="EM40" s="16" t="str">
        <f t="shared" si="29"/>
        <v>Fiche infoA745711</v>
      </c>
      <c r="EN40" s="16">
        <f t="shared" si="20"/>
        <v>0</v>
      </c>
      <c r="EQ40" s="16" t="str">
        <f>Février!FS42</f>
        <v/>
      </c>
    </row>
    <row r="41" spans="1:147" ht="18" customHeight="1" x14ac:dyDescent="0.2">
      <c r="A41" s="24" t="str">
        <f>+Février!BJ43</f>
        <v>Fiche infoA1</v>
      </c>
      <c r="B41" s="107">
        <f t="shared" si="30"/>
        <v>45712</v>
      </c>
      <c r="C41" s="172">
        <f>+$D$13+23</f>
        <v>45712</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Février!BC43</f>
        <v>0</v>
      </c>
      <c r="J41" s="34">
        <f>Février!BE43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infoA1</v>
      </c>
      <c r="BB41" s="107">
        <f t="shared" si="31"/>
        <v>45712</v>
      </c>
      <c r="BC41" s="172">
        <f>+$D$13+23</f>
        <v>45712</v>
      </c>
      <c r="BD41" s="173" t="str">
        <f t="shared" si="32"/>
        <v/>
      </c>
      <c r="BE41" s="173" t="str">
        <f>+IF(OR(BF41=S.CAL!$BJ$3,BF41=S.CAL!$BJ$4),BD41,"")</f>
        <v/>
      </c>
      <c r="BF41" s="351">
        <f>IF($DY$5=S.CAL!$CU$2,Février!AR43,IF($DY$5=S.CAL!$CU$3,VLOOKUP(BC41,planning_fp,7,FALSE),""))</f>
        <v>0</v>
      </c>
      <c r="BG41" s="363" t="str">
        <f>Février!BL43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45712</v>
      </c>
      <c r="CF41" s="172">
        <f>+$D$13+23</f>
        <v>45712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45712</v>
      </c>
      <c r="EM41" s="16" t="str">
        <f t="shared" si="29"/>
        <v>Fiche infoA145712</v>
      </c>
      <c r="EN41" s="16">
        <f t="shared" si="20"/>
        <v>0</v>
      </c>
      <c r="EQ41" s="16" t="str">
        <f>Février!FS43</f>
        <v/>
      </c>
    </row>
    <row r="42" spans="1:147" ht="18" customHeight="1" x14ac:dyDescent="0.2">
      <c r="A42" s="24" t="str">
        <f>+Février!BJ44</f>
        <v>Fiche infoA2</v>
      </c>
      <c r="B42" s="107">
        <f t="shared" si="30"/>
        <v>45713</v>
      </c>
      <c r="C42" s="172">
        <f>+$D$13+24</f>
        <v>45713</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Février!BC44</f>
        <v>0</v>
      </c>
      <c r="J42" s="34">
        <f>Février!BE44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infoA2</v>
      </c>
      <c r="BB42" s="107">
        <f t="shared" si="31"/>
        <v>45713</v>
      </c>
      <c r="BC42" s="172">
        <f>+$D$13+24</f>
        <v>45713</v>
      </c>
      <c r="BD42" s="173" t="str">
        <f t="shared" si="32"/>
        <v/>
      </c>
      <c r="BE42" s="173" t="str">
        <f>+IF(OR(BF42=S.CAL!$BJ$3,BF42=S.CAL!$BJ$4),BD42,"")</f>
        <v/>
      </c>
      <c r="BF42" s="351">
        <f>IF($DY$5=S.CAL!$CU$2,Février!AR44,IF($DY$5=S.CAL!$CU$3,VLOOKUP(BC42,planning_fp,7,FALSE),""))</f>
        <v>0</v>
      </c>
      <c r="BG42" s="363" t="str">
        <f>Février!BL44</f>
        <v>A</v>
      </c>
      <c r="BH42" s="374"/>
      <c r="BI42" s="376"/>
      <c r="BJ42" s="373"/>
      <c r="BK42" s="373"/>
      <c r="BL42" s="35"/>
      <c r="BV42" s="373"/>
      <c r="BW42" s="373"/>
      <c r="BX42" s="373"/>
      <c r="BY42" s="373"/>
      <c r="BZ42" s="373"/>
      <c r="CA42" s="373"/>
      <c r="CB42" s="373"/>
      <c r="CD42" s="346"/>
      <c r="CE42" s="107">
        <f t="shared" si="33"/>
        <v>45713</v>
      </c>
      <c r="CF42" s="172">
        <f>+$D$13+24</f>
        <v>45713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45713</v>
      </c>
      <c r="EM42" s="16" t="str">
        <f t="shared" si="29"/>
        <v>Fiche infoA245713</v>
      </c>
      <c r="EN42" s="16">
        <f t="shared" si="20"/>
        <v>0</v>
      </c>
      <c r="EQ42" s="16" t="str">
        <f>Février!FS44</f>
        <v/>
      </c>
    </row>
    <row r="43" spans="1:147" ht="18" customHeight="1" x14ac:dyDescent="0.2">
      <c r="A43" s="24" t="str">
        <f>+Février!BJ45</f>
        <v>Fiche infoA3</v>
      </c>
      <c r="B43" s="107">
        <f t="shared" si="30"/>
        <v>45714</v>
      </c>
      <c r="C43" s="172">
        <f>+$D$13+25</f>
        <v>45714</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Février!BC45</f>
        <v>0</v>
      </c>
      <c r="J43" s="34">
        <f>Février!BE45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infoA3</v>
      </c>
      <c r="BB43" s="107">
        <f t="shared" si="31"/>
        <v>45714</v>
      </c>
      <c r="BC43" s="172">
        <f>+$D$13+25</f>
        <v>45714</v>
      </c>
      <c r="BD43" s="173" t="str">
        <f t="shared" si="32"/>
        <v/>
      </c>
      <c r="BE43" s="173" t="str">
        <f>+IF(OR(BF43=S.CAL!$BJ$3,BF43=S.CAL!$BJ$4),BD43,"")</f>
        <v/>
      </c>
      <c r="BF43" s="351">
        <f>IF($DY$5=S.CAL!$CU$2,Février!AR45,IF($DY$5=S.CAL!$CU$3,VLOOKUP(BC43,planning_fp,7,FALSE),""))</f>
        <v>0</v>
      </c>
      <c r="BG43" s="363" t="str">
        <f>Février!BL45</f>
        <v>A</v>
      </c>
      <c r="BH43" s="24"/>
      <c r="BI43" s="24" t="s">
        <v>708</v>
      </c>
      <c r="BJ43" s="24"/>
      <c r="BK43" s="373"/>
      <c r="BL43" s="35"/>
      <c r="BV43" s="373"/>
      <c r="BW43" s="373"/>
      <c r="BX43" s="373"/>
      <c r="BY43" s="373"/>
      <c r="BZ43" s="373"/>
      <c r="CA43" s="373"/>
      <c r="CB43" s="373"/>
      <c r="CD43" s="346"/>
      <c r="CE43" s="107">
        <f t="shared" si="33"/>
        <v>45714</v>
      </c>
      <c r="CF43" s="172">
        <f>+$D$13+25</f>
        <v>45714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45714</v>
      </c>
      <c r="EM43" s="16" t="str">
        <f t="shared" si="29"/>
        <v>Fiche infoA345714</v>
      </c>
      <c r="EN43" s="16">
        <f t="shared" si="20"/>
        <v>0</v>
      </c>
      <c r="EQ43" s="16" t="str">
        <f>Février!FS45</f>
        <v/>
      </c>
    </row>
    <row r="44" spans="1:147" ht="18" customHeight="1" x14ac:dyDescent="0.25">
      <c r="A44" s="24" t="str">
        <f>+Février!BJ46</f>
        <v>Fiche infoA4</v>
      </c>
      <c r="B44" s="107">
        <f t="shared" si="30"/>
        <v>45715</v>
      </c>
      <c r="C44" s="172">
        <f>+$D$13+26</f>
        <v>45715</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Février!BC46</f>
        <v>0</v>
      </c>
      <c r="J44" s="34">
        <f>Février!BE46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infoA4</v>
      </c>
      <c r="BB44" s="107">
        <f t="shared" si="31"/>
        <v>45715</v>
      </c>
      <c r="BC44" s="172">
        <f>+$D$13+26</f>
        <v>45715</v>
      </c>
      <c r="BD44" s="173" t="str">
        <f t="shared" si="32"/>
        <v/>
      </c>
      <c r="BE44" s="173" t="str">
        <f>+IF(OR(BF44=S.CAL!$BJ$3,BF44=S.CAL!$BJ$4),BD44,"")</f>
        <v/>
      </c>
      <c r="BF44" s="351">
        <f>IF($DY$5=S.CAL!$CU$2,Février!AR46,IF($DY$5=S.CAL!$CU$3,VLOOKUP(BC44,planning_fp,7,FALSE),""))</f>
        <v>0</v>
      </c>
      <c r="BG44" s="363" t="str">
        <f>Février!BL46</f>
        <v>A</v>
      </c>
      <c r="BH44" s="24" t="s">
        <v>800</v>
      </c>
      <c r="BI44" s="24"/>
      <c r="BJ44" s="24"/>
      <c r="BK44" s="373"/>
      <c r="BL44" s="35"/>
      <c r="BV44" s="373"/>
      <c r="BW44" s="373"/>
      <c r="BX44" s="373"/>
      <c r="BY44" s="373"/>
      <c r="BZ44" s="373"/>
      <c r="CA44" s="373"/>
      <c r="CB44" s="373"/>
      <c r="CD44" s="346"/>
      <c r="CE44" s="107">
        <f t="shared" si="33"/>
        <v>45715</v>
      </c>
      <c r="CF44" s="172">
        <f>+$D$13+26</f>
        <v>45715</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45715</v>
      </c>
      <c r="EM44" s="16" t="str">
        <f t="shared" si="29"/>
        <v>Fiche infoA445715</v>
      </c>
      <c r="EN44" s="16">
        <f t="shared" si="20"/>
        <v>0</v>
      </c>
      <c r="EQ44" s="16" t="str">
        <f>Février!FS46</f>
        <v/>
      </c>
    </row>
    <row r="45" spans="1:147" ht="18" customHeight="1" x14ac:dyDescent="0.2">
      <c r="A45" s="24" t="str">
        <f>+Février!BJ47</f>
        <v>Fiche infoA5</v>
      </c>
      <c r="B45" s="107">
        <f t="shared" si="30"/>
        <v>45716</v>
      </c>
      <c r="C45" s="172">
        <f>IF(C$18+27&lt;DATE(YEAR(O$13),MONTH(O$13),DAY(O$13)),C$18+27,"")</f>
        <v>45716</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Février!BC47</f>
        <v>0</v>
      </c>
      <c r="J45" s="34">
        <f>Février!BE47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infoA5</v>
      </c>
      <c r="BB45" s="107">
        <f t="shared" si="31"/>
        <v>45716</v>
      </c>
      <c r="BC45" s="172">
        <f>IF(BC$18+27&lt;DATE(YEAR(BH$13),MONTH(BH$13),DAY(BH$13)),BC$18+27,"")</f>
        <v>45716</v>
      </c>
      <c r="BD45" s="173" t="str">
        <f t="shared" si="32"/>
        <v/>
      </c>
      <c r="BE45" s="173" t="str">
        <f>+IF(OR(BF45=S.CAL!$BJ$3,BF45=S.CAL!$BJ$4),BD45,"")</f>
        <v/>
      </c>
      <c r="BF45" s="351">
        <f>IF($DY$5=S.CAL!$CU$2,Février!AR47,IF($DY$5=S.CAL!$CU$3,VLOOKUP(BC45,planning_fp,7,FALSE),""))</f>
        <v>0</v>
      </c>
      <c r="BG45" s="363" t="str">
        <f>Février!BL47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45716</v>
      </c>
      <c r="CF45" s="172">
        <f>IF(CF$18+27&lt;DATE(YEAR(CQ$13),MONTH(CQ$13),DAY(CQ$13)),CF$18+27,"")</f>
        <v>45716</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45716</v>
      </c>
      <c r="EM45" s="16" t="str">
        <f t="shared" si="29"/>
        <v>Fiche infoA545716</v>
      </c>
      <c r="EN45" s="16">
        <f t="shared" si="20"/>
        <v>0</v>
      </c>
      <c r="EQ45" s="16" t="str">
        <f>Février!FS47</f>
        <v/>
      </c>
    </row>
    <row r="46" spans="1:147" ht="18" customHeight="1" x14ac:dyDescent="0.2">
      <c r="A46" s="24" t="str">
        <f>+Février!BJ48</f>
        <v>Fiche infoA0</v>
      </c>
      <c r="B46" s="107" t="str">
        <f t="shared" si="30"/>
        <v/>
      </c>
      <c r="C46" s="172" t="str">
        <f>IF(C$18+28&lt;DATE(YEAR(O$13),MONTH(O$13),DAY(O$13)),C$18+28,"")</f>
        <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f t="shared" si="14"/>
        <v>0</v>
      </c>
      <c r="I46" s="34">
        <f>Février!BC48</f>
        <v>0</v>
      </c>
      <c r="J46" s="34">
        <f>Février!BE48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infoA0</v>
      </c>
      <c r="BB46" s="107" t="str">
        <f t="shared" si="31"/>
        <v/>
      </c>
      <c r="BC46" s="172" t="str">
        <f>IF(BC$18+28&lt;DATE(YEAR(BH$13),MONTH(BH$13),DAY(BH$13)),BC$18+28,"")</f>
        <v/>
      </c>
      <c r="BD46" s="173" t="str">
        <f t="shared" si="32"/>
        <v/>
      </c>
      <c r="BE46" s="173" t="str">
        <f>+IF(OR(BF46=S.CAL!$BJ$3,BF46=S.CAL!$BJ$4),BD46,"")</f>
        <v/>
      </c>
      <c r="BF46" s="351">
        <f>IF($DY$5=S.CAL!$CU$2,Février!AR48,IF($DY$5=S.CAL!$CU$3,VLOOKUP(BC46,planning_fp,7,FALSE),""))</f>
        <v>0</v>
      </c>
      <c r="BG46" s="363" t="str">
        <f>Février!BL48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t="str">
        <f t="shared" si="33"/>
        <v/>
      </c>
      <c r="CF46" s="172" t="str">
        <f>IF(CF$18+28&lt;DATE(YEAR(CQ$13),MONTH(CQ$13),DAY(CQ$13)),CF$18+28,"")</f>
        <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2" t="str">
        <f>IF(C$18+29&lt;DATE(YEAR(O$13),MONTH(O$13),DAY(O$13)),C$18+29,"")</f>
        <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f t="shared" si="14"/>
        <v>0</v>
      </c>
      <c r="I47" s="34">
        <f>Février!BC49</f>
        <v>0</v>
      </c>
      <c r="J47" s="34">
        <f>Février!BE49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infoA0</v>
      </c>
      <c r="BB47" s="107" t="str">
        <f t="shared" si="31"/>
        <v/>
      </c>
      <c r="BC47" s="172" t="str">
        <f>IF(BC$18+29&lt;DATE(YEAR(BH$13),MONTH(BH$13),DAY(BH$13)),BC$18+29,"")</f>
        <v/>
      </c>
      <c r="BD47" s="173" t="str">
        <f t="shared" si="32"/>
        <v/>
      </c>
      <c r="BE47" s="173" t="str">
        <f>+IF(OR(BF47=S.CAL!$BJ$3,BF47=S.CAL!$BJ$4),BD47,"")</f>
        <v/>
      </c>
      <c r="BF47" s="351">
        <f>IF($DY$5=S.CAL!$CU$2,Février!AR49,IF($DY$5=S.CAL!$CU$3,VLOOKUP(BC47,planning_fp,7,FALSE),""))</f>
        <v>0</v>
      </c>
      <c r="BG47" s="363" t="str">
        <f>Février!BL49</f>
        <v>A</v>
      </c>
      <c r="BH47" s="373"/>
      <c r="BI47" s="373"/>
      <c r="BJ47" s="373"/>
      <c r="BK47" s="373"/>
      <c r="BL47" s="35"/>
      <c r="BV47" s="373"/>
      <c r="BW47" s="373"/>
      <c r="BX47" s="373"/>
      <c r="BY47" s="373"/>
      <c r="BZ47" s="373"/>
      <c r="CA47" s="373"/>
      <c r="CB47" s="373"/>
      <c r="CD47" s="346"/>
      <c r="CE47" s="107" t="str">
        <f t="shared" si="33"/>
        <v/>
      </c>
      <c r="CF47" s="172" t="str">
        <f>IF(CF$18+29&lt;DATE(YEAR(CQ$13),MONTH(CQ$13),DAY(CQ$13)),CF$18+29,"")</f>
        <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f t="shared" si="14"/>
        <v>0</v>
      </c>
      <c r="I48" s="34">
        <f>Février!BC50</f>
        <v>0</v>
      </c>
      <c r="J48" s="34">
        <f>Février!BE50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5</v>
      </c>
      <c r="X48" s="2482"/>
      <c r="Y48" s="2482"/>
      <c r="Z48" s="1345" t="str">
        <f>+IF(Z34="","",Z34)</f>
        <v/>
      </c>
      <c r="AA48" s="1338">
        <f>+IF(Z48="",IF(AND(AD48&gt;0,AC48&gt;0),AD48+AC48,IF(AE48&gt;0,0,AC48)),Z48)</f>
        <v>0</v>
      </c>
      <c r="AB48" s="1338">
        <f>IF(AA48&gt;45,AA48-45,0)</f>
        <v>0</v>
      </c>
      <c r="AC48" s="1344">
        <f>+SUMIF(Février!$BK$20:$BK$50,Février!AT4,$D$18:$D$48)-SUMIF(Février!$BK$20:$BK$50,Février!AT4,$E$18:$E$48)</f>
        <v>0</v>
      </c>
      <c r="AD48" s="1344">
        <f>+SUMIF(Janvier!$BK$20:$BK$50,Février!AT4,'Retenue Janv'!$D$18:$D$48)-SUMIF(Janvier!$BK$20:$BK$50,Février!AT4,'Retenue Janv'!$E$18:$E$48)</f>
        <v>0</v>
      </c>
      <c r="AE48" s="1344">
        <f>+SUMIF(Mars!$BK$20:$BK$50,Février!AT4,'Retenue Mars'!$D$18:$D$48)-SUMIF(Mars!$BK$20:$BK$50,Février!AT4,'Retenue Mars'!$E$18:$E$48)</f>
        <v>0</v>
      </c>
      <c r="AF48" s="1338">
        <f>+AC48-AB48</f>
        <v>0</v>
      </c>
      <c r="AK48" s="1211"/>
      <c r="AL48" s="1224"/>
      <c r="AO48" s="1224">
        <f>+AN39*AL26</f>
        <v>0</v>
      </c>
      <c r="AP48" s="1224">
        <f>+AO48*(1-AX21)</f>
        <v>0</v>
      </c>
      <c r="AQ48" s="1224">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IF($DY$5=S.CAL!$CU$2,Février!AR50,IF($DY$5=S.CAL!$CU$3,VLOOKUP(BC48,planning_fp,7,FALSE),""))</f>
        <v>0</v>
      </c>
      <c r="BG48" s="364" t="str">
        <f>Février!BL50</f>
        <v>A</v>
      </c>
      <c r="BH48" s="374"/>
      <c r="BI48" s="373"/>
      <c r="BJ48" s="373"/>
      <c r="BK48" s="373"/>
      <c r="BL48" s="35"/>
      <c r="BQ48" s="16" t="s">
        <v>846</v>
      </c>
      <c r="BV48" s="373"/>
      <c r="BW48" s="373"/>
      <c r="BX48" s="373" t="s">
        <v>846</v>
      </c>
      <c r="BZ48" s="373"/>
      <c r="CA48" s="373"/>
      <c r="CB48" s="373"/>
      <c r="CD48" s="346"/>
      <c r="CE48" s="110" t="str">
        <f t="shared" si="33"/>
        <v/>
      </c>
      <c r="CF48" s="192" t="str">
        <f>IF(CF$18+30&lt;DATE(YEAR(CQ$13),MONTH(CQ$13),DAY(CQ$13)),CF$18+30,"")</f>
        <v/>
      </c>
      <c r="CG48" s="193">
        <f t="shared" si="22"/>
        <v>0</v>
      </c>
      <c r="CH48" s="34"/>
      <c r="CI48" s="2491" t="str">
        <f t="shared" ref="CI48:CI53" si="56">W48</f>
        <v>Semaine numéro : 5</v>
      </c>
      <c r="CJ48" s="2492"/>
      <c r="CK48" s="2493"/>
      <c r="CL48" s="893" t="str">
        <f>+IF(CL34="","",CL34)</f>
        <v/>
      </c>
      <c r="CM48" s="674">
        <f>+IF(CL48="",IF(AND(CP48&gt;0,CO48&gt;0),CP48+CO48,IF(CQ48&gt;0,0,CO48)),CL48)</f>
        <v>0</v>
      </c>
      <c r="CN48" s="673">
        <f>IF(CM48&gt;45,CM48-45,0)</f>
        <v>0</v>
      </c>
      <c r="CO48" s="902">
        <f>+SUMIF(Février!$BK$20:$BK$50,Février!AT4,$CG$18:$CG$48)</f>
        <v>0</v>
      </c>
      <c r="CP48" s="902">
        <f>+SUMIF(Janvier!$BK$20:$BK$50,Février!AT4,'Retenue Janv'!$CG$18:$CG$48)</f>
        <v>0</v>
      </c>
      <c r="CQ48" s="902">
        <f>+SUMIF(Mars!$BK$20:$BK$50,Février!AT4,'Retenue Mars'!$CG$18:$CG$48)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47"/>
      <c r="U49" s="1323"/>
      <c r="V49" s="1323"/>
      <c r="W49" s="2482" t="str">
        <f t="shared" si="55"/>
        <v>Semaine numéro : 6</v>
      </c>
      <c r="X49" s="2482"/>
      <c r="Y49" s="2482"/>
      <c r="Z49" s="1345" t="str">
        <f t="shared" ref="Z49:Z53" si="57">+IF(Z35="","",Z35)</f>
        <v/>
      </c>
      <c r="AA49" s="1338">
        <f t="shared" ref="AA49:AA53" si="58">+IF(Z49="",IF(AND(AD49&gt;0,AC49&gt;0),AD49+AC49,IF(AE49&gt;0,0,AC49)),Z49)</f>
        <v>0</v>
      </c>
      <c r="AB49" s="1338">
        <f t="shared" ref="AB49:AB53" si="59">IF(AA49&gt;45,AA49-45,0)</f>
        <v>0</v>
      </c>
      <c r="AC49" s="1344">
        <f>+SUMIF(Février!$BK$20:$BK$50,Février!AT5,$D$18:$D$48)-SUMIF(Février!$BK$20:$BK$50,Février!AT5,$E$18:$E$48)</f>
        <v>0</v>
      </c>
      <c r="AD49" s="1344">
        <f>+SUMIF(Janvier!$BK$20:$BK$50,Février!AT5,'Retenue Janv'!$D$18:$D$48)-SUMIF(Janvier!$BK$20:$BK$50,Février!AT5,'Retenue Janv'!$E$18:$E$48)</f>
        <v>0</v>
      </c>
      <c r="AE49" s="1344">
        <f>+SUMIF(Mars!$BK$20:$BK$50,Février!AT5,'Retenue Mars'!$D$18:$D$48)-SUMIF(Mars!$BK$20:$BK$50,Février!AT5,'Retenue Mars'!$E$18:$E$48)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6</v>
      </c>
      <c r="CJ49" s="2492"/>
      <c r="CK49" s="2493"/>
      <c r="CL49" s="893" t="str">
        <f t="shared" ref="CL49:CL53" si="61">+IF(CL35="","",CL35)</f>
        <v/>
      </c>
      <c r="CM49" s="674">
        <f t="shared" ref="CM49:CM53" si="62">+IF(CL49="",IF(AND(CP49&gt;0,CO49&gt;0),CP49+CO49,IF(CQ49&gt;0,0,CO49)),CL49)</f>
        <v>0</v>
      </c>
      <c r="CN49" s="673">
        <f t="shared" ref="CN49:CN53" si="63">IF(CM49&gt;45,CM49-45,0)</f>
        <v>0</v>
      </c>
      <c r="CO49" s="902">
        <f>+SUMIF(Février!$BK$20:$BK$50,Février!AT5,$CG$18:$CG$48)</f>
        <v>0</v>
      </c>
      <c r="CP49" s="902">
        <f>+SUMIF(Janvier!$BK$20:$BK$50,Février!AT5,'Retenue Janv'!$CG$18:$CG$48)</f>
        <v>0</v>
      </c>
      <c r="CQ49" s="902">
        <f>+SUMIF(Mars!$BK$20:$BK$50,Février!AT5,'Retenue Mars'!$CG$18:$CG$48)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7</v>
      </c>
      <c r="X50" s="2482"/>
      <c r="Y50" s="2482"/>
      <c r="Z50" s="1345" t="str">
        <f t="shared" si="57"/>
        <v/>
      </c>
      <c r="AA50" s="1338">
        <f t="shared" si="58"/>
        <v>0</v>
      </c>
      <c r="AB50" s="1338">
        <f t="shared" si="59"/>
        <v>0</v>
      </c>
      <c r="AC50" s="1344">
        <f>+SUMIF(Février!$BK$20:$BK$50,Février!AT6,$D$18:$D$48)-SUMIF(Février!$BK$20:$BK$50,Février!AT6,$E$18:$E$48)</f>
        <v>0</v>
      </c>
      <c r="AD50" s="1344">
        <f>+SUMIF(Janvier!$BK$20:$BK$50,Février!AT6,'Retenue Janv'!$D$18:$D$48)-SUMIF(Janvier!$BK$20:$BK$50,Février!AT6,'Retenue Janv'!$E$18:$E$48)</f>
        <v>0</v>
      </c>
      <c r="AE50" s="1344">
        <f>+SUMIF(Mars!$BK$20:$BK$50,Février!AT6,'Retenue Mars'!$D$18:$D$48)-SUMIF(Mars!$BK$20:$BK$50,Février!AT6,'Retenue Mars'!$E$18:$E$48)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7</v>
      </c>
      <c r="CJ50" s="2492"/>
      <c r="CK50" s="2493"/>
      <c r="CL50" s="893" t="str">
        <f t="shared" si="61"/>
        <v/>
      </c>
      <c r="CM50" s="674">
        <f t="shared" si="62"/>
        <v>0</v>
      </c>
      <c r="CN50" s="673">
        <f t="shared" si="63"/>
        <v>0</v>
      </c>
      <c r="CO50" s="902">
        <f>+SUMIF(Février!$BK$20:$BK$50,Février!AT6,$CG$18:$CG$48)</f>
        <v>0</v>
      </c>
      <c r="CP50" s="902">
        <f>+SUMIF(Janvier!$BK$20:$BK$50,Février!AT6,'Retenue Janv'!$CG$18:$CG$48)</f>
        <v>0</v>
      </c>
      <c r="CQ50" s="902">
        <f>+SUMIF(Mars!$BK$20:$BK$50,Février!AT6,'Retenue Mars'!$CG$18:$CG$48)</f>
        <v>0</v>
      </c>
      <c r="CR50" s="674">
        <f t="shared" si="64"/>
        <v>0</v>
      </c>
    </row>
    <row r="51" spans="2:139" ht="19.5" customHeight="1" thickBot="1" x14ac:dyDescent="0.25">
      <c r="B51" s="24"/>
      <c r="C51" s="24"/>
      <c r="D51" s="183" t="s">
        <v>1225</v>
      </c>
      <c r="E51" s="24">
        <f>+COUNTIF(C18:C48,"&gt;0")-E52</f>
        <v>28</v>
      </c>
      <c r="N51" s="24"/>
      <c r="O51" s="24"/>
      <c r="P51" s="24"/>
      <c r="Q51" s="24"/>
      <c r="R51" s="24"/>
      <c r="S51" s="1349"/>
      <c r="U51" s="1323"/>
      <c r="V51" s="1323"/>
      <c r="W51" s="2482" t="str">
        <f t="shared" si="55"/>
        <v>Semaine numéro : 8</v>
      </c>
      <c r="X51" s="2482"/>
      <c r="Y51" s="2482"/>
      <c r="Z51" s="1345" t="str">
        <f t="shared" si="57"/>
        <v/>
      </c>
      <c r="AA51" s="1338">
        <f t="shared" si="58"/>
        <v>0</v>
      </c>
      <c r="AB51" s="1338">
        <f t="shared" si="59"/>
        <v>0</v>
      </c>
      <c r="AC51" s="1344">
        <f>+SUMIF(Février!$BK$20:$BK$50,Février!AT7,$D$18:$D$48)-SUMIF(Février!$BK$20:$BK$50,Février!AT7,$E$18:$E$48)</f>
        <v>0</v>
      </c>
      <c r="AD51" s="1344">
        <f>+SUMIF(Janvier!$BK$20:$BK$50,Février!AT7,'Retenue Janv'!$D$18:$D$48)-SUMIF(Janvier!$BK$20:$BK$50,Février!AT7,'Retenue Janv'!$E$18:$E$48)</f>
        <v>0</v>
      </c>
      <c r="AE51" s="1344">
        <f>+SUMIF(Mars!$BK$20:$BK$50,Février!AT7,'Retenue Mars'!$D$18:$D$48)-SUMIF(Mars!$BK$20:$BK$50,Février!AT7,'Retenue Mars'!$E$18:$E$48)</f>
        <v>0</v>
      </c>
      <c r="AF51" s="1338">
        <f t="shared" si="60"/>
        <v>0</v>
      </c>
      <c r="AG51" s="1349"/>
      <c r="AJ51" s="1326"/>
      <c r="AK51" s="1327"/>
      <c r="AL51" s="1329"/>
      <c r="BA51" s="346"/>
      <c r="BD51" s="369" t="s">
        <v>758</v>
      </c>
      <c r="BE51" s="194">
        <f>+SUMIFS(BE18:BE48,BF18:BF48,S.CAL!BJ3)</f>
        <v>0</v>
      </c>
      <c r="BF51" s="370">
        <f>IF(Février!AZ90="",+COUNTIF(BF18:BF48,S.CAL!BJ3),Février!AZ90)</f>
        <v>0</v>
      </c>
      <c r="BL51" s="35"/>
      <c r="CD51" s="346"/>
      <c r="CI51" s="2491" t="str">
        <f t="shared" si="56"/>
        <v>Semaine numéro : 8</v>
      </c>
      <c r="CJ51" s="2492"/>
      <c r="CK51" s="2493"/>
      <c r="CL51" s="893" t="str">
        <f t="shared" si="61"/>
        <v/>
      </c>
      <c r="CM51" s="674">
        <f t="shared" si="62"/>
        <v>0</v>
      </c>
      <c r="CN51" s="673">
        <f t="shared" si="63"/>
        <v>0</v>
      </c>
      <c r="CO51" s="902">
        <f>+SUMIF(Février!$BK$20:$BK$50,Février!AT7,$CG$18:$CG$48)</f>
        <v>0</v>
      </c>
      <c r="CP51" s="902">
        <f>+SUMIF(Janvier!$BK$20:$BK$50,Février!AT7,'Retenue Janv'!$CG$18:$CG$48)</f>
        <v>0</v>
      </c>
      <c r="CQ51" s="902">
        <f>+SUMIF(Mars!$BK$20:$BK$50,Février!AT7,'Retenue Mars'!$CG$18:$CG$48)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9</v>
      </c>
      <c r="X52" s="2482"/>
      <c r="Y52" s="2482"/>
      <c r="Z52" s="1345" t="str">
        <f t="shared" si="57"/>
        <v/>
      </c>
      <c r="AA52" s="1338">
        <f t="shared" si="58"/>
        <v>0</v>
      </c>
      <c r="AB52" s="1338">
        <f t="shared" si="59"/>
        <v>0</v>
      </c>
      <c r="AC52" s="1344">
        <f>+SUMIF(Février!$BK$20:$BK$50,Février!AT8,$D$18:$D$48)-SUMIF(Février!$BK$20:$BK$50,Février!AT8,$E$18:$E$48)</f>
        <v>0</v>
      </c>
      <c r="AD52" s="1344">
        <f>+SUMIF(Janvier!$BK$20:$BK$50,Février!AT8,'Retenue Janv'!$D$18:$D$48)-SUMIF(Janvier!$BK$20:$BK$50,Février!AT8,'Retenue Janv'!$E$18:$E$48)</f>
        <v>0</v>
      </c>
      <c r="AE52" s="1344">
        <f>+SUMIF(Mars!$BK$20:$BK$50,Février!AT8,'Retenue Mars'!$D$18:$D$48)-SUMIF(Mars!$BK$20:$BK$50,Février!AT8,'Retenue Mars'!$E$18:$E$48)</f>
        <v>0</v>
      </c>
      <c r="AF52" s="1338">
        <f t="shared" si="60"/>
        <v>0</v>
      </c>
      <c r="AO52" s="1211" t="s">
        <v>1126</v>
      </c>
      <c r="AP52" s="1348">
        <f>IF(AL22,+ROUND((AQ48+SUM(AQ39:AQ46))*AL34/AL22*Q11,2),0)</f>
        <v>0</v>
      </c>
      <c r="BA52" s="346"/>
      <c r="BD52" s="1363" t="s">
        <v>708</v>
      </c>
      <c r="BE52" s="1364">
        <f>+SUMIFS(BE18:BE48,BF18:BF48,S.CAL!BJ4)</f>
        <v>0</v>
      </c>
      <c r="BF52" s="1365">
        <f>IF(Février!BA90="",+COUNTIF(BF18:BF48,S.CAL!BJ4),Février!BA90)</f>
        <v>0</v>
      </c>
      <c r="BL52" s="35"/>
      <c r="BU52" s="16" t="s">
        <v>788</v>
      </c>
      <c r="BW52" s="357">
        <f>+BR46+BR49+BZ46+BZ49</f>
        <v>0</v>
      </c>
      <c r="CD52" s="346"/>
      <c r="CI52" s="2491" t="str">
        <f t="shared" si="56"/>
        <v>Semaine numéro : 9</v>
      </c>
      <c r="CJ52" s="2492"/>
      <c r="CK52" s="2493"/>
      <c r="CL52" s="893" t="str">
        <f t="shared" si="61"/>
        <v/>
      </c>
      <c r="CM52" s="674">
        <f t="shared" si="62"/>
        <v>0</v>
      </c>
      <c r="CN52" s="673">
        <f t="shared" si="63"/>
        <v>0</v>
      </c>
      <c r="CO52" s="902">
        <f>+SUMIF(Février!$BK$20:$BK$50,Février!AT8,$CG$18:$CG$48)</f>
        <v>0</v>
      </c>
      <c r="CP52" s="902">
        <f>+SUMIF(Janvier!$BK$20:$BK$50,Février!AT8,'Retenue Janv'!$CG$18:$CG$48)</f>
        <v>0</v>
      </c>
      <c r="CQ52" s="902">
        <f>+SUMIF(Mars!$BK$20:$BK$50,Février!AT8,'Retenue Mars'!$CG$18:$CG$48)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+SUMIF(Février!$BK$20:$BK$50,Février!AT9,$D$18:$D$48)-SUMIF(Février!$BK$20:$BK$50,Février!AT9,$E$18:$E$48)</f>
        <v>0</v>
      </c>
      <c r="AD53" s="1344">
        <f>+SUMIF(Janvier!$BK$20:$BK$50,Février!AT9,'Retenue Janv'!$D$18:$D$48)-SUMIF(Janvier!$BK$20:$BK$50,Février!AT9,'Retenue Janv'!$E$18:$E$48)</f>
        <v>0</v>
      </c>
      <c r="AE53" s="1344">
        <f>+SUMIF(Mars!$BK$20:$BK$50,Février!AT9,'Retenue Mars'!$D$18:$D$48)-SUMIF(Mars!$BK$20:$BK$50,Février!AT9,'Retenue Mars'!$E$18:$E$48)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902">
        <f>+SUMIF(Février!$BK$20:$BK$50,Février!AT9,$CG$18:$CG$48)</f>
        <v>0</v>
      </c>
      <c r="CP53" s="902">
        <f>+SUMIF(Janvier!$BK$20:$BK$50,Février!AT9,'Retenue Janv'!$CG$18:$CG$48)</f>
        <v>0</v>
      </c>
      <c r="CQ53" s="902">
        <f>+SUMIF(Mars!$BK$20:$BK$50,Février!AT9,'Retenue Mars'!$CG$18:$CG$48)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45689</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45689</v>
      </c>
      <c r="C57" s="171">
        <f t="shared" si="65"/>
        <v>45689</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45690</v>
      </c>
      <c r="C58" s="172">
        <f t="shared" si="65"/>
        <v>45690</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45691</v>
      </c>
      <c r="C59" s="172">
        <f t="shared" si="65"/>
        <v>45691</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45692</v>
      </c>
      <c r="C60" s="172">
        <f t="shared" si="65"/>
        <v>45692</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45693</v>
      </c>
      <c r="C61" s="172">
        <f t="shared" si="65"/>
        <v>45693</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45694</v>
      </c>
      <c r="C62" s="172">
        <f t="shared" si="65"/>
        <v>45694</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45695</v>
      </c>
      <c r="C63" s="172">
        <f t="shared" si="65"/>
        <v>45695</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45696</v>
      </c>
      <c r="C64" s="172">
        <f t="shared" si="65"/>
        <v>45696</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45697</v>
      </c>
      <c r="C65" s="172">
        <f t="shared" si="65"/>
        <v>45697</v>
      </c>
      <c r="D65" s="173" t="str">
        <f t="shared" si="66"/>
        <v/>
      </c>
      <c r="E65" s="173" t="str">
        <f t="shared" si="69"/>
        <v/>
      </c>
      <c r="F65" s="1554" t="str">
        <f t="shared" si="67"/>
        <v/>
      </c>
      <c r="G65" s="1554" t="str">
        <f t="shared" si="68"/>
        <v/>
      </c>
      <c r="BA65" s="346"/>
      <c r="CD65" s="346"/>
    </row>
    <row r="66" spans="2:82" x14ac:dyDescent="0.2">
      <c r="B66" s="107">
        <f t="shared" si="65"/>
        <v>45698</v>
      </c>
      <c r="C66" s="172">
        <f t="shared" si="65"/>
        <v>45698</v>
      </c>
      <c r="D66" s="173" t="str">
        <f t="shared" si="66"/>
        <v/>
      </c>
      <c r="E66" s="173" t="str">
        <f t="shared" si="69"/>
        <v/>
      </c>
      <c r="F66" s="1554" t="str">
        <f t="shared" si="67"/>
        <v/>
      </c>
      <c r="G66" s="1554" t="str">
        <f t="shared" si="68"/>
        <v/>
      </c>
      <c r="BA66" s="346"/>
      <c r="CD66" s="346"/>
    </row>
    <row r="67" spans="2:82" x14ac:dyDescent="0.2">
      <c r="B67" s="107">
        <f t="shared" si="65"/>
        <v>45699</v>
      </c>
      <c r="C67" s="172">
        <f t="shared" si="65"/>
        <v>45699</v>
      </c>
      <c r="D67" s="173" t="str">
        <f t="shared" si="66"/>
        <v/>
      </c>
      <c r="E67" s="173" t="str">
        <f t="shared" si="69"/>
        <v/>
      </c>
      <c r="F67" s="1554" t="str">
        <f t="shared" si="67"/>
        <v/>
      </c>
      <c r="G67" s="1554" t="str">
        <f t="shared" si="68"/>
        <v/>
      </c>
      <c r="BA67" s="346"/>
      <c r="CD67" s="346"/>
    </row>
    <row r="68" spans="2:82" x14ac:dyDescent="0.2">
      <c r="B68" s="107">
        <f t="shared" si="65"/>
        <v>45700</v>
      </c>
      <c r="C68" s="172">
        <f t="shared" si="65"/>
        <v>45700</v>
      </c>
      <c r="D68" s="173" t="str">
        <f t="shared" si="66"/>
        <v/>
      </c>
      <c r="E68" s="173" t="str">
        <f t="shared" si="69"/>
        <v/>
      </c>
      <c r="F68" s="1554" t="str">
        <f t="shared" si="67"/>
        <v/>
      </c>
      <c r="G68" s="1554" t="str">
        <f t="shared" si="68"/>
        <v/>
      </c>
      <c r="AI68" s="1354" t="s">
        <v>338</v>
      </c>
      <c r="BA68" s="346"/>
      <c r="CD68" s="346"/>
    </row>
    <row r="69" spans="2:82" x14ac:dyDescent="0.2">
      <c r="B69" s="107">
        <f t="shared" si="65"/>
        <v>45701</v>
      </c>
      <c r="C69" s="172">
        <f t="shared" si="65"/>
        <v>45701</v>
      </c>
      <c r="D69" s="173" t="str">
        <f t="shared" si="66"/>
        <v/>
      </c>
      <c r="E69" s="173" t="str">
        <f t="shared" si="69"/>
        <v/>
      </c>
      <c r="F69" s="1554" t="str">
        <f t="shared" si="67"/>
        <v/>
      </c>
      <c r="G69" s="1554" t="str">
        <f t="shared" si="68"/>
        <v/>
      </c>
      <c r="BA69" s="346"/>
      <c r="CD69" s="346"/>
    </row>
    <row r="70" spans="2:82" x14ac:dyDescent="0.2">
      <c r="B70" s="107">
        <f t="shared" si="65"/>
        <v>45702</v>
      </c>
      <c r="C70" s="172">
        <f t="shared" si="65"/>
        <v>45702</v>
      </c>
      <c r="D70" s="173" t="str">
        <f t="shared" si="66"/>
        <v/>
      </c>
      <c r="E70" s="173" t="str">
        <f t="shared" si="69"/>
        <v/>
      </c>
      <c r="F70" s="1554" t="str">
        <f t="shared" si="67"/>
        <v/>
      </c>
      <c r="G70" s="1554" t="str">
        <f t="shared" si="68"/>
        <v/>
      </c>
      <c r="AI70" s="581" t="s">
        <v>339</v>
      </c>
      <c r="BA70" s="346"/>
      <c r="CD70" s="346"/>
    </row>
    <row r="71" spans="2:82" x14ac:dyDescent="0.2">
      <c r="B71" s="107">
        <f t="shared" si="65"/>
        <v>45703</v>
      </c>
      <c r="C71" s="172">
        <f t="shared" si="65"/>
        <v>45703</v>
      </c>
      <c r="D71" s="173" t="str">
        <f t="shared" si="66"/>
        <v/>
      </c>
      <c r="E71" s="173" t="str">
        <f t="shared" si="69"/>
        <v/>
      </c>
      <c r="F71" s="1554" t="str">
        <f t="shared" si="67"/>
        <v/>
      </c>
      <c r="G71" s="1554" t="str">
        <f t="shared" si="68"/>
        <v/>
      </c>
      <c r="AI71" s="1355" t="s">
        <v>340</v>
      </c>
      <c r="BA71" s="346"/>
      <c r="CD71" s="346"/>
    </row>
    <row r="72" spans="2:82" x14ac:dyDescent="0.2">
      <c r="B72" s="107">
        <f t="shared" si="65"/>
        <v>45704</v>
      </c>
      <c r="C72" s="172">
        <f t="shared" si="65"/>
        <v>45704</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45705</v>
      </c>
      <c r="C73" s="172">
        <f t="shared" si="70"/>
        <v>45705</v>
      </c>
      <c r="D73" s="173" t="str">
        <f t="shared" si="66"/>
        <v/>
      </c>
      <c r="E73" s="173" t="str">
        <f t="shared" si="69"/>
        <v/>
      </c>
      <c r="F73" s="1554" t="str">
        <f t="shared" si="67"/>
        <v/>
      </c>
      <c r="G73" s="1554" t="str">
        <f t="shared" si="68"/>
        <v/>
      </c>
      <c r="BA73" s="346"/>
      <c r="CD73" s="346"/>
    </row>
    <row r="74" spans="2:82" x14ac:dyDescent="0.2">
      <c r="B74" s="107">
        <f t="shared" si="70"/>
        <v>45706</v>
      </c>
      <c r="C74" s="172">
        <f t="shared" si="70"/>
        <v>45706</v>
      </c>
      <c r="D74" s="173" t="str">
        <f t="shared" si="66"/>
        <v/>
      </c>
      <c r="E74" s="173" t="str">
        <f t="shared" si="69"/>
        <v/>
      </c>
      <c r="F74" s="1554" t="str">
        <f t="shared" si="67"/>
        <v/>
      </c>
      <c r="G74" s="1554" t="str">
        <f t="shared" si="68"/>
        <v/>
      </c>
      <c r="AI74" s="581" t="s">
        <v>341</v>
      </c>
      <c r="BA74" s="346"/>
      <c r="CD74" s="346"/>
    </row>
    <row r="75" spans="2:82" x14ac:dyDescent="0.2">
      <c r="B75" s="107">
        <f t="shared" si="70"/>
        <v>45707</v>
      </c>
      <c r="C75" s="172">
        <f t="shared" si="70"/>
        <v>45707</v>
      </c>
      <c r="D75" s="173" t="str">
        <f t="shared" si="66"/>
        <v/>
      </c>
      <c r="E75" s="173" t="str">
        <f t="shared" si="69"/>
        <v/>
      </c>
      <c r="F75" s="1554" t="str">
        <f t="shared" si="67"/>
        <v/>
      </c>
      <c r="G75" s="1554" t="str">
        <f t="shared" si="68"/>
        <v/>
      </c>
      <c r="AI75" s="1355" t="s">
        <v>342</v>
      </c>
      <c r="BA75" s="346"/>
      <c r="CD75" s="346"/>
    </row>
    <row r="76" spans="2:82" x14ac:dyDescent="0.2">
      <c r="B76" s="107">
        <f t="shared" si="70"/>
        <v>45708</v>
      </c>
      <c r="C76" s="172">
        <f t="shared" si="70"/>
        <v>45708</v>
      </c>
      <c r="D76" s="173" t="str">
        <f t="shared" si="66"/>
        <v/>
      </c>
      <c r="E76" s="173" t="str">
        <f t="shared" si="69"/>
        <v/>
      </c>
      <c r="F76" s="1554" t="str">
        <f t="shared" si="67"/>
        <v/>
      </c>
      <c r="G76" s="1554" t="str">
        <f t="shared" si="68"/>
        <v/>
      </c>
      <c r="BA76" s="346"/>
      <c r="CD76" s="346"/>
    </row>
    <row r="77" spans="2:82" x14ac:dyDescent="0.2">
      <c r="B77" s="107">
        <f t="shared" si="70"/>
        <v>45709</v>
      </c>
      <c r="C77" s="172">
        <f t="shared" si="70"/>
        <v>45709</v>
      </c>
      <c r="D77" s="173" t="str">
        <f t="shared" si="66"/>
        <v/>
      </c>
      <c r="E77" s="173" t="str">
        <f t="shared" si="69"/>
        <v/>
      </c>
      <c r="F77" s="1554" t="str">
        <f t="shared" si="67"/>
        <v/>
      </c>
      <c r="G77" s="1554" t="str">
        <f t="shared" si="68"/>
        <v/>
      </c>
      <c r="AI77" s="581" t="s">
        <v>343</v>
      </c>
      <c r="BA77" s="346"/>
      <c r="CD77" s="346"/>
    </row>
    <row r="78" spans="2:82" x14ac:dyDescent="0.2">
      <c r="B78" s="107">
        <f t="shared" si="70"/>
        <v>45710</v>
      </c>
      <c r="C78" s="172">
        <f t="shared" si="70"/>
        <v>45710</v>
      </c>
      <c r="D78" s="173" t="str">
        <f t="shared" si="66"/>
        <v/>
      </c>
      <c r="E78" s="173" t="str">
        <f t="shared" si="69"/>
        <v/>
      </c>
      <c r="F78" s="1554" t="str">
        <f t="shared" si="67"/>
        <v/>
      </c>
      <c r="G78" s="1554" t="str">
        <f t="shared" si="68"/>
        <v/>
      </c>
      <c r="AI78" s="1355" t="s">
        <v>692</v>
      </c>
      <c r="BA78" s="346"/>
      <c r="CD78" s="346"/>
    </row>
    <row r="79" spans="2:82" x14ac:dyDescent="0.2">
      <c r="B79" s="107">
        <f t="shared" si="70"/>
        <v>45711</v>
      </c>
      <c r="C79" s="172">
        <f t="shared" si="70"/>
        <v>45711</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45712</v>
      </c>
      <c r="C80" s="172">
        <f t="shared" si="70"/>
        <v>45712</v>
      </c>
      <c r="D80" s="173" t="str">
        <f t="shared" si="66"/>
        <v/>
      </c>
      <c r="E80" s="173" t="str">
        <f t="shared" si="69"/>
        <v/>
      </c>
      <c r="F80" s="1554" t="str">
        <f t="shared" si="67"/>
        <v/>
      </c>
      <c r="G80" s="1554" t="str">
        <f t="shared" si="68"/>
        <v/>
      </c>
      <c r="BA80" s="346"/>
      <c r="CD80" s="346"/>
    </row>
    <row r="81" spans="2:82" x14ac:dyDescent="0.2">
      <c r="B81" s="107">
        <f t="shared" si="70"/>
        <v>45713</v>
      </c>
      <c r="C81" s="172">
        <f t="shared" si="70"/>
        <v>45713</v>
      </c>
      <c r="D81" s="173" t="str">
        <f t="shared" si="66"/>
        <v/>
      </c>
      <c r="E81" s="173" t="str">
        <f t="shared" si="69"/>
        <v/>
      </c>
      <c r="F81" s="1554" t="str">
        <f t="shared" si="67"/>
        <v/>
      </c>
      <c r="G81" s="1554" t="str">
        <f t="shared" si="68"/>
        <v/>
      </c>
      <c r="AI81" s="581" t="s">
        <v>529</v>
      </c>
      <c r="BA81" s="346"/>
      <c r="CD81" s="346"/>
    </row>
    <row r="82" spans="2:82" x14ac:dyDescent="0.2">
      <c r="B82" s="107">
        <f t="shared" si="70"/>
        <v>45714</v>
      </c>
      <c r="C82" s="172">
        <f t="shared" si="70"/>
        <v>45714</v>
      </c>
      <c r="D82" s="173" t="str">
        <f t="shared" si="66"/>
        <v/>
      </c>
      <c r="E82" s="173" t="str">
        <f t="shared" si="69"/>
        <v/>
      </c>
      <c r="F82" s="1554" t="str">
        <f t="shared" si="67"/>
        <v/>
      </c>
      <c r="G82" s="1554" t="str">
        <f t="shared" si="68"/>
        <v/>
      </c>
      <c r="AI82" s="1355" t="s">
        <v>693</v>
      </c>
      <c r="BA82" s="346"/>
      <c r="CD82" s="346"/>
    </row>
    <row r="83" spans="2:82" x14ac:dyDescent="0.2">
      <c r="B83" s="107">
        <f t="shared" si="70"/>
        <v>45715</v>
      </c>
      <c r="C83" s="172">
        <f t="shared" si="70"/>
        <v>45715</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45716</v>
      </c>
      <c r="C84" s="172">
        <f t="shared" si="70"/>
        <v>45716</v>
      </c>
      <c r="D84" s="173" t="str">
        <f t="shared" si="66"/>
        <v/>
      </c>
      <c r="E84" s="173" t="str">
        <f t="shared" si="69"/>
        <v/>
      </c>
      <c r="F84" s="1554" t="str">
        <f t="shared" si="67"/>
        <v/>
      </c>
      <c r="G84" s="1554" t="str">
        <f t="shared" si="68"/>
        <v/>
      </c>
      <c r="BA84" s="346"/>
      <c r="CD84" s="346"/>
    </row>
    <row r="85" spans="2:82" x14ac:dyDescent="0.2">
      <c r="B85" s="107" t="str">
        <f t="shared" si="70"/>
        <v/>
      </c>
      <c r="C85" s="172" t="str">
        <f t="shared" si="70"/>
        <v/>
      </c>
      <c r="D85" s="173" t="str">
        <f t="shared" si="66"/>
        <v/>
      </c>
      <c r="E85" s="173" t="str">
        <f t="shared" si="69"/>
        <v/>
      </c>
      <c r="F85" s="1554" t="str">
        <f t="shared" si="67"/>
        <v/>
      </c>
      <c r="G85" s="1554" t="str">
        <f t="shared" si="68"/>
        <v/>
      </c>
      <c r="AI85" s="1355" t="s">
        <v>344</v>
      </c>
      <c r="BA85" s="346"/>
      <c r="CD85" s="346"/>
    </row>
    <row r="86" spans="2:82" x14ac:dyDescent="0.2">
      <c r="B86" s="107" t="str">
        <f t="shared" si="70"/>
        <v/>
      </c>
      <c r="C86" s="172" t="str">
        <f t="shared" si="70"/>
        <v/>
      </c>
      <c r="D86" s="173" t="str">
        <f t="shared" si="66"/>
        <v/>
      </c>
      <c r="E86" s="173" t="str">
        <f t="shared" si="69"/>
        <v/>
      </c>
      <c r="F86" s="1554" t="str">
        <f t="shared" si="67"/>
        <v/>
      </c>
      <c r="G86" s="1554" t="str">
        <f t="shared" si="68"/>
        <v/>
      </c>
      <c r="AI86" s="1355" t="s">
        <v>345</v>
      </c>
      <c r="BA86" s="346"/>
      <c r="CD86" s="346"/>
    </row>
    <row r="87" spans="2:82" ht="13.5" thickBot="1" x14ac:dyDescent="0.25">
      <c r="B87" s="110" t="str">
        <f t="shared" si="70"/>
        <v/>
      </c>
      <c r="C87" s="192" t="str">
        <f t="shared" si="70"/>
        <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tmWSeUB46VAzifld0+19lPCSIHyVhncMoKNB8BAPwyeOhruYuxQr3MqUS1BcIt/eTyZL8DshfZ/PnLYjd2WRMg==" saltValue="VEyDtbicFrt3IA+6aMIrAw==" spinCount="100000" sheet="1" objects="1" scenarios="1" formatCells="0" formatColumns="0" formatRows="0" insertColumns="0" insertRows="0" insertHyperlinks="0" sort="0" autoFilter="0" pivotTables="0"/>
  <mergeCells count="73">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 ref="CI52:CK52"/>
    <mergeCell ref="CI53:CK53"/>
    <mergeCell ref="CL46:CL47"/>
    <mergeCell ref="CM46:CM47"/>
    <mergeCell ref="CN46:CN47"/>
    <mergeCell ref="CR46:CR47"/>
    <mergeCell ref="CI48:CK48"/>
    <mergeCell ref="CG15:CG16"/>
    <mergeCell ref="CH15:CH16"/>
    <mergeCell ref="CE17:CG17"/>
    <mergeCell ref="Z32:Z33"/>
    <mergeCell ref="AA32:AA33"/>
    <mergeCell ref="W48:Y48"/>
    <mergeCell ref="Z46:Z47"/>
    <mergeCell ref="AA46:AA47"/>
    <mergeCell ref="W39:Y39"/>
    <mergeCell ref="W34:Y34"/>
    <mergeCell ref="W35:Y35"/>
    <mergeCell ref="W36:Y36"/>
    <mergeCell ref="W37:Y37"/>
    <mergeCell ref="W38:Y38"/>
    <mergeCell ref="D8:E8"/>
    <mergeCell ref="B17:E17"/>
    <mergeCell ref="AA19:AB19"/>
    <mergeCell ref="AA21:AB21"/>
    <mergeCell ref="D15:D16"/>
    <mergeCell ref="E15:E16"/>
    <mergeCell ref="S19:V19"/>
    <mergeCell ref="S21:V21"/>
    <mergeCell ref="BN8:BO8"/>
    <mergeCell ref="BD15:BD16"/>
    <mergeCell ref="BE15:BE16"/>
    <mergeCell ref="BF15:BF16"/>
    <mergeCell ref="U8:V8"/>
    <mergeCell ref="BG15:BG16"/>
    <mergeCell ref="BD8:BE8"/>
    <mergeCell ref="AJ8:AK8"/>
    <mergeCell ref="AO37:AO38"/>
    <mergeCell ref="BB17:BG17"/>
    <mergeCell ref="BH29:BI29"/>
    <mergeCell ref="CA26:CA27"/>
    <mergeCell ref="CB26:CB27"/>
    <mergeCell ref="BS26:BS27"/>
    <mergeCell ref="BT26:BT27"/>
    <mergeCell ref="BX26:BX27"/>
    <mergeCell ref="BY26:BY27"/>
    <mergeCell ref="BZ26:BZ27"/>
    <mergeCell ref="BQ26:BQ27"/>
    <mergeCell ref="BR26:BR27"/>
    <mergeCell ref="B55:E55"/>
    <mergeCell ref="AN39:AN46"/>
    <mergeCell ref="AL37:AL38"/>
    <mergeCell ref="AM37:AM38"/>
    <mergeCell ref="AN37:AN38"/>
    <mergeCell ref="W51:Y51"/>
    <mergeCell ref="W52:Y52"/>
    <mergeCell ref="W53:Y53"/>
  </mergeCells>
  <conditionalFormatting sqref="A7:R7">
    <cfRule type="expression" dxfId="2032" priority="32">
      <formula>$R$3=$A$5</formula>
    </cfRule>
  </conditionalFormatting>
  <conditionalFormatting sqref="M19:Q23">
    <cfRule type="expression" dxfId="2031" priority="8">
      <formula>$E$11&gt;0</formula>
    </cfRule>
  </conditionalFormatting>
  <conditionalFormatting sqref="M26:R46">
    <cfRule type="expression" dxfId="2030" priority="3">
      <formula>$E$11=0</formula>
    </cfRule>
  </conditionalFormatting>
  <conditionalFormatting sqref="P17">
    <cfRule type="expression" dxfId="2029" priority="11">
      <formula>$E$11=0</formula>
    </cfRule>
  </conditionalFormatting>
  <conditionalFormatting sqref="P30">
    <cfRule type="expression" dxfId="2028" priority="7">
      <formula>AND($R$3="Méthode 1",$E$11&lt;0)</formula>
    </cfRule>
  </conditionalFormatting>
  <conditionalFormatting sqref="P33">
    <cfRule type="expression" dxfId="2027" priority="6">
      <formula>AND($R$3="Méthode 1",$E$11&lt;0)</formula>
    </cfRule>
  </conditionalFormatting>
  <conditionalFormatting sqref="Q17">
    <cfRule type="cellIs" dxfId="2026" priority="10" operator="equal">
      <formula>0</formula>
    </cfRule>
  </conditionalFormatting>
  <conditionalFormatting sqref="Q42">
    <cfRule type="expression" dxfId="2025" priority="5">
      <formula>AND($R$3="Méthode 1",$E$11&lt;0)</formula>
    </cfRule>
  </conditionalFormatting>
  <conditionalFormatting sqref="Q45">
    <cfRule type="expression" dxfId="2024" priority="4">
      <formula>AND($R$3="Méthode 1",$E$11&lt;0)</formula>
    </cfRule>
  </conditionalFormatting>
  <conditionalFormatting sqref="S7:AF7">
    <cfRule type="expression" dxfId="2023" priority="31">
      <formula>$R$3=$T$5</formula>
    </cfRule>
  </conditionalFormatting>
  <conditionalFormatting sqref="W19">
    <cfRule type="expression" dxfId="2022" priority="40">
      <formula>$EF$14=1</formula>
    </cfRule>
  </conditionalFormatting>
  <conditionalFormatting sqref="W21">
    <cfRule type="expression" dxfId="2021" priority="39">
      <formula>$EF$14=1</formula>
    </cfRule>
  </conditionalFormatting>
  <conditionalFormatting sqref="AC19">
    <cfRule type="expression" dxfId="2020" priority="38">
      <formula>$EF$14=1</formula>
    </cfRule>
  </conditionalFormatting>
  <conditionalFormatting sqref="AC21">
    <cfRule type="expression" dxfId="2019" priority="37">
      <formula>$EF$14=1</formula>
    </cfRule>
  </conditionalFormatting>
  <conditionalFormatting sqref="AH7:AZ7">
    <cfRule type="expression" dxfId="2018" priority="16">
      <formula>$R$3=$AI$5</formula>
    </cfRule>
  </conditionalFormatting>
  <conditionalFormatting sqref="AP50">
    <cfRule type="expression" dxfId="2017" priority="15">
      <formula>$R$3="Méthode 2"</formula>
    </cfRule>
  </conditionalFormatting>
  <conditionalFormatting sqref="AP52">
    <cfRule type="expression" dxfId="2016" priority="14">
      <formula>$R$3="Méthode 2"</formula>
    </cfRule>
  </conditionalFormatting>
  <conditionalFormatting sqref="AP61">
    <cfRule type="expression" dxfId="2015" priority="13">
      <formula>$R$3="Méthode 2"</formula>
    </cfRule>
  </conditionalFormatting>
  <conditionalFormatting sqref="AP64">
    <cfRule type="expression" dxfId="2014" priority="12">
      <formula>$R$3="Méthode 2"</formula>
    </cfRule>
  </conditionalFormatting>
  <conditionalFormatting sqref="BI50">
    <cfRule type="expression" dxfId="2013" priority="23">
      <formula>$BK$3="Méthode 1"</formula>
    </cfRule>
  </conditionalFormatting>
  <conditionalFormatting sqref="BJ29">
    <cfRule type="expression" dxfId="2012" priority="25">
      <formula>$BK$3="Méthode 1"</formula>
    </cfRule>
  </conditionalFormatting>
  <conditionalFormatting sqref="BJ45">
    <cfRule type="expression" dxfId="2011" priority="24">
      <formula>$BK$3="Méthode 1"</formula>
    </cfRule>
  </conditionalFormatting>
  <conditionalFormatting sqref="BR46">
    <cfRule type="expression" dxfId="2010" priority="22">
      <formula>$BK$3="Méthode 2"</formula>
    </cfRule>
  </conditionalFormatting>
  <conditionalFormatting sqref="BR49">
    <cfRule type="expression" dxfId="2009" priority="21">
      <formula>$BK$3="Méthode 2"</formula>
    </cfRule>
  </conditionalFormatting>
  <conditionalFormatting sqref="BW52">
    <cfRule type="expression" dxfId="2008" priority="18">
      <formula>$BK$3="Méthode 2"</formula>
    </cfRule>
  </conditionalFormatting>
  <conditionalFormatting sqref="BW54">
    <cfRule type="expression" dxfId="2007" priority="17">
      <formula>$BK$3="Méthode 2"</formula>
    </cfRule>
  </conditionalFormatting>
  <conditionalFormatting sqref="BZ46">
    <cfRule type="expression" dxfId="2006" priority="20">
      <formula>$BK$3="Méthode 2"</formula>
    </cfRule>
  </conditionalFormatting>
  <conditionalFormatting sqref="BZ49">
    <cfRule type="expression" dxfId="2005" priority="19">
      <formula>$BK$3="Méthode 2"</formula>
    </cfRule>
  </conditionalFormatting>
  <conditionalFormatting sqref="CG18:CG48">
    <cfRule type="cellIs" dxfId="2004"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+Mars!DP4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+Mars!AR13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+Mars!AI3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+Mars!I14</f>
        <v>0</v>
      </c>
      <c r="F10" s="151"/>
      <c r="G10" s="151"/>
      <c r="H10" s="151"/>
      <c r="I10" s="151"/>
      <c r="J10" s="151"/>
      <c r="K10" s="151"/>
      <c r="L10" s="151"/>
      <c r="P10" s="29" t="s">
        <v>1468</v>
      </c>
      <c r="Q10" s="356">
        <f>+Mars!P18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+Mars!T18+Mars!T19</f>
        <v>0</v>
      </c>
      <c r="BI10" s="29" t="s">
        <v>1476</v>
      </c>
      <c r="BJ10" s="356">
        <f>+Mars!AL14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+Mars!U14</f>
        <v>0</v>
      </c>
      <c r="F11" s="151"/>
      <c r="G11" s="151"/>
      <c r="H11" s="151"/>
      <c r="I11" s="151"/>
      <c r="J11" s="151"/>
      <c r="K11" s="151"/>
      <c r="L11" s="151"/>
      <c r="M11" s="1201"/>
      <c r="N11" s="183"/>
      <c r="O11" s="1202"/>
      <c r="P11" s="183" t="s">
        <v>1120</v>
      </c>
      <c r="Q11" s="1203">
        <f>+Mars!P19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+Mars!X3</f>
        <v>45717</v>
      </c>
      <c r="M13" s="154"/>
      <c r="N13" s="155">
        <f>DATE(YEAR($D$13),MONTH($D$13)+1,DAY($D$13))</f>
        <v>45748</v>
      </c>
      <c r="O13" s="156">
        <f>N13</f>
        <v>45748</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45717</v>
      </c>
      <c r="BF13" s="154"/>
      <c r="BG13" s="155">
        <f>DATE(YEAR($D$13),MONTH($D$13)+1,DAY($D$13))</f>
        <v>45748</v>
      </c>
      <c r="BH13" s="156">
        <f>BG13</f>
        <v>45748</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45748</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45717</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45717</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45717</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+Mars!BJ20</f>
        <v>Fiche infoA6</v>
      </c>
      <c r="B18" s="170">
        <f>+D13</f>
        <v>45717</v>
      </c>
      <c r="C18" s="171">
        <f>+$D$13</f>
        <v>45717</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Mars!BC20</f>
        <v>0</v>
      </c>
      <c r="J18" s="34">
        <f>Mars!BE20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infoA6</v>
      </c>
      <c r="BB18" s="170">
        <f>+BD13</f>
        <v>45717</v>
      </c>
      <c r="BC18" s="171">
        <f>+$D$13</f>
        <v>45717</v>
      </c>
      <c r="BD18" s="173" t="str">
        <f>+D18</f>
        <v/>
      </c>
      <c r="BE18" s="353" t="str">
        <f>+IF(OR(BF18=S.CAL!$BJ$3,BF18=S.CAL!$BJ$4),BD18,"")</f>
        <v/>
      </c>
      <c r="BF18" s="350">
        <f>IF($DY$5=S.CAL!$CU$2,Mars!AR20,IF($DY$5=S.CAL!$CU$3,VLOOKUP(BC18,planning_fp,7,FALSE),""))</f>
        <v>0</v>
      </c>
      <c r="BG18" s="362" t="str">
        <f>Mars!BL20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45717</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45717</v>
      </c>
      <c r="EM18" s="16" t="str">
        <f>A18&amp;C18</f>
        <v>Fiche infoA645717</v>
      </c>
      <c r="EN18" s="16">
        <f t="shared" ref="EN18:EN48" si="20">+VLOOKUP(EM18,Base_feuille_présence_heure_potentiel,11,FALSE)</f>
        <v>0</v>
      </c>
      <c r="EQ18" s="16" t="str">
        <f>Mars!FS20</f>
        <v/>
      </c>
    </row>
    <row r="19" spans="1:147" ht="18" customHeight="1" x14ac:dyDescent="0.2">
      <c r="A19" s="24" t="str">
        <f>+Mars!BJ21</f>
        <v>Fiche infoA7</v>
      </c>
      <c r="B19" s="107">
        <f>C19</f>
        <v>45718</v>
      </c>
      <c r="C19" s="172">
        <f>+$D$13+1</f>
        <v>45718</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Mars!BC21</f>
        <v>0</v>
      </c>
      <c r="J19" s="34">
        <f>Mars!BE21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infoA7</v>
      </c>
      <c r="BB19" s="107">
        <f>BC19</f>
        <v>45718</v>
      </c>
      <c r="BC19" s="172">
        <f>+$D$13+1</f>
        <v>45718</v>
      </c>
      <c r="BD19" s="173" t="str">
        <f>+D19</f>
        <v/>
      </c>
      <c r="BE19" s="173" t="str">
        <f>+IF(OR(BF19=S.CAL!$BJ$3,BF19=S.CAL!$BJ$4),BD19,"")</f>
        <v/>
      </c>
      <c r="BF19" s="351">
        <f>IF($DY$5=S.CAL!$CU$2,Mars!AR21,IF($DY$5=S.CAL!$CU$3,VLOOKUP(BC19,planning_fp,7,FALSE),""))</f>
        <v>0</v>
      </c>
      <c r="BG19" s="363" t="str">
        <f>Mars!BL21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45718</v>
      </c>
      <c r="CF19" s="172">
        <f>+$D$13+1</f>
        <v>45718</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45718</v>
      </c>
      <c r="EM19" s="16" t="str">
        <f t="shared" ref="EM19:EM48" si="29">A19&amp;C19</f>
        <v>Fiche infoA745718</v>
      </c>
      <c r="EN19" s="16">
        <f t="shared" si="20"/>
        <v>0</v>
      </c>
      <c r="EQ19" s="16" t="str">
        <f>Mars!FS21</f>
        <v/>
      </c>
    </row>
    <row r="20" spans="1:147" ht="18" customHeight="1" x14ac:dyDescent="0.2">
      <c r="A20" s="24" t="str">
        <f>+Mars!BJ22</f>
        <v>Fiche infoA1</v>
      </c>
      <c r="B20" s="107">
        <f t="shared" ref="B20:B48" si="30">C20</f>
        <v>45719</v>
      </c>
      <c r="C20" s="172">
        <f>+$D$13+2</f>
        <v>45719</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Mars!BC22</f>
        <v>0</v>
      </c>
      <c r="J20" s="34">
        <f>Mars!BE22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infoA1</v>
      </c>
      <c r="BB20" s="107">
        <f t="shared" ref="BB20:BB48" si="31">BC20</f>
        <v>45719</v>
      </c>
      <c r="BC20" s="172">
        <f>+$D$13+2</f>
        <v>45719</v>
      </c>
      <c r="BD20" s="173" t="str">
        <f t="shared" ref="BD20:BD48" si="32">+D20</f>
        <v/>
      </c>
      <c r="BE20" s="173" t="str">
        <f>+IF(OR(BF20=S.CAL!$BJ$3,BF20=S.CAL!$BJ$4),BD20,"")</f>
        <v/>
      </c>
      <c r="BF20" s="351">
        <f>IF($DY$5=S.CAL!$CU$2,Mars!AR22,IF($DY$5=S.CAL!$CU$3,VLOOKUP(BC20,planning_fp,7,FALSE),""))</f>
        <v>0</v>
      </c>
      <c r="BG20" s="363" t="str">
        <f>Mars!BL22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45719</v>
      </c>
      <c r="CF20" s="172">
        <f>+$D$13+2</f>
        <v>45719</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45719</v>
      </c>
      <c r="EM20" s="16" t="str">
        <f t="shared" si="29"/>
        <v>Fiche infoA145719</v>
      </c>
      <c r="EN20" s="16">
        <f t="shared" si="20"/>
        <v>0</v>
      </c>
      <c r="EQ20" s="16" t="str">
        <f>Mars!FS22</f>
        <v/>
      </c>
    </row>
    <row r="21" spans="1:147" ht="18" customHeight="1" x14ac:dyDescent="0.2">
      <c r="A21" s="24" t="str">
        <f>+Mars!BJ23</f>
        <v>Fiche infoA2</v>
      </c>
      <c r="B21" s="107">
        <f t="shared" si="30"/>
        <v>45720</v>
      </c>
      <c r="C21" s="172">
        <f>+$D$13+3</f>
        <v>45720</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infoA2</v>
      </c>
      <c r="BB21" s="107">
        <f t="shared" si="31"/>
        <v>45720</v>
      </c>
      <c r="BC21" s="172">
        <f>+$D$13+3</f>
        <v>45720</v>
      </c>
      <c r="BD21" s="173" t="str">
        <f t="shared" si="32"/>
        <v/>
      </c>
      <c r="BE21" s="173" t="str">
        <f>+IF(OR(BF21=S.CAL!$BJ$3,BF21=S.CAL!$BJ$4),BD21,"")</f>
        <v/>
      </c>
      <c r="BF21" s="351">
        <f>IF($DY$5=S.CAL!$CU$2,Mars!AR23,IF($DY$5=S.CAL!$CU$3,VLOOKUP(BC21,planning_fp,7,FALSE),""))</f>
        <v>0</v>
      </c>
      <c r="BG21" s="363" t="str">
        <f>Mars!BL23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45720</v>
      </c>
      <c r="CF21" s="172">
        <f>+$D$13+3</f>
        <v>45720</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45720</v>
      </c>
      <c r="EM21" s="16" t="str">
        <f t="shared" si="29"/>
        <v>Fiche infoA245720</v>
      </c>
      <c r="EN21" s="16">
        <f t="shared" si="20"/>
        <v>0</v>
      </c>
      <c r="EQ21" s="16" t="str">
        <f>Mars!FS23</f>
        <v/>
      </c>
    </row>
    <row r="22" spans="1:147" ht="18" customHeight="1" x14ac:dyDescent="0.25">
      <c r="A22" s="24" t="str">
        <f>+Mars!BJ24</f>
        <v>Fiche infoA3</v>
      </c>
      <c r="B22" s="107">
        <f t="shared" si="30"/>
        <v>45721</v>
      </c>
      <c r="C22" s="172">
        <f>+$D$13+4</f>
        <v>45721</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Mars!BC24</f>
        <v>0</v>
      </c>
      <c r="J22" s="34">
        <f>Mars!BE24</f>
        <v>0</v>
      </c>
      <c r="K22" s="34">
        <f t="shared" si="15"/>
        <v>0</v>
      </c>
      <c r="L22" s="34" t="str">
        <f t="shared" si="21"/>
        <v/>
      </c>
      <c r="O22" s="19"/>
      <c r="AK22" s="1211" t="s">
        <v>41</v>
      </c>
      <c r="AL22" s="1340">
        <f>+Mars!AL14</f>
        <v>0</v>
      </c>
      <c r="BA22" s="349" t="str">
        <f t="shared" si="16"/>
        <v>Fiche infoA3</v>
      </c>
      <c r="BB22" s="107">
        <f t="shared" si="31"/>
        <v>45721</v>
      </c>
      <c r="BC22" s="172">
        <f>+$D$13+4</f>
        <v>45721</v>
      </c>
      <c r="BD22" s="173" t="str">
        <f t="shared" si="32"/>
        <v/>
      </c>
      <c r="BE22" s="173" t="str">
        <f>+IF(OR(BF22=S.CAL!$BJ$3,BF22=S.CAL!$BJ$4),BD22,"")</f>
        <v/>
      </c>
      <c r="BF22" s="351">
        <f>IF($DY$5=S.CAL!$CU$2,Mars!AR24,IF($DY$5=S.CAL!$CU$3,VLOOKUP(BC22,planning_fp,7,FALSE),""))</f>
        <v>0</v>
      </c>
      <c r="BG22" s="363" t="str">
        <f>Mars!BL24</f>
        <v>A</v>
      </c>
      <c r="BH22" s="150"/>
      <c r="BL22" s="146"/>
      <c r="BM22" s="197"/>
      <c r="CD22" s="346"/>
      <c r="CE22" s="107">
        <f t="shared" si="33"/>
        <v>45721</v>
      </c>
      <c r="CF22" s="172">
        <f>+$D$13+4</f>
        <v>45721</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45721</v>
      </c>
      <c r="EM22" s="16" t="str">
        <f t="shared" si="29"/>
        <v>Fiche infoA345721</v>
      </c>
      <c r="EN22" s="16">
        <f t="shared" si="20"/>
        <v>0</v>
      </c>
      <c r="EQ22" s="16" t="str">
        <f>Mars!FS24</f>
        <v/>
      </c>
    </row>
    <row r="23" spans="1:147" ht="18" customHeight="1" x14ac:dyDescent="0.2">
      <c r="A23" s="24" t="str">
        <f>+Mars!BJ25</f>
        <v>Fiche infoA4</v>
      </c>
      <c r="B23" s="107">
        <f t="shared" si="30"/>
        <v>45722</v>
      </c>
      <c r="C23" s="172">
        <f>+$D$13+5</f>
        <v>45722</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Mars!BC25</f>
        <v>0</v>
      </c>
      <c r="J23" s="34">
        <f>Mars!BE25</f>
        <v>0</v>
      </c>
      <c r="K23" s="34">
        <f t="shared" si="15"/>
        <v>0</v>
      </c>
      <c r="L23" s="34" t="str">
        <f t="shared" si="21"/>
        <v/>
      </c>
      <c r="O23" s="39" t="str">
        <f>+O21</f>
        <v xml:space="preserve">Retenue sur salaire = </v>
      </c>
      <c r="P23" s="689">
        <f>+P30+P33</f>
        <v>0</v>
      </c>
      <c r="T23" s="581" t="s">
        <v>1123</v>
      </c>
      <c r="Z23" s="581" t="s">
        <v>1123</v>
      </c>
      <c r="BA23" s="349" t="str">
        <f t="shared" si="16"/>
        <v>Fiche infoA4</v>
      </c>
      <c r="BB23" s="107">
        <f t="shared" si="31"/>
        <v>45722</v>
      </c>
      <c r="BC23" s="172">
        <f>+$D$13+5</f>
        <v>45722</v>
      </c>
      <c r="BD23" s="173" t="str">
        <f t="shared" si="32"/>
        <v/>
      </c>
      <c r="BE23" s="173" t="str">
        <f>+IF(OR(BF23=S.CAL!$BJ$3,BF23=S.CAL!$BJ$4),BD23,"")</f>
        <v/>
      </c>
      <c r="BF23" s="351">
        <f>IF($DY$5=S.CAL!$CU$2,Mars!AR25,IF($DY$5=S.CAL!$CU$3,VLOOKUP(BC23,planning_fp,7,FALSE),""))</f>
        <v>0</v>
      </c>
      <c r="BG23" s="363" t="str">
        <f>Mars!BL25</f>
        <v>A</v>
      </c>
      <c r="BH23" s="29"/>
      <c r="BI23" s="354"/>
      <c r="BL23" s="149"/>
      <c r="CD23" s="346"/>
      <c r="CE23" s="107">
        <f t="shared" si="33"/>
        <v>45722</v>
      </c>
      <c r="CF23" s="172">
        <f>+$D$13+5</f>
        <v>45722</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45722</v>
      </c>
      <c r="EM23" s="16" t="str">
        <f t="shared" si="29"/>
        <v>Fiche infoA445722</v>
      </c>
      <c r="EN23" s="16">
        <f t="shared" si="20"/>
        <v>0</v>
      </c>
      <c r="EQ23" s="16" t="str">
        <f>Mars!FS25</f>
        <v/>
      </c>
    </row>
    <row r="24" spans="1:147" ht="18" customHeight="1" x14ac:dyDescent="0.2">
      <c r="A24" s="24" t="str">
        <f>+Mars!BJ26</f>
        <v>Fiche infoA5</v>
      </c>
      <c r="B24" s="107">
        <f t="shared" si="30"/>
        <v>45723</v>
      </c>
      <c r="C24" s="172">
        <f>+$D$13+6</f>
        <v>45723</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Mars!BC26</f>
        <v>0</v>
      </c>
      <c r="J24" s="34">
        <f>Mars!BE26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infoA5</v>
      </c>
      <c r="BB24" s="107">
        <f t="shared" si="31"/>
        <v>45723</v>
      </c>
      <c r="BC24" s="172">
        <f>+$D$13+6</f>
        <v>45723</v>
      </c>
      <c r="BD24" s="173" t="str">
        <f t="shared" si="32"/>
        <v/>
      </c>
      <c r="BE24" s="173" t="str">
        <f>+IF(OR(BF24=S.CAL!$BJ$3,BF24=S.CAL!$BJ$4),BD24,"")</f>
        <v/>
      </c>
      <c r="BF24" s="351">
        <f>IF($DY$5=S.CAL!$CU$2,Mars!AR26,IF($DY$5=S.CAL!$CU$3,VLOOKUP(BC24,planning_fp,7,FALSE),""))</f>
        <v>0</v>
      </c>
      <c r="BG24" s="363" t="str">
        <f>Mars!BL26</f>
        <v>A</v>
      </c>
      <c r="BL24" s="35"/>
      <c r="BM24" s="197"/>
      <c r="BO24" s="29"/>
      <c r="BP24" s="184"/>
      <c r="BR24" s="16" t="s">
        <v>758</v>
      </c>
      <c r="BV24" s="373"/>
      <c r="BW24" s="373"/>
      <c r="BX24" s="373"/>
      <c r="BY24" s="373" t="s">
        <v>708</v>
      </c>
      <c r="BZ24" s="373"/>
      <c r="CA24" s="373"/>
      <c r="CB24" s="373"/>
      <c r="CD24" s="346"/>
      <c r="CE24" s="107">
        <f t="shared" si="33"/>
        <v>45723</v>
      </c>
      <c r="CF24" s="172">
        <f>+$D$13+6</f>
        <v>45723</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45723</v>
      </c>
      <c r="EM24" s="16" t="str">
        <f t="shared" si="29"/>
        <v>Fiche infoA545723</v>
      </c>
      <c r="EN24" s="16">
        <f t="shared" si="20"/>
        <v>0</v>
      </c>
      <c r="EQ24" s="16" t="str">
        <f>Mars!FS26</f>
        <v/>
      </c>
    </row>
    <row r="25" spans="1:147" ht="18" customHeight="1" x14ac:dyDescent="0.2">
      <c r="A25" s="24" t="str">
        <f>+Mars!BJ27</f>
        <v>Fiche infoA6</v>
      </c>
      <c r="B25" s="107">
        <f t="shared" si="30"/>
        <v>45724</v>
      </c>
      <c r="C25" s="172">
        <f>+$D$13+7</f>
        <v>45724</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Mars!BC27</f>
        <v>0</v>
      </c>
      <c r="J25" s="34">
        <f>Mars!BE27</f>
        <v>0</v>
      </c>
      <c r="K25" s="34">
        <f t="shared" si="15"/>
        <v>0</v>
      </c>
      <c r="L25" s="34" t="str">
        <f t="shared" si="21"/>
        <v/>
      </c>
      <c r="AK25" s="1211" t="s">
        <v>329</v>
      </c>
      <c r="AL25" s="1335">
        <f>+IF(AL22,AL24/AL22,0)</f>
        <v>0</v>
      </c>
      <c r="BA25" s="349" t="str">
        <f t="shared" si="16"/>
        <v>Fiche infoA6</v>
      </c>
      <c r="BB25" s="107">
        <f t="shared" si="31"/>
        <v>45724</v>
      </c>
      <c r="BC25" s="172">
        <f>+$D$13+7</f>
        <v>45724</v>
      </c>
      <c r="BD25" s="173" t="str">
        <f t="shared" si="32"/>
        <v/>
      </c>
      <c r="BE25" s="173" t="str">
        <f>+IF(OR(BF25=S.CAL!$BJ$3,BF25=S.CAL!$BJ$4),BD25,"")</f>
        <v/>
      </c>
      <c r="BF25" s="351">
        <f>IF($DY$5=S.CAL!$CU$2,Mars!AR27,IF($DY$5=S.CAL!$CU$3,VLOOKUP(BC25,planning_fp,7,FALSE),""))</f>
        <v>0</v>
      </c>
      <c r="BG25" s="363" t="str">
        <f>Mars!BL27</f>
        <v>A</v>
      </c>
      <c r="BH25" s="150"/>
      <c r="BL25" s="35"/>
      <c r="BO25" s="29"/>
      <c r="BP25" s="184"/>
      <c r="BV25" s="373"/>
      <c r="BW25" s="373"/>
      <c r="BX25" s="373"/>
      <c r="BY25" s="373"/>
      <c r="BZ25" s="373"/>
      <c r="CA25" s="373"/>
      <c r="CB25" s="373"/>
      <c r="CD25" s="346"/>
      <c r="CE25" s="107">
        <f t="shared" si="33"/>
        <v>45724</v>
      </c>
      <c r="CF25" s="172">
        <f>+$D$13+7</f>
        <v>45724</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45724</v>
      </c>
      <c r="EM25" s="16" t="str">
        <f t="shared" si="29"/>
        <v>Fiche infoA645724</v>
      </c>
      <c r="EN25" s="16">
        <f t="shared" si="20"/>
        <v>0</v>
      </c>
      <c r="EQ25" s="16" t="str">
        <f>Mars!FS27</f>
        <v/>
      </c>
    </row>
    <row r="26" spans="1:147" ht="18" customHeight="1" x14ac:dyDescent="0.2">
      <c r="A26" s="24" t="str">
        <f>+Mars!BJ28</f>
        <v>Fiche infoA7</v>
      </c>
      <c r="B26" s="107">
        <f t="shared" si="30"/>
        <v>45725</v>
      </c>
      <c r="C26" s="172">
        <f>+$D$13+8</f>
        <v>45725</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Mars!BC28</f>
        <v>0</v>
      </c>
      <c r="J26" s="34">
        <f>Mars!BE28</f>
        <v>0</v>
      </c>
      <c r="K26" s="34">
        <f t="shared" si="15"/>
        <v>0</v>
      </c>
      <c r="L26" s="34" t="str">
        <f t="shared" si="21"/>
        <v/>
      </c>
      <c r="O26" s="16" t="s">
        <v>1217</v>
      </c>
      <c r="AK26" s="1211" t="s">
        <v>330</v>
      </c>
      <c r="AL26" s="1335">
        <f>IF(AS21,SUM(AT13:AT20)/AS21,0)</f>
        <v>0</v>
      </c>
      <c r="BA26" s="349" t="str">
        <f t="shared" si="16"/>
        <v>Fiche infoA7</v>
      </c>
      <c r="BB26" s="107">
        <f t="shared" si="31"/>
        <v>45725</v>
      </c>
      <c r="BC26" s="172">
        <f>+$D$13+8</f>
        <v>45725</v>
      </c>
      <c r="BD26" s="173" t="str">
        <f t="shared" si="32"/>
        <v/>
      </c>
      <c r="BE26" s="173" t="str">
        <f>+IF(OR(BF26=S.CAL!$BJ$3,BF26=S.CAL!$BJ$4),BD26,"")</f>
        <v/>
      </c>
      <c r="BF26" s="351">
        <f>IF($DY$5=S.CAL!$CU$2,Mars!AR28,IF($DY$5=S.CAL!$CU$3,VLOOKUP(BC26,planning_fp,7,FALSE),""))</f>
        <v>0</v>
      </c>
      <c r="BG26" s="363" t="str">
        <f>Mars!BL28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45725</v>
      </c>
      <c r="CF26" s="172">
        <f>+$D$13+8</f>
        <v>45725</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45725</v>
      </c>
      <c r="EM26" s="16" t="str">
        <f t="shared" si="29"/>
        <v>Fiche infoA745725</v>
      </c>
      <c r="EN26" s="16">
        <f t="shared" si="20"/>
        <v>0</v>
      </c>
      <c r="EQ26" s="16" t="str">
        <f>Mars!FS28</f>
        <v/>
      </c>
    </row>
    <row r="27" spans="1:147" ht="18" customHeight="1" x14ac:dyDescent="0.2">
      <c r="A27" s="24" t="str">
        <f>+Mars!BJ29</f>
        <v>Fiche infoA1</v>
      </c>
      <c r="B27" s="107">
        <f t="shared" si="30"/>
        <v>45726</v>
      </c>
      <c r="C27" s="172">
        <f>+$D$13+9</f>
        <v>45726</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Mars!BC29</f>
        <v>0</v>
      </c>
      <c r="J27" s="34">
        <f>Mars!BE29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infoA1</v>
      </c>
      <c r="BB27" s="107">
        <f t="shared" si="31"/>
        <v>45726</v>
      </c>
      <c r="BC27" s="172">
        <f>+$D$13+9</f>
        <v>45726</v>
      </c>
      <c r="BD27" s="173" t="str">
        <f t="shared" si="32"/>
        <v/>
      </c>
      <c r="BE27" s="173" t="str">
        <f>+IF(OR(BF27=S.CAL!$BJ$3,BF27=S.CAL!$BJ$4),BD27,"")</f>
        <v/>
      </c>
      <c r="BF27" s="351">
        <f>IF($DY$5=S.CAL!$CU$2,Mars!AR29,IF($DY$5=S.CAL!$CU$3,VLOOKUP(BC27,planning_fp,7,FALSE),""))</f>
        <v>0</v>
      </c>
      <c r="BG27" s="363" t="str">
        <f>Mars!BL29</f>
        <v>A</v>
      </c>
      <c r="BI27" s="16" t="s">
        <v>758</v>
      </c>
      <c r="BL27" s="35"/>
      <c r="BP27" s="2401"/>
      <c r="BQ27" s="2401"/>
      <c r="BR27" s="2401"/>
      <c r="BS27" s="2401"/>
      <c r="BT27" s="2400"/>
      <c r="BV27" s="373"/>
      <c r="BW27" s="373"/>
      <c r="BX27" s="2488"/>
      <c r="BY27" s="2488"/>
      <c r="BZ27" s="2488"/>
      <c r="CA27" s="2488"/>
      <c r="CB27" s="2487"/>
      <c r="CD27" s="346"/>
      <c r="CE27" s="107">
        <f t="shared" si="33"/>
        <v>45726</v>
      </c>
      <c r="CF27" s="172">
        <f>+$D$13+9</f>
        <v>45726</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45726</v>
      </c>
      <c r="EM27" s="16" t="str">
        <f t="shared" si="29"/>
        <v>Fiche infoA145726</v>
      </c>
      <c r="EN27" s="16">
        <f t="shared" si="20"/>
        <v>0</v>
      </c>
      <c r="EQ27" s="16" t="str">
        <f>Mars!FS29</f>
        <v/>
      </c>
    </row>
    <row r="28" spans="1:147" ht="18" customHeight="1" x14ac:dyDescent="0.2">
      <c r="A28" s="24" t="str">
        <f>+Mars!BJ30</f>
        <v>Fiche infoA2</v>
      </c>
      <c r="B28" s="107">
        <f t="shared" si="30"/>
        <v>45727</v>
      </c>
      <c r="C28" s="172">
        <f>+$D$13+10</f>
        <v>45727</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Mars!BC30</f>
        <v>0</v>
      </c>
      <c r="J28" s="34">
        <f>Mars!BE30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infoA2</v>
      </c>
      <c r="BB28" s="107">
        <f t="shared" si="31"/>
        <v>45727</v>
      </c>
      <c r="BC28" s="172">
        <f>+$D$13+10</f>
        <v>45727</v>
      </c>
      <c r="BD28" s="173" t="str">
        <f t="shared" si="32"/>
        <v/>
      </c>
      <c r="BE28" s="173" t="str">
        <f>+IF(OR(BF28=S.CAL!$BJ$3,BF28=S.CAL!$BJ$4),BD28,"")</f>
        <v/>
      </c>
      <c r="BF28" s="351">
        <f>IF($DY$5=S.CAL!$CU$2,Mars!AR30,IF($DY$5=S.CAL!$CU$3,VLOOKUP(BC28,planning_fp,7,FALSE),""))</f>
        <v>0</v>
      </c>
      <c r="BG28" s="363" t="str">
        <f>Mars!BL30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45727</v>
      </c>
      <c r="CF28" s="172">
        <f>+$D$13+10</f>
        <v>45727</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45727</v>
      </c>
      <c r="EM28" s="16" t="str">
        <f t="shared" si="29"/>
        <v>Fiche infoA245727</v>
      </c>
      <c r="EN28" s="16">
        <f t="shared" si="20"/>
        <v>0</v>
      </c>
      <c r="EQ28" s="16" t="str">
        <f>Mars!FS30</f>
        <v/>
      </c>
    </row>
    <row r="29" spans="1:147" ht="18" customHeight="1" x14ac:dyDescent="0.2">
      <c r="A29" s="24" t="str">
        <f>+Mars!BJ31</f>
        <v>Fiche infoA3</v>
      </c>
      <c r="B29" s="107">
        <f t="shared" si="30"/>
        <v>45728</v>
      </c>
      <c r="C29" s="172">
        <f>+$D$13+11</f>
        <v>45728</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Mars!BC31</f>
        <v>0</v>
      </c>
      <c r="J29" s="34">
        <f>Mars!BE31</f>
        <v>0</v>
      </c>
      <c r="K29" s="34">
        <f t="shared" si="15"/>
        <v>0</v>
      </c>
      <c r="L29" s="34" t="str">
        <f t="shared" si="21"/>
        <v/>
      </c>
      <c r="O29" s="877" t="s">
        <v>1471</v>
      </c>
      <c r="P29" s="877"/>
      <c r="Q29" s="877"/>
      <c r="R29" s="877"/>
      <c r="BA29" s="349" t="str">
        <f t="shared" si="16"/>
        <v>Fiche infoA3</v>
      </c>
      <c r="BB29" s="107">
        <f t="shared" si="31"/>
        <v>45728</v>
      </c>
      <c r="BC29" s="172">
        <f>+$D$13+11</f>
        <v>45728</v>
      </c>
      <c r="BD29" s="173" t="str">
        <f t="shared" si="32"/>
        <v/>
      </c>
      <c r="BE29" s="173" t="str">
        <f>+IF(OR(BF29=S.CAL!$BJ$3,BF29=S.CAL!$BJ$4),BD29,"")</f>
        <v/>
      </c>
      <c r="BF29" s="351">
        <f>IF($DY$5=S.CAL!$CU$2,Mars!AR31,IF($DY$5=S.CAL!$CU$3,VLOOKUP(BC29,planning_fp,7,FALSE),""))</f>
        <v>0</v>
      </c>
      <c r="BG29" s="363" t="str">
        <f>Mars!BL31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45728</v>
      </c>
      <c r="CF29" s="172">
        <f>+$D$13+11</f>
        <v>45728</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45728</v>
      </c>
      <c r="EM29" s="16" t="str">
        <f t="shared" si="29"/>
        <v>Fiche infoA345728</v>
      </c>
      <c r="EN29" s="16">
        <f t="shared" si="20"/>
        <v>0</v>
      </c>
      <c r="EQ29" s="16" t="str">
        <f>Mars!FS31</f>
        <v/>
      </c>
    </row>
    <row r="30" spans="1:147" ht="18" customHeight="1" x14ac:dyDescent="0.25">
      <c r="A30" s="24" t="str">
        <f>+Mars!BJ32</f>
        <v>Fiche infoA4</v>
      </c>
      <c r="B30" s="107">
        <f t="shared" si="30"/>
        <v>45729</v>
      </c>
      <c r="C30" s="172">
        <f>+$D$13+12</f>
        <v>45729</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Mars!BC32</f>
        <v>0</v>
      </c>
      <c r="J30" s="34">
        <f>Mars!BE32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45717</v>
      </c>
      <c r="AP30" s="2496"/>
      <c r="AQ30" s="2496"/>
      <c r="BA30" s="349" t="str">
        <f t="shared" si="16"/>
        <v>Fiche infoA4</v>
      </c>
      <c r="BB30" s="107">
        <f t="shared" si="31"/>
        <v>45729</v>
      </c>
      <c r="BC30" s="172">
        <f>+$D$13+12</f>
        <v>45729</v>
      </c>
      <c r="BD30" s="173" t="str">
        <f t="shared" si="32"/>
        <v/>
      </c>
      <c r="BE30" s="173" t="str">
        <f>+IF(OR(BF30=S.CAL!$BJ$3,BF30=S.CAL!$BJ$4),BD30,"")</f>
        <v/>
      </c>
      <c r="BF30" s="351">
        <f>IF($DY$5=S.CAL!$CU$2,Mars!AR32,IF($DY$5=S.CAL!$CU$3,VLOOKUP(BC30,planning_fp,7,FALSE),""))</f>
        <v>0</v>
      </c>
      <c r="BG30" s="363" t="str">
        <f>Mars!BL32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45729</v>
      </c>
      <c r="CF30" s="172">
        <f>+$D$13+12</f>
        <v>45729</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45729</v>
      </c>
      <c r="EM30" s="16" t="str">
        <f t="shared" si="29"/>
        <v>Fiche infoA445729</v>
      </c>
      <c r="EN30" s="16">
        <f t="shared" si="20"/>
        <v>0</v>
      </c>
      <c r="EQ30" s="16" t="str">
        <f>Mars!FS32</f>
        <v/>
      </c>
    </row>
    <row r="31" spans="1:147" ht="18" customHeight="1" x14ac:dyDescent="0.2">
      <c r="A31" s="24" t="str">
        <f>+Mars!BJ33</f>
        <v>Fiche infoA5</v>
      </c>
      <c r="B31" s="107">
        <f t="shared" si="30"/>
        <v>45730</v>
      </c>
      <c r="C31" s="172">
        <f>+$D$13+13</f>
        <v>45730</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Mars!BC33</f>
        <v>0</v>
      </c>
      <c r="J31" s="34">
        <f>Mars!BE33</f>
        <v>0</v>
      </c>
      <c r="K31" s="34">
        <f t="shared" si="15"/>
        <v>0</v>
      </c>
      <c r="L31" s="34" t="str">
        <f t="shared" si="21"/>
        <v/>
      </c>
      <c r="AL31" s="581" t="s">
        <v>351</v>
      </c>
      <c r="BA31" s="349" t="str">
        <f t="shared" si="16"/>
        <v>Fiche infoA5</v>
      </c>
      <c r="BB31" s="107">
        <f t="shared" si="31"/>
        <v>45730</v>
      </c>
      <c r="BC31" s="172">
        <f>+$D$13+13</f>
        <v>45730</v>
      </c>
      <c r="BD31" s="173" t="str">
        <f t="shared" si="32"/>
        <v/>
      </c>
      <c r="BE31" s="173" t="str">
        <f>+IF(OR(BF31=S.CAL!$BJ$3,BF31=S.CAL!$BJ$4),BD31,"")</f>
        <v/>
      </c>
      <c r="BF31" s="351">
        <f>IF($DY$5=S.CAL!$CU$2,Mars!AR33,IF($DY$5=S.CAL!$CU$3,VLOOKUP(BC31,planning_fp,7,FALSE),""))</f>
        <v>0</v>
      </c>
      <c r="BG31" s="363" t="str">
        <f>Mars!BL33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45730</v>
      </c>
      <c r="CF31" s="172">
        <f>+$D$13+13</f>
        <v>45730</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45730</v>
      </c>
      <c r="EM31" s="16" t="str">
        <f t="shared" si="29"/>
        <v>Fiche infoA545730</v>
      </c>
      <c r="EN31" s="16">
        <f t="shared" si="20"/>
        <v>0</v>
      </c>
      <c r="EQ31" s="16" t="str">
        <f>Mars!FS33</f>
        <v/>
      </c>
    </row>
    <row r="32" spans="1:147" ht="18" customHeight="1" x14ac:dyDescent="0.2">
      <c r="A32" s="24" t="str">
        <f>+Mars!BJ34</f>
        <v>Fiche infoA6</v>
      </c>
      <c r="B32" s="107">
        <f t="shared" si="30"/>
        <v>45731</v>
      </c>
      <c r="C32" s="172">
        <f>+$D$13+14</f>
        <v>45731</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Mars!BC34</f>
        <v>0</v>
      </c>
      <c r="J32" s="34">
        <f>Mars!BE34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infoA6</v>
      </c>
      <c r="BB32" s="107">
        <f t="shared" si="31"/>
        <v>45731</v>
      </c>
      <c r="BC32" s="172">
        <f>+$D$13+14</f>
        <v>45731</v>
      </c>
      <c r="BD32" s="173" t="str">
        <f t="shared" si="32"/>
        <v/>
      </c>
      <c r="BE32" s="173" t="str">
        <f>+IF(OR(BF32=S.CAL!$BJ$3,BF32=S.CAL!$BJ$4),BD32,"")</f>
        <v/>
      </c>
      <c r="BF32" s="351">
        <f>IF($DY$5=S.CAL!$CU$2,Mars!AR34,IF($DY$5=S.CAL!$CU$3,VLOOKUP(BC32,planning_fp,7,FALSE),""))</f>
        <v>0</v>
      </c>
      <c r="BG32" s="363" t="str">
        <f>Mars!BL34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45731</v>
      </c>
      <c r="CF32" s="172">
        <f>+$D$13+14</f>
        <v>45731</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45731</v>
      </c>
      <c r="EM32" s="16" t="str">
        <f t="shared" si="29"/>
        <v>Fiche infoA645731</v>
      </c>
      <c r="EN32" s="16">
        <f t="shared" si="20"/>
        <v>0</v>
      </c>
      <c r="EQ32" s="16" t="str">
        <f>Mars!FS34</f>
        <v/>
      </c>
    </row>
    <row r="33" spans="1:147" ht="18" customHeight="1" x14ac:dyDescent="0.2">
      <c r="A33" s="24" t="str">
        <f>+Mars!BJ35</f>
        <v>Fiche infoA7</v>
      </c>
      <c r="B33" s="107">
        <f t="shared" si="30"/>
        <v>45732</v>
      </c>
      <c r="C33" s="172">
        <f>+$D$13+15</f>
        <v>45732</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Mars!BC35</f>
        <v>0</v>
      </c>
      <c r="J33" s="34">
        <f>Mars!BE35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infoA7</v>
      </c>
      <c r="BB33" s="107">
        <f t="shared" si="31"/>
        <v>45732</v>
      </c>
      <c r="BC33" s="172">
        <f>+$D$13+15</f>
        <v>45732</v>
      </c>
      <c r="BD33" s="173" t="str">
        <f t="shared" si="32"/>
        <v/>
      </c>
      <c r="BE33" s="173" t="str">
        <f>+IF(OR(BF33=S.CAL!$BJ$3,BF33=S.CAL!$BJ$4),BD33,"")</f>
        <v/>
      </c>
      <c r="BF33" s="351">
        <f>IF($DY$5=S.CAL!$CU$2,Mars!AR35,IF($DY$5=S.CAL!$CU$3,VLOOKUP(BC33,planning_fp,7,FALSE),""))</f>
        <v>0</v>
      </c>
      <c r="BG33" s="363" t="str">
        <f>Mars!BL35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45732</v>
      </c>
      <c r="CF33" s="172">
        <f>+$D$13+15</f>
        <v>45732</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45732</v>
      </c>
      <c r="EM33" s="16" t="str">
        <f t="shared" si="29"/>
        <v>Fiche infoA745732</v>
      </c>
      <c r="EN33" s="16">
        <f t="shared" si="20"/>
        <v>0</v>
      </c>
      <c r="EQ33" s="16" t="str">
        <f>Mars!FS35</f>
        <v/>
      </c>
    </row>
    <row r="34" spans="1:147" ht="18" customHeight="1" x14ac:dyDescent="0.2">
      <c r="A34" s="24" t="str">
        <f>+Mars!BJ36</f>
        <v>Fiche infoA1</v>
      </c>
      <c r="B34" s="107">
        <f t="shared" si="30"/>
        <v>45733</v>
      </c>
      <c r="C34" s="172">
        <f>+$D$13+16</f>
        <v>45733</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Mars!BC36</f>
        <v>0</v>
      </c>
      <c r="J34" s="34">
        <f>Mars!BE36</f>
        <v>0</v>
      </c>
      <c r="K34" s="34">
        <f t="shared" si="15"/>
        <v>0</v>
      </c>
      <c r="L34" s="34" t="str">
        <f t="shared" si="21"/>
        <v/>
      </c>
      <c r="N34" s="395"/>
      <c r="O34" s="395"/>
      <c r="P34" s="395"/>
      <c r="Q34" s="395"/>
      <c r="R34" s="395"/>
      <c r="T34" s="581">
        <f>+IF(AD34=0,V34,0)</f>
        <v>0</v>
      </c>
      <c r="U34" s="1323" t="str">
        <f>+Mars!AU4</f>
        <v>A</v>
      </c>
      <c r="V34" s="1323">
        <f>IFERROR(+VLOOKUP(U34,U35:AB39,7,FALSE),"")</f>
        <v>0</v>
      </c>
      <c r="W34" s="2482" t="str">
        <f>Mars!BS28</f>
        <v>Semaine numéro : 9</v>
      </c>
      <c r="X34" s="2482"/>
      <c r="Y34" s="2482"/>
      <c r="Z34" s="1345"/>
      <c r="AA34" s="1338">
        <f>+IF(Z34&lt;&gt;"",Z34,IF(T34&gt;0,T34,IF(AND(AD34&gt;0,AC34&gt;0),AD34+AC34,IF(AE34&gt;0,0,AC34))))</f>
        <v>0</v>
      </c>
      <c r="AB34" s="1338">
        <f>IF(AND(AA34&gt;45,AD34=AD48),AA34-45,0)</f>
        <v>0</v>
      </c>
      <c r="AC34" s="1344">
        <f>+SUMIF(Mars!$BK$20:$BK$50,Mars!AT4,$D$18:$D$48)</f>
        <v>0</v>
      </c>
      <c r="AD34" s="1344">
        <f>+SUMIF(Février!$BK$20:$BK$50,Mars!AT4,'Retenue Fev'!$D$18:$D$48)</f>
        <v>0</v>
      </c>
      <c r="AE34" s="1344">
        <f>+SUMIF(Avril!$BK$20:$BK$50,Mars!AT4,'Retenue Avril'!$D$18:$D$48)</f>
        <v>0</v>
      </c>
      <c r="AF34" s="1338">
        <f>+AC34-AB34</f>
        <v>0</v>
      </c>
      <c r="AK34" s="1211" t="s">
        <v>333</v>
      </c>
      <c r="AL34" s="1324" t="e">
        <f>IF(AL32,+AL24/AL32,0)</f>
        <v>#VALUE!</v>
      </c>
      <c r="BA34" s="349" t="str">
        <f t="shared" si="16"/>
        <v>Fiche infoA1</v>
      </c>
      <c r="BB34" s="107">
        <f t="shared" si="31"/>
        <v>45733</v>
      </c>
      <c r="BC34" s="172">
        <f>+$D$13+16</f>
        <v>45733</v>
      </c>
      <c r="BD34" s="173" t="str">
        <f t="shared" si="32"/>
        <v/>
      </c>
      <c r="BE34" s="173" t="str">
        <f>+IF(OR(BF34=S.CAL!$BJ$3,BF34=S.CAL!$BJ$4),BD34,"")</f>
        <v/>
      </c>
      <c r="BF34" s="351">
        <f>IF($DY$5=S.CAL!$CU$2,Mars!AR36,IF($DY$5=S.CAL!$CU$3,VLOOKUP(BC34,planning_fp,7,FALSE),""))</f>
        <v>0</v>
      </c>
      <c r="BG34" s="363" t="str">
        <f>Mars!BL36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45733</v>
      </c>
      <c r="CF34" s="172">
        <f>+$D$13+16</f>
        <v>45733</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45733</v>
      </c>
      <c r="EM34" s="16" t="str">
        <f t="shared" si="29"/>
        <v>Fiche infoA145733</v>
      </c>
      <c r="EN34" s="16">
        <f t="shared" si="20"/>
        <v>0</v>
      </c>
      <c r="EQ34" s="16" t="str">
        <f>Mars!FS36</f>
        <v/>
      </c>
    </row>
    <row r="35" spans="1:147" ht="18" customHeight="1" x14ac:dyDescent="0.2">
      <c r="A35" s="24" t="str">
        <f>+Mars!BJ37</f>
        <v>Fiche infoA2</v>
      </c>
      <c r="B35" s="107">
        <f t="shared" si="30"/>
        <v>45734</v>
      </c>
      <c r="C35" s="172">
        <f>+$D$13+17</f>
        <v>45734</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Mars!BC37</f>
        <v>0</v>
      </c>
      <c r="J35" s="34">
        <f>Mars!BE37</f>
        <v>0</v>
      </c>
      <c r="K35" s="34">
        <f t="shared" si="15"/>
        <v>0</v>
      </c>
      <c r="L35" s="34" t="str">
        <f t="shared" si="21"/>
        <v/>
      </c>
      <c r="N35" s="395"/>
      <c r="O35" s="879" t="s">
        <v>1218</v>
      </c>
      <c r="P35" s="880"/>
      <c r="Q35" s="880"/>
      <c r="R35" s="876"/>
      <c r="T35" s="581">
        <f>+IF(AD35=0,V35,0)</f>
        <v>0</v>
      </c>
      <c r="U35" s="1323" t="str">
        <f>+Mars!AU5</f>
        <v>A</v>
      </c>
      <c r="V35" s="1323">
        <f>IFERROR(+VLOOKUP(U35,U36:AB39,7,FALSE),"")</f>
        <v>0</v>
      </c>
      <c r="W35" s="2482" t="str">
        <f>Mars!BS29</f>
        <v>Semaine numéro : 10</v>
      </c>
      <c r="X35" s="2482"/>
      <c r="Y35" s="2482"/>
      <c r="Z35" s="1345"/>
      <c r="AA35" s="1338">
        <f>+IF(Z35&lt;&gt;"",Z35,IF(T35&gt;0,T35,IF(AND(AD35&gt;0,AC35&gt;0),AD35+AC35,IF(AE35&gt;0,0,AC35))))</f>
        <v>0</v>
      </c>
      <c r="AB35" s="1338">
        <f t="shared" ref="AB35:AB39" si="44">IF(AND(AA35&gt;45,AD35=AD49),AA35-45,0)</f>
        <v>0</v>
      </c>
      <c r="AC35" s="1344">
        <f>+SUMIF(Mars!$BK$20:$BK$50,Mars!AT5,$D$18:$D$48)</f>
        <v>0</v>
      </c>
      <c r="AD35" s="1344">
        <f>+SUMIF(Février!$BK$20:$BK$50,Mars!AT5,'Retenue Fev'!$D$18:$D$48)</f>
        <v>0</v>
      </c>
      <c r="AE35" s="1344">
        <f>+SUMIF(Avril!$BK$20:$BK$50,Mars!AT5,'Retenue Avril'!$D$18:$D$48)</f>
        <v>0</v>
      </c>
      <c r="AF35" s="1338">
        <f t="shared" ref="AF35:AF39" si="45">+AC35-AB35</f>
        <v>0</v>
      </c>
      <c r="AK35" s="1211"/>
      <c r="AL35" s="1324"/>
      <c r="BA35" s="349" t="str">
        <f t="shared" si="16"/>
        <v>Fiche infoA2</v>
      </c>
      <c r="BB35" s="107">
        <f t="shared" si="31"/>
        <v>45734</v>
      </c>
      <c r="BC35" s="172">
        <f>+$D$13+17</f>
        <v>45734</v>
      </c>
      <c r="BD35" s="173" t="str">
        <f t="shared" si="32"/>
        <v/>
      </c>
      <c r="BE35" s="173" t="str">
        <f>+IF(OR(BF35=S.CAL!$BJ$3,BF35=S.CAL!$BJ$4),BD35,"")</f>
        <v/>
      </c>
      <c r="BF35" s="351">
        <f>IF($DY$5=S.CAL!$CU$2,Mars!AR37,IF($DY$5=S.CAL!$CU$3,VLOOKUP(BC35,planning_fp,7,FALSE),""))</f>
        <v>0</v>
      </c>
      <c r="BG35" s="363" t="str">
        <f>Mars!BL37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45734</v>
      </c>
      <c r="CF35" s="172">
        <f>+$D$13+17</f>
        <v>45734</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45734</v>
      </c>
      <c r="EM35" s="16" t="str">
        <f t="shared" si="29"/>
        <v>Fiche infoA245734</v>
      </c>
      <c r="EN35" s="16">
        <f t="shared" si="20"/>
        <v>0</v>
      </c>
      <c r="EQ35" s="16" t="str">
        <f>Mars!FS37</f>
        <v/>
      </c>
    </row>
    <row r="36" spans="1:147" ht="18" customHeight="1" x14ac:dyDescent="0.2">
      <c r="A36" s="24" t="str">
        <f>+Mars!BJ38</f>
        <v>Fiche infoA3</v>
      </c>
      <c r="B36" s="107">
        <f t="shared" si="30"/>
        <v>45735</v>
      </c>
      <c r="C36" s="172">
        <f>+$D$13+18</f>
        <v>45735</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Mars!BC38</f>
        <v>0</v>
      </c>
      <c r="J36" s="34">
        <f>Mars!BE38</f>
        <v>0</v>
      </c>
      <c r="K36" s="34">
        <f t="shared" si="15"/>
        <v>0</v>
      </c>
      <c r="L36" s="34" t="str">
        <f t="shared" si="21"/>
        <v/>
      </c>
      <c r="N36" s="395"/>
      <c r="O36" s="486"/>
      <c r="P36" s="487" t="str">
        <f>+E11&amp;" / ( "&amp;E10&amp;" + "&amp;E11&amp;" ) ="</f>
        <v>0 / ( 0 + 0 ) =</v>
      </c>
      <c r="Q36" s="486" t="e">
        <f>+ROUND(E11/(E11+E10),6)</f>
        <v>#DIV/0!</v>
      </c>
      <c r="R36" s="395"/>
      <c r="U36" s="1323" t="str">
        <f>+Mars!AU6</f>
        <v>A</v>
      </c>
      <c r="V36" s="1323"/>
      <c r="W36" s="2482" t="str">
        <f>Mars!BS30</f>
        <v>Semaine numéro : 11</v>
      </c>
      <c r="X36" s="2482"/>
      <c r="Y36" s="2482"/>
      <c r="Z36" s="1345"/>
      <c r="AA36" s="1338">
        <f t="shared" ref="AA36:AA39" si="46">+IF(Z36="",IF(AND(AD36&gt;0,AC36&gt;0),AD36+AC36,IF(AE36&gt;0,0,AC36)),Z36)</f>
        <v>0</v>
      </c>
      <c r="AB36" s="1338">
        <f t="shared" si="44"/>
        <v>0</v>
      </c>
      <c r="AC36" s="1344">
        <f>+SUMIF(Mars!$BK$20:$BK$50,Mars!AT6,$D$18:$D$48)</f>
        <v>0</v>
      </c>
      <c r="AD36" s="1344">
        <f>+SUMIF(Février!$BK$20:$BK$50,Mars!AT6,'Retenue Fev'!$D$18:$D$48)</f>
        <v>0</v>
      </c>
      <c r="AE36" s="1344">
        <f>+SUMIF(Avril!$BK$20:$BK$50,Mars!AT6,'Retenue Avril'!$D$18:$D$48)</f>
        <v>0</v>
      </c>
      <c r="AF36" s="1338">
        <f t="shared" si="45"/>
        <v>0</v>
      </c>
      <c r="AK36" s="1211"/>
      <c r="AL36" s="1324"/>
      <c r="BA36" s="349" t="str">
        <f t="shared" si="16"/>
        <v>Fiche infoA3</v>
      </c>
      <c r="BB36" s="107">
        <f t="shared" si="31"/>
        <v>45735</v>
      </c>
      <c r="BC36" s="172">
        <f>+$D$13+18</f>
        <v>45735</v>
      </c>
      <c r="BD36" s="173" t="str">
        <f t="shared" si="32"/>
        <v/>
      </c>
      <c r="BE36" s="173" t="str">
        <f>+IF(OR(BF36=S.CAL!$BJ$3,BF36=S.CAL!$BJ$4),BD36,"")</f>
        <v/>
      </c>
      <c r="BF36" s="351">
        <f>IF($DY$5=S.CAL!$CU$2,Mars!AR38,IF($DY$5=S.CAL!$CU$3,VLOOKUP(BC36,planning_fp,7,FALSE),""))</f>
        <v>0</v>
      </c>
      <c r="BG36" s="363" t="str">
        <f>Mars!BL38</f>
        <v>A</v>
      </c>
      <c r="BH36" s="374"/>
      <c r="BI36" s="375"/>
      <c r="BJ36" s="373"/>
      <c r="BK36" s="373"/>
      <c r="BL36" s="35"/>
      <c r="BS36" s="191"/>
      <c r="BT36" s="360"/>
      <c r="BU36" s="360"/>
      <c r="BV36" s="373"/>
      <c r="BW36" s="373"/>
      <c r="BX36" s="373"/>
      <c r="BY36" s="373"/>
      <c r="BZ36" s="373"/>
      <c r="CA36" s="373"/>
      <c r="CB36" s="373"/>
      <c r="CD36" s="346"/>
      <c r="CE36" s="107">
        <f t="shared" si="33"/>
        <v>45735</v>
      </c>
      <c r="CF36" s="172">
        <f>+$D$13+18</f>
        <v>45735</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45735</v>
      </c>
      <c r="EM36" s="16" t="str">
        <f t="shared" si="29"/>
        <v>Fiche infoA345735</v>
      </c>
      <c r="EN36" s="16">
        <f t="shared" si="20"/>
        <v>0</v>
      </c>
      <c r="EQ36" s="16" t="str">
        <f>Mars!FS38</f>
        <v/>
      </c>
    </row>
    <row r="37" spans="1:147" ht="18" customHeight="1" x14ac:dyDescent="0.2">
      <c r="A37" s="24" t="str">
        <f>+Mars!BJ39</f>
        <v>Fiche infoA4</v>
      </c>
      <c r="B37" s="107">
        <f t="shared" si="30"/>
        <v>45736</v>
      </c>
      <c r="C37" s="172">
        <f>+$D$13+19</f>
        <v>45736</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Mars!BC39</f>
        <v>0</v>
      </c>
      <c r="J37" s="34">
        <f>Mars!BE39</f>
        <v>0</v>
      </c>
      <c r="K37" s="34">
        <f t="shared" si="15"/>
        <v>0</v>
      </c>
      <c r="L37" s="34" t="str">
        <f t="shared" si="21"/>
        <v/>
      </c>
      <c r="N37" s="395"/>
      <c r="O37" s="881"/>
      <c r="P37" s="881"/>
      <c r="Q37" s="881"/>
      <c r="R37" s="395"/>
      <c r="U37" s="1323" t="str">
        <f>+Mars!AU7</f>
        <v>A</v>
      </c>
      <c r="V37" s="1323"/>
      <c r="W37" s="2482" t="str">
        <f>Mars!BS31</f>
        <v>Semaine numéro : 12</v>
      </c>
      <c r="X37" s="2482"/>
      <c r="Y37" s="2482"/>
      <c r="Z37" s="1345"/>
      <c r="AA37" s="1338">
        <f t="shared" si="46"/>
        <v>0</v>
      </c>
      <c r="AB37" s="1338">
        <f t="shared" si="44"/>
        <v>0</v>
      </c>
      <c r="AC37" s="1344">
        <f>+SUMIF(Mars!$BK$20:$BK$50,Mars!AT7,$D$18:$D$48)</f>
        <v>0</v>
      </c>
      <c r="AD37" s="1344">
        <f>+SUMIF(Février!$BK$20:$BK$50,Mars!AT7,'Retenue Fev'!$D$18:$D$48)</f>
        <v>0</v>
      </c>
      <c r="AE37" s="1344">
        <f>+SUMIF(Avril!$BK$20:$BK$50,Mars!AT7,'Retenue Avril'!$D$18:$D$48)</f>
        <v>0</v>
      </c>
      <c r="AF37" s="1338">
        <f t="shared" si="45"/>
        <v>0</v>
      </c>
      <c r="AK37" s="1211"/>
      <c r="AL37" s="2494" t="s">
        <v>334</v>
      </c>
      <c r="AM37" s="2494" t="s">
        <v>335</v>
      </c>
      <c r="AN37" s="2495" t="s">
        <v>336</v>
      </c>
      <c r="AO37" s="2494" t="s">
        <v>337</v>
      </c>
      <c r="AP37" s="2494" t="s">
        <v>357</v>
      </c>
      <c r="AQ37" s="2494" t="s">
        <v>358</v>
      </c>
      <c r="BA37" s="349" t="str">
        <f t="shared" si="16"/>
        <v>Fiche infoA4</v>
      </c>
      <c r="BB37" s="107">
        <f t="shared" si="31"/>
        <v>45736</v>
      </c>
      <c r="BC37" s="172">
        <f>+$D$13+19</f>
        <v>45736</v>
      </c>
      <c r="BD37" s="173" t="str">
        <f t="shared" si="32"/>
        <v/>
      </c>
      <c r="BE37" s="173" t="str">
        <f>+IF(OR(BF37=S.CAL!$BJ$3,BF37=S.CAL!$BJ$4),BD37,"")</f>
        <v/>
      </c>
      <c r="BF37" s="351">
        <f>IF($DY$5=S.CAL!$CU$2,Mars!AR39,IF($DY$5=S.CAL!$CU$3,VLOOKUP(BC37,planning_fp,7,FALSE),""))</f>
        <v>0</v>
      </c>
      <c r="BG37" s="363" t="str">
        <f>Mars!BL39</f>
        <v>A</v>
      </c>
      <c r="BH37" s="373"/>
      <c r="BI37" s="373"/>
      <c r="BJ37" s="373"/>
      <c r="BK37" s="373"/>
      <c r="BL37" s="35"/>
      <c r="BO37" s="29"/>
      <c r="BP37" s="34"/>
      <c r="BS37" s="191"/>
      <c r="BT37" s="191"/>
      <c r="BV37" s="373"/>
      <c r="BW37" s="373"/>
      <c r="BX37" s="373"/>
      <c r="BY37" s="373"/>
      <c r="BZ37" s="373"/>
      <c r="CA37" s="373"/>
      <c r="CB37" s="373"/>
      <c r="CD37" s="346"/>
      <c r="CE37" s="107">
        <f t="shared" si="33"/>
        <v>45736</v>
      </c>
      <c r="CF37" s="172">
        <f>+$D$13+19</f>
        <v>45736</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45736</v>
      </c>
      <c r="EM37" s="16" t="str">
        <f t="shared" si="29"/>
        <v>Fiche infoA445736</v>
      </c>
      <c r="EN37" s="16">
        <f t="shared" si="20"/>
        <v>0</v>
      </c>
      <c r="EQ37" s="16" t="str">
        <f>Mars!FS39</f>
        <v/>
      </c>
    </row>
    <row r="38" spans="1:147" ht="18" customHeight="1" x14ac:dyDescent="0.2">
      <c r="A38" s="24" t="str">
        <f>+Mars!BJ40</f>
        <v>Fiche infoA5</v>
      </c>
      <c r="B38" s="107">
        <f t="shared" si="30"/>
        <v>45737</v>
      </c>
      <c r="C38" s="172">
        <f>+$D$13+20</f>
        <v>45737</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Mars!BC40</f>
        <v>0</v>
      </c>
      <c r="J38" s="34">
        <f>Mars!BE40</f>
        <v>0</v>
      </c>
      <c r="K38" s="34">
        <f t="shared" si="15"/>
        <v>0</v>
      </c>
      <c r="L38" s="34" t="str">
        <f t="shared" si="21"/>
        <v/>
      </c>
      <c r="N38" s="395"/>
      <c r="O38" s="882" t="s">
        <v>1472</v>
      </c>
      <c r="P38" s="882"/>
      <c r="Q38" s="882"/>
      <c r="R38" s="878"/>
      <c r="U38" s="1323" t="str">
        <f>+Mars!AU8</f>
        <v>A</v>
      </c>
      <c r="V38" s="1323"/>
      <c r="W38" s="2482" t="str">
        <f>Mars!BS32</f>
        <v>Semaine numéro : 13</v>
      </c>
      <c r="X38" s="2482"/>
      <c r="Y38" s="2482"/>
      <c r="Z38" s="1345"/>
      <c r="AA38" s="1338">
        <f t="shared" si="46"/>
        <v>0</v>
      </c>
      <c r="AB38" s="1338">
        <f t="shared" si="44"/>
        <v>0</v>
      </c>
      <c r="AC38" s="1344">
        <f>+SUMIF(Mars!$BK$20:$BK$50,Mars!AT8,$D$18:$D$48)</f>
        <v>0</v>
      </c>
      <c r="AD38" s="1344">
        <f>+SUMIF(Février!$BK$20:$BK$50,Mars!AT8,'Retenue Fev'!$D$18:$D$48)</f>
        <v>0</v>
      </c>
      <c r="AE38" s="1344">
        <f>+SUMIF(Avril!$BK$20:$BK$50,Mars!AT8,'Retenue Avril'!$D$18:$D$48)</f>
        <v>0</v>
      </c>
      <c r="AF38" s="1338">
        <f t="shared" si="45"/>
        <v>0</v>
      </c>
      <c r="AL38" s="2494"/>
      <c r="AM38" s="2494"/>
      <c r="AN38" s="2495"/>
      <c r="AO38" s="2494"/>
      <c r="AP38" s="2494"/>
      <c r="AQ38" s="2494"/>
      <c r="BA38" s="349" t="str">
        <f t="shared" si="16"/>
        <v>Fiche infoA5</v>
      </c>
      <c r="BB38" s="107">
        <f t="shared" si="31"/>
        <v>45737</v>
      </c>
      <c r="BC38" s="172">
        <f>+$D$13+20</f>
        <v>45737</v>
      </c>
      <c r="BD38" s="173" t="str">
        <f t="shared" si="32"/>
        <v/>
      </c>
      <c r="BE38" s="173" t="str">
        <f>+IF(OR(BF38=S.CAL!$BJ$3,BF38=S.CAL!$BJ$4),BD38,"")</f>
        <v/>
      </c>
      <c r="BF38" s="351">
        <f>IF($DY$5=S.CAL!$CU$2,Mars!AR40,IF($DY$5=S.CAL!$CU$3,VLOOKUP(BC38,planning_fp,7,FALSE),""))</f>
        <v>0</v>
      </c>
      <c r="BG38" s="363" t="str">
        <f>Mars!BL40</f>
        <v>A</v>
      </c>
      <c r="BH38" s="373"/>
      <c r="BI38" s="373"/>
      <c r="BJ38" s="373"/>
      <c r="BK38" s="373"/>
      <c r="BL38" s="35"/>
      <c r="BO38" s="29"/>
      <c r="BP38" s="34"/>
      <c r="BS38" s="191"/>
      <c r="BT38" s="191"/>
      <c r="BV38" s="373"/>
      <c r="BW38" s="373"/>
      <c r="BX38" s="373"/>
      <c r="BY38" s="373"/>
      <c r="BZ38" s="373"/>
      <c r="CA38" s="373"/>
      <c r="CB38" s="373"/>
      <c r="CD38" s="346"/>
      <c r="CE38" s="107">
        <f t="shared" si="33"/>
        <v>45737</v>
      </c>
      <c r="CF38" s="172">
        <f>+$D$13+20</f>
        <v>45737</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45737</v>
      </c>
      <c r="EM38" s="16" t="str">
        <f t="shared" si="29"/>
        <v>Fiche infoA545737</v>
      </c>
      <c r="EN38" s="16">
        <f t="shared" si="20"/>
        <v>0</v>
      </c>
      <c r="EQ38" s="16" t="str">
        <f>Mars!FS40</f>
        <v/>
      </c>
    </row>
    <row r="39" spans="1:147" ht="18" customHeight="1" x14ac:dyDescent="0.2">
      <c r="A39" s="24" t="str">
        <f>+Mars!BJ41</f>
        <v>Fiche infoA6</v>
      </c>
      <c r="B39" s="107">
        <f t="shared" si="30"/>
        <v>45738</v>
      </c>
      <c r="C39" s="172">
        <f>+$D$13+21</f>
        <v>45738</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Mars!BC41</f>
        <v>0</v>
      </c>
      <c r="J39" s="34">
        <f>Mars!BE41</f>
        <v>0</v>
      </c>
      <c r="K39" s="34">
        <f t="shared" si="15"/>
        <v>0</v>
      </c>
      <c r="L39" s="34" t="str">
        <f t="shared" si="21"/>
        <v/>
      </c>
      <c r="N39" s="395"/>
      <c r="O39" s="486"/>
      <c r="P39" s="487" t="str">
        <f>+E10&amp;" / ( "&amp;E10&amp;" + "&amp;E11&amp;" ) ="</f>
        <v>0 / ( 0 + 0 ) =</v>
      </c>
      <c r="Q39" s="486" t="e">
        <f>ROUND(+E10/(E11+E10),6)</f>
        <v>#DIV/0!</v>
      </c>
      <c r="R39" s="395"/>
      <c r="U39" s="1323" t="str">
        <f>+Mars!AU9</f>
        <v>A</v>
      </c>
      <c r="V39" s="1323"/>
      <c r="W39" s="2482" t="str">
        <f>Mars!BS33</f>
        <v>Semaine numéro : 14</v>
      </c>
      <c r="X39" s="2482"/>
      <c r="Y39" s="2482"/>
      <c r="Z39" s="1345"/>
      <c r="AA39" s="1338">
        <f t="shared" si="46"/>
        <v>0</v>
      </c>
      <c r="AB39" s="1338">
        <f t="shared" si="44"/>
        <v>0</v>
      </c>
      <c r="AC39" s="1344">
        <f>+SUMIF(Mars!$BK$20:$BK$50,Mars!AT9,$D$18:$D$48)</f>
        <v>0</v>
      </c>
      <c r="AD39" s="1344">
        <f>+SUMIF(Février!$BK$20:$BK$50,Mars!AT9,'Retenue Fev'!$D$18:$D$48)</f>
        <v>0</v>
      </c>
      <c r="AE39" s="1344">
        <f>+SUMIF(Avril!$BK$20:$BK$50,Mars!AT9,'Retenue Avril'!$D$18:$D$48)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infoA6</v>
      </c>
      <c r="BB39" s="107">
        <f t="shared" si="31"/>
        <v>45738</v>
      </c>
      <c r="BC39" s="172">
        <f>+$D$13+21</f>
        <v>45738</v>
      </c>
      <c r="BD39" s="173" t="str">
        <f t="shared" si="32"/>
        <v/>
      </c>
      <c r="BE39" s="173" t="str">
        <f>+IF(OR(BF39=S.CAL!$BJ$3,BF39=S.CAL!$BJ$4),BD39,"")</f>
        <v/>
      </c>
      <c r="BF39" s="351">
        <f>IF($DY$5=S.CAL!$CU$2,Mars!AR41,IF($DY$5=S.CAL!$CU$3,VLOOKUP(BC39,planning_fp,7,FALSE),""))</f>
        <v>0</v>
      </c>
      <c r="BG39" s="363" t="str">
        <f>Mars!BL41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45738</v>
      </c>
      <c r="CF39" s="172">
        <f>+$D$13+21</f>
        <v>45738</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45738</v>
      </c>
      <c r="EM39" s="16" t="str">
        <f t="shared" si="29"/>
        <v>Fiche infoA645738</v>
      </c>
      <c r="EN39" s="16">
        <f t="shared" si="20"/>
        <v>0</v>
      </c>
      <c r="EQ39" s="16" t="str">
        <f>Mars!FS41</f>
        <v/>
      </c>
    </row>
    <row r="40" spans="1:147" ht="18" customHeight="1" x14ac:dyDescent="0.2">
      <c r="A40" s="24" t="str">
        <f>+Mars!BJ42</f>
        <v>Fiche infoA7</v>
      </c>
      <c r="B40" s="107">
        <f t="shared" si="30"/>
        <v>45739</v>
      </c>
      <c r="C40" s="172">
        <f>+$D$13+22</f>
        <v>45739</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Mars!BC42</f>
        <v>0</v>
      </c>
      <c r="J40" s="34">
        <f>Mars!BE42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infoA7</v>
      </c>
      <c r="BB40" s="107">
        <f t="shared" si="31"/>
        <v>45739</v>
      </c>
      <c r="BC40" s="172">
        <f>+$D$13+22</f>
        <v>45739</v>
      </c>
      <c r="BD40" s="173" t="str">
        <f t="shared" si="32"/>
        <v/>
      </c>
      <c r="BE40" s="173" t="str">
        <f>+IF(OR(BF40=S.CAL!$BJ$3,BF40=S.CAL!$BJ$4),BD40,"")</f>
        <v/>
      </c>
      <c r="BF40" s="351">
        <f>IF($DY$5=S.CAL!$CU$2,Mars!AR42,IF($DY$5=S.CAL!$CU$3,VLOOKUP(BC40,planning_fp,7,FALSE),""))</f>
        <v>0</v>
      </c>
      <c r="BG40" s="363" t="str">
        <f>Mars!BL42</f>
        <v>A</v>
      </c>
      <c r="BH40" s="373"/>
      <c r="BI40" s="373"/>
      <c r="BJ40" s="373"/>
      <c r="BK40" s="373"/>
      <c r="BL40" s="35"/>
      <c r="BN40" s="19"/>
      <c r="BO40" s="39"/>
      <c r="BP40" s="196"/>
      <c r="BV40" s="373"/>
      <c r="BW40" s="373"/>
      <c r="BX40" s="390"/>
      <c r="BY40" s="373"/>
      <c r="BZ40" s="373"/>
      <c r="CA40" s="373"/>
      <c r="CB40" s="373"/>
      <c r="CD40" s="346"/>
      <c r="CE40" s="107">
        <f t="shared" si="33"/>
        <v>45739</v>
      </c>
      <c r="CF40" s="172">
        <f>+$D$13+22</f>
        <v>45739</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45739</v>
      </c>
      <c r="EM40" s="16" t="str">
        <f t="shared" si="29"/>
        <v>Fiche infoA745739</v>
      </c>
      <c r="EN40" s="16">
        <f t="shared" si="20"/>
        <v>0</v>
      </c>
      <c r="EQ40" s="16" t="str">
        <f>Mars!FS42</f>
        <v/>
      </c>
    </row>
    <row r="41" spans="1:147" ht="18" customHeight="1" x14ac:dyDescent="0.2">
      <c r="A41" s="24" t="str">
        <f>+Mars!BJ43</f>
        <v>Fiche infoA1</v>
      </c>
      <c r="B41" s="107">
        <f t="shared" si="30"/>
        <v>45740</v>
      </c>
      <c r="C41" s="172">
        <f>+$D$13+23</f>
        <v>45740</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Mars!BC43</f>
        <v>0</v>
      </c>
      <c r="J41" s="34">
        <f>Mars!BE43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infoA1</v>
      </c>
      <c r="BB41" s="107">
        <f t="shared" si="31"/>
        <v>45740</v>
      </c>
      <c r="BC41" s="172">
        <f>+$D$13+23</f>
        <v>45740</v>
      </c>
      <c r="BD41" s="173" t="str">
        <f t="shared" si="32"/>
        <v/>
      </c>
      <c r="BE41" s="173" t="str">
        <f>+IF(OR(BF41=S.CAL!$BJ$3,BF41=S.CAL!$BJ$4),BD41,"")</f>
        <v/>
      </c>
      <c r="BF41" s="351">
        <f>IF($DY$5=S.CAL!$CU$2,Mars!AR43,IF($DY$5=S.CAL!$CU$3,VLOOKUP(BC41,planning_fp,7,FALSE),""))</f>
        <v>0</v>
      </c>
      <c r="BG41" s="363" t="str">
        <f>Mars!BL43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45740</v>
      </c>
      <c r="CF41" s="172">
        <f>+$D$13+23</f>
        <v>45740</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45740</v>
      </c>
      <c r="EM41" s="16" t="str">
        <f t="shared" si="29"/>
        <v>Fiche infoA145740</v>
      </c>
      <c r="EN41" s="16">
        <f t="shared" si="20"/>
        <v>0</v>
      </c>
      <c r="EQ41" s="16" t="str">
        <f>Mars!FS43</f>
        <v/>
      </c>
    </row>
    <row r="42" spans="1:147" ht="18" customHeight="1" x14ac:dyDescent="0.2">
      <c r="A42" s="24" t="str">
        <f>+Mars!BJ44</f>
        <v>Fiche infoA2</v>
      </c>
      <c r="B42" s="107">
        <f t="shared" si="30"/>
        <v>45741</v>
      </c>
      <c r="C42" s="172">
        <f>+$D$13+24</f>
        <v>45741</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Mars!BC44</f>
        <v>0</v>
      </c>
      <c r="J42" s="34">
        <f>Mars!BE44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infoA2</v>
      </c>
      <c r="BB42" s="107">
        <f t="shared" si="31"/>
        <v>45741</v>
      </c>
      <c r="BC42" s="172">
        <f>+$D$13+24</f>
        <v>45741</v>
      </c>
      <c r="BD42" s="173" t="str">
        <f t="shared" si="32"/>
        <v/>
      </c>
      <c r="BE42" s="173" t="str">
        <f>+IF(OR(BF42=S.CAL!$BJ$3,BF42=S.CAL!$BJ$4),BD42,"")</f>
        <v/>
      </c>
      <c r="BF42" s="351">
        <f>IF($DY$5=S.CAL!$CU$2,Mars!AR44,IF($DY$5=S.CAL!$CU$3,VLOOKUP(BC42,planning_fp,7,FALSE),""))</f>
        <v>0</v>
      </c>
      <c r="BG42" s="363" t="str">
        <f>Mars!BL44</f>
        <v>A</v>
      </c>
      <c r="BH42" s="374"/>
      <c r="BI42" s="376"/>
      <c r="BJ42" s="373"/>
      <c r="BK42" s="373"/>
      <c r="BL42" s="35"/>
      <c r="BV42" s="373"/>
      <c r="BW42" s="373"/>
      <c r="BX42" s="373"/>
      <c r="BY42" s="373"/>
      <c r="BZ42" s="373"/>
      <c r="CA42" s="373"/>
      <c r="CB42" s="373"/>
      <c r="CD42" s="346"/>
      <c r="CE42" s="107">
        <f t="shared" si="33"/>
        <v>45741</v>
      </c>
      <c r="CF42" s="172">
        <f>+$D$13+24</f>
        <v>45741</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45741</v>
      </c>
      <c r="EM42" s="16" t="str">
        <f t="shared" si="29"/>
        <v>Fiche infoA245741</v>
      </c>
      <c r="EN42" s="16">
        <f t="shared" si="20"/>
        <v>0</v>
      </c>
      <c r="EQ42" s="16" t="str">
        <f>Mars!FS44</f>
        <v/>
      </c>
    </row>
    <row r="43" spans="1:147" ht="18" customHeight="1" x14ac:dyDescent="0.2">
      <c r="A43" s="24" t="str">
        <f>+Mars!BJ45</f>
        <v>Fiche infoA3</v>
      </c>
      <c r="B43" s="107">
        <f t="shared" si="30"/>
        <v>45742</v>
      </c>
      <c r="C43" s="172">
        <f>+$D$13+25</f>
        <v>45742</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Mars!BC45</f>
        <v>0</v>
      </c>
      <c r="J43" s="34">
        <f>Mars!BE45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infoA3</v>
      </c>
      <c r="BB43" s="107">
        <f t="shared" si="31"/>
        <v>45742</v>
      </c>
      <c r="BC43" s="172">
        <f>+$D$13+25</f>
        <v>45742</v>
      </c>
      <c r="BD43" s="173" t="str">
        <f t="shared" si="32"/>
        <v/>
      </c>
      <c r="BE43" s="173" t="str">
        <f>+IF(OR(BF43=S.CAL!$BJ$3,BF43=S.CAL!$BJ$4),BD43,"")</f>
        <v/>
      </c>
      <c r="BF43" s="351">
        <f>IF($DY$5=S.CAL!$CU$2,Mars!AR45,IF($DY$5=S.CAL!$CU$3,VLOOKUP(BC43,planning_fp,7,FALSE),""))</f>
        <v>0</v>
      </c>
      <c r="BG43" s="363" t="str">
        <f>Mars!BL45</f>
        <v>A</v>
      </c>
      <c r="BH43" s="24"/>
      <c r="BI43" s="24" t="s">
        <v>708</v>
      </c>
      <c r="BJ43" s="24"/>
      <c r="BK43" s="373"/>
      <c r="BL43" s="35"/>
      <c r="BV43" s="373"/>
      <c r="BW43" s="373"/>
      <c r="BX43" s="373"/>
      <c r="BY43" s="373"/>
      <c r="BZ43" s="373"/>
      <c r="CA43" s="373"/>
      <c r="CB43" s="373"/>
      <c r="CD43" s="346"/>
      <c r="CE43" s="107">
        <f t="shared" si="33"/>
        <v>45742</v>
      </c>
      <c r="CF43" s="172">
        <f>+$D$13+25</f>
        <v>45742</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45742</v>
      </c>
      <c r="EM43" s="16" t="str">
        <f t="shared" si="29"/>
        <v>Fiche infoA345742</v>
      </c>
      <c r="EN43" s="16">
        <f t="shared" si="20"/>
        <v>0</v>
      </c>
      <c r="EQ43" s="16" t="str">
        <f>Mars!FS45</f>
        <v/>
      </c>
    </row>
    <row r="44" spans="1:147" ht="18" customHeight="1" x14ac:dyDescent="0.25">
      <c r="A44" s="24" t="str">
        <f>+Mars!BJ46</f>
        <v>Fiche infoA4</v>
      </c>
      <c r="B44" s="107">
        <f t="shared" si="30"/>
        <v>45743</v>
      </c>
      <c r="C44" s="172">
        <f>+$D$13+26</f>
        <v>45743</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Mars!BC46</f>
        <v>0</v>
      </c>
      <c r="J44" s="34">
        <f>Mars!BE46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infoA4</v>
      </c>
      <c r="BB44" s="107">
        <f t="shared" si="31"/>
        <v>45743</v>
      </c>
      <c r="BC44" s="172">
        <f>+$D$13+26</f>
        <v>45743</v>
      </c>
      <c r="BD44" s="173" t="str">
        <f t="shared" si="32"/>
        <v/>
      </c>
      <c r="BE44" s="173" t="str">
        <f>+IF(OR(BF44=S.CAL!$BJ$3,BF44=S.CAL!$BJ$4),BD44,"")</f>
        <v/>
      </c>
      <c r="BF44" s="351">
        <f>IF($DY$5=S.CAL!$CU$2,Mars!AR46,IF($DY$5=S.CAL!$CU$3,VLOOKUP(BC44,planning_fp,7,FALSE),""))</f>
        <v>0</v>
      </c>
      <c r="BG44" s="363" t="str">
        <f>Mars!BL46</f>
        <v>A</v>
      </c>
      <c r="BH44" s="24" t="s">
        <v>800</v>
      </c>
      <c r="BI44" s="24"/>
      <c r="BJ44" s="24"/>
      <c r="BK44" s="373"/>
      <c r="BL44" s="35"/>
      <c r="BV44" s="373"/>
      <c r="BW44" s="373"/>
      <c r="BX44" s="373"/>
      <c r="BY44" s="373"/>
      <c r="BZ44" s="373"/>
      <c r="CA44" s="373"/>
      <c r="CB44" s="373"/>
      <c r="CD44" s="346"/>
      <c r="CE44" s="107">
        <f t="shared" si="33"/>
        <v>45743</v>
      </c>
      <c r="CF44" s="172">
        <f>+$D$13+26</f>
        <v>45743</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45743</v>
      </c>
      <c r="EM44" s="16" t="str">
        <f t="shared" si="29"/>
        <v>Fiche infoA445743</v>
      </c>
      <c r="EN44" s="16">
        <f t="shared" si="20"/>
        <v>0</v>
      </c>
      <c r="EQ44" s="16" t="str">
        <f>Mars!FS46</f>
        <v/>
      </c>
    </row>
    <row r="45" spans="1:147" ht="18" customHeight="1" x14ac:dyDescent="0.2">
      <c r="A45" s="24" t="str">
        <f>+Mars!BJ47</f>
        <v>Fiche infoA5</v>
      </c>
      <c r="B45" s="107">
        <f t="shared" si="30"/>
        <v>45744</v>
      </c>
      <c r="C45" s="172">
        <f>IF(C$18+27&lt;DATE(YEAR(O$13),MONTH(O$13),DAY(O$13)),C$18+27,"")</f>
        <v>45744</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Mars!BC47</f>
        <v>0</v>
      </c>
      <c r="J45" s="34">
        <f>Mars!BE47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infoA5</v>
      </c>
      <c r="BB45" s="107">
        <f t="shared" si="31"/>
        <v>45744</v>
      </c>
      <c r="BC45" s="172">
        <f>IF(BC$18+27&lt;DATE(YEAR(BH$13),MONTH(BH$13),DAY(BH$13)),BC$18+27,"")</f>
        <v>45744</v>
      </c>
      <c r="BD45" s="173" t="str">
        <f t="shared" si="32"/>
        <v/>
      </c>
      <c r="BE45" s="173" t="str">
        <f>+IF(OR(BF45=S.CAL!$BJ$3,BF45=S.CAL!$BJ$4),BD45,"")</f>
        <v/>
      </c>
      <c r="BF45" s="351">
        <f>IF($DY$5=S.CAL!$CU$2,Mars!AR47,IF($DY$5=S.CAL!$CU$3,VLOOKUP(BC45,planning_fp,7,FALSE),""))</f>
        <v>0</v>
      </c>
      <c r="BG45" s="363" t="str">
        <f>Mars!BL47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45744</v>
      </c>
      <c r="CF45" s="172">
        <f>IF(CF$18+27&lt;DATE(YEAR(CQ$13),MONTH(CQ$13),DAY(CQ$13)),CF$18+27,"")</f>
        <v>45744</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45744</v>
      </c>
      <c r="EM45" s="16" t="str">
        <f t="shared" si="29"/>
        <v>Fiche infoA545744</v>
      </c>
      <c r="EN45" s="16">
        <f t="shared" si="20"/>
        <v>0</v>
      </c>
      <c r="EQ45" s="16" t="str">
        <f>Mars!FS47</f>
        <v/>
      </c>
    </row>
    <row r="46" spans="1:147" ht="18" customHeight="1" x14ac:dyDescent="0.2">
      <c r="A46" s="24" t="str">
        <f>+Mars!BJ48</f>
        <v>Fiche infoA6</v>
      </c>
      <c r="B46" s="107">
        <f t="shared" si="30"/>
        <v>45745</v>
      </c>
      <c r="C46" s="172">
        <f>IF(C$18+28&lt;DATE(YEAR(O$13),MONTH(O$13),DAY(O$13)),C$18+28,"")</f>
        <v>45745</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Mars!BC48</f>
        <v>0</v>
      </c>
      <c r="J46" s="34">
        <f>Mars!BE48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infoA6</v>
      </c>
      <c r="BB46" s="107">
        <f t="shared" si="31"/>
        <v>45745</v>
      </c>
      <c r="BC46" s="172">
        <f>IF(BC$18+28&lt;DATE(YEAR(BH$13),MONTH(BH$13),DAY(BH$13)),BC$18+28,"")</f>
        <v>45745</v>
      </c>
      <c r="BD46" s="173" t="str">
        <f t="shared" si="32"/>
        <v/>
      </c>
      <c r="BE46" s="173" t="str">
        <f>+IF(OR(BF46=S.CAL!$BJ$3,BF46=S.CAL!$BJ$4),BD46,"")</f>
        <v/>
      </c>
      <c r="BF46" s="351">
        <f>IF($DY$5=S.CAL!$CU$2,Mars!AR48,IF($DY$5=S.CAL!$CU$3,VLOOKUP(BC46,planning_fp,7,FALSE),""))</f>
        <v>0</v>
      </c>
      <c r="BG46" s="363" t="str">
        <f>Mars!BL48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45745</v>
      </c>
      <c r="CF46" s="172">
        <f>IF(CF$18+28&lt;DATE(YEAR(CQ$13),MONTH(CQ$13),DAY(CQ$13)),CF$18+28,"")</f>
        <v>45745</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45745</v>
      </c>
      <c r="EM46" s="16" t="str">
        <f t="shared" si="29"/>
        <v>Fiche infoA645745</v>
      </c>
      <c r="EN46" s="16">
        <f t="shared" si="20"/>
        <v>0</v>
      </c>
      <c r="EQ46" s="16" t="str">
        <f>Mars!FS48</f>
        <v/>
      </c>
    </row>
    <row r="47" spans="1:147" ht="18" customHeight="1" x14ac:dyDescent="0.2">
      <c r="A47" s="24" t="str">
        <f>+Mars!BJ49</f>
        <v>Fiche infoA7</v>
      </c>
      <c r="B47" s="107">
        <f t="shared" si="30"/>
        <v>45746</v>
      </c>
      <c r="C47" s="172">
        <f>IF(C$18+29&lt;DATE(YEAR(O$13),MONTH(O$13),DAY(O$13)),C$18+29,"")</f>
        <v>45746</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Mars!BC49</f>
        <v>0</v>
      </c>
      <c r="J47" s="34">
        <f>Mars!BE49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infoA7</v>
      </c>
      <c r="BB47" s="107">
        <f t="shared" si="31"/>
        <v>45746</v>
      </c>
      <c r="BC47" s="172">
        <f>IF(BC$18+29&lt;DATE(YEAR(BH$13),MONTH(BH$13),DAY(BH$13)),BC$18+29,"")</f>
        <v>45746</v>
      </c>
      <c r="BD47" s="173" t="str">
        <f t="shared" si="32"/>
        <v/>
      </c>
      <c r="BE47" s="173" t="str">
        <f>+IF(OR(BF47=S.CAL!$BJ$3,BF47=S.CAL!$BJ$4),BD47,"")</f>
        <v/>
      </c>
      <c r="BF47" s="351">
        <f>IF($DY$5=S.CAL!$CU$2,Mars!AR49,IF($DY$5=S.CAL!$CU$3,VLOOKUP(BC47,planning_fp,7,FALSE),""))</f>
        <v>0</v>
      </c>
      <c r="BG47" s="363" t="str">
        <f>Mars!BL49</f>
        <v>A</v>
      </c>
      <c r="BH47" s="373"/>
      <c r="BI47" s="373"/>
      <c r="BJ47" s="373"/>
      <c r="BK47" s="373"/>
      <c r="BL47" s="35"/>
      <c r="BV47" s="373"/>
      <c r="BW47" s="373"/>
      <c r="BX47" s="373"/>
      <c r="BY47" s="373"/>
      <c r="BZ47" s="373"/>
      <c r="CA47" s="373"/>
      <c r="CB47" s="373"/>
      <c r="CD47" s="346"/>
      <c r="CE47" s="107">
        <f t="shared" si="33"/>
        <v>45746</v>
      </c>
      <c r="CF47" s="172">
        <f>IF(CF$18+29&lt;DATE(YEAR(CQ$13),MONTH(CQ$13),DAY(CQ$13)),CF$18+29,"")</f>
        <v>45746</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45746</v>
      </c>
      <c r="EM47" s="16" t="str">
        <f t="shared" si="29"/>
        <v>Fiche infoA745746</v>
      </c>
      <c r="EN47" s="16">
        <f t="shared" si="20"/>
        <v>0</v>
      </c>
      <c r="EQ47" s="16" t="str">
        <f>Mars!FS49</f>
        <v/>
      </c>
    </row>
    <row r="48" spans="1:147" ht="18" customHeight="1" thickBot="1" x14ac:dyDescent="0.25">
      <c r="A48" s="24" t="str">
        <f>+Mars!BJ50</f>
        <v>Fiche infoA1</v>
      </c>
      <c r="B48" s="110">
        <f t="shared" si="30"/>
        <v>45747</v>
      </c>
      <c r="C48" s="192">
        <f>IF(C$18+30&lt;DATE(YEAR(O$13),MONTH(O$13),DAY(O$13)),C$18+30,"")</f>
        <v>45747</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Mars!BC50</f>
        <v>0</v>
      </c>
      <c r="J48" s="34">
        <f>Mars!BE50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9</v>
      </c>
      <c r="X48" s="2482"/>
      <c r="Y48" s="2482"/>
      <c r="Z48" s="1345" t="str">
        <f>+IF(Z34="","",Z34)</f>
        <v/>
      </c>
      <c r="AA48" s="1338">
        <f>+IF(Z48="",IF(AND(AD48&gt;0,AC48&gt;0),AD48+AC48,IF(AE48&gt;0,0,AC48)),Z48)</f>
        <v>0</v>
      </c>
      <c r="AB48" s="1338">
        <f>IF(AA48&gt;45,AA48-45,0)</f>
        <v>0</v>
      </c>
      <c r="AC48" s="1344">
        <f>+SUMIF(Mars!$BK$20:$BK$50,Mars!AT4,$D$18:$D$48)-SUMIF(Mars!$BK$20:$BK$50,Mars!AT4,$E$18:$E$48)</f>
        <v>0</v>
      </c>
      <c r="AD48" s="1344">
        <f>+SUMIF(Février!$BK$20:$BK$50,Mars!AT4,'Retenue Fev'!$D$18:$D$48)-SUMIF(Février!$BK$20:$BK$50,Mars!AT4,'Retenue Fev'!$E$18:$E$48)</f>
        <v>0</v>
      </c>
      <c r="AE48" s="1344">
        <f>+SUMIF(Avril!$BK$20:$BK$50,Mars!AT4,'Retenue Avril'!$D$18:$D$48)-SUMIF(Avril!$BK$20:$BK$50,Mars!AT4,'Retenue Avril'!$E$18:$E$48)</f>
        <v>0</v>
      </c>
      <c r="AF48" s="1338">
        <f>+AC48-AB48</f>
        <v>0</v>
      </c>
      <c r="AK48" s="1211"/>
      <c r="AL48" s="1224"/>
      <c r="AO48" s="1224">
        <f>+AN39*AL26</f>
        <v>0</v>
      </c>
      <c r="AP48" s="1224">
        <f>+AO48*(1-AX21)</f>
        <v>0</v>
      </c>
      <c r="AQ48" s="1224">
        <f>+AO48-AP48</f>
        <v>0</v>
      </c>
      <c r="BA48" s="349" t="str">
        <f t="shared" si="16"/>
        <v>Fiche infoA1</v>
      </c>
      <c r="BB48" s="110">
        <f t="shared" si="31"/>
        <v>45747</v>
      </c>
      <c r="BC48" s="192">
        <f>IF(BC$18+30&lt;DATE(YEAR(BH$13),MONTH(BH$13),DAY(BH$13)),BC$18+30,"")</f>
        <v>45747</v>
      </c>
      <c r="BD48" s="193" t="str">
        <f t="shared" si="32"/>
        <v/>
      </c>
      <c r="BE48" s="193" t="str">
        <f>+IF(OR(BF48=S.CAL!$BJ$3,BF48=S.CAL!$BJ$4),BD48,"")</f>
        <v/>
      </c>
      <c r="BF48" s="352">
        <f>IF($DY$5=S.CAL!$CU$2,Mars!AR50,IF($DY$5=S.CAL!$CU$3,VLOOKUP(BC48,planning_fp,7,FALSE),""))</f>
        <v>0</v>
      </c>
      <c r="BG48" s="364" t="str">
        <f>Mars!BL50</f>
        <v>A</v>
      </c>
      <c r="BH48" s="374"/>
      <c r="BI48" s="373"/>
      <c r="BJ48" s="373"/>
      <c r="BK48" s="373"/>
      <c r="BL48" s="35"/>
      <c r="BQ48" s="16" t="s">
        <v>846</v>
      </c>
      <c r="BV48" s="373"/>
      <c r="BW48" s="373"/>
      <c r="BX48" s="373" t="s">
        <v>846</v>
      </c>
      <c r="BZ48" s="373"/>
      <c r="CA48" s="373"/>
      <c r="CB48" s="373"/>
      <c r="CD48" s="346"/>
      <c r="CE48" s="110">
        <f t="shared" si="33"/>
        <v>45747</v>
      </c>
      <c r="CF48" s="192">
        <f>IF(CF$18+30&lt;DATE(YEAR(CQ$13),MONTH(CQ$13),DAY(CQ$13)),CF$18+30,"")</f>
        <v>45747</v>
      </c>
      <c r="CG48" s="193">
        <f t="shared" si="22"/>
        <v>0</v>
      </c>
      <c r="CH48" s="34"/>
      <c r="CI48" s="2491" t="str">
        <f t="shared" ref="CI48:CI53" si="56">W48</f>
        <v>Semaine numéro : 9</v>
      </c>
      <c r="CJ48" s="2492"/>
      <c r="CK48" s="2493"/>
      <c r="CL48" s="893" t="str">
        <f>+IF(CL34="","",CL34)</f>
        <v/>
      </c>
      <c r="CM48" s="674">
        <f>+IF(CL48="",IF(AND(CP48&gt;0,CO48&gt;0),CP48+CO48,IF(CQ48&gt;0,0,CO48)),CL48)</f>
        <v>0</v>
      </c>
      <c r="CN48" s="673">
        <f>IF(CM48&gt;45,CM48-45,0)</f>
        <v>0</v>
      </c>
      <c r="CO48" s="198">
        <f>+SUMIF(Mars!$BK$20:$BK$50,Mars!AT4,$CG$18:$CG$48)</f>
        <v>0</v>
      </c>
      <c r="CP48" s="198">
        <f>+SUMIF(Février!$BK$20:$BK$50,Mars!AT4,'Retenue Fev'!$CG$18:$CG$48)</f>
        <v>0</v>
      </c>
      <c r="CQ48" s="198">
        <f>+SUMIF(Avril!$BK$20:$BK$50,Mars!AT4,'Retenue Avril'!$CG$18:$CG$48)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45747</v>
      </c>
      <c r="EM48" s="16" t="str">
        <f t="shared" si="29"/>
        <v>Fiche infoA145747</v>
      </c>
      <c r="EN48" s="16">
        <f t="shared" si="20"/>
        <v>0</v>
      </c>
      <c r="EQ48" s="16" t="str">
        <f>Mars!FS50</f>
        <v/>
      </c>
    </row>
    <row r="49" spans="2:139" ht="18" customHeight="1" thickBot="1" x14ac:dyDescent="0.25">
      <c r="N49" s="24"/>
      <c r="O49" s="24"/>
      <c r="P49" s="24"/>
      <c r="Q49" s="24"/>
      <c r="R49" s="24"/>
      <c r="S49" s="1347"/>
      <c r="U49" s="1323"/>
      <c r="V49" s="1323"/>
      <c r="W49" s="2482" t="str">
        <f t="shared" si="55"/>
        <v>Semaine numéro : 10</v>
      </c>
      <c r="X49" s="2482"/>
      <c r="Y49" s="2482"/>
      <c r="Z49" s="1345" t="str">
        <f t="shared" ref="Z49:Z53" si="57">+IF(Z35="","",Z35)</f>
        <v/>
      </c>
      <c r="AA49" s="1338">
        <f t="shared" ref="AA49:AA53" si="58">+IF(Z49="",IF(AND(AD49&gt;0,AC49&gt;0),AD49+AC49,IF(AE49&gt;0,0,AC49)),Z49)</f>
        <v>0</v>
      </c>
      <c r="AB49" s="1338">
        <f t="shared" ref="AB49:AB53" si="59">IF(AA49&gt;45,AA49-45,0)</f>
        <v>0</v>
      </c>
      <c r="AC49" s="1344">
        <f>+SUMIF(Mars!$BK$20:$BK$50,Mars!AT5,$D$18:$D$48)-SUMIF(Mars!$BK$20:$BK$50,Mars!AT5,$E$18:$E$48)</f>
        <v>0</v>
      </c>
      <c r="AD49" s="1344">
        <f>+SUMIF(Février!$BK$20:$BK$50,Mars!AT5,'Retenue Fev'!$D$18:$D$48)-SUMIF(Février!$BK$20:$BK$50,Mars!AT5,'Retenue Fev'!$E$18:$E$48)</f>
        <v>0</v>
      </c>
      <c r="AE49" s="1344">
        <f>+SUMIF(Avril!$BK$20:$BK$50,Mars!AT5,'Retenue Avril'!$D$18:$D$48)-SUMIF(Avril!$BK$20:$BK$50,Mars!AT5,'Retenue Avril'!$E$18:$E$48)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10</v>
      </c>
      <c r="CJ49" s="2492"/>
      <c r="CK49" s="2493"/>
      <c r="CL49" s="893" t="str">
        <f t="shared" ref="CL49:CL53" si="61">+IF(CL35="","",CL35)</f>
        <v/>
      </c>
      <c r="CM49" s="674">
        <f t="shared" ref="CM49:CM53" si="62">+IF(CL49="",IF(AND(CP49&gt;0,CO49&gt;0),CP49+CO49,IF(CQ49&gt;0,0,CO49)),CL49)</f>
        <v>0</v>
      </c>
      <c r="CN49" s="673">
        <f t="shared" ref="CN49:CN53" si="63">IF(CM49&gt;45,CM49-45,0)</f>
        <v>0</v>
      </c>
      <c r="CO49" s="198">
        <f>+SUMIF(Mars!$BK$20:$BK$50,Mars!AT5,$CG$18:$CG$48)</f>
        <v>0</v>
      </c>
      <c r="CP49" s="198">
        <f>+SUMIF(Février!$BK$20:$BK$50,Mars!AT5,'Retenue Fev'!$CG$18:$CG$48)</f>
        <v>0</v>
      </c>
      <c r="CQ49" s="198">
        <f>+SUMIF(Avril!$BK$20:$BK$50,Mars!AT5,'Retenue Avril'!$CG$18:$CG$48)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11</v>
      </c>
      <c r="X50" s="2482"/>
      <c r="Y50" s="2482"/>
      <c r="Z50" s="1345" t="str">
        <f t="shared" si="57"/>
        <v/>
      </c>
      <c r="AA50" s="1338">
        <f t="shared" si="58"/>
        <v>0</v>
      </c>
      <c r="AB50" s="1338">
        <f t="shared" si="59"/>
        <v>0</v>
      </c>
      <c r="AC50" s="1344">
        <f>+SUMIF(Mars!$BK$20:$BK$50,Mars!AT6,$D$18:$D$48)-SUMIF(Mars!$BK$20:$BK$50,Mars!AT6,$E$18:$E$48)</f>
        <v>0</v>
      </c>
      <c r="AD50" s="1344">
        <f>+SUMIF(Février!$BK$20:$BK$50,Mars!AT6,'Retenue Fev'!$D$18:$D$48)-SUMIF(Février!$BK$20:$BK$50,Mars!AT6,'Retenue Fev'!$E$18:$E$48)</f>
        <v>0</v>
      </c>
      <c r="AE50" s="1344">
        <f>+SUMIF(Avril!$BK$20:$BK$50,Mars!AT6,'Retenue Avril'!$D$18:$D$48)-SUMIF(Avril!$BK$20:$BK$50,Mars!AT6,'Retenue Avril'!$E$18:$E$48)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11</v>
      </c>
      <c r="CJ50" s="2492"/>
      <c r="CK50" s="2493"/>
      <c r="CL50" s="893" t="str">
        <f t="shared" si="61"/>
        <v/>
      </c>
      <c r="CM50" s="674">
        <f t="shared" si="62"/>
        <v>0</v>
      </c>
      <c r="CN50" s="673">
        <f t="shared" si="63"/>
        <v>0</v>
      </c>
      <c r="CO50" s="198">
        <f>+SUMIF(Mars!$BK$20:$BK$50,Mars!AT6,$CG$18:$CG$48)</f>
        <v>0</v>
      </c>
      <c r="CP50" s="198">
        <f>+SUMIF(Février!$BK$20:$BK$50,Mars!AT6,'Retenue Fev'!$CG$18:$CG$48)</f>
        <v>0</v>
      </c>
      <c r="CQ50" s="198">
        <f>+SUMIF(Avril!$BK$20:$BK$50,Mars!AT6,'Retenue Avril'!$CG$18:$CG$48)</f>
        <v>0</v>
      </c>
      <c r="CR50" s="674">
        <f t="shared" si="64"/>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5"/>
        <v>Semaine numéro : 12</v>
      </c>
      <c r="X51" s="2482"/>
      <c r="Y51" s="2482"/>
      <c r="Z51" s="1345" t="str">
        <f t="shared" si="57"/>
        <v/>
      </c>
      <c r="AA51" s="1338">
        <f t="shared" si="58"/>
        <v>0</v>
      </c>
      <c r="AB51" s="1338">
        <f t="shared" si="59"/>
        <v>0</v>
      </c>
      <c r="AC51" s="1344">
        <f>+SUMIF(Mars!$BK$20:$BK$50,Mars!AT7,$D$18:$D$48)-SUMIF(Mars!$BK$20:$BK$50,Mars!AT7,$E$18:$E$48)</f>
        <v>0</v>
      </c>
      <c r="AD51" s="1344">
        <f>+SUMIF(Février!$BK$20:$BK$50,Mars!AT7,'Retenue Fev'!$D$18:$D$48)-SUMIF(Février!$BK$20:$BK$50,Mars!AT7,'Retenue Fev'!$E$18:$E$48)</f>
        <v>0</v>
      </c>
      <c r="AE51" s="1344">
        <f>+SUMIF(Avril!$BK$20:$BK$50,Mars!AT7,'Retenue Avril'!$D$18:$D$48)-SUMIF(Avril!$BK$20:$BK$50,Mars!AT7,'Retenue Avril'!$E$18:$E$48)</f>
        <v>0</v>
      </c>
      <c r="AF51" s="1338">
        <f t="shared" si="60"/>
        <v>0</v>
      </c>
      <c r="AG51" s="1349"/>
      <c r="AJ51" s="1326"/>
      <c r="AK51" s="1327"/>
      <c r="AL51" s="1329"/>
      <c r="BA51" s="346"/>
      <c r="BD51" s="369" t="s">
        <v>758</v>
      </c>
      <c r="BE51" s="194">
        <f>+SUMIFS(BE18:BE48,BF18:BF48,S.CAL!BJ3)</f>
        <v>0</v>
      </c>
      <c r="BF51" s="370">
        <f>IF(Mars!AZ90="",+COUNTIF(BF18:BF48,S.CAL!BJ3),Mars!AZ90)</f>
        <v>0</v>
      </c>
      <c r="BL51" s="35"/>
      <c r="CD51" s="346"/>
      <c r="CI51" s="2491" t="str">
        <f t="shared" si="56"/>
        <v>Semaine numéro : 12</v>
      </c>
      <c r="CJ51" s="2492"/>
      <c r="CK51" s="2493"/>
      <c r="CL51" s="893" t="str">
        <f t="shared" si="61"/>
        <v/>
      </c>
      <c r="CM51" s="674">
        <f t="shared" si="62"/>
        <v>0</v>
      </c>
      <c r="CN51" s="673">
        <f t="shared" si="63"/>
        <v>0</v>
      </c>
      <c r="CO51" s="198">
        <f>+SUMIF(Mars!$BK$20:$BK$50,Mars!AT7,$CG$18:$CG$48)</f>
        <v>0</v>
      </c>
      <c r="CP51" s="198">
        <f>+SUMIF(Février!$BK$20:$BK$50,Mars!AT7,'Retenue Fev'!$CG$18:$CG$48)</f>
        <v>0</v>
      </c>
      <c r="CQ51" s="198">
        <f>+SUMIF(Avril!$BK$20:$BK$50,Mars!AT7,'Retenue Avril'!$CG$18:$CG$48)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13</v>
      </c>
      <c r="X52" s="2482"/>
      <c r="Y52" s="2482"/>
      <c r="Z52" s="1345" t="str">
        <f t="shared" si="57"/>
        <v/>
      </c>
      <c r="AA52" s="1338">
        <f t="shared" si="58"/>
        <v>0</v>
      </c>
      <c r="AB52" s="1338">
        <f t="shared" si="59"/>
        <v>0</v>
      </c>
      <c r="AC52" s="1344">
        <f>+SUMIF(Mars!$BK$20:$BK$50,Mars!AT8,$D$18:$D$48)-SUMIF(Mars!$BK$20:$BK$50,Mars!AT8,$E$18:$E$48)</f>
        <v>0</v>
      </c>
      <c r="AD52" s="1344">
        <f>+SUMIF(Février!$BK$20:$BK$50,Mars!AT8,'Retenue Fev'!$D$18:$D$48)-SUMIF(Février!$BK$20:$BK$50,Mars!AT8,'Retenue Fev'!$E$18:$E$48)</f>
        <v>0</v>
      </c>
      <c r="AE52" s="1344">
        <f>+SUMIF(Avril!$BK$20:$BK$50,Mars!AT8,'Retenue Avril'!$D$18:$D$48)-SUMIF(Avril!$BK$20:$BK$50,Mars!AT8,'Retenue Avril'!$E$18:$E$48)</f>
        <v>0</v>
      </c>
      <c r="AF52" s="1338">
        <f t="shared" si="60"/>
        <v>0</v>
      </c>
      <c r="AO52" s="1211" t="s">
        <v>1126</v>
      </c>
      <c r="AP52" s="1348">
        <f>IF(AL22,+ROUND((AQ48+SUM(AQ39:AQ46))*AL34/AL22*Q11,2),0)</f>
        <v>0</v>
      </c>
      <c r="BA52" s="346"/>
      <c r="BD52" s="1363" t="s">
        <v>708</v>
      </c>
      <c r="BE52" s="1364">
        <f>+SUMIFS(BE18:BE48,BF18:BF48,S.CAL!BJ4)</f>
        <v>0</v>
      </c>
      <c r="BF52" s="1365">
        <f>IF(Mars!BA90="",+COUNTIF(BF18:BF48,S.CAL!BJ4),Mars!BA90)</f>
        <v>0</v>
      </c>
      <c r="BL52" s="35"/>
      <c r="BU52" s="16" t="s">
        <v>788</v>
      </c>
      <c r="BW52" s="357">
        <f>+BR46+BR49+BZ46+BZ49</f>
        <v>0</v>
      </c>
      <c r="CD52" s="346"/>
      <c r="CI52" s="2491" t="str">
        <f t="shared" si="56"/>
        <v>Semaine numéro : 13</v>
      </c>
      <c r="CJ52" s="2492"/>
      <c r="CK52" s="2493"/>
      <c r="CL52" s="893" t="str">
        <f t="shared" si="61"/>
        <v/>
      </c>
      <c r="CM52" s="674">
        <f t="shared" si="62"/>
        <v>0</v>
      </c>
      <c r="CN52" s="673">
        <f t="shared" si="63"/>
        <v>0</v>
      </c>
      <c r="CO52" s="198">
        <f>+SUMIF(Mars!$BK$20:$BK$50,Mars!AT8,$CG$18:$CG$48)</f>
        <v>0</v>
      </c>
      <c r="CP52" s="198">
        <f>+SUMIF(Février!$BK$20:$BK$50,Mars!AT8,'Retenue Fev'!$CG$18:$CG$48)</f>
        <v>0</v>
      </c>
      <c r="CQ52" s="198">
        <f>+SUMIF(Avril!$BK$20:$BK$50,Mars!AT8,'Retenue Avril'!$CG$18:$CG$48)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Semaine numéro : 14</v>
      </c>
      <c r="X53" s="2482"/>
      <c r="Y53" s="2482"/>
      <c r="Z53" s="1345" t="str">
        <f t="shared" si="57"/>
        <v/>
      </c>
      <c r="AA53" s="1338">
        <f t="shared" si="58"/>
        <v>0</v>
      </c>
      <c r="AB53" s="1338">
        <f t="shared" si="59"/>
        <v>0</v>
      </c>
      <c r="AC53" s="1344">
        <f>+SUMIF(Mars!$BK$20:$BK$50,Mars!AT9,$D$18:$D$48)-SUMIF(Mars!$BK$20:$BK$50,Mars!AT9,$E$18:$E$48)</f>
        <v>0</v>
      </c>
      <c r="AD53" s="1344">
        <f>+SUMIF(Février!$BK$20:$BK$50,Mars!AT9,'Retenue Fev'!$D$18:$D$48)-SUMIF(Février!$BK$20:$BK$50,Mars!AT9,'Retenue Fev'!$E$18:$E$48)</f>
        <v>0</v>
      </c>
      <c r="AE53" s="1344">
        <f>+SUMIF(Avril!$BK$20:$BK$50,Mars!AT9,'Retenue Avril'!$D$18:$D$48)-SUMIF(Avril!$BK$20:$BK$50,Mars!AT9,'Retenue Avril'!$E$18:$E$48)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Semaine numéro : 14</v>
      </c>
      <c r="CJ53" s="2492"/>
      <c r="CK53" s="2493"/>
      <c r="CL53" s="893" t="str">
        <f t="shared" si="61"/>
        <v/>
      </c>
      <c r="CM53" s="674">
        <f t="shared" si="62"/>
        <v>0</v>
      </c>
      <c r="CN53" s="673">
        <f t="shared" si="63"/>
        <v>0</v>
      </c>
      <c r="CO53" s="198">
        <f>+SUMIF(Mars!$BK$20:$BK$50,Mars!AT9,$CG$18:$CG$48)</f>
        <v>0</v>
      </c>
      <c r="CP53" s="198">
        <f>+SUMIF(Février!$BK$20:$BK$50,Mars!AT9,'Retenue Fev'!$CG$18:$CG$48)</f>
        <v>0</v>
      </c>
      <c r="CQ53" s="198">
        <f>+SUMIF(Avril!$BK$20:$BK$50,Mars!AT9,'Retenue Avril'!$CG$18:$CG$48)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45717</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45717</v>
      </c>
      <c r="C57" s="171">
        <f t="shared" si="65"/>
        <v>45717</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45718</v>
      </c>
      <c r="C58" s="172">
        <f t="shared" si="65"/>
        <v>45718</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45719</v>
      </c>
      <c r="C59" s="172">
        <f t="shared" si="65"/>
        <v>45719</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45720</v>
      </c>
      <c r="C60" s="172">
        <f t="shared" si="65"/>
        <v>45720</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45721</v>
      </c>
      <c r="C61" s="172">
        <f t="shared" si="65"/>
        <v>45721</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45722</v>
      </c>
      <c r="C62" s="172">
        <f t="shared" si="65"/>
        <v>45722</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45723</v>
      </c>
      <c r="C63" s="172">
        <f t="shared" si="65"/>
        <v>45723</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45724</v>
      </c>
      <c r="C64" s="172">
        <f t="shared" si="65"/>
        <v>45724</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45725</v>
      </c>
      <c r="C65" s="172">
        <f t="shared" si="65"/>
        <v>45725</v>
      </c>
      <c r="D65" s="173" t="str">
        <f t="shared" si="66"/>
        <v/>
      </c>
      <c r="E65" s="173" t="str">
        <f t="shared" si="69"/>
        <v/>
      </c>
      <c r="F65" s="1554" t="str">
        <f t="shared" si="67"/>
        <v/>
      </c>
      <c r="G65" s="1554" t="str">
        <f t="shared" si="68"/>
        <v/>
      </c>
      <c r="BA65" s="346"/>
      <c r="CD65" s="346"/>
    </row>
    <row r="66" spans="2:82" x14ac:dyDescent="0.2">
      <c r="B66" s="107">
        <f t="shared" si="65"/>
        <v>45726</v>
      </c>
      <c r="C66" s="172">
        <f t="shared" si="65"/>
        <v>45726</v>
      </c>
      <c r="D66" s="173" t="str">
        <f t="shared" si="66"/>
        <v/>
      </c>
      <c r="E66" s="173" t="str">
        <f t="shared" si="69"/>
        <v/>
      </c>
      <c r="F66" s="1554" t="str">
        <f t="shared" si="67"/>
        <v/>
      </c>
      <c r="G66" s="1554" t="str">
        <f t="shared" si="68"/>
        <v/>
      </c>
      <c r="BA66" s="346"/>
      <c r="CD66" s="346"/>
    </row>
    <row r="67" spans="2:82" x14ac:dyDescent="0.2">
      <c r="B67" s="107">
        <f t="shared" si="65"/>
        <v>45727</v>
      </c>
      <c r="C67" s="172">
        <f t="shared" si="65"/>
        <v>45727</v>
      </c>
      <c r="D67" s="173" t="str">
        <f t="shared" si="66"/>
        <v/>
      </c>
      <c r="E67" s="173" t="str">
        <f t="shared" si="69"/>
        <v/>
      </c>
      <c r="F67" s="1554" t="str">
        <f t="shared" si="67"/>
        <v/>
      </c>
      <c r="G67" s="1554" t="str">
        <f t="shared" si="68"/>
        <v/>
      </c>
      <c r="BA67" s="346"/>
      <c r="CD67" s="346"/>
    </row>
    <row r="68" spans="2:82" x14ac:dyDescent="0.2">
      <c r="B68" s="107">
        <f t="shared" si="65"/>
        <v>45728</v>
      </c>
      <c r="C68" s="172">
        <f t="shared" si="65"/>
        <v>45728</v>
      </c>
      <c r="D68" s="173" t="str">
        <f t="shared" si="66"/>
        <v/>
      </c>
      <c r="E68" s="173" t="str">
        <f t="shared" si="69"/>
        <v/>
      </c>
      <c r="F68" s="1554" t="str">
        <f t="shared" si="67"/>
        <v/>
      </c>
      <c r="G68" s="1554" t="str">
        <f t="shared" si="68"/>
        <v/>
      </c>
      <c r="AI68" s="1354" t="s">
        <v>338</v>
      </c>
      <c r="BA68" s="346"/>
      <c r="CD68" s="346"/>
    </row>
    <row r="69" spans="2:82" x14ac:dyDescent="0.2">
      <c r="B69" s="107">
        <f t="shared" si="65"/>
        <v>45729</v>
      </c>
      <c r="C69" s="172">
        <f t="shared" si="65"/>
        <v>45729</v>
      </c>
      <c r="D69" s="173" t="str">
        <f t="shared" si="66"/>
        <v/>
      </c>
      <c r="E69" s="173" t="str">
        <f t="shared" si="69"/>
        <v/>
      </c>
      <c r="F69" s="1554" t="str">
        <f t="shared" si="67"/>
        <v/>
      </c>
      <c r="G69" s="1554" t="str">
        <f t="shared" si="68"/>
        <v/>
      </c>
      <c r="BA69" s="346"/>
      <c r="CD69" s="346"/>
    </row>
    <row r="70" spans="2:82" x14ac:dyDescent="0.2">
      <c r="B70" s="107">
        <f t="shared" si="65"/>
        <v>45730</v>
      </c>
      <c r="C70" s="172">
        <f t="shared" si="65"/>
        <v>45730</v>
      </c>
      <c r="D70" s="173" t="str">
        <f t="shared" si="66"/>
        <v/>
      </c>
      <c r="E70" s="173" t="str">
        <f t="shared" si="69"/>
        <v/>
      </c>
      <c r="F70" s="1554" t="str">
        <f t="shared" si="67"/>
        <v/>
      </c>
      <c r="G70" s="1554" t="str">
        <f t="shared" si="68"/>
        <v/>
      </c>
      <c r="AI70" s="581" t="s">
        <v>339</v>
      </c>
      <c r="BA70" s="346"/>
      <c r="CD70" s="346"/>
    </row>
    <row r="71" spans="2:82" x14ac:dyDescent="0.2">
      <c r="B71" s="107">
        <f t="shared" si="65"/>
        <v>45731</v>
      </c>
      <c r="C71" s="172">
        <f t="shared" si="65"/>
        <v>45731</v>
      </c>
      <c r="D71" s="173" t="str">
        <f t="shared" si="66"/>
        <v/>
      </c>
      <c r="E71" s="173" t="str">
        <f t="shared" si="69"/>
        <v/>
      </c>
      <c r="F71" s="1554" t="str">
        <f t="shared" si="67"/>
        <v/>
      </c>
      <c r="G71" s="1554" t="str">
        <f t="shared" si="68"/>
        <v/>
      </c>
      <c r="AI71" s="1355" t="s">
        <v>340</v>
      </c>
      <c r="BA71" s="346"/>
      <c r="CD71" s="346"/>
    </row>
    <row r="72" spans="2:82" x14ac:dyDescent="0.2">
      <c r="B72" s="107">
        <f t="shared" si="65"/>
        <v>45732</v>
      </c>
      <c r="C72" s="172">
        <f t="shared" si="65"/>
        <v>45732</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45733</v>
      </c>
      <c r="C73" s="172">
        <f t="shared" si="70"/>
        <v>45733</v>
      </c>
      <c r="D73" s="173" t="str">
        <f t="shared" si="66"/>
        <v/>
      </c>
      <c r="E73" s="173" t="str">
        <f t="shared" si="69"/>
        <v/>
      </c>
      <c r="F73" s="1554" t="str">
        <f t="shared" si="67"/>
        <v/>
      </c>
      <c r="G73" s="1554" t="str">
        <f t="shared" si="68"/>
        <v/>
      </c>
      <c r="BA73" s="346"/>
      <c r="CD73" s="346"/>
    </row>
    <row r="74" spans="2:82" x14ac:dyDescent="0.2">
      <c r="B74" s="107">
        <f t="shared" si="70"/>
        <v>45734</v>
      </c>
      <c r="C74" s="172">
        <f t="shared" si="70"/>
        <v>45734</v>
      </c>
      <c r="D74" s="173" t="str">
        <f t="shared" si="66"/>
        <v/>
      </c>
      <c r="E74" s="173" t="str">
        <f t="shared" si="69"/>
        <v/>
      </c>
      <c r="F74" s="1554" t="str">
        <f t="shared" si="67"/>
        <v/>
      </c>
      <c r="G74" s="1554" t="str">
        <f t="shared" si="68"/>
        <v/>
      </c>
      <c r="AI74" s="581" t="s">
        <v>341</v>
      </c>
      <c r="BA74" s="346"/>
      <c r="CD74" s="346"/>
    </row>
    <row r="75" spans="2:82" x14ac:dyDescent="0.2">
      <c r="B75" s="107">
        <f t="shared" si="70"/>
        <v>45735</v>
      </c>
      <c r="C75" s="172">
        <f t="shared" si="70"/>
        <v>45735</v>
      </c>
      <c r="D75" s="173" t="str">
        <f t="shared" si="66"/>
        <v/>
      </c>
      <c r="E75" s="173" t="str">
        <f t="shared" si="69"/>
        <v/>
      </c>
      <c r="F75" s="1554" t="str">
        <f t="shared" si="67"/>
        <v/>
      </c>
      <c r="G75" s="1554" t="str">
        <f t="shared" si="68"/>
        <v/>
      </c>
      <c r="AI75" s="1355" t="s">
        <v>342</v>
      </c>
      <c r="BA75" s="346"/>
      <c r="CD75" s="346"/>
    </row>
    <row r="76" spans="2:82" x14ac:dyDescent="0.2">
      <c r="B76" s="107">
        <f t="shared" si="70"/>
        <v>45736</v>
      </c>
      <c r="C76" s="172">
        <f t="shared" si="70"/>
        <v>45736</v>
      </c>
      <c r="D76" s="173" t="str">
        <f t="shared" si="66"/>
        <v/>
      </c>
      <c r="E76" s="173" t="str">
        <f t="shared" si="69"/>
        <v/>
      </c>
      <c r="F76" s="1554" t="str">
        <f t="shared" si="67"/>
        <v/>
      </c>
      <c r="G76" s="1554" t="str">
        <f t="shared" si="68"/>
        <v/>
      </c>
      <c r="BA76" s="346"/>
      <c r="CD76" s="346"/>
    </row>
    <row r="77" spans="2:82" x14ac:dyDescent="0.2">
      <c r="B77" s="107">
        <f t="shared" si="70"/>
        <v>45737</v>
      </c>
      <c r="C77" s="172">
        <f t="shared" si="70"/>
        <v>45737</v>
      </c>
      <c r="D77" s="173" t="str">
        <f t="shared" si="66"/>
        <v/>
      </c>
      <c r="E77" s="173" t="str">
        <f t="shared" si="69"/>
        <v/>
      </c>
      <c r="F77" s="1554" t="str">
        <f t="shared" si="67"/>
        <v/>
      </c>
      <c r="G77" s="1554" t="str">
        <f t="shared" si="68"/>
        <v/>
      </c>
      <c r="AI77" s="581" t="s">
        <v>343</v>
      </c>
      <c r="BA77" s="346"/>
      <c r="CD77" s="346"/>
    </row>
    <row r="78" spans="2:82" x14ac:dyDescent="0.2">
      <c r="B78" s="107">
        <f t="shared" si="70"/>
        <v>45738</v>
      </c>
      <c r="C78" s="172">
        <f t="shared" si="70"/>
        <v>45738</v>
      </c>
      <c r="D78" s="173" t="str">
        <f t="shared" si="66"/>
        <v/>
      </c>
      <c r="E78" s="173" t="str">
        <f t="shared" si="69"/>
        <v/>
      </c>
      <c r="F78" s="1554" t="str">
        <f t="shared" si="67"/>
        <v/>
      </c>
      <c r="G78" s="1554" t="str">
        <f t="shared" si="68"/>
        <v/>
      </c>
      <c r="AI78" s="1355" t="s">
        <v>692</v>
      </c>
      <c r="BA78" s="346"/>
      <c r="CD78" s="346"/>
    </row>
    <row r="79" spans="2:82" x14ac:dyDescent="0.2">
      <c r="B79" s="107">
        <f t="shared" si="70"/>
        <v>45739</v>
      </c>
      <c r="C79" s="172">
        <f t="shared" si="70"/>
        <v>45739</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45740</v>
      </c>
      <c r="C80" s="172">
        <f t="shared" si="70"/>
        <v>45740</v>
      </c>
      <c r="D80" s="173" t="str">
        <f t="shared" si="66"/>
        <v/>
      </c>
      <c r="E80" s="173" t="str">
        <f t="shared" si="69"/>
        <v/>
      </c>
      <c r="F80" s="1554" t="str">
        <f t="shared" si="67"/>
        <v/>
      </c>
      <c r="G80" s="1554" t="str">
        <f t="shared" si="68"/>
        <v/>
      </c>
      <c r="BA80" s="346"/>
      <c r="CD80" s="346"/>
    </row>
    <row r="81" spans="2:82" x14ac:dyDescent="0.2">
      <c r="B81" s="107">
        <f t="shared" si="70"/>
        <v>45741</v>
      </c>
      <c r="C81" s="172">
        <f t="shared" si="70"/>
        <v>45741</v>
      </c>
      <c r="D81" s="173" t="str">
        <f t="shared" si="66"/>
        <v/>
      </c>
      <c r="E81" s="173" t="str">
        <f t="shared" si="69"/>
        <v/>
      </c>
      <c r="F81" s="1554" t="str">
        <f t="shared" si="67"/>
        <v/>
      </c>
      <c r="G81" s="1554" t="str">
        <f t="shared" si="68"/>
        <v/>
      </c>
      <c r="AI81" s="581" t="s">
        <v>529</v>
      </c>
      <c r="BA81" s="346"/>
      <c r="CD81" s="346"/>
    </row>
    <row r="82" spans="2:82" x14ac:dyDescent="0.2">
      <c r="B82" s="107">
        <f t="shared" si="70"/>
        <v>45742</v>
      </c>
      <c r="C82" s="172">
        <f t="shared" si="70"/>
        <v>45742</v>
      </c>
      <c r="D82" s="173" t="str">
        <f t="shared" si="66"/>
        <v/>
      </c>
      <c r="E82" s="173" t="str">
        <f t="shared" si="69"/>
        <v/>
      </c>
      <c r="F82" s="1554" t="str">
        <f t="shared" si="67"/>
        <v/>
      </c>
      <c r="G82" s="1554" t="str">
        <f t="shared" si="68"/>
        <v/>
      </c>
      <c r="AI82" s="1355" t="s">
        <v>693</v>
      </c>
      <c r="BA82" s="346"/>
      <c r="CD82" s="346"/>
    </row>
    <row r="83" spans="2:82" x14ac:dyDescent="0.2">
      <c r="B83" s="107">
        <f t="shared" si="70"/>
        <v>45743</v>
      </c>
      <c r="C83" s="172">
        <f t="shared" si="70"/>
        <v>45743</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45744</v>
      </c>
      <c r="C84" s="172">
        <f t="shared" si="70"/>
        <v>45744</v>
      </c>
      <c r="D84" s="173" t="str">
        <f t="shared" si="66"/>
        <v/>
      </c>
      <c r="E84" s="173" t="str">
        <f t="shared" si="69"/>
        <v/>
      </c>
      <c r="F84" s="1554" t="str">
        <f t="shared" si="67"/>
        <v/>
      </c>
      <c r="G84" s="1554" t="str">
        <f t="shared" si="68"/>
        <v/>
      </c>
      <c r="BA84" s="346"/>
      <c r="CD84" s="346"/>
    </row>
    <row r="85" spans="2:82" x14ac:dyDescent="0.2">
      <c r="B85" s="107">
        <f t="shared" si="70"/>
        <v>45745</v>
      </c>
      <c r="C85" s="172">
        <f t="shared" si="70"/>
        <v>45745</v>
      </c>
      <c r="D85" s="173" t="str">
        <f t="shared" si="66"/>
        <v/>
      </c>
      <c r="E85" s="173" t="str">
        <f t="shared" si="69"/>
        <v/>
      </c>
      <c r="F85" s="1554" t="str">
        <f t="shared" si="67"/>
        <v/>
      </c>
      <c r="G85" s="1554" t="str">
        <f t="shared" si="68"/>
        <v/>
      </c>
      <c r="AI85" s="1355" t="s">
        <v>344</v>
      </c>
      <c r="BA85" s="346"/>
      <c r="CD85" s="346"/>
    </row>
    <row r="86" spans="2:82" x14ac:dyDescent="0.2">
      <c r="B86" s="107">
        <f t="shared" si="70"/>
        <v>45746</v>
      </c>
      <c r="C86" s="172">
        <f t="shared" si="70"/>
        <v>45746</v>
      </c>
      <c r="D86" s="173" t="str">
        <f t="shared" si="66"/>
        <v/>
      </c>
      <c r="E86" s="173" t="str">
        <f t="shared" si="69"/>
        <v/>
      </c>
      <c r="F86" s="1554" t="str">
        <f t="shared" si="67"/>
        <v/>
      </c>
      <c r="G86" s="1554" t="str">
        <f t="shared" si="68"/>
        <v/>
      </c>
      <c r="AI86" s="1355" t="s">
        <v>345</v>
      </c>
      <c r="BA86" s="346"/>
      <c r="CD86" s="346"/>
    </row>
    <row r="87" spans="2:82" ht="13.5" thickBot="1" x14ac:dyDescent="0.25">
      <c r="B87" s="110">
        <f t="shared" si="70"/>
        <v>45747</v>
      </c>
      <c r="C87" s="192">
        <f t="shared" si="70"/>
        <v>45747</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hjR7lMld1bzSA7M+yXQTDkj5hoPUWpEus7z509cSsTnXYzb7sbCW2EC1iU31RQ5fxs9S0ivjLee1a5ygOXKOOw==" saltValue="8gOiqu3wCP6MODQI4Yiwhw=="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2003" priority="31">
      <formula>$R$3=$A$5</formula>
    </cfRule>
  </conditionalFormatting>
  <conditionalFormatting sqref="M19:Q23">
    <cfRule type="expression" dxfId="2002" priority="8">
      <formula>$E$11&gt;0</formula>
    </cfRule>
  </conditionalFormatting>
  <conditionalFormatting sqref="M26:R46">
    <cfRule type="expression" dxfId="2001" priority="3">
      <formula>$E$11=0</formula>
    </cfRule>
  </conditionalFormatting>
  <conditionalFormatting sqref="P17">
    <cfRule type="expression" dxfId="2000" priority="11">
      <formula>$E$11=0</formula>
    </cfRule>
  </conditionalFormatting>
  <conditionalFormatting sqref="P30">
    <cfRule type="expression" dxfId="1999" priority="7">
      <formula>AND($R$3="Méthode 1",$E$11&lt;0)</formula>
    </cfRule>
  </conditionalFormatting>
  <conditionalFormatting sqref="P33">
    <cfRule type="expression" dxfId="1998" priority="6">
      <formula>AND($R$3="Méthode 1",$E$11&lt;0)</formula>
    </cfRule>
  </conditionalFormatting>
  <conditionalFormatting sqref="Q17">
    <cfRule type="cellIs" dxfId="1997" priority="10" operator="equal">
      <formula>0</formula>
    </cfRule>
  </conditionalFormatting>
  <conditionalFormatting sqref="Q42">
    <cfRule type="expression" dxfId="1996" priority="5">
      <formula>AND($R$3="Méthode 1",$E$11&lt;0)</formula>
    </cfRule>
  </conditionalFormatting>
  <conditionalFormatting sqref="Q45">
    <cfRule type="expression" dxfId="1995" priority="4">
      <formula>AND($R$3="Méthode 1",$E$11&lt;0)</formula>
    </cfRule>
  </conditionalFormatting>
  <conditionalFormatting sqref="S7:AF7">
    <cfRule type="expression" dxfId="1994" priority="30">
      <formula>$R$3=$T$5</formula>
    </cfRule>
  </conditionalFormatting>
  <conditionalFormatting sqref="W19">
    <cfRule type="expression" dxfId="1993" priority="35">
      <formula>$EF$14=1</formula>
    </cfRule>
  </conditionalFormatting>
  <conditionalFormatting sqref="W21">
    <cfRule type="expression" dxfId="1992" priority="34">
      <formula>$EF$14=1</formula>
    </cfRule>
  </conditionalFormatting>
  <conditionalFormatting sqref="AC19">
    <cfRule type="expression" dxfId="1991" priority="33">
      <formula>$EF$14=1</formula>
    </cfRule>
  </conditionalFormatting>
  <conditionalFormatting sqref="AC21">
    <cfRule type="expression" dxfId="1990" priority="32">
      <formula>$EF$14=1</formula>
    </cfRule>
  </conditionalFormatting>
  <conditionalFormatting sqref="AH7:AZ7">
    <cfRule type="expression" dxfId="1989" priority="16">
      <formula>$R$3=$AI$5</formula>
    </cfRule>
  </conditionalFormatting>
  <conditionalFormatting sqref="AP50">
    <cfRule type="expression" dxfId="1988" priority="15">
      <formula>$R$3="Méthode 2"</formula>
    </cfRule>
  </conditionalFormatting>
  <conditionalFormatting sqref="AP52">
    <cfRule type="expression" dxfId="1987" priority="14">
      <formula>$R$3="Méthode 2"</formula>
    </cfRule>
  </conditionalFormatting>
  <conditionalFormatting sqref="AP61">
    <cfRule type="expression" dxfId="1986" priority="13">
      <formula>$R$3="Méthode 2"</formula>
    </cfRule>
  </conditionalFormatting>
  <conditionalFormatting sqref="AP64">
    <cfRule type="expression" dxfId="1985" priority="12">
      <formula>$R$3="Méthode 2"</formula>
    </cfRule>
  </conditionalFormatting>
  <conditionalFormatting sqref="BI50">
    <cfRule type="expression" dxfId="1984" priority="23">
      <formula>$BK$3="Méthode 1"</formula>
    </cfRule>
  </conditionalFormatting>
  <conditionalFormatting sqref="BJ29">
    <cfRule type="expression" dxfId="1983" priority="25">
      <formula>$BK$3="Méthode 1"</formula>
    </cfRule>
  </conditionalFormatting>
  <conditionalFormatting sqref="BJ45">
    <cfRule type="expression" dxfId="1982" priority="24">
      <formula>$BK$3="Méthode 1"</formula>
    </cfRule>
  </conditionalFormatting>
  <conditionalFormatting sqref="BR46">
    <cfRule type="expression" dxfId="1981" priority="22">
      <formula>$BK$3="Méthode 2"</formula>
    </cfRule>
  </conditionalFormatting>
  <conditionalFormatting sqref="BR49">
    <cfRule type="expression" dxfId="1980" priority="21">
      <formula>$BK$3="Méthode 2"</formula>
    </cfRule>
  </conditionalFormatting>
  <conditionalFormatting sqref="BW52">
    <cfRule type="expression" dxfId="1979" priority="18">
      <formula>$BK$3="Méthode 2"</formula>
    </cfRule>
  </conditionalFormatting>
  <conditionalFormatting sqref="BW54">
    <cfRule type="expression" dxfId="1978" priority="17">
      <formula>$BK$3="Méthode 2"</formula>
    </cfRule>
  </conditionalFormatting>
  <conditionalFormatting sqref="BZ46">
    <cfRule type="expression" dxfId="1977" priority="20">
      <formula>$BK$3="Méthode 2"</formula>
    </cfRule>
  </conditionalFormatting>
  <conditionalFormatting sqref="BZ49">
    <cfRule type="expression" dxfId="1976" priority="19">
      <formula>$BK$3="Méthode 2"</formula>
    </cfRule>
  </conditionalFormatting>
  <conditionalFormatting sqref="CG18:CG48">
    <cfRule type="cellIs" dxfId="1975"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1"/>
  <sheetViews>
    <sheetView showGridLines="0" zoomScale="90" zoomScaleNormal="90" workbookViewId="0">
      <selection activeCell="B8" sqref="B8"/>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81"/>
      <c r="B1" s="16" t="str">
        <f>+'Mode d''utilisation'!B2</f>
        <v>Version V6.20 Janvier 2025</v>
      </c>
      <c r="AC1" s="131"/>
    </row>
    <row r="2" spans="1:64" ht="25.5" x14ac:dyDescent="0.2">
      <c r="A2" s="1058" t="s">
        <v>1456</v>
      </c>
      <c r="B2" s="1382" t="str">
        <f>+'Mode d''utilisation'!M2</f>
        <v>Année : 2025</v>
      </c>
    </row>
    <row r="3" spans="1:64" ht="60" hidden="1" customHeight="1" x14ac:dyDescent="0.2">
      <c r="A3" s="1188" t="s">
        <v>451</v>
      </c>
      <c r="B3" s="1189" t="s">
        <v>452</v>
      </c>
    </row>
    <row r="4" spans="1:64" x14ac:dyDescent="0.2">
      <c r="B4" s="16"/>
    </row>
    <row r="5" spans="1:64" ht="18" x14ac:dyDescent="0.25">
      <c r="A5" s="1229" t="s">
        <v>0</v>
      </c>
    </row>
    <row r="7" spans="1:64" x14ac:dyDescent="0.2">
      <c r="A7" s="1008" t="s">
        <v>1</v>
      </c>
      <c r="B7" s="313">
        <f>+IF(B8="",Report!D8,Identification!B8)</f>
        <v>0</v>
      </c>
    </row>
    <row r="8" spans="1:64" x14ac:dyDescent="0.2">
      <c r="A8" s="131" t="s">
        <v>503</v>
      </c>
      <c r="B8" s="1076"/>
    </row>
    <row r="9" spans="1:64" x14ac:dyDescent="0.2">
      <c r="A9" s="131"/>
      <c r="B9" s="219"/>
    </row>
    <row r="10" spans="1:64" x14ac:dyDescent="0.2">
      <c r="A10" s="131" t="s">
        <v>2</v>
      </c>
      <c r="B10" s="313">
        <f>+IF(B11="",Report!D9,Identification!B11)</f>
        <v>0</v>
      </c>
    </row>
    <row r="11" spans="1:64" x14ac:dyDescent="0.2">
      <c r="A11" s="131" t="s">
        <v>503</v>
      </c>
      <c r="B11" s="1076"/>
    </row>
    <row r="12" spans="1:64" x14ac:dyDescent="0.2">
      <c r="A12" s="131"/>
      <c r="B12" s="219"/>
    </row>
    <row r="13" spans="1:64" x14ac:dyDescent="0.2">
      <c r="A13" s="131" t="s">
        <v>3</v>
      </c>
      <c r="B13" s="313">
        <f>+IF(B14="",Report!D10,Identification!B14)</f>
        <v>0</v>
      </c>
    </row>
    <row r="14" spans="1:64" x14ac:dyDescent="0.2">
      <c r="A14" s="131" t="s">
        <v>503</v>
      </c>
      <c r="B14" s="1076"/>
    </row>
    <row r="15" spans="1:64" x14ac:dyDescent="0.2">
      <c r="A15" s="131"/>
      <c r="B15" s="219"/>
      <c r="BK15" s="129" t="s">
        <v>652</v>
      </c>
      <c r="BL15" s="129" t="e">
        <f>+BL13/BL11*12/BL8*BL11/6</f>
        <v>#DIV/0!</v>
      </c>
    </row>
    <row r="16" spans="1:64" x14ac:dyDescent="0.2">
      <c r="A16" s="131" t="s">
        <v>4</v>
      </c>
      <c r="B16" s="313">
        <f>+IF(B17="",Report!D11,Identification!B17)</f>
        <v>0</v>
      </c>
    </row>
    <row r="17" spans="1:2" x14ac:dyDescent="0.2">
      <c r="A17" s="131" t="s">
        <v>503</v>
      </c>
      <c r="B17" s="1076"/>
    </row>
    <row r="18" spans="1:2" x14ac:dyDescent="0.2">
      <c r="A18" s="131"/>
      <c r="B18" s="219"/>
    </row>
    <row r="19" spans="1:2" x14ac:dyDescent="0.2">
      <c r="A19" s="131" t="s">
        <v>5</v>
      </c>
      <c r="B19" s="314">
        <f>+IF(B20="",Report!D12,Identification!B20)</f>
        <v>0</v>
      </c>
    </row>
    <row r="20" spans="1:2" x14ac:dyDescent="0.2">
      <c r="A20" s="131" t="s">
        <v>503</v>
      </c>
      <c r="B20" s="1077"/>
    </row>
    <row r="21" spans="1:2" x14ac:dyDescent="0.2">
      <c r="A21" s="131"/>
      <c r="B21" s="315"/>
    </row>
    <row r="22" spans="1:2" x14ac:dyDescent="0.2">
      <c r="A22" s="131" t="s">
        <v>6</v>
      </c>
      <c r="B22" s="313" t="str">
        <f>+IF(B23="",Report!D13,Identification!B23)</f>
        <v>Le Puy-en-Velay</v>
      </c>
    </row>
    <row r="23" spans="1:2" x14ac:dyDescent="0.2">
      <c r="A23" s="131" t="s">
        <v>503</v>
      </c>
      <c r="B23" s="1076" t="s">
        <v>1344</v>
      </c>
    </row>
    <row r="24" spans="1:2" x14ac:dyDescent="0.2">
      <c r="A24" s="131"/>
      <c r="B24" s="219"/>
    </row>
    <row r="25" spans="1:2" x14ac:dyDescent="0.2">
      <c r="A25" s="131" t="s">
        <v>7</v>
      </c>
      <c r="B25" s="313">
        <f>+IF(B26="",Report!D14,Identification!B26)</f>
        <v>0</v>
      </c>
    </row>
    <row r="26" spans="1:2" x14ac:dyDescent="0.2">
      <c r="A26" s="131" t="s">
        <v>503</v>
      </c>
      <c r="B26" s="1076"/>
    </row>
    <row r="27" spans="1:2" x14ac:dyDescent="0.2">
      <c r="A27" s="131"/>
      <c r="B27" s="219"/>
    </row>
    <row r="28" spans="1:2" ht="15.75" x14ac:dyDescent="0.25">
      <c r="A28" s="1006" t="s">
        <v>8</v>
      </c>
      <c r="B28" s="1007">
        <f>+IF(B29="",Report!D15,Identification!B29)</f>
        <v>0</v>
      </c>
    </row>
    <row r="29" spans="1:2" x14ac:dyDescent="0.2">
      <c r="A29" s="131" t="s">
        <v>503</v>
      </c>
      <c r="B29" s="1078"/>
    </row>
    <row r="30" spans="1:2" x14ac:dyDescent="0.2">
      <c r="B30" s="219"/>
    </row>
    <row r="31" spans="1:2" x14ac:dyDescent="0.2">
      <c r="B31" s="219"/>
    </row>
    <row r="32" spans="1:2" ht="18" x14ac:dyDescent="0.25">
      <c r="A32" s="1229" t="s">
        <v>9</v>
      </c>
      <c r="B32" s="219"/>
    </row>
    <row r="33" spans="1:2" x14ac:dyDescent="0.2">
      <c r="B33" s="219"/>
    </row>
    <row r="34" spans="1:2" x14ac:dyDescent="0.2">
      <c r="A34" s="131" t="s">
        <v>1</v>
      </c>
      <c r="B34" s="313">
        <f>+IF(B35="",Report!D16,Identification!B35)</f>
        <v>0</v>
      </c>
    </row>
    <row r="35" spans="1:2" x14ac:dyDescent="0.2">
      <c r="A35" s="131" t="s">
        <v>503</v>
      </c>
      <c r="B35" s="1076"/>
    </row>
    <row r="36" spans="1:2" x14ac:dyDescent="0.2">
      <c r="A36" s="131"/>
      <c r="B36" s="219"/>
    </row>
    <row r="37" spans="1:2" x14ac:dyDescent="0.2">
      <c r="A37" s="131" t="s">
        <v>2</v>
      </c>
      <c r="B37" s="313">
        <f>+IF(B38="",Report!D17,Identification!B38)</f>
        <v>0</v>
      </c>
    </row>
    <row r="38" spans="1:2" x14ac:dyDescent="0.2">
      <c r="A38" s="131" t="s">
        <v>503</v>
      </c>
      <c r="B38" s="1076"/>
    </row>
    <row r="39" spans="1:2" x14ac:dyDescent="0.2">
      <c r="A39" s="131"/>
      <c r="B39" s="219"/>
    </row>
    <row r="40" spans="1:2" x14ac:dyDescent="0.2">
      <c r="A40" s="131" t="s">
        <v>3</v>
      </c>
      <c r="B40" s="313">
        <f>+IF(B41="",Report!D18,Identification!B41)</f>
        <v>0</v>
      </c>
    </row>
    <row r="41" spans="1:2" x14ac:dyDescent="0.2">
      <c r="A41" s="131" t="s">
        <v>503</v>
      </c>
      <c r="B41" s="1076"/>
    </row>
    <row r="42" spans="1:2" x14ac:dyDescent="0.2">
      <c r="A42" s="131"/>
      <c r="B42" s="219"/>
    </row>
    <row r="43" spans="1:2" x14ac:dyDescent="0.2">
      <c r="A43" s="131" t="s">
        <v>4</v>
      </c>
      <c r="B43" s="313">
        <f>+IF(B44="",Report!D19,Identification!B44)</f>
        <v>0</v>
      </c>
    </row>
    <row r="44" spans="1:2" x14ac:dyDescent="0.2">
      <c r="A44" s="131" t="s">
        <v>503</v>
      </c>
      <c r="B44" s="1076"/>
    </row>
    <row r="45" spans="1:2" x14ac:dyDescent="0.2">
      <c r="A45" s="131"/>
      <c r="B45" s="219"/>
    </row>
    <row r="46" spans="1:2" x14ac:dyDescent="0.2">
      <c r="A46" s="131" t="s">
        <v>10</v>
      </c>
      <c r="B46" s="314">
        <f>+IF(B47="",Report!D20,Identification!B47)</f>
        <v>0</v>
      </c>
    </row>
    <row r="47" spans="1:2" x14ac:dyDescent="0.2">
      <c r="A47" s="131" t="s">
        <v>503</v>
      </c>
      <c r="B47" s="1077"/>
    </row>
    <row r="48" spans="1:2" x14ac:dyDescent="0.2">
      <c r="A48" s="131"/>
      <c r="B48" s="219"/>
    </row>
    <row r="49" spans="1:3" x14ac:dyDescent="0.2">
      <c r="A49" s="131" t="s">
        <v>1333</v>
      </c>
      <c r="B49" s="316">
        <f>+IF(B50="",Report!D39,Identification!B50)</f>
        <v>0</v>
      </c>
    </row>
    <row r="50" spans="1:3" x14ac:dyDescent="0.2">
      <c r="A50" s="131" t="s">
        <v>503</v>
      </c>
      <c r="B50" s="1078"/>
    </row>
    <row r="51" spans="1:3" x14ac:dyDescent="0.2">
      <c r="A51" s="131"/>
      <c r="B51" s="219"/>
    </row>
    <row r="52" spans="1:3" ht="25.5" x14ac:dyDescent="0.2">
      <c r="A52" s="975" t="s">
        <v>1334</v>
      </c>
      <c r="B52" s="976" t="str">
        <f>+IF(B53="",Report!D40,Identification!B53)</f>
        <v>NON</v>
      </c>
    </row>
    <row r="53" spans="1:3" x14ac:dyDescent="0.2">
      <c r="A53" s="131" t="s">
        <v>503</v>
      </c>
      <c r="B53" s="1079"/>
    </row>
    <row r="54" spans="1:3" x14ac:dyDescent="0.2">
      <c r="A54" s="131"/>
    </row>
    <row r="55" spans="1:3" ht="42" customHeight="1" x14ac:dyDescent="0.2">
      <c r="A55" s="977" t="str">
        <f>+"Nombre d'enfant(s) de l'assistant(e) maternel(le) qui auront moins de 15 ans au "&amp;TEXT(DATE(YEAR(B61),4,30),"jj/mm/aaaa")&amp;" ou en situation de handicap"</f>
        <v>Nombre d'enfant(s) de l'assistant(e) maternel(le) qui auront moins de 15 ans au 30/04/2025 ou en situation de handicap</v>
      </c>
      <c r="B55" s="1080">
        <v>0</v>
      </c>
      <c r="C55" s="1601" t="str">
        <f>+IF(AND(DATE(YEAR(B61),5,31)&lt;$B$28,$B$55&lt;&gt;0),"Vous devez mettre 0 car la date de votre contrat est supérieure au 31/05/"&amp;B60,"")</f>
        <v/>
      </c>
    </row>
    <row r="56" spans="1:3" x14ac:dyDescent="0.2">
      <c r="A56" s="978"/>
    </row>
    <row r="57" spans="1:3" x14ac:dyDescent="0.2">
      <c r="A57" s="131" t="s">
        <v>11</v>
      </c>
      <c r="B57" s="313">
        <f>+IF(B58="",Report!D21,Identification!B58)</f>
        <v>0</v>
      </c>
    </row>
    <row r="58" spans="1:3" x14ac:dyDescent="0.2">
      <c r="A58" s="131" t="s">
        <v>503</v>
      </c>
      <c r="B58" s="1076"/>
    </row>
    <row r="59" spans="1:3" x14ac:dyDescent="0.2">
      <c r="A59" s="131"/>
    </row>
    <row r="60" spans="1:3" x14ac:dyDescent="0.2">
      <c r="A60" s="131" t="s">
        <v>12</v>
      </c>
      <c r="B60" s="317">
        <v>2025</v>
      </c>
    </row>
    <row r="61" spans="1:3" x14ac:dyDescent="0.2">
      <c r="A61" s="131" t="s">
        <v>13</v>
      </c>
      <c r="B61" s="316">
        <v>45658</v>
      </c>
    </row>
    <row r="62" spans="1:3" x14ac:dyDescent="0.2">
      <c r="A62" s="131"/>
    </row>
    <row r="63" spans="1:3" x14ac:dyDescent="0.2">
      <c r="A63" s="131" t="s">
        <v>14</v>
      </c>
      <c r="B63" s="318">
        <f>+IF(B64="",Report!D22,Identification!B64)</f>
        <v>0</v>
      </c>
    </row>
    <row r="64" spans="1:3" x14ac:dyDescent="0.2">
      <c r="A64" s="131" t="s">
        <v>503</v>
      </c>
      <c r="B64" s="1081"/>
    </row>
    <row r="66" spans="1:2" x14ac:dyDescent="0.2">
      <c r="A66" s="131" t="s">
        <v>502</v>
      </c>
      <c r="B66" s="319" t="str">
        <f>IF(AND(B67="",Report!D23&lt;&gt;0,Report!D23&lt;&gt;""),Report!D23,IF(AND(B67="",OR(Report!D23=0,Report!D23="")),"NON",Identification!B67))</f>
        <v>NON</v>
      </c>
    </row>
    <row r="67" spans="1:2" x14ac:dyDescent="0.2">
      <c r="A67" s="131" t="s">
        <v>503</v>
      </c>
      <c r="B67" s="1079"/>
    </row>
    <row r="70" spans="1:2" x14ac:dyDescent="0.2">
      <c r="A70" s="1653" t="s">
        <v>470</v>
      </c>
      <c r="B70" s="1653"/>
    </row>
    <row r="71" spans="1:2" x14ac:dyDescent="0.2">
      <c r="A71" s="887">
        <f>+B61</f>
        <v>45658</v>
      </c>
      <c r="B71" s="1014">
        <v>0.78120000000000001</v>
      </c>
    </row>
    <row r="72" spans="1:2" x14ac:dyDescent="0.2">
      <c r="A72" s="1082"/>
      <c r="B72" s="1083"/>
    </row>
    <row r="73" spans="1:2" x14ac:dyDescent="0.2">
      <c r="A73" s="1082"/>
      <c r="B73" s="1083"/>
    </row>
    <row r="74" spans="1:2" x14ac:dyDescent="0.2">
      <c r="A74" s="1082"/>
      <c r="B74" s="1083"/>
    </row>
    <row r="75" spans="1:2" x14ac:dyDescent="0.2">
      <c r="A75" s="978"/>
      <c r="B75" s="27"/>
    </row>
    <row r="77" spans="1:2" x14ac:dyDescent="0.2">
      <c r="A77" s="1652" t="s">
        <v>471</v>
      </c>
      <c r="B77" s="1652"/>
    </row>
    <row r="78" spans="1:2" x14ac:dyDescent="0.2">
      <c r="A78" s="887">
        <f>+B61</f>
        <v>45658</v>
      </c>
      <c r="B78" s="1014">
        <v>0.76819999999999999</v>
      </c>
    </row>
    <row r="79" spans="1:2" x14ac:dyDescent="0.2">
      <c r="A79" s="1082"/>
      <c r="B79" s="1083"/>
    </row>
    <row r="80" spans="1:2" x14ac:dyDescent="0.2">
      <c r="A80" s="1082"/>
      <c r="B80" s="1083"/>
    </row>
    <row r="81" spans="1:2" x14ac:dyDescent="0.2">
      <c r="A81" s="1082"/>
      <c r="B81" s="1083"/>
    </row>
    <row r="83" spans="1:2" x14ac:dyDescent="0.2">
      <c r="A83" s="1652" t="s">
        <v>157</v>
      </c>
      <c r="B83" s="1652"/>
    </row>
    <row r="84" spans="1:2" x14ac:dyDescent="0.2">
      <c r="A84" s="887">
        <f>+B61</f>
        <v>45658</v>
      </c>
      <c r="B84" s="982">
        <v>1.2999999999999999E-2</v>
      </c>
    </row>
    <row r="85" spans="1:2" x14ac:dyDescent="0.2">
      <c r="A85" s="1082"/>
      <c r="B85" s="1084"/>
    </row>
    <row r="86" spans="1:2" x14ac:dyDescent="0.2">
      <c r="A86" s="1082"/>
      <c r="B86" s="1084"/>
    </row>
    <row r="87" spans="1:2" x14ac:dyDescent="0.2">
      <c r="A87" s="1082"/>
      <c r="B87" s="1084"/>
    </row>
    <row r="89" spans="1:2" x14ac:dyDescent="0.2">
      <c r="A89" s="1654" t="s">
        <v>1362</v>
      </c>
      <c r="B89" s="1654"/>
    </row>
    <row r="90" spans="1:2" x14ac:dyDescent="0.2">
      <c r="A90" s="1016">
        <f>+A78</f>
        <v>45658</v>
      </c>
      <c r="B90" s="1015">
        <v>3925</v>
      </c>
    </row>
    <row r="91" spans="1:2" x14ac:dyDescent="0.2">
      <c r="A91" s="1082"/>
      <c r="B91" s="1085"/>
    </row>
    <row r="92" spans="1:2" x14ac:dyDescent="0.2">
      <c r="A92" s="1082"/>
      <c r="B92" s="1085"/>
    </row>
    <row r="95" spans="1:2" x14ac:dyDescent="0.2">
      <c r="A95" s="1656" t="s">
        <v>635</v>
      </c>
      <c r="B95" s="1657">
        <f>+Janvier!CE5+Février!CE5+Mars!CE5+Avril!CE5+Mai!CE5+Juin!CE5+Juillet!CE5+Aout!CE5+Septembre!CE5+Octobre!CE5+Novembre!CE5+Décembre!CE5</f>
        <v>0</v>
      </c>
    </row>
    <row r="96" spans="1:2" x14ac:dyDescent="0.2">
      <c r="A96" s="1656"/>
      <c r="B96" s="1657"/>
    </row>
    <row r="99" spans="1:2" x14ac:dyDescent="0.2">
      <c r="A99" s="1659" t="s">
        <v>1051</v>
      </c>
      <c r="B99" s="1658">
        <f>+Janvier!CE8+Février!CE8+Mars!CE8+Avril!CE8+Mai!CE8+Juin!CE8+Juillet!CE8+Aout!CE8+Septembre!CE8+Octobre!CE8+Novembre!CE8+Décembre!CE8</f>
        <v>0</v>
      </c>
    </row>
    <row r="100" spans="1:2" x14ac:dyDescent="0.2">
      <c r="A100" s="1660"/>
      <c r="B100" s="1658"/>
    </row>
    <row r="102" spans="1:2" x14ac:dyDescent="0.2">
      <c r="A102" s="131" t="s">
        <v>1422</v>
      </c>
      <c r="B102" s="976"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5" t="s">
        <v>1221</v>
      </c>
      <c r="B105" s="1655"/>
    </row>
    <row r="106" spans="1:2" x14ac:dyDescent="0.2">
      <c r="A106" s="886" t="s">
        <v>1220</v>
      </c>
      <c r="B106" s="886" t="s">
        <v>46</v>
      </c>
    </row>
    <row r="107" spans="1:2" x14ac:dyDescent="0.2">
      <c r="A107" s="887">
        <f>+B61</f>
        <v>45658</v>
      </c>
      <c r="B107" s="1017">
        <v>11.88</v>
      </c>
    </row>
    <row r="108" spans="1:2" x14ac:dyDescent="0.2">
      <c r="A108" s="1082"/>
      <c r="B108" s="1086"/>
    </row>
    <row r="109" spans="1:2" x14ac:dyDescent="0.2">
      <c r="A109" s="1082"/>
      <c r="B109" s="1086"/>
    </row>
    <row r="110" spans="1:2" x14ac:dyDescent="0.2">
      <c r="A110" s="1082"/>
      <c r="B110" s="1086"/>
    </row>
    <row r="111" spans="1:2" x14ac:dyDescent="0.2">
      <c r="A111" s="1082"/>
      <c r="B111" s="1086"/>
    </row>
    <row r="112" spans="1:2" x14ac:dyDescent="0.2">
      <c r="A112" s="1082"/>
      <c r="B112" s="1086"/>
    </row>
    <row r="113" spans="1:2" x14ac:dyDescent="0.2">
      <c r="A113" s="1082"/>
      <c r="B113" s="1086"/>
    </row>
    <row r="116" spans="1:2" x14ac:dyDescent="0.2">
      <c r="A116" s="200" t="s">
        <v>1258</v>
      </c>
    </row>
    <row r="117" spans="1:2" x14ac:dyDescent="0.2">
      <c r="A117" s="131" t="s">
        <v>1259</v>
      </c>
      <c r="B117" s="1087" t="s">
        <v>1261</v>
      </c>
    </row>
    <row r="120" spans="1:2" x14ac:dyDescent="0.2">
      <c r="A120" s="200" t="s">
        <v>1363</v>
      </c>
    </row>
    <row r="121" spans="1:2" x14ac:dyDescent="0.2">
      <c r="A121" s="913" t="s">
        <v>1364</v>
      </c>
      <c r="B121" s="1088">
        <v>0</v>
      </c>
    </row>
    <row r="122" spans="1:2" x14ac:dyDescent="0.2">
      <c r="A122" s="913" t="s">
        <v>1365</v>
      </c>
      <c r="B122" s="1088">
        <v>0</v>
      </c>
    </row>
    <row r="123" spans="1:2" x14ac:dyDescent="0.2">
      <c r="A123" s="913" t="s">
        <v>1366</v>
      </c>
      <c r="B123" s="1088">
        <v>0</v>
      </c>
    </row>
    <row r="124" spans="1:2" x14ac:dyDescent="0.2">
      <c r="A124" s="913" t="s">
        <v>1367</v>
      </c>
      <c r="B124" s="1088">
        <v>2</v>
      </c>
    </row>
    <row r="125" spans="1:2" x14ac:dyDescent="0.2">
      <c r="A125" s="913" t="s">
        <v>1368</v>
      </c>
      <c r="B125" s="1088" t="s">
        <v>1342</v>
      </c>
    </row>
    <row r="126" spans="1:2" x14ac:dyDescent="0.2">
      <c r="A126" s="913" t="s">
        <v>1369</v>
      </c>
      <c r="B126" s="1088" t="s">
        <v>1342</v>
      </c>
    </row>
    <row r="129" spans="1:2" x14ac:dyDescent="0.2">
      <c r="A129" s="200" t="s">
        <v>1715</v>
      </c>
    </row>
    <row r="130" spans="1:2" x14ac:dyDescent="0.2">
      <c r="A130" s="913" t="s">
        <v>1716</v>
      </c>
      <c r="B130" s="1607" t="s">
        <v>436</v>
      </c>
    </row>
    <row r="131" spans="1:2" x14ac:dyDescent="0.2">
      <c r="A131" s="913" t="s">
        <v>1717</v>
      </c>
      <c r="B131" s="1607" t="s">
        <v>436</v>
      </c>
    </row>
  </sheetData>
  <sheetProtection algorithmName="SHA-512" hashValue="T2P+CQZxgpHpI4mQvhCmTZzovHVyISLAzHYa0KTRHk/3Fl+qHGB3nUhjwlX4uew/oVMWfCaPiP210EyhIjIkHw==" saltValue="KIa1y8YFE8WU3g02rreuCg==" spinCount="100000" sheet="1" objects="1" scenarios="1" formatCells="0" formatColumns="0" formatRows="0" insertColumns="0" insertRows="0" insertHyperlinks="0" sort="0" autoFilter="0" pivotTables="0"/>
  <mergeCells count="9">
    <mergeCell ref="A77:B77"/>
    <mergeCell ref="A70:B70"/>
    <mergeCell ref="A89:B89"/>
    <mergeCell ref="A83:B83"/>
    <mergeCell ref="A105:B105"/>
    <mergeCell ref="A95:A96"/>
    <mergeCell ref="B95:B96"/>
    <mergeCell ref="B99:B100"/>
    <mergeCell ref="A99:A100"/>
  </mergeCells>
  <conditionalFormatting sqref="A108:A113">
    <cfRule type="expression" dxfId="1698" priority="2">
      <formula>B108=""</formula>
    </cfRule>
    <cfRule type="cellIs" dxfId="1697" priority="3" operator="between">
      <formula>1</formula>
      <formula>A107</formula>
    </cfRule>
  </conditionalFormatting>
  <conditionalFormatting sqref="B3">
    <cfRule type="expression" dxfId="1696" priority="44">
      <formula>$B$3=""</formula>
    </cfRule>
  </conditionalFormatting>
  <conditionalFormatting sqref="B8">
    <cfRule type="notContainsBlanks" dxfId="1695" priority="153">
      <formula>LEN(TRIM(B8))&gt;0</formula>
    </cfRule>
  </conditionalFormatting>
  <conditionalFormatting sqref="B11 B14 B17 B20 B23 B26 B29 B35 B38 B41 B44 B47 B58 B64 B67">
    <cfRule type="notContainsBlanks" dxfId="1694" priority="154">
      <formula>LEN(TRIM(B11))&gt;0</formula>
    </cfRule>
  </conditionalFormatting>
  <conditionalFormatting sqref="B28">
    <cfRule type="cellIs" dxfId="1693" priority="35" operator="equal">
      <formula>0</formula>
    </cfRule>
  </conditionalFormatting>
  <conditionalFormatting sqref="B50">
    <cfRule type="notContainsBlanks" dxfId="1692" priority="26">
      <formula>LEN(TRIM(B50))&gt;0</formula>
    </cfRule>
  </conditionalFormatting>
  <conditionalFormatting sqref="B53">
    <cfRule type="notContainsBlanks" dxfId="1691" priority="24">
      <formula>LEN(TRIM(B53))&gt;0</formula>
    </cfRule>
  </conditionalFormatting>
  <conditionalFormatting sqref="B55">
    <cfRule type="expression" dxfId="1690" priority="17">
      <formula>AND(DATE(YEAR(B61),5,31)&lt;$B$28,$B$55&lt;&gt;0)</formula>
    </cfRule>
    <cfRule type="containsText" dxfId="1689" priority="20" operator="containsText" text="e">
      <formula>NOT(ISERROR(SEARCH("e",B55)))</formula>
    </cfRule>
  </conditionalFormatting>
  <conditionalFormatting sqref="B66">
    <cfRule type="cellIs" dxfId="1688" priority="43" operator="equal">
      <formula>0</formula>
    </cfRule>
  </conditionalFormatting>
  <conditionalFormatting sqref="B125:B126">
    <cfRule type="containsBlanks" dxfId="1687" priority="18">
      <formula>LEN(TRIM(B125))=0</formula>
    </cfRule>
  </conditionalFormatting>
  <conditionalFormatting sqref="B130:B131">
    <cfRule type="containsBlanks" dxfId="1686" priority="1">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1"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+Avril!DP4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+Avril!AR13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+Avril!AI3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+Avril!I14</f>
        <v>0</v>
      </c>
      <c r="F10" s="151"/>
      <c r="G10" s="151"/>
      <c r="H10" s="151"/>
      <c r="I10" s="151"/>
      <c r="J10" s="151"/>
      <c r="K10" s="151"/>
      <c r="L10" s="151"/>
      <c r="P10" s="29" t="s">
        <v>1468</v>
      </c>
      <c r="Q10" s="356">
        <f>+Avril!P18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+Avril!T18+Avril!T19</f>
        <v>0</v>
      </c>
      <c r="BI10" s="29" t="s">
        <v>1476</v>
      </c>
      <c r="BJ10" s="356">
        <f>+Avril!AL14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+Avril!U14</f>
        <v>0</v>
      </c>
      <c r="F11" s="151"/>
      <c r="G11" s="151"/>
      <c r="H11" s="151"/>
      <c r="I11" s="151"/>
      <c r="J11" s="151"/>
      <c r="K11" s="151"/>
      <c r="L11" s="151"/>
      <c r="M11" s="1201"/>
      <c r="N11" s="183"/>
      <c r="O11" s="1202"/>
      <c r="P11" s="183" t="s">
        <v>1120</v>
      </c>
      <c r="Q11" s="1203">
        <f>+Avril!P19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+Avril!X3</f>
        <v>45748</v>
      </c>
      <c r="M13" s="154"/>
      <c r="N13" s="155">
        <f>DATE(YEAR($D$13),MONTH($D$13)+1,DAY($D$13))</f>
        <v>45778</v>
      </c>
      <c r="O13" s="156">
        <f>N13</f>
        <v>45778</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45748</v>
      </c>
      <c r="BF13" s="154"/>
      <c r="BG13" s="155">
        <f>DATE(YEAR($D$13),MONTH($D$13)+1,DAY($D$13))</f>
        <v>45778</v>
      </c>
      <c r="BH13" s="156">
        <f>BG13</f>
        <v>45778</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45778</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45748</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45748</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45748</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+Avril!BJ20</f>
        <v>Fiche infoA2</v>
      </c>
      <c r="B18" s="170">
        <f>+D13</f>
        <v>45748</v>
      </c>
      <c r="C18" s="171">
        <f>+$D$13</f>
        <v>45748</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Avril!BC20</f>
        <v>0</v>
      </c>
      <c r="J18" s="34">
        <f>Avril!BE20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infoA2</v>
      </c>
      <c r="BB18" s="170">
        <f>+BD13</f>
        <v>45748</v>
      </c>
      <c r="BC18" s="171">
        <f>+$D$13</f>
        <v>45748</v>
      </c>
      <c r="BD18" s="173" t="str">
        <f>+D18</f>
        <v/>
      </c>
      <c r="BE18" s="353" t="str">
        <f>+IF(OR(BF18=S.CAL!$BJ$3,BF18=S.CAL!$BJ$4),BD18,"")</f>
        <v/>
      </c>
      <c r="BF18" s="350">
        <f>IF($DY$5=S.CAL!$CU$2,Avril!AR20,IF($DY$5=S.CAL!$CU$3,VLOOKUP(BC18,planning_fp,7,FALSE),""))</f>
        <v>0</v>
      </c>
      <c r="BG18" s="362" t="str">
        <f>Avril!BL20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45748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45748</v>
      </c>
      <c r="EM18" s="16" t="str">
        <f>A18&amp;C18</f>
        <v>Fiche infoA245748</v>
      </c>
      <c r="EN18" s="16">
        <f t="shared" ref="EN18:EN48" si="20">+VLOOKUP(EM18,Base_feuille_présence_heure_potentiel,11,FALSE)</f>
        <v>0</v>
      </c>
      <c r="EQ18" s="16" t="str">
        <f>Avril!FS20</f>
        <v/>
      </c>
    </row>
    <row r="19" spans="1:147" ht="18" customHeight="1" x14ac:dyDescent="0.2">
      <c r="A19" s="24" t="str">
        <f>+Avril!BJ21</f>
        <v>Fiche infoA3</v>
      </c>
      <c r="B19" s="107">
        <f>C19</f>
        <v>45749</v>
      </c>
      <c r="C19" s="172">
        <f>+$D$13+1</f>
        <v>45749</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Avril!BC21</f>
        <v>0</v>
      </c>
      <c r="J19" s="34">
        <f>Avril!BE21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infoA3</v>
      </c>
      <c r="BB19" s="107">
        <f>BC19</f>
        <v>45749</v>
      </c>
      <c r="BC19" s="172">
        <f>+$D$13+1</f>
        <v>45749</v>
      </c>
      <c r="BD19" s="173" t="str">
        <f>+D19</f>
        <v/>
      </c>
      <c r="BE19" s="173" t="str">
        <f>+IF(OR(BF19=S.CAL!$BJ$3,BF19=S.CAL!$BJ$4),BD19,"")</f>
        <v/>
      </c>
      <c r="BF19" s="351">
        <f>IF($DY$5=S.CAL!$CU$2,Avril!AR21,IF($DY$5=S.CAL!$CU$3,VLOOKUP(BC19,planning_fp,7,FALSE),""))</f>
        <v>0</v>
      </c>
      <c r="BG19" s="363" t="str">
        <f>Avril!BL21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45749</v>
      </c>
      <c r="CF19" s="172">
        <f>+$D$13+1</f>
        <v>45749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45749</v>
      </c>
      <c r="EM19" s="16" t="str">
        <f t="shared" ref="EM19:EM48" si="29">A19&amp;C19</f>
        <v>Fiche infoA345749</v>
      </c>
      <c r="EN19" s="16">
        <f t="shared" si="20"/>
        <v>0</v>
      </c>
      <c r="EQ19" s="16" t="str">
        <f>Avril!FS21</f>
        <v/>
      </c>
    </row>
    <row r="20" spans="1:147" ht="18" customHeight="1" x14ac:dyDescent="0.2">
      <c r="A20" s="24" t="str">
        <f>+Avril!BJ22</f>
        <v>Fiche infoA4</v>
      </c>
      <c r="B20" s="107">
        <f t="shared" ref="B20:B48" si="30">C20</f>
        <v>45750</v>
      </c>
      <c r="C20" s="172">
        <f>+$D$13+2</f>
        <v>45750</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Avril!BC22</f>
        <v>0</v>
      </c>
      <c r="J20" s="34">
        <f>Avril!BE22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infoA4</v>
      </c>
      <c r="BB20" s="107">
        <f t="shared" ref="BB20:BB48" si="31">BC20</f>
        <v>45750</v>
      </c>
      <c r="BC20" s="172">
        <f>+$D$13+2</f>
        <v>45750</v>
      </c>
      <c r="BD20" s="173" t="str">
        <f t="shared" ref="BD20:BD48" si="32">+D20</f>
        <v/>
      </c>
      <c r="BE20" s="173" t="str">
        <f>+IF(OR(BF20=S.CAL!$BJ$3,BF20=S.CAL!$BJ$4),BD20,"")</f>
        <v/>
      </c>
      <c r="BF20" s="351">
        <f>IF($DY$5=S.CAL!$CU$2,Avril!AR22,IF($DY$5=S.CAL!$CU$3,VLOOKUP(BC20,planning_fp,7,FALSE),""))</f>
        <v>0</v>
      </c>
      <c r="BG20" s="363" t="str">
        <f>Avril!BL22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45750</v>
      </c>
      <c r="CF20" s="172">
        <f>+$D$13+2</f>
        <v>45750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45750</v>
      </c>
      <c r="EM20" s="16" t="str">
        <f t="shared" si="29"/>
        <v>Fiche infoA445750</v>
      </c>
      <c r="EN20" s="16">
        <f t="shared" si="20"/>
        <v>0</v>
      </c>
      <c r="EQ20" s="16" t="str">
        <f>Avril!FS22</f>
        <v/>
      </c>
    </row>
    <row r="21" spans="1:147" ht="18" customHeight="1" x14ac:dyDescent="0.2">
      <c r="A21" s="24" t="str">
        <f>+Avril!BJ23</f>
        <v>Fiche infoA5</v>
      </c>
      <c r="B21" s="107">
        <f t="shared" si="30"/>
        <v>45751</v>
      </c>
      <c r="C21" s="172">
        <f>+$D$13+3</f>
        <v>45751</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infoA5</v>
      </c>
      <c r="BB21" s="107">
        <f t="shared" si="31"/>
        <v>45751</v>
      </c>
      <c r="BC21" s="172">
        <f>+$D$13+3</f>
        <v>45751</v>
      </c>
      <c r="BD21" s="173" t="str">
        <f t="shared" si="32"/>
        <v/>
      </c>
      <c r="BE21" s="173" t="str">
        <f>+IF(OR(BF21=S.CAL!$BJ$3,BF21=S.CAL!$BJ$4),BD21,"")</f>
        <v/>
      </c>
      <c r="BF21" s="351">
        <f>IF($DY$5=S.CAL!$CU$2,Avril!AR23,IF($DY$5=S.CAL!$CU$3,VLOOKUP(BC21,planning_fp,7,FALSE),""))</f>
        <v>0</v>
      </c>
      <c r="BG21" s="363" t="str">
        <f>Avril!BL23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45751</v>
      </c>
      <c r="CF21" s="172">
        <f>+$D$13+3</f>
        <v>45751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45751</v>
      </c>
      <c r="EM21" s="16" t="str">
        <f t="shared" si="29"/>
        <v>Fiche infoA545751</v>
      </c>
      <c r="EN21" s="16">
        <f t="shared" si="20"/>
        <v>0</v>
      </c>
      <c r="EQ21" s="16" t="str">
        <f>Avril!FS23</f>
        <v/>
      </c>
    </row>
    <row r="22" spans="1:147" ht="18" customHeight="1" x14ac:dyDescent="0.25">
      <c r="A22" s="24" t="str">
        <f>+Avril!BJ24</f>
        <v>Fiche infoA6</v>
      </c>
      <c r="B22" s="107">
        <f t="shared" si="30"/>
        <v>45752</v>
      </c>
      <c r="C22" s="172">
        <f>+$D$13+4</f>
        <v>45752</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Avril!BC24</f>
        <v>0</v>
      </c>
      <c r="J22" s="34">
        <f>Avril!BE24</f>
        <v>0</v>
      </c>
      <c r="K22" s="34">
        <f t="shared" si="15"/>
        <v>0</v>
      </c>
      <c r="L22" s="34" t="str">
        <f t="shared" si="21"/>
        <v/>
      </c>
      <c r="O22" s="19"/>
      <c r="AK22" s="1211" t="s">
        <v>41</v>
      </c>
      <c r="AL22" s="1340">
        <f>+Avril!AL14</f>
        <v>0</v>
      </c>
      <c r="BA22" s="349" t="str">
        <f t="shared" si="16"/>
        <v>Fiche infoA6</v>
      </c>
      <c r="BB22" s="107">
        <f t="shared" si="31"/>
        <v>45752</v>
      </c>
      <c r="BC22" s="172">
        <f>+$D$13+4</f>
        <v>45752</v>
      </c>
      <c r="BD22" s="173" t="str">
        <f t="shared" si="32"/>
        <v/>
      </c>
      <c r="BE22" s="173" t="str">
        <f>+IF(OR(BF22=S.CAL!$BJ$3,BF22=S.CAL!$BJ$4),BD22,"")</f>
        <v/>
      </c>
      <c r="BF22" s="351">
        <f>IF($DY$5=S.CAL!$CU$2,Avril!AR24,IF($DY$5=S.CAL!$CU$3,VLOOKUP(BC22,planning_fp,7,FALSE),""))</f>
        <v>0</v>
      </c>
      <c r="BG22" s="363" t="str">
        <f>Avril!BL24</f>
        <v>A</v>
      </c>
      <c r="BH22" s="150"/>
      <c r="BL22" s="146"/>
      <c r="BM22" s="197"/>
      <c r="CD22" s="346"/>
      <c r="CE22" s="107">
        <f t="shared" si="33"/>
        <v>45752</v>
      </c>
      <c r="CF22" s="172">
        <f>+$D$13+4</f>
        <v>45752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45752</v>
      </c>
      <c r="EM22" s="16" t="str">
        <f t="shared" si="29"/>
        <v>Fiche infoA645752</v>
      </c>
      <c r="EN22" s="16">
        <f t="shared" si="20"/>
        <v>0</v>
      </c>
      <c r="EQ22" s="16" t="str">
        <f>Avril!FS24</f>
        <v/>
      </c>
    </row>
    <row r="23" spans="1:147" ht="18" customHeight="1" x14ac:dyDescent="0.2">
      <c r="A23" s="24" t="str">
        <f>+Avril!BJ25</f>
        <v>Fiche infoA7</v>
      </c>
      <c r="B23" s="107">
        <f t="shared" si="30"/>
        <v>45753</v>
      </c>
      <c r="C23" s="172">
        <f>+$D$13+5</f>
        <v>45753</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Avril!BC25</f>
        <v>0</v>
      </c>
      <c r="J23" s="34">
        <f>Avril!BE25</f>
        <v>0</v>
      </c>
      <c r="K23" s="34">
        <f t="shared" si="15"/>
        <v>0</v>
      </c>
      <c r="L23" s="34" t="str">
        <f t="shared" si="21"/>
        <v/>
      </c>
      <c r="O23" s="39" t="str">
        <f>+O21</f>
        <v xml:space="preserve">Retenue sur salaire = </v>
      </c>
      <c r="P23" s="689">
        <f>+P30+P33</f>
        <v>0</v>
      </c>
      <c r="T23" s="581" t="s">
        <v>1123</v>
      </c>
      <c r="Z23" s="581" t="s">
        <v>1123</v>
      </c>
      <c r="BA23" s="349" t="str">
        <f t="shared" si="16"/>
        <v>Fiche infoA7</v>
      </c>
      <c r="BB23" s="107">
        <f t="shared" si="31"/>
        <v>45753</v>
      </c>
      <c r="BC23" s="172">
        <f>+$D$13+5</f>
        <v>45753</v>
      </c>
      <c r="BD23" s="173" t="str">
        <f t="shared" si="32"/>
        <v/>
      </c>
      <c r="BE23" s="173" t="str">
        <f>+IF(OR(BF23=S.CAL!$BJ$3,BF23=S.CAL!$BJ$4),BD23,"")</f>
        <v/>
      </c>
      <c r="BF23" s="351">
        <f>IF($DY$5=S.CAL!$CU$2,Avril!AR25,IF($DY$5=S.CAL!$CU$3,VLOOKUP(BC23,planning_fp,7,FALSE),""))</f>
        <v>0</v>
      </c>
      <c r="BG23" s="363" t="str">
        <f>Avril!BL25</f>
        <v>A</v>
      </c>
      <c r="BH23" s="29"/>
      <c r="BI23" s="354"/>
      <c r="BL23" s="149"/>
      <c r="CD23" s="346"/>
      <c r="CE23" s="107">
        <f t="shared" si="33"/>
        <v>45753</v>
      </c>
      <c r="CF23" s="172">
        <f>+$D$13+5</f>
        <v>45753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45753</v>
      </c>
      <c r="EM23" s="16" t="str">
        <f t="shared" si="29"/>
        <v>Fiche infoA745753</v>
      </c>
      <c r="EN23" s="16">
        <f t="shared" si="20"/>
        <v>0</v>
      </c>
      <c r="EQ23" s="16" t="str">
        <f>Avril!FS25</f>
        <v/>
      </c>
    </row>
    <row r="24" spans="1:147" ht="18" customHeight="1" x14ac:dyDescent="0.2">
      <c r="A24" s="24" t="str">
        <f>+Avril!BJ26</f>
        <v>Fiche infoA1</v>
      </c>
      <c r="B24" s="107">
        <f t="shared" si="30"/>
        <v>45754</v>
      </c>
      <c r="C24" s="172">
        <f>+$D$13+6</f>
        <v>45754</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Avril!BC26</f>
        <v>0</v>
      </c>
      <c r="J24" s="34">
        <f>Avril!BE26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infoA1</v>
      </c>
      <c r="BB24" s="107">
        <f t="shared" si="31"/>
        <v>45754</v>
      </c>
      <c r="BC24" s="172">
        <f>+$D$13+6</f>
        <v>45754</v>
      </c>
      <c r="BD24" s="173" t="str">
        <f t="shared" si="32"/>
        <v/>
      </c>
      <c r="BE24" s="173" t="str">
        <f>+IF(OR(BF24=S.CAL!$BJ$3,BF24=S.CAL!$BJ$4),BD24,"")</f>
        <v/>
      </c>
      <c r="BF24" s="351">
        <f>IF($DY$5=S.CAL!$CU$2,Avril!AR26,IF($DY$5=S.CAL!$CU$3,VLOOKUP(BC24,planning_fp,7,FALSE),""))</f>
        <v>0</v>
      </c>
      <c r="BG24" s="363" t="str">
        <f>Avril!BL26</f>
        <v>A</v>
      </c>
      <c r="BL24" s="35"/>
      <c r="BM24" s="197"/>
      <c r="BO24" s="29"/>
      <c r="BP24" s="184"/>
      <c r="BR24" s="16" t="s">
        <v>758</v>
      </c>
      <c r="BV24" s="373"/>
      <c r="BW24" s="373"/>
      <c r="BX24" s="373"/>
      <c r="BY24" s="373" t="s">
        <v>708</v>
      </c>
      <c r="BZ24" s="373"/>
      <c r="CA24" s="373"/>
      <c r="CB24" s="373"/>
      <c r="CD24" s="346"/>
      <c r="CE24" s="107">
        <f t="shared" si="33"/>
        <v>45754</v>
      </c>
      <c r="CF24" s="172">
        <f>+$D$13+6</f>
        <v>45754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45754</v>
      </c>
      <c r="EM24" s="16" t="str">
        <f t="shared" si="29"/>
        <v>Fiche infoA145754</v>
      </c>
      <c r="EN24" s="16">
        <f t="shared" si="20"/>
        <v>0</v>
      </c>
      <c r="EQ24" s="16" t="str">
        <f>Avril!FS26</f>
        <v/>
      </c>
    </row>
    <row r="25" spans="1:147" ht="18" customHeight="1" x14ac:dyDescent="0.2">
      <c r="A25" s="24" t="str">
        <f>+Avril!BJ27</f>
        <v>Fiche infoA2</v>
      </c>
      <c r="B25" s="107">
        <f t="shared" si="30"/>
        <v>45755</v>
      </c>
      <c r="C25" s="172">
        <f>+$D$13+7</f>
        <v>45755</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Avril!BC27</f>
        <v>0</v>
      </c>
      <c r="J25" s="34">
        <f>Avril!BE27</f>
        <v>0</v>
      </c>
      <c r="K25" s="34">
        <f t="shared" si="15"/>
        <v>0</v>
      </c>
      <c r="L25" s="34" t="str">
        <f t="shared" si="21"/>
        <v/>
      </c>
      <c r="AK25" s="1211" t="s">
        <v>329</v>
      </c>
      <c r="AL25" s="1335">
        <f>+IF(AL22,AL24/AL22,0)</f>
        <v>0</v>
      </c>
      <c r="BA25" s="349" t="str">
        <f t="shared" si="16"/>
        <v>Fiche infoA2</v>
      </c>
      <c r="BB25" s="107">
        <f t="shared" si="31"/>
        <v>45755</v>
      </c>
      <c r="BC25" s="172">
        <f>+$D$13+7</f>
        <v>45755</v>
      </c>
      <c r="BD25" s="173" t="str">
        <f t="shared" si="32"/>
        <v/>
      </c>
      <c r="BE25" s="173" t="str">
        <f>+IF(OR(BF25=S.CAL!$BJ$3,BF25=S.CAL!$BJ$4),BD25,"")</f>
        <v/>
      </c>
      <c r="BF25" s="351">
        <f>IF($DY$5=S.CAL!$CU$2,Avril!AR27,IF($DY$5=S.CAL!$CU$3,VLOOKUP(BC25,planning_fp,7,FALSE),""))</f>
        <v>0</v>
      </c>
      <c r="BG25" s="363" t="str">
        <f>Avril!BL27</f>
        <v>A</v>
      </c>
      <c r="BH25" s="150"/>
      <c r="BL25" s="35"/>
      <c r="BO25" s="29"/>
      <c r="BP25" s="184"/>
      <c r="BV25" s="373"/>
      <c r="BW25" s="373"/>
      <c r="BX25" s="373"/>
      <c r="BY25" s="373"/>
      <c r="BZ25" s="373"/>
      <c r="CA25" s="373"/>
      <c r="CB25" s="373"/>
      <c r="CD25" s="346"/>
      <c r="CE25" s="107">
        <f t="shared" si="33"/>
        <v>45755</v>
      </c>
      <c r="CF25" s="172">
        <f>+$D$13+7</f>
        <v>45755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45755</v>
      </c>
      <c r="EM25" s="16" t="str">
        <f t="shared" si="29"/>
        <v>Fiche infoA245755</v>
      </c>
      <c r="EN25" s="16">
        <f t="shared" si="20"/>
        <v>0</v>
      </c>
      <c r="EQ25" s="16" t="str">
        <f>Avril!FS27</f>
        <v/>
      </c>
    </row>
    <row r="26" spans="1:147" ht="18" customHeight="1" x14ac:dyDescent="0.2">
      <c r="A26" s="24" t="str">
        <f>+Avril!BJ28</f>
        <v>Fiche infoA3</v>
      </c>
      <c r="B26" s="107">
        <f t="shared" si="30"/>
        <v>45756</v>
      </c>
      <c r="C26" s="172">
        <f>+$D$13+8</f>
        <v>45756</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Avril!BC28</f>
        <v>0</v>
      </c>
      <c r="J26" s="34">
        <f>Avril!BE28</f>
        <v>0</v>
      </c>
      <c r="K26" s="34">
        <f t="shared" si="15"/>
        <v>0</v>
      </c>
      <c r="L26" s="34" t="str">
        <f t="shared" si="21"/>
        <v/>
      </c>
      <c r="O26" s="16" t="s">
        <v>1217</v>
      </c>
      <c r="AK26" s="1211" t="s">
        <v>330</v>
      </c>
      <c r="AL26" s="1335">
        <f>IF(AS21,SUM(AT13:AT20)/AS21,0)</f>
        <v>0</v>
      </c>
      <c r="BA26" s="349" t="str">
        <f t="shared" si="16"/>
        <v>Fiche infoA3</v>
      </c>
      <c r="BB26" s="107">
        <f t="shared" si="31"/>
        <v>45756</v>
      </c>
      <c r="BC26" s="172">
        <f>+$D$13+8</f>
        <v>45756</v>
      </c>
      <c r="BD26" s="173" t="str">
        <f t="shared" si="32"/>
        <v/>
      </c>
      <c r="BE26" s="173" t="str">
        <f>+IF(OR(BF26=S.CAL!$BJ$3,BF26=S.CAL!$BJ$4),BD26,"")</f>
        <v/>
      </c>
      <c r="BF26" s="351">
        <f>IF($DY$5=S.CAL!$CU$2,Avril!AR28,IF($DY$5=S.CAL!$CU$3,VLOOKUP(BC26,planning_fp,7,FALSE),""))</f>
        <v>0</v>
      </c>
      <c r="BG26" s="363" t="str">
        <f>Avril!BL28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45756</v>
      </c>
      <c r="CF26" s="172">
        <f>+$D$13+8</f>
        <v>45756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45756</v>
      </c>
      <c r="EM26" s="16" t="str">
        <f t="shared" si="29"/>
        <v>Fiche infoA345756</v>
      </c>
      <c r="EN26" s="16">
        <f t="shared" si="20"/>
        <v>0</v>
      </c>
      <c r="EQ26" s="16" t="str">
        <f>Avril!FS28</f>
        <v/>
      </c>
    </row>
    <row r="27" spans="1:147" ht="18" customHeight="1" x14ac:dyDescent="0.2">
      <c r="A27" s="24" t="str">
        <f>+Avril!BJ29</f>
        <v>Fiche infoA4</v>
      </c>
      <c r="B27" s="107">
        <f t="shared" si="30"/>
        <v>45757</v>
      </c>
      <c r="C27" s="172">
        <f>+$D$13+9</f>
        <v>45757</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Avril!BC29</f>
        <v>0</v>
      </c>
      <c r="J27" s="34">
        <f>Avril!BE29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infoA4</v>
      </c>
      <c r="BB27" s="107">
        <f t="shared" si="31"/>
        <v>45757</v>
      </c>
      <c r="BC27" s="172">
        <f>+$D$13+9</f>
        <v>45757</v>
      </c>
      <c r="BD27" s="173" t="str">
        <f t="shared" si="32"/>
        <v/>
      </c>
      <c r="BE27" s="173" t="str">
        <f>+IF(OR(BF27=S.CAL!$BJ$3,BF27=S.CAL!$BJ$4),BD27,"")</f>
        <v/>
      </c>
      <c r="BF27" s="351">
        <f>IF($DY$5=S.CAL!$CU$2,Avril!AR29,IF($DY$5=S.CAL!$CU$3,VLOOKUP(BC27,planning_fp,7,FALSE),""))</f>
        <v>0</v>
      </c>
      <c r="BG27" s="363" t="str">
        <f>Avril!BL29</f>
        <v>A</v>
      </c>
      <c r="BI27" s="16" t="s">
        <v>758</v>
      </c>
      <c r="BL27" s="35"/>
      <c r="BP27" s="2401"/>
      <c r="BQ27" s="2401"/>
      <c r="BR27" s="2401"/>
      <c r="BS27" s="2401"/>
      <c r="BT27" s="2400"/>
      <c r="BV27" s="373"/>
      <c r="BW27" s="373"/>
      <c r="BX27" s="2488"/>
      <c r="BY27" s="2488"/>
      <c r="BZ27" s="2488"/>
      <c r="CA27" s="2488"/>
      <c r="CB27" s="2487"/>
      <c r="CD27" s="346"/>
      <c r="CE27" s="107">
        <f t="shared" si="33"/>
        <v>45757</v>
      </c>
      <c r="CF27" s="172">
        <f>+$D$13+9</f>
        <v>45757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45757</v>
      </c>
      <c r="EM27" s="16" t="str">
        <f t="shared" si="29"/>
        <v>Fiche infoA445757</v>
      </c>
      <c r="EN27" s="16">
        <f t="shared" si="20"/>
        <v>0</v>
      </c>
      <c r="EQ27" s="16" t="str">
        <f>Avril!FS29</f>
        <v/>
      </c>
    </row>
    <row r="28" spans="1:147" ht="18" customHeight="1" x14ac:dyDescent="0.2">
      <c r="A28" s="24" t="str">
        <f>+Avril!BJ30</f>
        <v>Fiche infoA5</v>
      </c>
      <c r="B28" s="107">
        <f t="shared" si="30"/>
        <v>45758</v>
      </c>
      <c r="C28" s="172">
        <f>+$D$13+10</f>
        <v>45758</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Avril!BC30</f>
        <v>0</v>
      </c>
      <c r="J28" s="34">
        <f>Avril!BE30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infoA5</v>
      </c>
      <c r="BB28" s="107">
        <f t="shared" si="31"/>
        <v>45758</v>
      </c>
      <c r="BC28" s="172">
        <f>+$D$13+10</f>
        <v>45758</v>
      </c>
      <c r="BD28" s="173" t="str">
        <f t="shared" si="32"/>
        <v/>
      </c>
      <c r="BE28" s="173" t="str">
        <f>+IF(OR(BF28=S.CAL!$BJ$3,BF28=S.CAL!$BJ$4),BD28,"")</f>
        <v/>
      </c>
      <c r="BF28" s="351">
        <f>IF($DY$5=S.CAL!$CU$2,Avril!AR30,IF($DY$5=S.CAL!$CU$3,VLOOKUP(BC28,planning_fp,7,FALSE),""))</f>
        <v>0</v>
      </c>
      <c r="BG28" s="363" t="str">
        <f>Avril!BL30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45758</v>
      </c>
      <c r="CF28" s="172">
        <f>+$D$13+10</f>
        <v>45758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45758</v>
      </c>
      <c r="EM28" s="16" t="str">
        <f t="shared" si="29"/>
        <v>Fiche infoA545758</v>
      </c>
      <c r="EN28" s="16">
        <f t="shared" si="20"/>
        <v>0</v>
      </c>
      <c r="EQ28" s="16" t="str">
        <f>Avril!FS30</f>
        <v/>
      </c>
    </row>
    <row r="29" spans="1:147" ht="18" customHeight="1" x14ac:dyDescent="0.2">
      <c r="A29" s="24" t="str">
        <f>+Avril!BJ31</f>
        <v>Fiche infoA6</v>
      </c>
      <c r="B29" s="107">
        <f t="shared" si="30"/>
        <v>45759</v>
      </c>
      <c r="C29" s="172">
        <f>+$D$13+11</f>
        <v>45759</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Avril!BC31</f>
        <v>0</v>
      </c>
      <c r="J29" s="34">
        <f>Avril!BE31</f>
        <v>0</v>
      </c>
      <c r="K29" s="34">
        <f t="shared" si="15"/>
        <v>0</v>
      </c>
      <c r="L29" s="34" t="str">
        <f t="shared" si="21"/>
        <v/>
      </c>
      <c r="O29" s="877" t="s">
        <v>1471</v>
      </c>
      <c r="P29" s="877"/>
      <c r="Q29" s="877"/>
      <c r="R29" s="877"/>
      <c r="BA29" s="349" t="str">
        <f t="shared" si="16"/>
        <v>Fiche infoA6</v>
      </c>
      <c r="BB29" s="107">
        <f t="shared" si="31"/>
        <v>45759</v>
      </c>
      <c r="BC29" s="172">
        <f>+$D$13+11</f>
        <v>45759</v>
      </c>
      <c r="BD29" s="173" t="str">
        <f t="shared" si="32"/>
        <v/>
      </c>
      <c r="BE29" s="173" t="str">
        <f>+IF(OR(BF29=S.CAL!$BJ$3,BF29=S.CAL!$BJ$4),BD29,"")</f>
        <v/>
      </c>
      <c r="BF29" s="351">
        <f>IF($DY$5=S.CAL!$CU$2,Avril!AR31,IF($DY$5=S.CAL!$CU$3,VLOOKUP(BC29,planning_fp,7,FALSE),""))</f>
        <v>0</v>
      </c>
      <c r="BG29" s="363" t="str">
        <f>Avril!BL31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45759</v>
      </c>
      <c r="CF29" s="172">
        <f>+$D$13+11</f>
        <v>45759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45759</v>
      </c>
      <c r="EM29" s="16" t="str">
        <f t="shared" si="29"/>
        <v>Fiche infoA645759</v>
      </c>
      <c r="EN29" s="16">
        <f t="shared" si="20"/>
        <v>0</v>
      </c>
      <c r="EQ29" s="16" t="str">
        <f>Avril!FS31</f>
        <v/>
      </c>
    </row>
    <row r="30" spans="1:147" ht="18" customHeight="1" x14ac:dyDescent="0.25">
      <c r="A30" s="24" t="str">
        <f>+Avril!BJ32</f>
        <v>Fiche infoA7</v>
      </c>
      <c r="B30" s="107">
        <f t="shared" si="30"/>
        <v>45760</v>
      </c>
      <c r="C30" s="172">
        <f>+$D$13+12</f>
        <v>45760</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Avril!BC32</f>
        <v>0</v>
      </c>
      <c r="J30" s="34">
        <f>Avril!BE32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45748</v>
      </c>
      <c r="AP30" s="2496"/>
      <c r="AQ30" s="2496"/>
      <c r="BA30" s="349" t="str">
        <f t="shared" si="16"/>
        <v>Fiche infoA7</v>
      </c>
      <c r="BB30" s="107">
        <f t="shared" si="31"/>
        <v>45760</v>
      </c>
      <c r="BC30" s="172">
        <f>+$D$13+12</f>
        <v>45760</v>
      </c>
      <c r="BD30" s="173" t="str">
        <f t="shared" si="32"/>
        <v/>
      </c>
      <c r="BE30" s="173" t="str">
        <f>+IF(OR(BF30=S.CAL!$BJ$3,BF30=S.CAL!$BJ$4),BD30,"")</f>
        <v/>
      </c>
      <c r="BF30" s="351">
        <f>IF($DY$5=S.CAL!$CU$2,Avril!AR32,IF($DY$5=S.CAL!$CU$3,VLOOKUP(BC30,planning_fp,7,FALSE),""))</f>
        <v>0</v>
      </c>
      <c r="BG30" s="363" t="str">
        <f>Avril!BL32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45760</v>
      </c>
      <c r="CF30" s="172">
        <f>+$D$13+12</f>
        <v>45760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45760</v>
      </c>
      <c r="EM30" s="16" t="str">
        <f t="shared" si="29"/>
        <v>Fiche infoA745760</v>
      </c>
      <c r="EN30" s="16">
        <f t="shared" si="20"/>
        <v>0</v>
      </c>
      <c r="EQ30" s="16" t="str">
        <f>Avril!FS32</f>
        <v/>
      </c>
    </row>
    <row r="31" spans="1:147" ht="18" customHeight="1" x14ac:dyDescent="0.2">
      <c r="A31" s="24" t="str">
        <f>+Avril!BJ33</f>
        <v>Fiche infoA1</v>
      </c>
      <c r="B31" s="107">
        <f t="shared" si="30"/>
        <v>45761</v>
      </c>
      <c r="C31" s="172">
        <f>+$D$13+13</f>
        <v>45761</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Avril!BC33</f>
        <v>0</v>
      </c>
      <c r="J31" s="34">
        <f>Avril!BE33</f>
        <v>0</v>
      </c>
      <c r="K31" s="34">
        <f t="shared" si="15"/>
        <v>0</v>
      </c>
      <c r="L31" s="34" t="str">
        <f t="shared" si="21"/>
        <v/>
      </c>
      <c r="AL31" s="581" t="s">
        <v>351</v>
      </c>
      <c r="BA31" s="349" t="str">
        <f t="shared" si="16"/>
        <v>Fiche infoA1</v>
      </c>
      <c r="BB31" s="107">
        <f t="shared" si="31"/>
        <v>45761</v>
      </c>
      <c r="BC31" s="172">
        <f>+$D$13+13</f>
        <v>45761</v>
      </c>
      <c r="BD31" s="173" t="str">
        <f t="shared" si="32"/>
        <v/>
      </c>
      <c r="BE31" s="173" t="str">
        <f>+IF(OR(BF31=S.CAL!$BJ$3,BF31=S.CAL!$BJ$4),BD31,"")</f>
        <v/>
      </c>
      <c r="BF31" s="351">
        <f>IF($DY$5=S.CAL!$CU$2,Avril!AR33,IF($DY$5=S.CAL!$CU$3,VLOOKUP(BC31,planning_fp,7,FALSE),""))</f>
        <v>0</v>
      </c>
      <c r="BG31" s="363" t="str">
        <f>Avril!BL33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45761</v>
      </c>
      <c r="CF31" s="172">
        <f>+$D$13+13</f>
        <v>45761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45761</v>
      </c>
      <c r="EM31" s="16" t="str">
        <f t="shared" si="29"/>
        <v>Fiche infoA145761</v>
      </c>
      <c r="EN31" s="16">
        <f t="shared" si="20"/>
        <v>0</v>
      </c>
      <c r="EQ31" s="16" t="str">
        <f>Avril!FS33</f>
        <v/>
      </c>
    </row>
    <row r="32" spans="1:147" ht="18" customHeight="1" x14ac:dyDescent="0.2">
      <c r="A32" s="24" t="str">
        <f>+Avril!BJ34</f>
        <v>Fiche infoA2</v>
      </c>
      <c r="B32" s="107">
        <f t="shared" si="30"/>
        <v>45762</v>
      </c>
      <c r="C32" s="172">
        <f>+$D$13+14</f>
        <v>45762</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Avril!BC34</f>
        <v>0</v>
      </c>
      <c r="J32" s="34">
        <f>Avril!BE34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infoA2</v>
      </c>
      <c r="BB32" s="107">
        <f t="shared" si="31"/>
        <v>45762</v>
      </c>
      <c r="BC32" s="172">
        <f>+$D$13+14</f>
        <v>45762</v>
      </c>
      <c r="BD32" s="173" t="str">
        <f t="shared" si="32"/>
        <v/>
      </c>
      <c r="BE32" s="173" t="str">
        <f>+IF(OR(BF32=S.CAL!$BJ$3,BF32=S.CAL!$BJ$4),BD32,"")</f>
        <v/>
      </c>
      <c r="BF32" s="351">
        <f>IF($DY$5=S.CAL!$CU$2,Avril!AR34,IF($DY$5=S.CAL!$CU$3,VLOOKUP(BC32,planning_fp,7,FALSE),""))</f>
        <v>0</v>
      </c>
      <c r="BG32" s="363" t="str">
        <f>Avril!BL34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45762</v>
      </c>
      <c r="CF32" s="172">
        <f>+$D$13+14</f>
        <v>45762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45762</v>
      </c>
      <c r="EM32" s="16" t="str">
        <f t="shared" si="29"/>
        <v>Fiche infoA245762</v>
      </c>
      <c r="EN32" s="16">
        <f t="shared" si="20"/>
        <v>0</v>
      </c>
      <c r="EQ32" s="16" t="str">
        <f>Avril!FS34</f>
        <v/>
      </c>
    </row>
    <row r="33" spans="1:147" ht="18" customHeight="1" x14ac:dyDescent="0.2">
      <c r="A33" s="24" t="str">
        <f>+Avril!BJ35</f>
        <v>Fiche infoA3</v>
      </c>
      <c r="B33" s="107">
        <f t="shared" si="30"/>
        <v>45763</v>
      </c>
      <c r="C33" s="172">
        <f>+$D$13+15</f>
        <v>45763</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Avril!BC35</f>
        <v>0</v>
      </c>
      <c r="J33" s="34">
        <f>Avril!BE35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infoA3</v>
      </c>
      <c r="BB33" s="107">
        <f t="shared" si="31"/>
        <v>45763</v>
      </c>
      <c r="BC33" s="172">
        <f>+$D$13+15</f>
        <v>45763</v>
      </c>
      <c r="BD33" s="173" t="str">
        <f t="shared" si="32"/>
        <v/>
      </c>
      <c r="BE33" s="173" t="str">
        <f>+IF(OR(BF33=S.CAL!$BJ$3,BF33=S.CAL!$BJ$4),BD33,"")</f>
        <v/>
      </c>
      <c r="BF33" s="351">
        <f>IF($DY$5=S.CAL!$CU$2,Avril!AR35,IF($DY$5=S.CAL!$CU$3,VLOOKUP(BC33,planning_fp,7,FALSE),""))</f>
        <v>0</v>
      </c>
      <c r="BG33" s="363" t="str">
        <f>Avril!BL35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45763</v>
      </c>
      <c r="CF33" s="172">
        <f>+$D$13+15</f>
        <v>45763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45763</v>
      </c>
      <c r="EM33" s="16" t="str">
        <f t="shared" si="29"/>
        <v>Fiche infoA345763</v>
      </c>
      <c r="EN33" s="16">
        <f t="shared" si="20"/>
        <v>0</v>
      </c>
      <c r="EQ33" s="16" t="str">
        <f>Avril!FS35</f>
        <v/>
      </c>
    </row>
    <row r="34" spans="1:147" ht="18" customHeight="1" x14ac:dyDescent="0.2">
      <c r="A34" s="24" t="str">
        <f>+Avril!BJ36</f>
        <v>Fiche infoA4</v>
      </c>
      <c r="B34" s="107">
        <f t="shared" si="30"/>
        <v>45764</v>
      </c>
      <c r="C34" s="172">
        <f>+$D$13+16</f>
        <v>45764</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Avril!BC36</f>
        <v>0</v>
      </c>
      <c r="J34" s="34">
        <f>Avril!BE36</f>
        <v>0</v>
      </c>
      <c r="K34" s="34">
        <f t="shared" si="15"/>
        <v>0</v>
      </c>
      <c r="L34" s="34" t="str">
        <f t="shared" si="21"/>
        <v/>
      </c>
      <c r="N34" s="395"/>
      <c r="O34" s="395"/>
      <c r="P34" s="395"/>
      <c r="Q34" s="395"/>
      <c r="R34" s="395"/>
      <c r="T34" s="581">
        <f>+IF(AD34=0,V34,0)</f>
        <v>0</v>
      </c>
      <c r="U34" s="1323" t="str">
        <f>+Avril!AU4</f>
        <v>A</v>
      </c>
      <c r="V34" s="1323">
        <f>IFERROR(+VLOOKUP(U34,U35:AB39,7,FALSE),"")</f>
        <v>0</v>
      </c>
      <c r="W34" s="2482" t="str">
        <f>Avril!BS28</f>
        <v>Semaine numéro : 14</v>
      </c>
      <c r="X34" s="2482"/>
      <c r="Y34" s="2482"/>
      <c r="Z34" s="1345"/>
      <c r="AA34" s="1338">
        <f>+IF(Z34&lt;&gt;"",Z34,IF(T34&gt;0,T34,IF(AND(AD34&gt;0,AC34&gt;0),AD34+AC34,IF(AE34&gt;0,0,AC34))))</f>
        <v>0</v>
      </c>
      <c r="AB34" s="1338">
        <f>IF(AND(AA34&gt;45,AD34=AD48),AA34-45,0)</f>
        <v>0</v>
      </c>
      <c r="AC34" s="1344">
        <f>+SUMIF(Avril!$BK$20:$BK$50,Avril!AT4,$D$18:$D$48)</f>
        <v>0</v>
      </c>
      <c r="AD34" s="1344">
        <f>+SUMIF(Mars!$BK$20:$BK$50,Avril!AT4,'Retenue Mars'!$D$18:$D$48)</f>
        <v>0</v>
      </c>
      <c r="AE34" s="1344">
        <f>+SUMIF(Mai!$BK$20:$BK$50,Avril!AT4,'Retenue Mai'!$D$18:$D$48)</f>
        <v>0</v>
      </c>
      <c r="AF34" s="1338">
        <f>+AC34-AB34</f>
        <v>0</v>
      </c>
      <c r="AK34" s="1211" t="s">
        <v>333</v>
      </c>
      <c r="AL34" s="1324" t="e">
        <f>IF(AL32,+AL24/AL32,0)</f>
        <v>#VALUE!</v>
      </c>
      <c r="BA34" s="349" t="str">
        <f t="shared" si="16"/>
        <v>Fiche infoA4</v>
      </c>
      <c r="BB34" s="107">
        <f t="shared" si="31"/>
        <v>45764</v>
      </c>
      <c r="BC34" s="172">
        <f>+$D$13+16</f>
        <v>45764</v>
      </c>
      <c r="BD34" s="173" t="str">
        <f t="shared" si="32"/>
        <v/>
      </c>
      <c r="BE34" s="173" t="str">
        <f>+IF(OR(BF34=S.CAL!$BJ$3,BF34=S.CAL!$BJ$4),BD34,"")</f>
        <v/>
      </c>
      <c r="BF34" s="351">
        <f>IF($DY$5=S.CAL!$CU$2,Avril!AR36,IF($DY$5=S.CAL!$CU$3,VLOOKUP(BC34,planning_fp,7,FALSE),""))</f>
        <v>0</v>
      </c>
      <c r="BG34" s="363" t="str">
        <f>Avril!BL36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45764</v>
      </c>
      <c r="CF34" s="172">
        <f>+$D$13+16</f>
        <v>45764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45764</v>
      </c>
      <c r="EM34" s="16" t="str">
        <f t="shared" si="29"/>
        <v>Fiche infoA445764</v>
      </c>
      <c r="EN34" s="16">
        <f t="shared" si="20"/>
        <v>0</v>
      </c>
      <c r="EQ34" s="16" t="str">
        <f>Avril!FS36</f>
        <v/>
      </c>
    </row>
    <row r="35" spans="1:147" ht="18" customHeight="1" x14ac:dyDescent="0.2">
      <c r="A35" s="24" t="str">
        <f>+Avril!BJ37</f>
        <v>Fiche infoA5</v>
      </c>
      <c r="B35" s="107">
        <f t="shared" si="30"/>
        <v>45765</v>
      </c>
      <c r="C35" s="172">
        <f>+$D$13+17</f>
        <v>45765</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Avril!BC37</f>
        <v>0</v>
      </c>
      <c r="J35" s="34">
        <f>Avril!BE37</f>
        <v>0</v>
      </c>
      <c r="K35" s="34">
        <f t="shared" si="15"/>
        <v>0</v>
      </c>
      <c r="L35" s="34" t="str">
        <f t="shared" si="21"/>
        <v/>
      </c>
      <c r="N35" s="395"/>
      <c r="O35" s="879" t="s">
        <v>1218</v>
      </c>
      <c r="P35" s="880"/>
      <c r="Q35" s="880"/>
      <c r="R35" s="876"/>
      <c r="T35" s="581">
        <f>+IF(AD35=0,V35,0)</f>
        <v>0</v>
      </c>
      <c r="U35" s="1323" t="str">
        <f>+Avril!AU5</f>
        <v>A</v>
      </c>
      <c r="V35" s="1323">
        <f>IFERROR(+VLOOKUP(U35,U36:AB39,7,FALSE),"")</f>
        <v>0</v>
      </c>
      <c r="W35" s="2482" t="str">
        <f>Avril!BS29</f>
        <v>Semaine numéro : 15</v>
      </c>
      <c r="X35" s="2482"/>
      <c r="Y35" s="2482"/>
      <c r="Z35" s="1345"/>
      <c r="AA35" s="1338">
        <f>+IF(Z35&lt;&gt;"",Z35,IF(T35&gt;0,T35,IF(AND(AD35&gt;0,AC35&gt;0),AD35+AC35,IF(AE35&gt;0,0,AC35))))</f>
        <v>0</v>
      </c>
      <c r="AB35" s="1338">
        <f t="shared" ref="AB35:AB39" si="44">IF(AND(AA35&gt;45,AD35=AD49),AA35-45,0)</f>
        <v>0</v>
      </c>
      <c r="AC35" s="1344">
        <f>+SUMIF(Avril!$BK$20:$BK$50,Avril!AT5,$D$18:$D$48)</f>
        <v>0</v>
      </c>
      <c r="AD35" s="1344">
        <f>+SUMIF(Mars!$BK$20:$BK$50,Avril!AT5,'Retenue Mars'!$D$18:$D$48)</f>
        <v>0</v>
      </c>
      <c r="AE35" s="1344">
        <f>+SUMIF(Mai!$BK$20:$BK$50,Avril!AT5,'Retenue Mai'!$D$18:$D$48)</f>
        <v>0</v>
      </c>
      <c r="AF35" s="1338">
        <f t="shared" ref="AF35:AF39" si="45">+AC35-AB35</f>
        <v>0</v>
      </c>
      <c r="AK35" s="1211"/>
      <c r="AL35" s="1324"/>
      <c r="BA35" s="349" t="str">
        <f t="shared" si="16"/>
        <v>Fiche infoA5</v>
      </c>
      <c r="BB35" s="107">
        <f t="shared" si="31"/>
        <v>45765</v>
      </c>
      <c r="BC35" s="172">
        <f>+$D$13+17</f>
        <v>45765</v>
      </c>
      <c r="BD35" s="173" t="str">
        <f t="shared" si="32"/>
        <v/>
      </c>
      <c r="BE35" s="173" t="str">
        <f>+IF(OR(BF35=S.CAL!$BJ$3,BF35=S.CAL!$BJ$4),BD35,"")</f>
        <v/>
      </c>
      <c r="BF35" s="351">
        <f>IF($DY$5=S.CAL!$CU$2,Avril!AR37,IF($DY$5=S.CAL!$CU$3,VLOOKUP(BC35,planning_fp,7,FALSE),""))</f>
        <v>0</v>
      </c>
      <c r="BG35" s="363" t="str">
        <f>Avril!BL37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45765</v>
      </c>
      <c r="CF35" s="172">
        <f>+$D$13+17</f>
        <v>45765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45765</v>
      </c>
      <c r="EM35" s="16" t="str">
        <f t="shared" si="29"/>
        <v>Fiche infoA545765</v>
      </c>
      <c r="EN35" s="16">
        <f t="shared" si="20"/>
        <v>0</v>
      </c>
      <c r="EQ35" s="16" t="str">
        <f>Avril!FS37</f>
        <v/>
      </c>
    </row>
    <row r="36" spans="1:147" ht="18" customHeight="1" x14ac:dyDescent="0.2">
      <c r="A36" s="24" t="str">
        <f>+Avril!BJ38</f>
        <v>Fiche infoA6</v>
      </c>
      <c r="B36" s="107">
        <f t="shared" si="30"/>
        <v>45766</v>
      </c>
      <c r="C36" s="172">
        <f>+$D$13+18</f>
        <v>45766</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Avril!BC38</f>
        <v>0</v>
      </c>
      <c r="J36" s="34">
        <f>Avril!BE38</f>
        <v>0</v>
      </c>
      <c r="K36" s="34">
        <f t="shared" si="15"/>
        <v>0</v>
      </c>
      <c r="L36" s="34" t="str">
        <f t="shared" si="21"/>
        <v/>
      </c>
      <c r="N36" s="395"/>
      <c r="O36" s="486"/>
      <c r="P36" s="487" t="str">
        <f>+E11&amp;" / ( "&amp;E10&amp;" + "&amp;E11&amp;" ) ="</f>
        <v>0 / ( 0 + 0 ) =</v>
      </c>
      <c r="Q36" s="486" t="e">
        <f>+ROUND(E11/(E11+E10),6)</f>
        <v>#DIV/0!</v>
      </c>
      <c r="R36" s="395"/>
      <c r="U36" s="1323" t="str">
        <f>+Avril!AU6</f>
        <v>A</v>
      </c>
      <c r="V36" s="1323"/>
      <c r="W36" s="2482" t="str">
        <f>Avril!BS30</f>
        <v>Semaine numéro : 16</v>
      </c>
      <c r="X36" s="2482"/>
      <c r="Y36" s="2482"/>
      <c r="Z36" s="1345"/>
      <c r="AA36" s="1338">
        <f t="shared" ref="AA36:AA39" si="46">+IF(Z36="",IF(AND(AD36&gt;0,AC36&gt;0),AD36+AC36,IF(AE36&gt;0,0,AC36)),Z36)</f>
        <v>0</v>
      </c>
      <c r="AB36" s="1338">
        <f t="shared" si="44"/>
        <v>0</v>
      </c>
      <c r="AC36" s="1344">
        <f>+SUMIF(Avril!$BK$20:$BK$50,Avril!AT6,$D$18:$D$48)</f>
        <v>0</v>
      </c>
      <c r="AD36" s="1344">
        <f>+SUMIF(Mars!$BK$20:$BK$50,Avril!AT6,'Retenue Mars'!$D$18:$D$48)</f>
        <v>0</v>
      </c>
      <c r="AE36" s="1344">
        <f>+SUMIF(Mai!$BK$20:$BK$50,Avril!AT6,'Retenue Mai'!$D$18:$D$48)</f>
        <v>0</v>
      </c>
      <c r="AF36" s="1338">
        <f t="shared" si="45"/>
        <v>0</v>
      </c>
      <c r="AK36" s="1211"/>
      <c r="AL36" s="1324"/>
      <c r="BA36" s="349" t="str">
        <f t="shared" si="16"/>
        <v>Fiche infoA6</v>
      </c>
      <c r="BB36" s="107">
        <f t="shared" si="31"/>
        <v>45766</v>
      </c>
      <c r="BC36" s="172">
        <f>+$D$13+18</f>
        <v>45766</v>
      </c>
      <c r="BD36" s="173" t="str">
        <f t="shared" si="32"/>
        <v/>
      </c>
      <c r="BE36" s="173" t="str">
        <f>+IF(OR(BF36=S.CAL!$BJ$3,BF36=S.CAL!$BJ$4),BD36,"")</f>
        <v/>
      </c>
      <c r="BF36" s="351">
        <f>IF($DY$5=S.CAL!$CU$2,Avril!AR38,IF($DY$5=S.CAL!$CU$3,VLOOKUP(BC36,planning_fp,7,FALSE),""))</f>
        <v>0</v>
      </c>
      <c r="BG36" s="363" t="str">
        <f>Avril!BL38</f>
        <v>A</v>
      </c>
      <c r="BH36" s="374"/>
      <c r="BI36" s="375"/>
      <c r="BJ36" s="373"/>
      <c r="BK36" s="373"/>
      <c r="BL36" s="35"/>
      <c r="BS36" s="191"/>
      <c r="BT36" s="360"/>
      <c r="BU36" s="360"/>
      <c r="BV36" s="373"/>
      <c r="BW36" s="373"/>
      <c r="BX36" s="373"/>
      <c r="BY36" s="373"/>
      <c r="BZ36" s="373"/>
      <c r="CA36" s="373"/>
      <c r="CB36" s="373"/>
      <c r="CD36" s="346"/>
      <c r="CE36" s="107">
        <f t="shared" si="33"/>
        <v>45766</v>
      </c>
      <c r="CF36" s="172">
        <f>+$D$13+18</f>
        <v>45766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45766</v>
      </c>
      <c r="EM36" s="16" t="str">
        <f t="shared" si="29"/>
        <v>Fiche infoA645766</v>
      </c>
      <c r="EN36" s="16">
        <f t="shared" si="20"/>
        <v>0</v>
      </c>
      <c r="EQ36" s="16" t="str">
        <f>Avril!FS38</f>
        <v/>
      </c>
    </row>
    <row r="37" spans="1:147" ht="18" customHeight="1" x14ac:dyDescent="0.2">
      <c r="A37" s="24" t="str">
        <f>+Avril!BJ39</f>
        <v>Fiche infoA7</v>
      </c>
      <c r="B37" s="107">
        <f t="shared" si="30"/>
        <v>45767</v>
      </c>
      <c r="C37" s="172">
        <f>+$D$13+19</f>
        <v>45767</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Avril!BC39</f>
        <v>0</v>
      </c>
      <c r="J37" s="34">
        <f>Avril!BE39</f>
        <v>0</v>
      </c>
      <c r="K37" s="34">
        <f t="shared" si="15"/>
        <v>0</v>
      </c>
      <c r="L37" s="34" t="str">
        <f t="shared" si="21"/>
        <v/>
      </c>
      <c r="N37" s="395"/>
      <c r="O37" s="881"/>
      <c r="P37" s="881"/>
      <c r="Q37" s="881"/>
      <c r="R37" s="395"/>
      <c r="U37" s="1323" t="str">
        <f>+Avril!AU7</f>
        <v>A</v>
      </c>
      <c r="V37" s="1323"/>
      <c r="W37" s="2482" t="str">
        <f>Avril!BS31</f>
        <v>Semaine numéro : 17</v>
      </c>
      <c r="X37" s="2482"/>
      <c r="Y37" s="2482"/>
      <c r="Z37" s="1345"/>
      <c r="AA37" s="1338">
        <f t="shared" si="46"/>
        <v>0</v>
      </c>
      <c r="AB37" s="1338">
        <f t="shared" si="44"/>
        <v>0</v>
      </c>
      <c r="AC37" s="1344">
        <f>+SUMIF(Avril!$BK$20:$BK$50,Avril!AT7,$D$18:$D$48)</f>
        <v>0</v>
      </c>
      <c r="AD37" s="1344">
        <f>+SUMIF(Mars!$BK$20:$BK$50,Avril!AT7,'Retenue Mars'!$D$18:$D$48)</f>
        <v>0</v>
      </c>
      <c r="AE37" s="1344">
        <f>+SUMIF(Mai!$BK$20:$BK$50,Avril!AT7,'Retenue Mai'!$D$18:$D$48)</f>
        <v>0</v>
      </c>
      <c r="AF37" s="1338">
        <f t="shared" si="45"/>
        <v>0</v>
      </c>
      <c r="AK37" s="1211"/>
      <c r="AL37" s="2494" t="s">
        <v>334</v>
      </c>
      <c r="AM37" s="2494" t="s">
        <v>335</v>
      </c>
      <c r="AN37" s="2495" t="s">
        <v>336</v>
      </c>
      <c r="AO37" s="2494" t="s">
        <v>337</v>
      </c>
      <c r="AP37" s="2494" t="s">
        <v>357</v>
      </c>
      <c r="AQ37" s="2494" t="s">
        <v>358</v>
      </c>
      <c r="BA37" s="349" t="str">
        <f t="shared" si="16"/>
        <v>Fiche infoA7</v>
      </c>
      <c r="BB37" s="107">
        <f t="shared" si="31"/>
        <v>45767</v>
      </c>
      <c r="BC37" s="172">
        <f>+$D$13+19</f>
        <v>45767</v>
      </c>
      <c r="BD37" s="173" t="str">
        <f t="shared" si="32"/>
        <v/>
      </c>
      <c r="BE37" s="173" t="str">
        <f>+IF(OR(BF37=S.CAL!$BJ$3,BF37=S.CAL!$BJ$4),BD37,"")</f>
        <v/>
      </c>
      <c r="BF37" s="351">
        <f>IF($DY$5=S.CAL!$CU$2,Avril!AR39,IF($DY$5=S.CAL!$CU$3,VLOOKUP(BC37,planning_fp,7,FALSE),""))</f>
        <v>0</v>
      </c>
      <c r="BG37" s="363" t="str">
        <f>Avril!BL39</f>
        <v>A</v>
      </c>
      <c r="BH37" s="373"/>
      <c r="BI37" s="373"/>
      <c r="BJ37" s="373"/>
      <c r="BK37" s="373"/>
      <c r="BL37" s="35"/>
      <c r="BO37" s="29"/>
      <c r="BP37" s="34"/>
      <c r="BS37" s="191"/>
      <c r="BT37" s="191"/>
      <c r="BV37" s="373"/>
      <c r="BW37" s="373"/>
      <c r="BX37" s="373"/>
      <c r="BY37" s="373"/>
      <c r="BZ37" s="373"/>
      <c r="CA37" s="373"/>
      <c r="CB37" s="373"/>
      <c r="CD37" s="346"/>
      <c r="CE37" s="107">
        <f t="shared" si="33"/>
        <v>45767</v>
      </c>
      <c r="CF37" s="172">
        <f>+$D$13+19</f>
        <v>45767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45767</v>
      </c>
      <c r="EM37" s="16" t="str">
        <f t="shared" si="29"/>
        <v>Fiche infoA745767</v>
      </c>
      <c r="EN37" s="16">
        <f t="shared" si="20"/>
        <v>0</v>
      </c>
      <c r="EQ37" s="16" t="str">
        <f>Avril!FS39</f>
        <v/>
      </c>
    </row>
    <row r="38" spans="1:147" ht="18" customHeight="1" x14ac:dyDescent="0.2">
      <c r="A38" s="24" t="str">
        <f>+Avril!BJ40</f>
        <v>Fiche infoA1</v>
      </c>
      <c r="B38" s="107">
        <f t="shared" si="30"/>
        <v>45768</v>
      </c>
      <c r="C38" s="172">
        <f>+$D$13+20</f>
        <v>45768</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Avril!BC40</f>
        <v>0</v>
      </c>
      <c r="J38" s="34">
        <f>Avril!BE40</f>
        <v>0</v>
      </c>
      <c r="K38" s="34">
        <f t="shared" si="15"/>
        <v>0</v>
      </c>
      <c r="L38" s="34" t="str">
        <f t="shared" si="21"/>
        <v/>
      </c>
      <c r="N38" s="395"/>
      <c r="O38" s="882" t="s">
        <v>1472</v>
      </c>
      <c r="P38" s="882"/>
      <c r="Q38" s="882"/>
      <c r="R38" s="878"/>
      <c r="U38" s="1323" t="str">
        <f>+Avril!AU8</f>
        <v>A</v>
      </c>
      <c r="V38" s="1323"/>
      <c r="W38" s="2482" t="str">
        <f>Avril!BS32</f>
        <v>Semaine numéro : 18</v>
      </c>
      <c r="X38" s="2482"/>
      <c r="Y38" s="2482"/>
      <c r="Z38" s="1345"/>
      <c r="AA38" s="1338">
        <f t="shared" si="46"/>
        <v>0</v>
      </c>
      <c r="AB38" s="1338">
        <f t="shared" si="44"/>
        <v>0</v>
      </c>
      <c r="AC38" s="1344">
        <f>+SUMIF(Avril!$BK$20:$BK$50,Avril!AT8,$D$18:$D$48)</f>
        <v>0</v>
      </c>
      <c r="AD38" s="1344">
        <f>+SUMIF(Mars!$BK$20:$BK$50,Avril!AT8,'Retenue Mars'!$D$18:$D$48)</f>
        <v>0</v>
      </c>
      <c r="AE38" s="1344">
        <f>+SUMIF(Mai!$BK$20:$BK$50,Avril!AT8,'Retenue Mai'!$D$18:$D$48)</f>
        <v>0</v>
      </c>
      <c r="AF38" s="1338">
        <f t="shared" si="45"/>
        <v>0</v>
      </c>
      <c r="AL38" s="2494"/>
      <c r="AM38" s="2494"/>
      <c r="AN38" s="2495"/>
      <c r="AO38" s="2494"/>
      <c r="AP38" s="2494"/>
      <c r="AQ38" s="2494"/>
      <c r="BA38" s="349" t="str">
        <f t="shared" si="16"/>
        <v>Fiche infoA1</v>
      </c>
      <c r="BB38" s="107">
        <f t="shared" si="31"/>
        <v>45768</v>
      </c>
      <c r="BC38" s="172">
        <f>+$D$13+20</f>
        <v>45768</v>
      </c>
      <c r="BD38" s="173" t="str">
        <f t="shared" si="32"/>
        <v/>
      </c>
      <c r="BE38" s="173" t="str">
        <f>+IF(OR(BF38=S.CAL!$BJ$3,BF38=S.CAL!$BJ$4),BD38,"")</f>
        <v/>
      </c>
      <c r="BF38" s="351">
        <f>IF($DY$5=S.CAL!$CU$2,Avril!AR40,IF($DY$5=S.CAL!$CU$3,VLOOKUP(BC38,planning_fp,7,FALSE),""))</f>
        <v>0</v>
      </c>
      <c r="BG38" s="363" t="str">
        <f>Avril!BL40</f>
        <v>A</v>
      </c>
      <c r="BH38" s="373"/>
      <c r="BI38" s="373"/>
      <c r="BJ38" s="373"/>
      <c r="BK38" s="373"/>
      <c r="BL38" s="35"/>
      <c r="BO38" s="29"/>
      <c r="BP38" s="34"/>
      <c r="BS38" s="191"/>
      <c r="BT38" s="191"/>
      <c r="BV38" s="373"/>
      <c r="BW38" s="373"/>
      <c r="BX38" s="373"/>
      <c r="BY38" s="373"/>
      <c r="BZ38" s="373"/>
      <c r="CA38" s="373"/>
      <c r="CB38" s="373"/>
      <c r="CD38" s="346"/>
      <c r="CE38" s="107">
        <f t="shared" si="33"/>
        <v>45768</v>
      </c>
      <c r="CF38" s="172">
        <f>+$D$13+20</f>
        <v>45768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45768</v>
      </c>
      <c r="EM38" s="16" t="str">
        <f t="shared" si="29"/>
        <v>Fiche infoA145768</v>
      </c>
      <c r="EN38" s="16">
        <f t="shared" si="20"/>
        <v>0</v>
      </c>
      <c r="EQ38" s="16" t="str">
        <f>Avril!FS40</f>
        <v/>
      </c>
    </row>
    <row r="39" spans="1:147" ht="18" customHeight="1" x14ac:dyDescent="0.2">
      <c r="A39" s="24" t="str">
        <f>+Avril!BJ41</f>
        <v>Fiche infoA2</v>
      </c>
      <c r="B39" s="107">
        <f t="shared" si="30"/>
        <v>45769</v>
      </c>
      <c r="C39" s="172">
        <f>+$D$13+21</f>
        <v>45769</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Avril!BC41</f>
        <v>0</v>
      </c>
      <c r="J39" s="34">
        <f>Avril!BE41</f>
        <v>0</v>
      </c>
      <c r="K39" s="34">
        <f t="shared" si="15"/>
        <v>0</v>
      </c>
      <c r="L39" s="34" t="str">
        <f t="shared" si="21"/>
        <v/>
      </c>
      <c r="N39" s="395"/>
      <c r="O39" s="486"/>
      <c r="P39" s="487" t="str">
        <f>+E10&amp;" / ( "&amp;E10&amp;" + "&amp;E11&amp;" ) ="</f>
        <v>0 / ( 0 + 0 ) =</v>
      </c>
      <c r="Q39" s="486" t="e">
        <f>ROUND(+E10/(E11+E10),6)</f>
        <v>#DIV/0!</v>
      </c>
      <c r="R39" s="395"/>
      <c r="U39" s="1323" t="str">
        <f>+Avril!AU9</f>
        <v>A</v>
      </c>
      <c r="V39" s="1323"/>
      <c r="W39" s="2482" t="str">
        <f>Avril!BS33</f>
        <v xml:space="preserve">Semaine numéro : </v>
      </c>
      <c r="X39" s="2482"/>
      <c r="Y39" s="2482"/>
      <c r="Z39" s="1345"/>
      <c r="AA39" s="1338">
        <f t="shared" si="46"/>
        <v>0</v>
      </c>
      <c r="AB39" s="1338">
        <f t="shared" si="44"/>
        <v>0</v>
      </c>
      <c r="AC39" s="1344">
        <f>+SUMIF(Avril!$BK$20:$BK$50,Avril!AT9,$D$18:$D$48)</f>
        <v>0</v>
      </c>
      <c r="AD39" s="1344">
        <f>+SUMIF(Mars!$BK$20:$BK$50,Avril!AT9,'Retenue Mars'!$D$18:$D$48)</f>
        <v>0</v>
      </c>
      <c r="AE39" s="1344">
        <f>+SUMIF(Mai!$BK$20:$BK$50,Avril!AT9,'Retenue Mai'!$D$18:$D$48)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infoA2</v>
      </c>
      <c r="BB39" s="107">
        <f t="shared" si="31"/>
        <v>45769</v>
      </c>
      <c r="BC39" s="172">
        <f>+$D$13+21</f>
        <v>45769</v>
      </c>
      <c r="BD39" s="173" t="str">
        <f t="shared" si="32"/>
        <v/>
      </c>
      <c r="BE39" s="173" t="str">
        <f>+IF(OR(BF39=S.CAL!$BJ$3,BF39=S.CAL!$BJ$4),BD39,"")</f>
        <v/>
      </c>
      <c r="BF39" s="351">
        <f>IF($DY$5=S.CAL!$CU$2,Avril!AR41,IF($DY$5=S.CAL!$CU$3,VLOOKUP(BC39,planning_fp,7,FALSE),""))</f>
        <v>0</v>
      </c>
      <c r="BG39" s="363" t="str">
        <f>Avril!BL41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45769</v>
      </c>
      <c r="CF39" s="172">
        <f>+$D$13+21</f>
        <v>45769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45769</v>
      </c>
      <c r="EM39" s="16" t="str">
        <f t="shared" si="29"/>
        <v>Fiche infoA245769</v>
      </c>
      <c r="EN39" s="16">
        <f t="shared" si="20"/>
        <v>0</v>
      </c>
      <c r="EQ39" s="16" t="str">
        <f>Avril!FS41</f>
        <v/>
      </c>
    </row>
    <row r="40" spans="1:147" ht="18" customHeight="1" x14ac:dyDescent="0.2">
      <c r="A40" s="24" t="str">
        <f>+Avril!BJ42</f>
        <v>Fiche infoA3</v>
      </c>
      <c r="B40" s="107">
        <f t="shared" si="30"/>
        <v>45770</v>
      </c>
      <c r="C40" s="172">
        <f>+$D$13+22</f>
        <v>45770</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Avril!BC42</f>
        <v>0</v>
      </c>
      <c r="J40" s="34">
        <f>Avril!BE42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infoA3</v>
      </c>
      <c r="BB40" s="107">
        <f t="shared" si="31"/>
        <v>45770</v>
      </c>
      <c r="BC40" s="172">
        <f>+$D$13+22</f>
        <v>45770</v>
      </c>
      <c r="BD40" s="173" t="str">
        <f t="shared" si="32"/>
        <v/>
      </c>
      <c r="BE40" s="173" t="str">
        <f>+IF(OR(BF40=S.CAL!$BJ$3,BF40=S.CAL!$BJ$4),BD40,"")</f>
        <v/>
      </c>
      <c r="BF40" s="351">
        <f>IF($DY$5=S.CAL!$CU$2,Avril!AR42,IF($DY$5=S.CAL!$CU$3,VLOOKUP(BC40,planning_fp,7,FALSE),""))</f>
        <v>0</v>
      </c>
      <c r="BG40" s="363" t="str">
        <f>Avril!BL42</f>
        <v>A</v>
      </c>
      <c r="BH40" s="373"/>
      <c r="BI40" s="373"/>
      <c r="BJ40" s="373"/>
      <c r="BK40" s="373"/>
      <c r="BL40" s="35"/>
      <c r="BN40" s="19"/>
      <c r="BO40" s="39"/>
      <c r="BP40" s="196"/>
      <c r="BV40" s="373"/>
      <c r="BW40" s="373"/>
      <c r="BX40" s="390"/>
      <c r="BY40" s="373"/>
      <c r="BZ40" s="373"/>
      <c r="CA40" s="373"/>
      <c r="CB40" s="373"/>
      <c r="CD40" s="346"/>
      <c r="CE40" s="107">
        <f t="shared" si="33"/>
        <v>45770</v>
      </c>
      <c r="CF40" s="172">
        <f>+$D$13+22</f>
        <v>45770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45770</v>
      </c>
      <c r="EM40" s="16" t="str">
        <f t="shared" si="29"/>
        <v>Fiche infoA345770</v>
      </c>
      <c r="EN40" s="16">
        <f t="shared" si="20"/>
        <v>0</v>
      </c>
      <c r="EQ40" s="16" t="str">
        <f>Avril!FS42</f>
        <v/>
      </c>
    </row>
    <row r="41" spans="1:147" ht="18" customHeight="1" x14ac:dyDescent="0.2">
      <c r="A41" s="24" t="str">
        <f>+Avril!BJ43</f>
        <v>Fiche infoA4</v>
      </c>
      <c r="B41" s="107">
        <f t="shared" si="30"/>
        <v>45771</v>
      </c>
      <c r="C41" s="172">
        <f>+$D$13+23</f>
        <v>45771</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Avril!BC43</f>
        <v>0</v>
      </c>
      <c r="J41" s="34">
        <f>Avril!BE43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infoA4</v>
      </c>
      <c r="BB41" s="107">
        <f t="shared" si="31"/>
        <v>45771</v>
      </c>
      <c r="BC41" s="172">
        <f>+$D$13+23</f>
        <v>45771</v>
      </c>
      <c r="BD41" s="173" t="str">
        <f t="shared" si="32"/>
        <v/>
      </c>
      <c r="BE41" s="173" t="str">
        <f>+IF(OR(BF41=S.CAL!$BJ$3,BF41=S.CAL!$BJ$4),BD41,"")</f>
        <v/>
      </c>
      <c r="BF41" s="351">
        <f>IF($DY$5=S.CAL!$CU$2,Avril!AR43,IF($DY$5=S.CAL!$CU$3,VLOOKUP(BC41,planning_fp,7,FALSE),""))</f>
        <v>0</v>
      </c>
      <c r="BG41" s="363" t="str">
        <f>Avril!BL43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45771</v>
      </c>
      <c r="CF41" s="172">
        <f>+$D$13+23</f>
        <v>45771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45771</v>
      </c>
      <c r="EM41" s="16" t="str">
        <f t="shared" si="29"/>
        <v>Fiche infoA445771</v>
      </c>
      <c r="EN41" s="16">
        <f t="shared" si="20"/>
        <v>0</v>
      </c>
      <c r="EQ41" s="16" t="str">
        <f>Avril!FS43</f>
        <v/>
      </c>
    </row>
    <row r="42" spans="1:147" ht="18" customHeight="1" x14ac:dyDescent="0.2">
      <c r="A42" s="24" t="str">
        <f>+Avril!BJ44</f>
        <v>Fiche infoA5</v>
      </c>
      <c r="B42" s="107">
        <f t="shared" si="30"/>
        <v>45772</v>
      </c>
      <c r="C42" s="172">
        <f>+$D$13+24</f>
        <v>45772</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Avril!BC44</f>
        <v>0</v>
      </c>
      <c r="J42" s="34">
        <f>Avril!BE44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infoA5</v>
      </c>
      <c r="BB42" s="107">
        <f t="shared" si="31"/>
        <v>45772</v>
      </c>
      <c r="BC42" s="172">
        <f>+$D$13+24</f>
        <v>45772</v>
      </c>
      <c r="BD42" s="173" t="str">
        <f t="shared" si="32"/>
        <v/>
      </c>
      <c r="BE42" s="173" t="str">
        <f>+IF(OR(BF42=S.CAL!$BJ$3,BF42=S.CAL!$BJ$4),BD42,"")</f>
        <v/>
      </c>
      <c r="BF42" s="351">
        <f>IF($DY$5=S.CAL!$CU$2,Avril!AR44,IF($DY$5=S.CAL!$CU$3,VLOOKUP(BC42,planning_fp,7,FALSE),""))</f>
        <v>0</v>
      </c>
      <c r="BG42" s="363" t="str">
        <f>Avril!BL44</f>
        <v>A</v>
      </c>
      <c r="BH42" s="374"/>
      <c r="BI42" s="376"/>
      <c r="BJ42" s="373"/>
      <c r="BK42" s="373"/>
      <c r="BL42" s="35"/>
      <c r="BV42" s="373"/>
      <c r="BW42" s="373"/>
      <c r="BX42" s="373"/>
      <c r="BY42" s="373"/>
      <c r="BZ42" s="373"/>
      <c r="CA42" s="373"/>
      <c r="CB42" s="373"/>
      <c r="CD42" s="346"/>
      <c r="CE42" s="107">
        <f t="shared" si="33"/>
        <v>45772</v>
      </c>
      <c r="CF42" s="172">
        <f>+$D$13+24</f>
        <v>45772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45772</v>
      </c>
      <c r="EM42" s="16" t="str">
        <f t="shared" si="29"/>
        <v>Fiche infoA545772</v>
      </c>
      <c r="EN42" s="16">
        <f t="shared" si="20"/>
        <v>0</v>
      </c>
      <c r="EQ42" s="16" t="str">
        <f>Avril!FS44</f>
        <v/>
      </c>
    </row>
    <row r="43" spans="1:147" ht="18" customHeight="1" x14ac:dyDescent="0.2">
      <c r="A43" s="24" t="str">
        <f>+Avril!BJ45</f>
        <v>Fiche infoA6</v>
      </c>
      <c r="B43" s="107">
        <f t="shared" si="30"/>
        <v>45773</v>
      </c>
      <c r="C43" s="172">
        <f>+$D$13+25</f>
        <v>45773</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Avril!BC45</f>
        <v>0</v>
      </c>
      <c r="J43" s="34">
        <f>Avril!BE45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infoA6</v>
      </c>
      <c r="BB43" s="107">
        <f t="shared" si="31"/>
        <v>45773</v>
      </c>
      <c r="BC43" s="172">
        <f>+$D$13+25</f>
        <v>45773</v>
      </c>
      <c r="BD43" s="173" t="str">
        <f t="shared" si="32"/>
        <v/>
      </c>
      <c r="BE43" s="173" t="str">
        <f>+IF(OR(BF43=S.CAL!$BJ$3,BF43=S.CAL!$BJ$4),BD43,"")</f>
        <v/>
      </c>
      <c r="BF43" s="351">
        <f>IF($DY$5=S.CAL!$CU$2,Avril!AR45,IF($DY$5=S.CAL!$CU$3,VLOOKUP(BC43,planning_fp,7,FALSE),""))</f>
        <v>0</v>
      </c>
      <c r="BG43" s="363" t="str">
        <f>Avril!BL45</f>
        <v>A</v>
      </c>
      <c r="BH43" s="24"/>
      <c r="BI43" s="24" t="s">
        <v>708</v>
      </c>
      <c r="BJ43" s="24"/>
      <c r="BK43" s="373"/>
      <c r="BL43" s="35"/>
      <c r="BV43" s="373"/>
      <c r="BW43" s="373"/>
      <c r="BX43" s="373"/>
      <c r="BY43" s="373"/>
      <c r="BZ43" s="373"/>
      <c r="CA43" s="373"/>
      <c r="CB43" s="373"/>
      <c r="CD43" s="346"/>
      <c r="CE43" s="107">
        <f t="shared" si="33"/>
        <v>45773</v>
      </c>
      <c r="CF43" s="172">
        <f>+$D$13+25</f>
        <v>45773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45773</v>
      </c>
      <c r="EM43" s="16" t="str">
        <f t="shared" si="29"/>
        <v>Fiche infoA645773</v>
      </c>
      <c r="EN43" s="16">
        <f t="shared" si="20"/>
        <v>0</v>
      </c>
      <c r="EQ43" s="16" t="str">
        <f>Avril!FS45</f>
        <v/>
      </c>
    </row>
    <row r="44" spans="1:147" ht="18" customHeight="1" x14ac:dyDescent="0.25">
      <c r="A44" s="24" t="str">
        <f>+Avril!BJ46</f>
        <v>Fiche infoA7</v>
      </c>
      <c r="B44" s="107">
        <f t="shared" si="30"/>
        <v>45774</v>
      </c>
      <c r="C44" s="172">
        <f>+$D$13+26</f>
        <v>45774</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Avril!BC46</f>
        <v>0</v>
      </c>
      <c r="J44" s="34">
        <f>Avril!BE46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infoA7</v>
      </c>
      <c r="BB44" s="107">
        <f t="shared" si="31"/>
        <v>45774</v>
      </c>
      <c r="BC44" s="172">
        <f>+$D$13+26</f>
        <v>45774</v>
      </c>
      <c r="BD44" s="173" t="str">
        <f t="shared" si="32"/>
        <v/>
      </c>
      <c r="BE44" s="173" t="str">
        <f>+IF(OR(BF44=S.CAL!$BJ$3,BF44=S.CAL!$BJ$4),BD44,"")</f>
        <v/>
      </c>
      <c r="BF44" s="351">
        <f>IF($DY$5=S.CAL!$CU$2,Avril!AR46,IF($DY$5=S.CAL!$CU$3,VLOOKUP(BC44,planning_fp,7,FALSE),""))</f>
        <v>0</v>
      </c>
      <c r="BG44" s="363" t="str">
        <f>Avril!BL46</f>
        <v>A</v>
      </c>
      <c r="BH44" s="24" t="s">
        <v>800</v>
      </c>
      <c r="BI44" s="24"/>
      <c r="BJ44" s="24"/>
      <c r="BK44" s="373"/>
      <c r="BL44" s="35"/>
      <c r="BV44" s="373"/>
      <c r="BW44" s="373"/>
      <c r="BX44" s="373"/>
      <c r="BY44" s="373"/>
      <c r="BZ44" s="373"/>
      <c r="CA44" s="373"/>
      <c r="CB44" s="373"/>
      <c r="CD44" s="346"/>
      <c r="CE44" s="107">
        <f t="shared" si="33"/>
        <v>45774</v>
      </c>
      <c r="CF44" s="172">
        <f>+$D$13+26</f>
        <v>45774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45774</v>
      </c>
      <c r="EM44" s="16" t="str">
        <f t="shared" si="29"/>
        <v>Fiche infoA745774</v>
      </c>
      <c r="EN44" s="16">
        <f t="shared" si="20"/>
        <v>0</v>
      </c>
      <c r="EQ44" s="16" t="str">
        <f>Avril!FS46</f>
        <v/>
      </c>
    </row>
    <row r="45" spans="1:147" ht="18" customHeight="1" x14ac:dyDescent="0.2">
      <c r="A45" s="24" t="str">
        <f>+Avril!BJ47</f>
        <v>Fiche infoA1</v>
      </c>
      <c r="B45" s="107">
        <f t="shared" si="30"/>
        <v>45775</v>
      </c>
      <c r="C45" s="172">
        <f>IF(C$18+27&lt;DATE(YEAR(O$13),MONTH(O$13),DAY(O$13)),C$18+27,"")</f>
        <v>45775</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Avril!BC47</f>
        <v>0</v>
      </c>
      <c r="J45" s="34">
        <f>Avril!BE47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infoA1</v>
      </c>
      <c r="BB45" s="107">
        <f t="shared" si="31"/>
        <v>45775</v>
      </c>
      <c r="BC45" s="172">
        <f>IF(BC$18+27&lt;DATE(YEAR(BH$13),MONTH(BH$13),DAY(BH$13)),BC$18+27,"")</f>
        <v>45775</v>
      </c>
      <c r="BD45" s="173" t="str">
        <f t="shared" si="32"/>
        <v/>
      </c>
      <c r="BE45" s="173" t="str">
        <f>+IF(OR(BF45=S.CAL!$BJ$3,BF45=S.CAL!$BJ$4),BD45,"")</f>
        <v/>
      </c>
      <c r="BF45" s="351">
        <f>IF($DY$5=S.CAL!$CU$2,Avril!AR47,IF($DY$5=S.CAL!$CU$3,VLOOKUP(BC45,planning_fp,7,FALSE),""))</f>
        <v>0</v>
      </c>
      <c r="BG45" s="363" t="str">
        <f>Avril!BL47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45775</v>
      </c>
      <c r="CF45" s="172">
        <f>IF(CF$18+27&lt;DATE(YEAR(CQ$13),MONTH(CQ$13),DAY(CQ$13)),CF$18+27,"")</f>
        <v>45775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45775</v>
      </c>
      <c r="EM45" s="16" t="str">
        <f t="shared" si="29"/>
        <v>Fiche infoA145775</v>
      </c>
      <c r="EN45" s="16">
        <f t="shared" si="20"/>
        <v>0</v>
      </c>
      <c r="EQ45" s="16" t="str">
        <f>Avril!FS47</f>
        <v/>
      </c>
    </row>
    <row r="46" spans="1:147" ht="18" customHeight="1" x14ac:dyDescent="0.2">
      <c r="A46" s="24" t="str">
        <f>+Avril!BJ48</f>
        <v>Fiche infoA2</v>
      </c>
      <c r="B46" s="107">
        <f t="shared" si="30"/>
        <v>45776</v>
      </c>
      <c r="C46" s="172">
        <f>IF(C$18+28&lt;DATE(YEAR(O$13),MONTH(O$13),DAY(O$13)),C$18+28,"")</f>
        <v>45776</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Avril!BC48</f>
        <v>0</v>
      </c>
      <c r="J46" s="34">
        <f>Avril!BE48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infoA2</v>
      </c>
      <c r="BB46" s="107">
        <f t="shared" si="31"/>
        <v>45776</v>
      </c>
      <c r="BC46" s="172">
        <f>IF(BC$18+28&lt;DATE(YEAR(BH$13),MONTH(BH$13),DAY(BH$13)),BC$18+28,"")</f>
        <v>45776</v>
      </c>
      <c r="BD46" s="173" t="str">
        <f t="shared" si="32"/>
        <v/>
      </c>
      <c r="BE46" s="173" t="str">
        <f>+IF(OR(BF46=S.CAL!$BJ$3,BF46=S.CAL!$BJ$4),BD46,"")</f>
        <v/>
      </c>
      <c r="BF46" s="351">
        <f>IF($DY$5=S.CAL!$CU$2,Avril!AR48,IF($DY$5=S.CAL!$CU$3,VLOOKUP(BC46,planning_fp,7,FALSE),""))</f>
        <v>0</v>
      </c>
      <c r="BG46" s="363" t="str">
        <f>Avril!BL48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45776</v>
      </c>
      <c r="CF46" s="172">
        <f>IF(CF$18+28&lt;DATE(YEAR(CQ$13),MONTH(CQ$13),DAY(CQ$13)),CF$18+28,"")</f>
        <v>45776</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45776</v>
      </c>
      <c r="EM46" s="16" t="str">
        <f t="shared" si="29"/>
        <v>Fiche infoA245776</v>
      </c>
      <c r="EN46" s="16">
        <f t="shared" si="20"/>
        <v>0</v>
      </c>
      <c r="EQ46" s="16" t="str">
        <f>Avril!FS48</f>
        <v/>
      </c>
    </row>
    <row r="47" spans="1:147" ht="18" customHeight="1" x14ac:dyDescent="0.2">
      <c r="A47" s="24" t="str">
        <f>+Avril!BJ49</f>
        <v>Fiche infoA3</v>
      </c>
      <c r="B47" s="107">
        <f t="shared" si="30"/>
        <v>45777</v>
      </c>
      <c r="C47" s="172">
        <f>IF(C$18+29&lt;DATE(YEAR(O$13),MONTH(O$13),DAY(O$13)),C$18+29,"")</f>
        <v>45777</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Avril!BC49</f>
        <v>0</v>
      </c>
      <c r="J47" s="34">
        <f>Avril!BE49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infoA3</v>
      </c>
      <c r="BB47" s="107">
        <f t="shared" si="31"/>
        <v>45777</v>
      </c>
      <c r="BC47" s="172">
        <f>IF(BC$18+29&lt;DATE(YEAR(BH$13),MONTH(BH$13),DAY(BH$13)),BC$18+29,"")</f>
        <v>45777</v>
      </c>
      <c r="BD47" s="173" t="str">
        <f t="shared" si="32"/>
        <v/>
      </c>
      <c r="BE47" s="173" t="str">
        <f>+IF(OR(BF47=S.CAL!$BJ$3,BF47=S.CAL!$BJ$4),BD47,"")</f>
        <v/>
      </c>
      <c r="BF47" s="351">
        <f>IF($DY$5=S.CAL!$CU$2,Avril!AR49,IF($DY$5=S.CAL!$CU$3,VLOOKUP(BC47,planning_fp,7,FALSE),""))</f>
        <v>0</v>
      </c>
      <c r="BG47" s="363" t="str">
        <f>Avril!BL49</f>
        <v>A</v>
      </c>
      <c r="BH47" s="373"/>
      <c r="BI47" s="373"/>
      <c r="BJ47" s="373"/>
      <c r="BK47" s="373"/>
      <c r="BL47" s="35"/>
      <c r="BV47" s="373"/>
      <c r="BW47" s="373"/>
      <c r="BX47" s="373"/>
      <c r="BY47" s="373"/>
      <c r="BZ47" s="373"/>
      <c r="CA47" s="373"/>
      <c r="CB47" s="373"/>
      <c r="CD47" s="346"/>
      <c r="CE47" s="107">
        <f t="shared" si="33"/>
        <v>45777</v>
      </c>
      <c r="CF47" s="172">
        <f>IF(CF$18+29&lt;DATE(YEAR(CQ$13),MONTH(CQ$13),DAY(CQ$13)),CF$18+29,"")</f>
        <v>45777</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45777</v>
      </c>
      <c r="EM47" s="16" t="str">
        <f t="shared" si="29"/>
        <v>Fiche infoA345777</v>
      </c>
      <c r="EN47" s="16">
        <f t="shared" si="20"/>
        <v>0</v>
      </c>
      <c r="EQ47" s="16" t="str">
        <f>Avril!FS49</f>
        <v/>
      </c>
    </row>
    <row r="48" spans="1:147" ht="18" customHeight="1" thickBot="1" x14ac:dyDescent="0.25">
      <c r="A48" s="24" t="str">
        <f>+Avril!BJ50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f t="shared" si="14"/>
        <v>0</v>
      </c>
      <c r="I48" s="34">
        <f>Avril!BC50</f>
        <v>0</v>
      </c>
      <c r="J48" s="34">
        <f>Avril!BE50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14</v>
      </c>
      <c r="X48" s="2482"/>
      <c r="Y48" s="2482"/>
      <c r="Z48" s="1345" t="str">
        <f>+IF(Z34="","",Z34)</f>
        <v/>
      </c>
      <c r="AA48" s="1338">
        <f>+IF(Z48="",IF(AND(AD48&gt;0,AC48&gt;0),AD48+AC48,IF(AE48&gt;0,0,AC48)),Z48)</f>
        <v>0</v>
      </c>
      <c r="AB48" s="1338">
        <f>IF(AA48&gt;45,AA48-45,0)</f>
        <v>0</v>
      </c>
      <c r="AC48" s="1344">
        <f>+SUMIF(Avril!$BK$20:$BK$50,Avril!AT4,$D$18:$D$48)-SUMIF(Avril!$BK$20:$BK$50,Avril!AT4,$E$18:$E$48)</f>
        <v>0</v>
      </c>
      <c r="AD48" s="1344">
        <f>+SUMIF(Mars!$BK$20:$BK$50,Avril!AT4,'Retenue Mars'!$D$18:$D$48)-SUMIF(Mars!$BK$20:$BK$50,Avril!AT4,'Retenue Mars'!$E$18:$E$48)</f>
        <v>0</v>
      </c>
      <c r="AE48" s="1344">
        <f>+SUMIF(Mai!$BK$20:$BK$50,Avril!AT4,'Retenue Mai'!$D$18:$D$48)-SUMIF(Mai!$BK$20:$BK$50,Avril!AT4,'Retenue Mai'!$E$18:$E$48)</f>
        <v>0</v>
      </c>
      <c r="AF48" s="1338">
        <f>+AC48-AB48</f>
        <v>0</v>
      </c>
      <c r="AK48" s="1211"/>
      <c r="AL48" s="1224"/>
      <c r="AO48" s="1224">
        <f>+AN39*AL26</f>
        <v>0</v>
      </c>
      <c r="AP48" s="1224">
        <f>+AO48*(1-AX21)</f>
        <v>0</v>
      </c>
      <c r="AQ48" s="1224">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IF($DY$5=S.CAL!$CU$2,Avril!AR50,IF($DY$5=S.CAL!$CU$3,VLOOKUP(BC48,planning_fp,7,FALSE),""))</f>
        <v>0</v>
      </c>
      <c r="BG48" s="364" t="str">
        <f>Avril!BL50</f>
        <v>A</v>
      </c>
      <c r="BH48" s="374"/>
      <c r="BI48" s="373"/>
      <c r="BJ48" s="373"/>
      <c r="BK48" s="373"/>
      <c r="BL48" s="35"/>
      <c r="BQ48" s="16" t="s">
        <v>846</v>
      </c>
      <c r="BV48" s="373"/>
      <c r="BW48" s="373"/>
      <c r="BX48" s="373" t="s">
        <v>846</v>
      </c>
      <c r="BZ48" s="373"/>
      <c r="CA48" s="373"/>
      <c r="CB48" s="373"/>
      <c r="CD48" s="346"/>
      <c r="CE48" s="110" t="str">
        <f t="shared" si="33"/>
        <v/>
      </c>
      <c r="CF48" s="192" t="str">
        <f>IF(CF$18+30&lt;DATE(YEAR(CQ$13),MONTH(CQ$13),DAY(CQ$13)),CF$18+30,"")</f>
        <v/>
      </c>
      <c r="CG48" s="193">
        <f t="shared" si="22"/>
        <v>0</v>
      </c>
      <c r="CH48" s="34"/>
      <c r="CI48" s="2491" t="str">
        <f t="shared" ref="CI48:CI53" si="56">W48</f>
        <v>Semaine numéro : 14</v>
      </c>
      <c r="CJ48" s="2492"/>
      <c r="CK48" s="2493"/>
      <c r="CL48" s="893" t="str">
        <f>+IF(CL34="","",CL34)</f>
        <v/>
      </c>
      <c r="CM48" s="674">
        <f>+IF(CL48="",IF(AND(CP48&gt;0,CO48&gt;0),CP48+CO48,IF(CQ48&gt;0,0,CO48)),CL48)</f>
        <v>0</v>
      </c>
      <c r="CN48" s="673">
        <f>IF(CM48&gt;45,CM48-45,0)</f>
        <v>0</v>
      </c>
      <c r="CO48" s="198">
        <f>+SUMIF(Avril!$BK$20:$BK$50,Avril!AT4,$CG$18:$CG$48)</f>
        <v>0</v>
      </c>
      <c r="CP48" s="198">
        <f>+SUMIF(Mars!$BK$20:$BK$50,Avril!AT4,'Retenue Mars'!$CG$18:$CG$48)</f>
        <v>0</v>
      </c>
      <c r="CQ48" s="198">
        <f>+SUMIF(Mai!$BK$20:$BK$50,Avril!AT4,'Retenue Mai'!$CG$18:$CG$48)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47"/>
      <c r="U49" s="1323"/>
      <c r="V49" s="1323"/>
      <c r="W49" s="2482" t="str">
        <f t="shared" si="55"/>
        <v>Semaine numéro : 15</v>
      </c>
      <c r="X49" s="2482"/>
      <c r="Y49" s="2482"/>
      <c r="Z49" s="1345" t="str">
        <f t="shared" ref="Z49:Z53" si="57">+IF(Z35="","",Z35)</f>
        <v/>
      </c>
      <c r="AA49" s="1338">
        <f t="shared" ref="AA49:AA53" si="58">+IF(Z49="",IF(AND(AD49&gt;0,AC49&gt;0),AD49+AC49,IF(AE49&gt;0,0,AC49)),Z49)</f>
        <v>0</v>
      </c>
      <c r="AB49" s="1338">
        <f t="shared" ref="AB49:AB53" si="59">IF(AA49&gt;45,AA49-45,0)</f>
        <v>0</v>
      </c>
      <c r="AC49" s="1344">
        <f>+SUMIF(Avril!$BK$20:$BK$50,Avril!AT5,$D$18:$D$48)-SUMIF(Avril!$BK$20:$BK$50,Avril!AT5,$E$18:$E$48)</f>
        <v>0</v>
      </c>
      <c r="AD49" s="1344">
        <f>+SUMIF(Mars!$BK$20:$BK$50,Avril!AT5,'Retenue Mars'!$D$18:$D$48)-SUMIF(Mars!$BK$20:$BK$50,Avril!AT5,'Retenue Mars'!$E$18:$E$48)</f>
        <v>0</v>
      </c>
      <c r="AE49" s="1344">
        <f>+SUMIF(Mai!$BK$20:$BK$50,Avril!AT5,'Retenue Mai'!$D$18:$D$48)-SUMIF(Mai!$BK$20:$BK$50,Avril!AT5,'Retenue Mai'!$E$18:$E$48)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15</v>
      </c>
      <c r="CJ49" s="2492"/>
      <c r="CK49" s="2493"/>
      <c r="CL49" s="893" t="str">
        <f t="shared" ref="CL49:CL53" si="61">+IF(CL35="","",CL35)</f>
        <v/>
      </c>
      <c r="CM49" s="674">
        <f t="shared" ref="CM49:CM53" si="62">+IF(CL49="",IF(AND(CP49&gt;0,CO49&gt;0),CP49+CO49,IF(CQ49&gt;0,0,CO49)),CL49)</f>
        <v>0</v>
      </c>
      <c r="CN49" s="673">
        <f t="shared" ref="CN49:CN53" si="63">IF(CM49&gt;45,CM49-45,0)</f>
        <v>0</v>
      </c>
      <c r="CO49" s="198">
        <f>+SUMIF(Avril!$BK$20:$BK$50,Avril!AT5,$CG$18:$CG$48)</f>
        <v>0</v>
      </c>
      <c r="CP49" s="198">
        <f>+SUMIF(Mars!$BK$20:$BK$50,Avril!AT5,'Retenue Mars'!$CG$18:$CG$48)</f>
        <v>0</v>
      </c>
      <c r="CQ49" s="198">
        <f>+SUMIF(Mai!$BK$20:$BK$50,Avril!AT5,'Retenue Mai'!$CG$18:$CG$48)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16</v>
      </c>
      <c r="X50" s="2482"/>
      <c r="Y50" s="2482"/>
      <c r="Z50" s="1345" t="str">
        <f t="shared" si="57"/>
        <v/>
      </c>
      <c r="AA50" s="1338">
        <f t="shared" si="58"/>
        <v>0</v>
      </c>
      <c r="AB50" s="1338">
        <f t="shared" si="59"/>
        <v>0</v>
      </c>
      <c r="AC50" s="1344">
        <f>+SUMIF(Avril!$BK$20:$BK$50,Avril!AT6,$D$18:$D$48)-SUMIF(Avril!$BK$20:$BK$50,Avril!AT6,$E$18:$E$48)</f>
        <v>0</v>
      </c>
      <c r="AD50" s="1344">
        <f>+SUMIF(Mars!$BK$20:$BK$50,Avril!AT6,'Retenue Mars'!$D$18:$D$48)-SUMIF(Mars!$BK$20:$BK$50,Avril!AT6,'Retenue Mars'!$E$18:$E$48)</f>
        <v>0</v>
      </c>
      <c r="AE50" s="1344">
        <f>+SUMIF(Mai!$BK$20:$BK$50,Avril!AT6,'Retenue Mai'!$D$18:$D$48)-SUMIF(Mai!$BK$20:$BK$50,Avril!AT6,'Retenue Mai'!$E$18:$E$48)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16</v>
      </c>
      <c r="CJ50" s="2492"/>
      <c r="CK50" s="2493"/>
      <c r="CL50" s="893" t="str">
        <f t="shared" si="61"/>
        <v/>
      </c>
      <c r="CM50" s="674">
        <f t="shared" si="62"/>
        <v>0</v>
      </c>
      <c r="CN50" s="673">
        <f t="shared" si="63"/>
        <v>0</v>
      </c>
      <c r="CO50" s="198">
        <f>+SUMIF(Avril!$BK$20:$BK$50,Avril!AT6,$CG$18:$CG$48)</f>
        <v>0</v>
      </c>
      <c r="CP50" s="198">
        <f>+SUMIF(Mars!$BK$20:$BK$50,Avril!AT6,'Retenue Mars'!$CG$18:$CG$48)</f>
        <v>0</v>
      </c>
      <c r="CQ50" s="198">
        <f>+SUMIF(Mai!$BK$20:$BK$50,Avril!AT6,'Retenue Mai'!$CG$18:$CG$48)</f>
        <v>0</v>
      </c>
      <c r="CR50" s="674">
        <f t="shared" si="64"/>
        <v>0</v>
      </c>
    </row>
    <row r="51" spans="2:139" ht="19.5" customHeight="1" thickBot="1" x14ac:dyDescent="0.25">
      <c r="B51" s="24"/>
      <c r="C51" s="24"/>
      <c r="D51" s="183" t="s">
        <v>1225</v>
      </c>
      <c r="E51" s="24">
        <f>+COUNTIF(C18:C48,"&gt;0")-E52</f>
        <v>30</v>
      </c>
      <c r="N51" s="24"/>
      <c r="O51" s="24"/>
      <c r="P51" s="24"/>
      <c r="Q51" s="24"/>
      <c r="R51" s="24"/>
      <c r="S51" s="1349"/>
      <c r="U51" s="1323"/>
      <c r="V51" s="1323"/>
      <c r="W51" s="2482" t="str">
        <f t="shared" si="55"/>
        <v>Semaine numéro : 17</v>
      </c>
      <c r="X51" s="2482"/>
      <c r="Y51" s="2482"/>
      <c r="Z51" s="1345" t="str">
        <f t="shared" si="57"/>
        <v/>
      </c>
      <c r="AA51" s="1338">
        <f t="shared" si="58"/>
        <v>0</v>
      </c>
      <c r="AB51" s="1338">
        <f t="shared" si="59"/>
        <v>0</v>
      </c>
      <c r="AC51" s="1344">
        <f>+SUMIF(Avril!$BK$20:$BK$50,Avril!AT7,$D$18:$D$48)-SUMIF(Avril!$BK$20:$BK$50,Avril!AT7,$E$18:$E$48)</f>
        <v>0</v>
      </c>
      <c r="AD51" s="1344">
        <f>+SUMIF(Mars!$BK$20:$BK$50,Avril!AT7,'Retenue Mars'!$D$18:$D$48)-SUMIF(Mars!$BK$20:$BK$50,Avril!AT7,'Retenue Mars'!$E$18:$E$48)</f>
        <v>0</v>
      </c>
      <c r="AE51" s="1344">
        <f>+SUMIF(Mai!$BK$20:$BK$50,Avril!AT7,'Retenue Mai'!$D$18:$D$48)-SUMIF(Mai!$BK$20:$BK$50,Avril!AT7,'Retenue Mai'!$E$18:$E$48)</f>
        <v>0</v>
      </c>
      <c r="AF51" s="1338">
        <f t="shared" si="60"/>
        <v>0</v>
      </c>
      <c r="AG51" s="1349"/>
      <c r="AJ51" s="1326"/>
      <c r="AK51" s="1327"/>
      <c r="AL51" s="1329"/>
      <c r="BA51" s="346"/>
      <c r="BD51" s="369" t="s">
        <v>758</v>
      </c>
      <c r="BE51" s="194">
        <f>+SUMIFS(BE18:BE48,BF18:BF48,S.CAL!BJ3)</f>
        <v>0</v>
      </c>
      <c r="BF51" s="370">
        <f>IF(Avril!AZ90="",+COUNTIF(BF18:BF48,S.CAL!BJ3),Avril!AZ90)</f>
        <v>0</v>
      </c>
      <c r="BL51" s="35"/>
      <c r="CD51" s="346"/>
      <c r="CI51" s="2491" t="str">
        <f t="shared" si="56"/>
        <v>Semaine numéro : 17</v>
      </c>
      <c r="CJ51" s="2492"/>
      <c r="CK51" s="2493"/>
      <c r="CL51" s="893" t="str">
        <f t="shared" si="61"/>
        <v/>
      </c>
      <c r="CM51" s="674">
        <f t="shared" si="62"/>
        <v>0</v>
      </c>
      <c r="CN51" s="673">
        <f t="shared" si="63"/>
        <v>0</v>
      </c>
      <c r="CO51" s="198">
        <f>+SUMIF(Avril!$BK$20:$BK$50,Avril!AT7,$CG$18:$CG$48)</f>
        <v>0</v>
      </c>
      <c r="CP51" s="198">
        <f>+SUMIF(Mars!$BK$20:$BK$50,Avril!AT7,'Retenue Mars'!$CG$18:$CG$48)</f>
        <v>0</v>
      </c>
      <c r="CQ51" s="198">
        <f>+SUMIF(Mai!$BK$20:$BK$50,Avril!AT7,'Retenue Mai'!$CG$18:$CG$48)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18</v>
      </c>
      <c r="X52" s="2482"/>
      <c r="Y52" s="2482"/>
      <c r="Z52" s="1345" t="str">
        <f t="shared" si="57"/>
        <v/>
      </c>
      <c r="AA52" s="1338">
        <f t="shared" si="58"/>
        <v>0</v>
      </c>
      <c r="AB52" s="1338">
        <f t="shared" si="59"/>
        <v>0</v>
      </c>
      <c r="AC52" s="1344">
        <f>+SUMIF(Avril!$BK$20:$BK$50,Avril!AT8,$D$18:$D$48)-SUMIF(Avril!$BK$20:$BK$50,Avril!AT8,$E$18:$E$48)</f>
        <v>0</v>
      </c>
      <c r="AD52" s="1344">
        <f>+SUMIF(Mars!$BK$20:$BK$50,Avril!AT8,'Retenue Mars'!$D$18:$D$48)-SUMIF(Mars!$BK$20:$BK$50,Avril!AT8,'Retenue Mars'!$E$18:$E$48)</f>
        <v>0</v>
      </c>
      <c r="AE52" s="1344">
        <f>+SUMIF(Mai!$BK$20:$BK$50,Avril!AT8,'Retenue Mai'!$D$18:$D$48)-SUMIF(Mai!$BK$20:$BK$50,Avril!AT8,'Retenue Mai'!$E$18:$E$48)</f>
        <v>0</v>
      </c>
      <c r="AF52" s="1338">
        <f t="shared" si="60"/>
        <v>0</v>
      </c>
      <c r="AO52" s="1211" t="s">
        <v>1126</v>
      </c>
      <c r="AP52" s="1348">
        <f>IF(AL22,+ROUND((AQ48+SUM(AQ39:AQ46))*AL34/AL22*Q11,2),0)</f>
        <v>0</v>
      </c>
      <c r="BA52" s="346"/>
      <c r="BD52" s="1363" t="s">
        <v>708</v>
      </c>
      <c r="BE52" s="1364">
        <f>+SUMIFS(BE18:BE48,BF18:BF48,S.CAL!BJ4)</f>
        <v>0</v>
      </c>
      <c r="BF52" s="1365">
        <f>IF(Avril!BA90="",+COUNTIF(BF18:BF48,S.CAL!BJ4),Avril!BA90)</f>
        <v>0</v>
      </c>
      <c r="BL52" s="35"/>
      <c r="BU52" s="16" t="s">
        <v>788</v>
      </c>
      <c r="BW52" s="357">
        <f>+BR46+BR49+BZ46+BZ49</f>
        <v>0</v>
      </c>
      <c r="CD52" s="346"/>
      <c r="CI52" s="2491" t="str">
        <f t="shared" si="56"/>
        <v>Semaine numéro : 18</v>
      </c>
      <c r="CJ52" s="2492"/>
      <c r="CK52" s="2493"/>
      <c r="CL52" s="893" t="str">
        <f t="shared" si="61"/>
        <v/>
      </c>
      <c r="CM52" s="674">
        <f t="shared" si="62"/>
        <v>0</v>
      </c>
      <c r="CN52" s="673">
        <f t="shared" si="63"/>
        <v>0</v>
      </c>
      <c r="CO52" s="198">
        <f>+SUMIF(Avril!$BK$20:$BK$50,Avril!AT8,$CG$18:$CG$48)</f>
        <v>0</v>
      </c>
      <c r="CP52" s="198">
        <f>+SUMIF(Mars!$BK$20:$BK$50,Avril!AT8,'Retenue Mars'!$CG$18:$CG$48)</f>
        <v>0</v>
      </c>
      <c r="CQ52" s="198">
        <f>+SUMIF(Mai!$BK$20:$BK$50,Avril!AT8,'Retenue Mai'!$CG$18:$CG$48)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+SUMIF(Avril!$BK$20:$BK$50,Avril!AT9,$D$18:$D$48)-SUMIF(Avril!$BK$20:$BK$50,Avril!AT9,$E$18:$E$48)</f>
        <v>0</v>
      </c>
      <c r="AD53" s="1344">
        <f>+SUMIF(Mars!$BK$20:$BK$50,Avril!AT9,'Retenue Mars'!$D$18:$D$48)-SUMIF(Mars!$BK$20:$BK$50,Avril!AT9,'Retenue Mars'!$E$18:$E$48)</f>
        <v>0</v>
      </c>
      <c r="AE53" s="1344">
        <f>+SUMIF(Mai!$BK$20:$BK$50,Avril!AT9,'Retenue Mai'!$D$18:$D$48)-SUMIF(Mai!$BK$20:$BK$50,Avril!AT9,'Retenue Mai'!$E$18:$E$48)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+SUMIF(Avril!$BK$20:$BK$50,Avril!AT9,$CG$18:$CG$48)</f>
        <v>0</v>
      </c>
      <c r="CP53" s="198">
        <f>+SUMIF(Mars!$BK$20:$BK$50,Avril!AT9,'Retenue Mars'!$CG$18:$CG$48)</f>
        <v>0</v>
      </c>
      <c r="CQ53" s="198">
        <f>+SUMIF(Mai!$BK$20:$BK$50,Avril!AT9,'Retenue Mai'!$CG$18:$CG$48)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2"/>
      <c r="CP54" s="902"/>
      <c r="CQ54" s="902"/>
      <c r="CR54" s="677">
        <f>SUM(CR48:CR53)</f>
        <v>0</v>
      </c>
      <c r="EE54" s="19"/>
      <c r="EF54" s="19"/>
      <c r="EG54" s="19"/>
      <c r="EH54" s="19"/>
      <c r="EI54" s="19"/>
    </row>
    <row r="55" spans="2:139" ht="13.5" thickBot="1" x14ac:dyDescent="0.25">
      <c r="B55" s="2469">
        <f>B17</f>
        <v>45748</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45748</v>
      </c>
      <c r="C57" s="171">
        <f t="shared" si="65"/>
        <v>45748</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45749</v>
      </c>
      <c r="C58" s="172">
        <f t="shared" si="65"/>
        <v>45749</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45750</v>
      </c>
      <c r="C59" s="172">
        <f t="shared" si="65"/>
        <v>45750</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45751</v>
      </c>
      <c r="C60" s="172">
        <f t="shared" si="65"/>
        <v>45751</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45752</v>
      </c>
      <c r="C61" s="172">
        <f t="shared" si="65"/>
        <v>45752</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45753</v>
      </c>
      <c r="C62" s="172">
        <f t="shared" si="65"/>
        <v>45753</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45754</v>
      </c>
      <c r="C63" s="172">
        <f t="shared" si="65"/>
        <v>45754</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45755</v>
      </c>
      <c r="C64" s="172">
        <f t="shared" si="65"/>
        <v>45755</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45756</v>
      </c>
      <c r="C65" s="172">
        <f t="shared" si="65"/>
        <v>45756</v>
      </c>
      <c r="D65" s="173" t="str">
        <f t="shared" si="66"/>
        <v/>
      </c>
      <c r="E65" s="173" t="str">
        <f t="shared" si="69"/>
        <v/>
      </c>
      <c r="F65" s="1554" t="str">
        <f t="shared" si="67"/>
        <v/>
      </c>
      <c r="G65" s="1554" t="str">
        <f t="shared" si="68"/>
        <v/>
      </c>
      <c r="BA65" s="346"/>
      <c r="CD65" s="346"/>
    </row>
    <row r="66" spans="2:82" x14ac:dyDescent="0.2">
      <c r="B66" s="107">
        <f t="shared" si="65"/>
        <v>45757</v>
      </c>
      <c r="C66" s="172">
        <f t="shared" si="65"/>
        <v>45757</v>
      </c>
      <c r="D66" s="173" t="str">
        <f t="shared" si="66"/>
        <v/>
      </c>
      <c r="E66" s="173" t="str">
        <f t="shared" si="69"/>
        <v/>
      </c>
      <c r="F66" s="1554" t="str">
        <f t="shared" si="67"/>
        <v/>
      </c>
      <c r="G66" s="1554" t="str">
        <f t="shared" si="68"/>
        <v/>
      </c>
      <c r="BA66" s="346"/>
      <c r="CD66" s="346"/>
    </row>
    <row r="67" spans="2:82" x14ac:dyDescent="0.2">
      <c r="B67" s="107">
        <f t="shared" si="65"/>
        <v>45758</v>
      </c>
      <c r="C67" s="172">
        <f t="shared" si="65"/>
        <v>45758</v>
      </c>
      <c r="D67" s="173" t="str">
        <f t="shared" si="66"/>
        <v/>
      </c>
      <c r="E67" s="173" t="str">
        <f t="shared" si="69"/>
        <v/>
      </c>
      <c r="F67" s="1554" t="str">
        <f t="shared" si="67"/>
        <v/>
      </c>
      <c r="G67" s="1554" t="str">
        <f t="shared" si="68"/>
        <v/>
      </c>
      <c r="BA67" s="346"/>
      <c r="CD67" s="346"/>
    </row>
    <row r="68" spans="2:82" x14ac:dyDescent="0.2">
      <c r="B68" s="107">
        <f t="shared" si="65"/>
        <v>45759</v>
      </c>
      <c r="C68" s="172">
        <f t="shared" si="65"/>
        <v>45759</v>
      </c>
      <c r="D68" s="173" t="str">
        <f t="shared" si="66"/>
        <v/>
      </c>
      <c r="E68" s="173" t="str">
        <f t="shared" si="69"/>
        <v/>
      </c>
      <c r="F68" s="1554" t="str">
        <f t="shared" si="67"/>
        <v/>
      </c>
      <c r="G68" s="1554" t="str">
        <f t="shared" si="68"/>
        <v/>
      </c>
      <c r="AI68" s="1354" t="s">
        <v>338</v>
      </c>
      <c r="BA68" s="346"/>
      <c r="CD68" s="346"/>
    </row>
    <row r="69" spans="2:82" x14ac:dyDescent="0.2">
      <c r="B69" s="107">
        <f t="shared" si="65"/>
        <v>45760</v>
      </c>
      <c r="C69" s="172">
        <f t="shared" si="65"/>
        <v>45760</v>
      </c>
      <c r="D69" s="173" t="str">
        <f t="shared" si="66"/>
        <v/>
      </c>
      <c r="E69" s="173" t="str">
        <f t="shared" si="69"/>
        <v/>
      </c>
      <c r="F69" s="1554" t="str">
        <f t="shared" si="67"/>
        <v/>
      </c>
      <c r="G69" s="1554" t="str">
        <f t="shared" si="68"/>
        <v/>
      </c>
      <c r="BA69" s="346"/>
      <c r="CD69" s="346"/>
    </row>
    <row r="70" spans="2:82" x14ac:dyDescent="0.2">
      <c r="B70" s="107">
        <f t="shared" si="65"/>
        <v>45761</v>
      </c>
      <c r="C70" s="172">
        <f t="shared" si="65"/>
        <v>45761</v>
      </c>
      <c r="D70" s="173" t="str">
        <f t="shared" si="66"/>
        <v/>
      </c>
      <c r="E70" s="173" t="str">
        <f t="shared" si="69"/>
        <v/>
      </c>
      <c r="F70" s="1554" t="str">
        <f t="shared" si="67"/>
        <v/>
      </c>
      <c r="G70" s="1554" t="str">
        <f t="shared" si="68"/>
        <v/>
      </c>
      <c r="AI70" s="581" t="s">
        <v>339</v>
      </c>
      <c r="BA70" s="346"/>
      <c r="CD70" s="346"/>
    </row>
    <row r="71" spans="2:82" x14ac:dyDescent="0.2">
      <c r="B71" s="107">
        <f t="shared" si="65"/>
        <v>45762</v>
      </c>
      <c r="C71" s="172">
        <f t="shared" si="65"/>
        <v>45762</v>
      </c>
      <c r="D71" s="173" t="str">
        <f t="shared" si="66"/>
        <v/>
      </c>
      <c r="E71" s="173" t="str">
        <f t="shared" si="69"/>
        <v/>
      </c>
      <c r="F71" s="1554" t="str">
        <f t="shared" si="67"/>
        <v/>
      </c>
      <c r="G71" s="1554" t="str">
        <f t="shared" si="68"/>
        <v/>
      </c>
      <c r="AI71" s="1355" t="s">
        <v>340</v>
      </c>
      <c r="BA71" s="346"/>
      <c r="CD71" s="346"/>
    </row>
    <row r="72" spans="2:82" x14ac:dyDescent="0.2">
      <c r="B72" s="107">
        <f t="shared" si="65"/>
        <v>45763</v>
      </c>
      <c r="C72" s="172">
        <f t="shared" si="65"/>
        <v>45763</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45764</v>
      </c>
      <c r="C73" s="172">
        <f t="shared" si="70"/>
        <v>45764</v>
      </c>
      <c r="D73" s="173" t="str">
        <f t="shared" si="66"/>
        <v/>
      </c>
      <c r="E73" s="173" t="str">
        <f t="shared" si="69"/>
        <v/>
      </c>
      <c r="F73" s="1554" t="str">
        <f t="shared" si="67"/>
        <v/>
      </c>
      <c r="G73" s="1554" t="str">
        <f t="shared" si="68"/>
        <v/>
      </c>
      <c r="BA73" s="346"/>
      <c r="CD73" s="346"/>
    </row>
    <row r="74" spans="2:82" x14ac:dyDescent="0.2">
      <c r="B74" s="107">
        <f t="shared" si="70"/>
        <v>45765</v>
      </c>
      <c r="C74" s="172">
        <f t="shared" si="70"/>
        <v>45765</v>
      </c>
      <c r="D74" s="173" t="str">
        <f t="shared" si="66"/>
        <v/>
      </c>
      <c r="E74" s="173" t="str">
        <f t="shared" si="69"/>
        <v/>
      </c>
      <c r="F74" s="1554" t="str">
        <f t="shared" si="67"/>
        <v/>
      </c>
      <c r="G74" s="1554" t="str">
        <f t="shared" si="68"/>
        <v/>
      </c>
      <c r="AI74" s="581" t="s">
        <v>341</v>
      </c>
      <c r="BA74" s="346"/>
      <c r="CD74" s="346"/>
    </row>
    <row r="75" spans="2:82" x14ac:dyDescent="0.2">
      <c r="B75" s="107">
        <f t="shared" si="70"/>
        <v>45766</v>
      </c>
      <c r="C75" s="172">
        <f t="shared" si="70"/>
        <v>45766</v>
      </c>
      <c r="D75" s="173" t="str">
        <f t="shared" si="66"/>
        <v/>
      </c>
      <c r="E75" s="173" t="str">
        <f t="shared" si="69"/>
        <v/>
      </c>
      <c r="F75" s="1554" t="str">
        <f t="shared" si="67"/>
        <v/>
      </c>
      <c r="G75" s="1554" t="str">
        <f t="shared" si="68"/>
        <v/>
      </c>
      <c r="AI75" s="1355" t="s">
        <v>342</v>
      </c>
      <c r="BA75" s="346"/>
      <c r="CD75" s="346"/>
    </row>
    <row r="76" spans="2:82" x14ac:dyDescent="0.2">
      <c r="B76" s="107">
        <f t="shared" si="70"/>
        <v>45767</v>
      </c>
      <c r="C76" s="172">
        <f t="shared" si="70"/>
        <v>45767</v>
      </c>
      <c r="D76" s="173" t="str">
        <f t="shared" si="66"/>
        <v/>
      </c>
      <c r="E76" s="173" t="str">
        <f t="shared" si="69"/>
        <v/>
      </c>
      <c r="F76" s="1554" t="str">
        <f t="shared" si="67"/>
        <v/>
      </c>
      <c r="G76" s="1554" t="str">
        <f t="shared" si="68"/>
        <v/>
      </c>
      <c r="BA76" s="346"/>
      <c r="CD76" s="346"/>
    </row>
    <row r="77" spans="2:82" x14ac:dyDescent="0.2">
      <c r="B77" s="107">
        <f t="shared" si="70"/>
        <v>45768</v>
      </c>
      <c r="C77" s="172">
        <f t="shared" si="70"/>
        <v>45768</v>
      </c>
      <c r="D77" s="173" t="str">
        <f t="shared" si="66"/>
        <v/>
      </c>
      <c r="E77" s="173" t="str">
        <f t="shared" si="69"/>
        <v/>
      </c>
      <c r="F77" s="1554" t="str">
        <f t="shared" si="67"/>
        <v/>
      </c>
      <c r="G77" s="1554" t="str">
        <f t="shared" si="68"/>
        <v/>
      </c>
      <c r="AI77" s="581" t="s">
        <v>343</v>
      </c>
      <c r="BA77" s="346"/>
      <c r="CD77" s="346"/>
    </row>
    <row r="78" spans="2:82" x14ac:dyDescent="0.2">
      <c r="B78" s="107">
        <f t="shared" si="70"/>
        <v>45769</v>
      </c>
      <c r="C78" s="172">
        <f t="shared" si="70"/>
        <v>45769</v>
      </c>
      <c r="D78" s="173" t="str">
        <f t="shared" si="66"/>
        <v/>
      </c>
      <c r="E78" s="173" t="str">
        <f t="shared" si="69"/>
        <v/>
      </c>
      <c r="F78" s="1554" t="str">
        <f t="shared" si="67"/>
        <v/>
      </c>
      <c r="G78" s="1554" t="str">
        <f t="shared" si="68"/>
        <v/>
      </c>
      <c r="AI78" s="1355" t="s">
        <v>692</v>
      </c>
      <c r="BA78" s="346"/>
      <c r="CD78" s="346"/>
    </row>
    <row r="79" spans="2:82" x14ac:dyDescent="0.2">
      <c r="B79" s="107">
        <f t="shared" si="70"/>
        <v>45770</v>
      </c>
      <c r="C79" s="172">
        <f t="shared" si="70"/>
        <v>45770</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45771</v>
      </c>
      <c r="C80" s="172">
        <f t="shared" si="70"/>
        <v>45771</v>
      </c>
      <c r="D80" s="173" t="str">
        <f t="shared" si="66"/>
        <v/>
      </c>
      <c r="E80" s="173" t="str">
        <f t="shared" si="69"/>
        <v/>
      </c>
      <c r="F80" s="1554" t="str">
        <f t="shared" si="67"/>
        <v/>
      </c>
      <c r="G80" s="1554" t="str">
        <f t="shared" si="68"/>
        <v/>
      </c>
      <c r="BA80" s="346"/>
      <c r="CD80" s="346"/>
    </row>
    <row r="81" spans="2:82" x14ac:dyDescent="0.2">
      <c r="B81" s="107">
        <f t="shared" si="70"/>
        <v>45772</v>
      </c>
      <c r="C81" s="172">
        <f t="shared" si="70"/>
        <v>45772</v>
      </c>
      <c r="D81" s="173" t="str">
        <f t="shared" si="66"/>
        <v/>
      </c>
      <c r="E81" s="173" t="str">
        <f t="shared" si="69"/>
        <v/>
      </c>
      <c r="F81" s="1554" t="str">
        <f t="shared" si="67"/>
        <v/>
      </c>
      <c r="G81" s="1554" t="str">
        <f t="shared" si="68"/>
        <v/>
      </c>
      <c r="AI81" s="581" t="s">
        <v>529</v>
      </c>
      <c r="BA81" s="346"/>
      <c r="CD81" s="346"/>
    </row>
    <row r="82" spans="2:82" x14ac:dyDescent="0.2">
      <c r="B82" s="107">
        <f t="shared" si="70"/>
        <v>45773</v>
      </c>
      <c r="C82" s="172">
        <f t="shared" si="70"/>
        <v>45773</v>
      </c>
      <c r="D82" s="173" t="str">
        <f t="shared" si="66"/>
        <v/>
      </c>
      <c r="E82" s="173" t="str">
        <f t="shared" si="69"/>
        <v/>
      </c>
      <c r="F82" s="1554" t="str">
        <f t="shared" si="67"/>
        <v/>
      </c>
      <c r="G82" s="1554" t="str">
        <f t="shared" si="68"/>
        <v/>
      </c>
      <c r="AI82" s="1355" t="s">
        <v>693</v>
      </c>
      <c r="BA82" s="346"/>
      <c r="CD82" s="346"/>
    </row>
    <row r="83" spans="2:82" x14ac:dyDescent="0.2">
      <c r="B83" s="107">
        <f t="shared" si="70"/>
        <v>45774</v>
      </c>
      <c r="C83" s="172">
        <f t="shared" si="70"/>
        <v>45774</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45775</v>
      </c>
      <c r="C84" s="172">
        <f t="shared" si="70"/>
        <v>45775</v>
      </c>
      <c r="D84" s="173" t="str">
        <f t="shared" si="66"/>
        <v/>
      </c>
      <c r="E84" s="173" t="str">
        <f t="shared" si="69"/>
        <v/>
      </c>
      <c r="F84" s="1554" t="str">
        <f t="shared" si="67"/>
        <v/>
      </c>
      <c r="G84" s="1554" t="str">
        <f t="shared" si="68"/>
        <v/>
      </c>
      <c r="BA84" s="346"/>
      <c r="CD84" s="346"/>
    </row>
    <row r="85" spans="2:82" x14ac:dyDescent="0.2">
      <c r="B85" s="107">
        <f t="shared" si="70"/>
        <v>45776</v>
      </c>
      <c r="C85" s="172">
        <f t="shared" si="70"/>
        <v>45776</v>
      </c>
      <c r="D85" s="173" t="str">
        <f t="shared" si="66"/>
        <v/>
      </c>
      <c r="E85" s="173" t="str">
        <f t="shared" si="69"/>
        <v/>
      </c>
      <c r="F85" s="1554" t="str">
        <f t="shared" si="67"/>
        <v/>
      </c>
      <c r="G85" s="1554" t="str">
        <f t="shared" si="68"/>
        <v/>
      </c>
      <c r="AI85" s="1355" t="s">
        <v>344</v>
      </c>
      <c r="BA85" s="346"/>
      <c r="CD85" s="346"/>
    </row>
    <row r="86" spans="2:82" x14ac:dyDescent="0.2">
      <c r="B86" s="107">
        <f t="shared" si="70"/>
        <v>45777</v>
      </c>
      <c r="C86" s="172">
        <f t="shared" si="70"/>
        <v>45777</v>
      </c>
      <c r="D86" s="173" t="str">
        <f t="shared" si="66"/>
        <v/>
      </c>
      <c r="E86" s="173" t="str">
        <f t="shared" si="69"/>
        <v/>
      </c>
      <c r="F86" s="1554" t="str">
        <f t="shared" si="67"/>
        <v/>
      </c>
      <c r="G86" s="1554" t="str">
        <f t="shared" si="68"/>
        <v/>
      </c>
      <c r="AI86" s="1355" t="s">
        <v>345</v>
      </c>
      <c r="BA86" s="346"/>
      <c r="CD86" s="346"/>
    </row>
    <row r="87" spans="2:82" ht="13.5" thickBot="1" x14ac:dyDescent="0.25">
      <c r="B87" s="110" t="str">
        <f t="shared" si="70"/>
        <v/>
      </c>
      <c r="C87" s="192" t="str">
        <f t="shared" si="70"/>
        <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Azy4/9Y8bNoqndLtUIz6W+Jqyv2dXVHjYlNbbXvSNTozogTWtyjbd2knmuAQQ+MHSpKDPzR4GjKQo7ngpuRnhw==" saltValue="wzcsacAKzgU69k+FUWkjrg=="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974" priority="36">
      <formula>$R$3=$A$5</formula>
    </cfRule>
  </conditionalFormatting>
  <conditionalFormatting sqref="M19:Q23">
    <cfRule type="expression" dxfId="1973" priority="13">
      <formula>$E$11&gt;0</formula>
    </cfRule>
  </conditionalFormatting>
  <conditionalFormatting sqref="M26:R46">
    <cfRule type="expression" dxfId="1972" priority="3">
      <formula>$E$11=0</formula>
    </cfRule>
  </conditionalFormatting>
  <conditionalFormatting sqref="P17">
    <cfRule type="expression" dxfId="1971" priority="16">
      <formula>$E$11=0</formula>
    </cfRule>
  </conditionalFormatting>
  <conditionalFormatting sqref="P30">
    <cfRule type="expression" dxfId="1970" priority="7">
      <formula>AND($R$3="Méthode 1",$E$11&lt;0)</formula>
    </cfRule>
  </conditionalFormatting>
  <conditionalFormatting sqref="P33">
    <cfRule type="expression" dxfId="1969" priority="6">
      <formula>AND($R$3="Méthode 1",$E$11&lt;0)</formula>
    </cfRule>
  </conditionalFormatting>
  <conditionalFormatting sqref="Q17">
    <cfRule type="cellIs" dxfId="1968" priority="15" operator="equal">
      <formula>0</formula>
    </cfRule>
  </conditionalFormatting>
  <conditionalFormatting sqref="Q42">
    <cfRule type="expression" dxfId="1967" priority="5">
      <formula>AND($R$3="Méthode 1",$E$11&lt;0)</formula>
    </cfRule>
  </conditionalFormatting>
  <conditionalFormatting sqref="Q45">
    <cfRule type="expression" dxfId="1966" priority="4">
      <formula>AND($R$3="Méthode 1",$E$11&lt;0)</formula>
    </cfRule>
  </conditionalFormatting>
  <conditionalFormatting sqref="S7:AF7">
    <cfRule type="expression" dxfId="1965" priority="35">
      <formula>$R$3=$T$5</formula>
    </cfRule>
  </conditionalFormatting>
  <conditionalFormatting sqref="W19">
    <cfRule type="expression" dxfId="1964" priority="40">
      <formula>$EF$14=1</formula>
    </cfRule>
  </conditionalFormatting>
  <conditionalFormatting sqref="W21">
    <cfRule type="expression" dxfId="1963" priority="39">
      <formula>$EF$14=1</formula>
    </cfRule>
  </conditionalFormatting>
  <conditionalFormatting sqref="AC19">
    <cfRule type="expression" dxfId="1962" priority="38">
      <formula>$EF$14=1</formula>
    </cfRule>
  </conditionalFormatting>
  <conditionalFormatting sqref="AC21">
    <cfRule type="expression" dxfId="1961" priority="37">
      <formula>$EF$14=1</formula>
    </cfRule>
  </conditionalFormatting>
  <conditionalFormatting sqref="AH7:AZ7">
    <cfRule type="expression" dxfId="1960" priority="21">
      <formula>$R$3=$AI$5</formula>
    </cfRule>
  </conditionalFormatting>
  <conditionalFormatting sqref="AP50">
    <cfRule type="expression" dxfId="1959" priority="20">
      <formula>$R$3="Méthode 2"</formula>
    </cfRule>
  </conditionalFormatting>
  <conditionalFormatting sqref="AP52">
    <cfRule type="expression" dxfId="1958" priority="19">
      <formula>$R$3="Méthode 2"</formula>
    </cfRule>
  </conditionalFormatting>
  <conditionalFormatting sqref="AP61">
    <cfRule type="expression" dxfId="1957" priority="18">
      <formula>$R$3="Méthode 2"</formula>
    </cfRule>
  </conditionalFormatting>
  <conditionalFormatting sqref="AP64">
    <cfRule type="expression" dxfId="1956" priority="17">
      <formula>$R$3="Méthode 2"</formula>
    </cfRule>
  </conditionalFormatting>
  <conditionalFormatting sqref="BI50">
    <cfRule type="expression" dxfId="1955" priority="28">
      <formula>$BK$3="Méthode 1"</formula>
    </cfRule>
  </conditionalFormatting>
  <conditionalFormatting sqref="BJ29">
    <cfRule type="expression" dxfId="1954" priority="30">
      <formula>$BK$3="Méthode 1"</formula>
    </cfRule>
  </conditionalFormatting>
  <conditionalFormatting sqref="BJ45">
    <cfRule type="expression" dxfId="1953" priority="29">
      <formula>$BK$3="Méthode 1"</formula>
    </cfRule>
  </conditionalFormatting>
  <conditionalFormatting sqref="BR46">
    <cfRule type="expression" dxfId="1952" priority="27">
      <formula>$BK$3="Méthode 2"</formula>
    </cfRule>
  </conditionalFormatting>
  <conditionalFormatting sqref="BR49">
    <cfRule type="expression" dxfId="1951" priority="26">
      <formula>$BK$3="Méthode 2"</formula>
    </cfRule>
  </conditionalFormatting>
  <conditionalFormatting sqref="BW52">
    <cfRule type="expression" dxfId="1950" priority="23">
      <formula>$BK$3="Méthode 2"</formula>
    </cfRule>
  </conditionalFormatting>
  <conditionalFormatting sqref="BW54">
    <cfRule type="expression" dxfId="1949" priority="22">
      <formula>$BK$3="Méthode 2"</formula>
    </cfRule>
  </conditionalFormatting>
  <conditionalFormatting sqref="BZ46">
    <cfRule type="expression" dxfId="1948" priority="25">
      <formula>$BK$3="Méthode 2"</formula>
    </cfRule>
  </conditionalFormatting>
  <conditionalFormatting sqref="BZ49">
    <cfRule type="expression" dxfId="1947" priority="24">
      <formula>$BK$3="Méthode 2"</formula>
    </cfRule>
  </conditionalFormatting>
  <conditionalFormatting sqref="CG18:CG48">
    <cfRule type="cellIs" dxfId="1946"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+Mai!DP4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+Mai!AR13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+Mai!AI3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+Mai!I14</f>
        <v>0</v>
      </c>
      <c r="F10" s="151"/>
      <c r="G10" s="151"/>
      <c r="H10" s="151"/>
      <c r="I10" s="151"/>
      <c r="J10" s="151"/>
      <c r="K10" s="151"/>
      <c r="L10" s="151"/>
      <c r="P10" s="29" t="s">
        <v>1468</v>
      </c>
      <c r="Q10" s="356">
        <f>+Mai!P18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+Mai!T18+Mai!T19</f>
        <v>0</v>
      </c>
      <c r="BI10" s="29" t="s">
        <v>1476</v>
      </c>
      <c r="BJ10" s="356">
        <f>+Mai!AL14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+Mai!U14</f>
        <v>0</v>
      </c>
      <c r="F11" s="151"/>
      <c r="G11" s="151"/>
      <c r="H11" s="151"/>
      <c r="I11" s="151"/>
      <c r="J11" s="151"/>
      <c r="K11" s="151"/>
      <c r="L11" s="151"/>
      <c r="M11" s="1201"/>
      <c r="N11" s="183"/>
      <c r="O11" s="1202"/>
      <c r="P11" s="183" t="s">
        <v>1120</v>
      </c>
      <c r="Q11" s="1203">
        <f>+Mai!P19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+Mai!X3</f>
        <v>45778</v>
      </c>
      <c r="M13" s="154"/>
      <c r="N13" s="155">
        <f>DATE(YEAR($D$13),MONTH($D$13)+1,DAY($D$13))</f>
        <v>45809</v>
      </c>
      <c r="O13" s="156">
        <f>N13</f>
        <v>45809</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45778</v>
      </c>
      <c r="BF13" s="154"/>
      <c r="BG13" s="155">
        <f>DATE(YEAR($D$13),MONTH($D$13)+1,DAY($D$13))</f>
        <v>45809</v>
      </c>
      <c r="BH13" s="156">
        <f>BG13</f>
        <v>45809</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45809</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45778</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45778</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45778</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+Mai!BJ20</f>
        <v>Fiche infoA4</v>
      </c>
      <c r="B18" s="170">
        <f>+D13</f>
        <v>45778</v>
      </c>
      <c r="C18" s="171">
        <f>+$D$13</f>
        <v>45778</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Mai!BC20</f>
        <v>0</v>
      </c>
      <c r="J18" s="34">
        <f>Mai!BE20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infoA4</v>
      </c>
      <c r="BB18" s="170">
        <f>+BD13</f>
        <v>45778</v>
      </c>
      <c r="BC18" s="171">
        <f>+$D$13</f>
        <v>45778</v>
      </c>
      <c r="BD18" s="173" t="str">
        <f>+D18</f>
        <v/>
      </c>
      <c r="BE18" s="353" t="str">
        <f>+IF(OR(BF18=S.CAL!$BJ$3,BF18=S.CAL!$BJ$4),BD18,"")</f>
        <v/>
      </c>
      <c r="BF18" s="350">
        <f>IF($DY$5=S.CAL!$CU$2,Mai!AR20,IF($DY$5=S.CAL!$CU$3,VLOOKUP(BC18,planning_fp,7,FALSE),""))</f>
        <v>0</v>
      </c>
      <c r="BG18" s="362" t="str">
        <f>Mai!BL20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45778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45778</v>
      </c>
      <c r="EM18" s="16" t="str">
        <f>A18&amp;C18</f>
        <v>Fiche infoA445778</v>
      </c>
      <c r="EN18" s="16">
        <f t="shared" ref="EN18:EN48" si="20">+VLOOKUP(EM18,Base_feuille_présence_heure_potentiel,11,FALSE)</f>
        <v>0</v>
      </c>
      <c r="EQ18" s="16" t="str">
        <f>Mai!FS20</f>
        <v/>
      </c>
    </row>
    <row r="19" spans="1:147" ht="18" customHeight="1" x14ac:dyDescent="0.2">
      <c r="A19" s="24" t="str">
        <f>+Mai!BJ21</f>
        <v>Fiche infoA5</v>
      </c>
      <c r="B19" s="107">
        <f>C19</f>
        <v>45779</v>
      </c>
      <c r="C19" s="172">
        <f>+$D$13+1</f>
        <v>45779</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Mai!BC21</f>
        <v>0</v>
      </c>
      <c r="J19" s="34">
        <f>Mai!BE21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infoA5</v>
      </c>
      <c r="BB19" s="107">
        <f>BC19</f>
        <v>45779</v>
      </c>
      <c r="BC19" s="172">
        <f>+$D$13+1</f>
        <v>45779</v>
      </c>
      <c r="BD19" s="173" t="str">
        <f>+D19</f>
        <v/>
      </c>
      <c r="BE19" s="173" t="str">
        <f>+IF(OR(BF19=S.CAL!$BJ$3,BF19=S.CAL!$BJ$4),BD19,"")</f>
        <v/>
      </c>
      <c r="BF19" s="351">
        <f>IF($DY$5=S.CAL!$CU$2,Mai!AR21,IF($DY$5=S.CAL!$CU$3,VLOOKUP(BC19,planning_fp,7,FALSE),""))</f>
        <v>0</v>
      </c>
      <c r="BG19" s="363" t="str">
        <f>Mai!BL21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45779</v>
      </c>
      <c r="CF19" s="172">
        <f>+$D$13+1</f>
        <v>45779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45779</v>
      </c>
      <c r="EM19" s="16" t="str">
        <f t="shared" ref="EM19:EM48" si="29">A19&amp;C19</f>
        <v>Fiche infoA545779</v>
      </c>
      <c r="EN19" s="16">
        <f t="shared" si="20"/>
        <v>0</v>
      </c>
      <c r="EQ19" s="16" t="str">
        <f>Mai!FS21</f>
        <v/>
      </c>
    </row>
    <row r="20" spans="1:147" ht="18" customHeight="1" x14ac:dyDescent="0.2">
      <c r="A20" s="24" t="str">
        <f>+Mai!BJ22</f>
        <v>Fiche infoA6</v>
      </c>
      <c r="B20" s="107">
        <f t="shared" ref="B20:B48" si="30">C20</f>
        <v>45780</v>
      </c>
      <c r="C20" s="172">
        <f>+$D$13+2</f>
        <v>45780</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Mai!BC22</f>
        <v>0</v>
      </c>
      <c r="J20" s="34">
        <f>Mai!BE22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infoA6</v>
      </c>
      <c r="BB20" s="107">
        <f t="shared" ref="BB20:BB48" si="31">BC20</f>
        <v>45780</v>
      </c>
      <c r="BC20" s="172">
        <f>+$D$13+2</f>
        <v>45780</v>
      </c>
      <c r="BD20" s="173" t="str">
        <f t="shared" ref="BD20:BD48" si="32">+D20</f>
        <v/>
      </c>
      <c r="BE20" s="173" t="str">
        <f>+IF(OR(BF20=S.CAL!$BJ$3,BF20=S.CAL!$BJ$4),BD20,"")</f>
        <v/>
      </c>
      <c r="BF20" s="351">
        <f>IF($DY$5=S.CAL!$CU$2,Mai!AR22,IF($DY$5=S.CAL!$CU$3,VLOOKUP(BC20,planning_fp,7,FALSE),""))</f>
        <v>0</v>
      </c>
      <c r="BG20" s="363" t="str">
        <f>Mai!BL22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45780</v>
      </c>
      <c r="CF20" s="172">
        <f>+$D$13+2</f>
        <v>45780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45780</v>
      </c>
      <c r="EM20" s="16" t="str">
        <f t="shared" si="29"/>
        <v>Fiche infoA645780</v>
      </c>
      <c r="EN20" s="16">
        <f t="shared" si="20"/>
        <v>0</v>
      </c>
      <c r="EQ20" s="16" t="str">
        <f>Mai!FS22</f>
        <v/>
      </c>
    </row>
    <row r="21" spans="1:147" ht="18" customHeight="1" x14ac:dyDescent="0.2">
      <c r="A21" s="24" t="str">
        <f>+Mai!BJ23</f>
        <v>Fiche infoA7</v>
      </c>
      <c r="B21" s="107">
        <f t="shared" si="30"/>
        <v>45781</v>
      </c>
      <c r="C21" s="172">
        <f>+$D$13+3</f>
        <v>45781</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infoA7</v>
      </c>
      <c r="BB21" s="107">
        <f t="shared" si="31"/>
        <v>45781</v>
      </c>
      <c r="BC21" s="172">
        <f>+$D$13+3</f>
        <v>45781</v>
      </c>
      <c r="BD21" s="173" t="str">
        <f t="shared" si="32"/>
        <v/>
      </c>
      <c r="BE21" s="173" t="str">
        <f>+IF(OR(BF21=S.CAL!$BJ$3,BF21=S.CAL!$BJ$4),BD21,"")</f>
        <v/>
      </c>
      <c r="BF21" s="351">
        <f>IF($DY$5=S.CAL!$CU$2,Mai!AR23,IF($DY$5=S.CAL!$CU$3,VLOOKUP(BC21,planning_fp,7,FALSE),""))</f>
        <v>0</v>
      </c>
      <c r="BG21" s="363" t="str">
        <f>Mai!BL23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45781</v>
      </c>
      <c r="CF21" s="172">
        <f>+$D$13+3</f>
        <v>45781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45781</v>
      </c>
      <c r="EM21" s="16" t="str">
        <f t="shared" si="29"/>
        <v>Fiche infoA745781</v>
      </c>
      <c r="EN21" s="16">
        <f t="shared" si="20"/>
        <v>0</v>
      </c>
      <c r="EQ21" s="16" t="str">
        <f>Mai!FS23</f>
        <v/>
      </c>
    </row>
    <row r="22" spans="1:147" ht="18" customHeight="1" x14ac:dyDescent="0.25">
      <c r="A22" s="24" t="str">
        <f>+Mai!BJ24</f>
        <v>Fiche infoA1</v>
      </c>
      <c r="B22" s="107">
        <f t="shared" si="30"/>
        <v>45782</v>
      </c>
      <c r="C22" s="172">
        <f>+$D$13+4</f>
        <v>45782</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Mai!BC24</f>
        <v>0</v>
      </c>
      <c r="J22" s="34">
        <f>Mai!BE24</f>
        <v>0</v>
      </c>
      <c r="K22" s="34">
        <f t="shared" si="15"/>
        <v>0</v>
      </c>
      <c r="L22" s="34" t="str">
        <f t="shared" si="21"/>
        <v/>
      </c>
      <c r="O22" s="19"/>
      <c r="AK22" s="1211" t="s">
        <v>41</v>
      </c>
      <c r="AL22" s="1340">
        <f>+Mai!AL14</f>
        <v>0</v>
      </c>
      <c r="BA22" s="349" t="str">
        <f t="shared" si="16"/>
        <v>Fiche infoA1</v>
      </c>
      <c r="BB22" s="107">
        <f t="shared" si="31"/>
        <v>45782</v>
      </c>
      <c r="BC22" s="172">
        <f>+$D$13+4</f>
        <v>45782</v>
      </c>
      <c r="BD22" s="173" t="str">
        <f t="shared" si="32"/>
        <v/>
      </c>
      <c r="BE22" s="173" t="str">
        <f>+IF(OR(BF22=S.CAL!$BJ$3,BF22=S.CAL!$BJ$4),BD22,"")</f>
        <v/>
      </c>
      <c r="BF22" s="351">
        <f>IF($DY$5=S.CAL!$CU$2,Mai!AR24,IF($DY$5=S.CAL!$CU$3,VLOOKUP(BC22,planning_fp,7,FALSE),""))</f>
        <v>0</v>
      </c>
      <c r="BG22" s="363" t="str">
        <f>Mai!BL24</f>
        <v>A</v>
      </c>
      <c r="BH22" s="150"/>
      <c r="BL22" s="146"/>
      <c r="BM22" s="197"/>
      <c r="CD22" s="346"/>
      <c r="CE22" s="107">
        <f t="shared" si="33"/>
        <v>45782</v>
      </c>
      <c r="CF22" s="172">
        <f>+$D$13+4</f>
        <v>45782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45782</v>
      </c>
      <c r="EM22" s="16" t="str">
        <f t="shared" si="29"/>
        <v>Fiche infoA145782</v>
      </c>
      <c r="EN22" s="16">
        <f t="shared" si="20"/>
        <v>0</v>
      </c>
      <c r="EQ22" s="16" t="str">
        <f>Mai!FS24</f>
        <v/>
      </c>
    </row>
    <row r="23" spans="1:147" ht="18" customHeight="1" x14ac:dyDescent="0.2">
      <c r="A23" s="24" t="str">
        <f>+Mai!BJ25</f>
        <v>Fiche infoA2</v>
      </c>
      <c r="B23" s="107">
        <f t="shared" si="30"/>
        <v>45783</v>
      </c>
      <c r="C23" s="172">
        <f>+$D$13+5</f>
        <v>45783</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Mai!BC25</f>
        <v>0</v>
      </c>
      <c r="J23" s="34">
        <f>Mai!BE25</f>
        <v>0</v>
      </c>
      <c r="K23" s="34">
        <f t="shared" si="15"/>
        <v>0</v>
      </c>
      <c r="L23" s="34" t="str">
        <f t="shared" si="21"/>
        <v/>
      </c>
      <c r="O23" s="39" t="str">
        <f>+O21</f>
        <v xml:space="preserve">Retenue sur salaire = </v>
      </c>
      <c r="P23" s="689">
        <f>+P30+P33</f>
        <v>0</v>
      </c>
      <c r="T23" s="581" t="s">
        <v>1123</v>
      </c>
      <c r="Z23" s="581" t="s">
        <v>1123</v>
      </c>
      <c r="BA23" s="349" t="str">
        <f t="shared" si="16"/>
        <v>Fiche infoA2</v>
      </c>
      <c r="BB23" s="107">
        <f t="shared" si="31"/>
        <v>45783</v>
      </c>
      <c r="BC23" s="172">
        <f>+$D$13+5</f>
        <v>45783</v>
      </c>
      <c r="BD23" s="173" t="str">
        <f t="shared" si="32"/>
        <v/>
      </c>
      <c r="BE23" s="173" t="str">
        <f>+IF(OR(BF23=S.CAL!$BJ$3,BF23=S.CAL!$BJ$4),BD23,"")</f>
        <v/>
      </c>
      <c r="BF23" s="351">
        <f>IF($DY$5=S.CAL!$CU$2,Mai!AR25,IF($DY$5=S.CAL!$CU$3,VLOOKUP(BC23,planning_fp,7,FALSE),""))</f>
        <v>0</v>
      </c>
      <c r="BG23" s="363" t="str">
        <f>Mai!BL25</f>
        <v>A</v>
      </c>
      <c r="BH23" s="29"/>
      <c r="BI23" s="354"/>
      <c r="BL23" s="149"/>
      <c r="CD23" s="346"/>
      <c r="CE23" s="107">
        <f t="shared" si="33"/>
        <v>45783</v>
      </c>
      <c r="CF23" s="172">
        <f>+$D$13+5</f>
        <v>45783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45783</v>
      </c>
      <c r="EM23" s="16" t="str">
        <f t="shared" si="29"/>
        <v>Fiche infoA245783</v>
      </c>
      <c r="EN23" s="16">
        <f t="shared" si="20"/>
        <v>0</v>
      </c>
      <c r="EQ23" s="16" t="str">
        <f>Mai!FS25</f>
        <v/>
      </c>
    </row>
    <row r="24" spans="1:147" ht="18" customHeight="1" x14ac:dyDescent="0.2">
      <c r="A24" s="24" t="str">
        <f>+Mai!BJ26</f>
        <v>Fiche infoA3</v>
      </c>
      <c r="B24" s="107">
        <f t="shared" si="30"/>
        <v>45784</v>
      </c>
      <c r="C24" s="172">
        <f>+$D$13+6</f>
        <v>45784</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Mai!BC26</f>
        <v>0</v>
      </c>
      <c r="J24" s="34">
        <f>Mai!BE26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infoA3</v>
      </c>
      <c r="BB24" s="107">
        <f t="shared" si="31"/>
        <v>45784</v>
      </c>
      <c r="BC24" s="172">
        <f>+$D$13+6</f>
        <v>45784</v>
      </c>
      <c r="BD24" s="173" t="str">
        <f t="shared" si="32"/>
        <v/>
      </c>
      <c r="BE24" s="173" t="str">
        <f>+IF(OR(BF24=S.CAL!$BJ$3,BF24=S.CAL!$BJ$4),BD24,"")</f>
        <v/>
      </c>
      <c r="BF24" s="351">
        <f>IF($DY$5=S.CAL!$CU$2,Mai!AR26,IF($DY$5=S.CAL!$CU$3,VLOOKUP(BC24,planning_fp,7,FALSE),""))</f>
        <v>0</v>
      </c>
      <c r="BG24" s="363" t="str">
        <f>Mai!BL26</f>
        <v>A</v>
      </c>
      <c r="BL24" s="35"/>
      <c r="BM24" s="197"/>
      <c r="BO24" s="29"/>
      <c r="BP24" s="184"/>
      <c r="BR24" s="16" t="s">
        <v>758</v>
      </c>
      <c r="BV24" s="373"/>
      <c r="BW24" s="373"/>
      <c r="BX24" s="373"/>
      <c r="BY24" s="373" t="s">
        <v>708</v>
      </c>
      <c r="BZ24" s="373"/>
      <c r="CA24" s="373"/>
      <c r="CB24" s="373"/>
      <c r="CD24" s="346"/>
      <c r="CE24" s="107">
        <f t="shared" si="33"/>
        <v>45784</v>
      </c>
      <c r="CF24" s="172">
        <f>+$D$13+6</f>
        <v>45784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45784</v>
      </c>
      <c r="EM24" s="16" t="str">
        <f t="shared" si="29"/>
        <v>Fiche infoA345784</v>
      </c>
      <c r="EN24" s="16">
        <f t="shared" si="20"/>
        <v>0</v>
      </c>
      <c r="EQ24" s="16" t="str">
        <f>Mai!FS26</f>
        <v/>
      </c>
    </row>
    <row r="25" spans="1:147" ht="18" customHeight="1" x14ac:dyDescent="0.2">
      <c r="A25" s="24" t="str">
        <f>+Mai!BJ27</f>
        <v>Fiche infoA4</v>
      </c>
      <c r="B25" s="107">
        <f t="shared" si="30"/>
        <v>45785</v>
      </c>
      <c r="C25" s="172">
        <f>+$D$13+7</f>
        <v>45785</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Mai!BC27</f>
        <v>0</v>
      </c>
      <c r="J25" s="34">
        <f>Mai!BE27</f>
        <v>0</v>
      </c>
      <c r="K25" s="34">
        <f t="shared" si="15"/>
        <v>0</v>
      </c>
      <c r="L25" s="34" t="str">
        <f t="shared" si="21"/>
        <v/>
      </c>
      <c r="AK25" s="1211" t="s">
        <v>329</v>
      </c>
      <c r="AL25" s="1335">
        <f>+IF(AL22,AL24/AL22,0)</f>
        <v>0</v>
      </c>
      <c r="BA25" s="349" t="str">
        <f t="shared" si="16"/>
        <v>Fiche infoA4</v>
      </c>
      <c r="BB25" s="107">
        <f t="shared" si="31"/>
        <v>45785</v>
      </c>
      <c r="BC25" s="172">
        <f>+$D$13+7</f>
        <v>45785</v>
      </c>
      <c r="BD25" s="173" t="str">
        <f t="shared" si="32"/>
        <v/>
      </c>
      <c r="BE25" s="173" t="str">
        <f>+IF(OR(BF25=S.CAL!$BJ$3,BF25=S.CAL!$BJ$4),BD25,"")</f>
        <v/>
      </c>
      <c r="BF25" s="351">
        <f>IF($DY$5=S.CAL!$CU$2,Mai!AR27,IF($DY$5=S.CAL!$CU$3,VLOOKUP(BC25,planning_fp,7,FALSE),""))</f>
        <v>0</v>
      </c>
      <c r="BG25" s="363" t="str">
        <f>Mai!BL27</f>
        <v>A</v>
      </c>
      <c r="BH25" s="150"/>
      <c r="BL25" s="35"/>
      <c r="BO25" s="29"/>
      <c r="BP25" s="184"/>
      <c r="BV25" s="373"/>
      <c r="BW25" s="373"/>
      <c r="BX25" s="373"/>
      <c r="BY25" s="373"/>
      <c r="BZ25" s="373"/>
      <c r="CA25" s="373"/>
      <c r="CB25" s="373"/>
      <c r="CD25" s="346"/>
      <c r="CE25" s="107">
        <f t="shared" si="33"/>
        <v>45785</v>
      </c>
      <c r="CF25" s="172">
        <f>+$D$13+7</f>
        <v>45785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45785</v>
      </c>
      <c r="EM25" s="16" t="str">
        <f t="shared" si="29"/>
        <v>Fiche infoA445785</v>
      </c>
      <c r="EN25" s="16">
        <f t="shared" si="20"/>
        <v>0</v>
      </c>
      <c r="EQ25" s="16" t="str">
        <f>Mai!FS27</f>
        <v/>
      </c>
    </row>
    <row r="26" spans="1:147" ht="18" customHeight="1" x14ac:dyDescent="0.2">
      <c r="A26" s="24" t="str">
        <f>+Mai!BJ28</f>
        <v>Fiche infoA5</v>
      </c>
      <c r="B26" s="107">
        <f t="shared" si="30"/>
        <v>45786</v>
      </c>
      <c r="C26" s="172">
        <f>+$D$13+8</f>
        <v>45786</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Mai!BC28</f>
        <v>0</v>
      </c>
      <c r="J26" s="34">
        <f>Mai!BE28</f>
        <v>0</v>
      </c>
      <c r="K26" s="34">
        <f t="shared" si="15"/>
        <v>0</v>
      </c>
      <c r="L26" s="34" t="str">
        <f t="shared" si="21"/>
        <v/>
      </c>
      <c r="O26" s="16" t="s">
        <v>1217</v>
      </c>
      <c r="AK26" s="1211" t="s">
        <v>330</v>
      </c>
      <c r="AL26" s="1335">
        <f>IF(AS21,SUM(AT13:AT20)/AS21,0)</f>
        <v>0</v>
      </c>
      <c r="BA26" s="349" t="str">
        <f t="shared" si="16"/>
        <v>Fiche infoA5</v>
      </c>
      <c r="BB26" s="107">
        <f t="shared" si="31"/>
        <v>45786</v>
      </c>
      <c r="BC26" s="172">
        <f>+$D$13+8</f>
        <v>45786</v>
      </c>
      <c r="BD26" s="173" t="str">
        <f t="shared" si="32"/>
        <v/>
      </c>
      <c r="BE26" s="173" t="str">
        <f>+IF(OR(BF26=S.CAL!$BJ$3,BF26=S.CAL!$BJ$4),BD26,"")</f>
        <v/>
      </c>
      <c r="BF26" s="351">
        <f>IF($DY$5=S.CAL!$CU$2,Mai!AR28,IF($DY$5=S.CAL!$CU$3,VLOOKUP(BC26,planning_fp,7,FALSE),""))</f>
        <v>0</v>
      </c>
      <c r="BG26" s="363" t="str">
        <f>Mai!BL28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45786</v>
      </c>
      <c r="CF26" s="172">
        <f>+$D$13+8</f>
        <v>45786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45786</v>
      </c>
      <c r="EM26" s="16" t="str">
        <f t="shared" si="29"/>
        <v>Fiche infoA545786</v>
      </c>
      <c r="EN26" s="16">
        <f t="shared" si="20"/>
        <v>0</v>
      </c>
      <c r="EQ26" s="16" t="str">
        <f>Mai!FS28</f>
        <v/>
      </c>
    </row>
    <row r="27" spans="1:147" ht="18" customHeight="1" x14ac:dyDescent="0.2">
      <c r="A27" s="24" t="str">
        <f>+Mai!BJ29</f>
        <v>Fiche infoA6</v>
      </c>
      <c r="B27" s="107">
        <f t="shared" si="30"/>
        <v>45787</v>
      </c>
      <c r="C27" s="172">
        <f>+$D$13+9</f>
        <v>45787</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Mai!BC29</f>
        <v>0</v>
      </c>
      <c r="J27" s="34">
        <f>Mai!BE29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infoA6</v>
      </c>
      <c r="BB27" s="107">
        <f t="shared" si="31"/>
        <v>45787</v>
      </c>
      <c r="BC27" s="172">
        <f>+$D$13+9</f>
        <v>45787</v>
      </c>
      <c r="BD27" s="173" t="str">
        <f t="shared" si="32"/>
        <v/>
      </c>
      <c r="BE27" s="173" t="str">
        <f>+IF(OR(BF27=S.CAL!$BJ$3,BF27=S.CAL!$BJ$4),BD27,"")</f>
        <v/>
      </c>
      <c r="BF27" s="351">
        <f>IF($DY$5=S.CAL!$CU$2,Mai!AR29,IF($DY$5=S.CAL!$CU$3,VLOOKUP(BC27,planning_fp,7,FALSE),""))</f>
        <v>0</v>
      </c>
      <c r="BG27" s="363" t="str">
        <f>Mai!BL29</f>
        <v>A</v>
      </c>
      <c r="BI27" s="16" t="s">
        <v>758</v>
      </c>
      <c r="BL27" s="35"/>
      <c r="BP27" s="2401"/>
      <c r="BQ27" s="2401"/>
      <c r="BR27" s="2401"/>
      <c r="BS27" s="2401"/>
      <c r="BT27" s="2400"/>
      <c r="BV27" s="373"/>
      <c r="BW27" s="373"/>
      <c r="BX27" s="2488"/>
      <c r="BY27" s="2488"/>
      <c r="BZ27" s="2488"/>
      <c r="CA27" s="2488"/>
      <c r="CB27" s="2487"/>
      <c r="CD27" s="346"/>
      <c r="CE27" s="107">
        <f t="shared" si="33"/>
        <v>45787</v>
      </c>
      <c r="CF27" s="172">
        <f>+$D$13+9</f>
        <v>45787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45787</v>
      </c>
      <c r="EM27" s="16" t="str">
        <f t="shared" si="29"/>
        <v>Fiche infoA645787</v>
      </c>
      <c r="EN27" s="16">
        <f t="shared" si="20"/>
        <v>0</v>
      </c>
      <c r="EQ27" s="16" t="str">
        <f>Mai!FS29</f>
        <v/>
      </c>
    </row>
    <row r="28" spans="1:147" ht="18" customHeight="1" x14ac:dyDescent="0.2">
      <c r="A28" s="24" t="str">
        <f>+Mai!BJ30</f>
        <v>Fiche infoA7</v>
      </c>
      <c r="B28" s="107">
        <f t="shared" si="30"/>
        <v>45788</v>
      </c>
      <c r="C28" s="172">
        <f>+$D$13+10</f>
        <v>45788</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Mai!BC30</f>
        <v>0</v>
      </c>
      <c r="J28" s="34">
        <f>Mai!BE30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infoA7</v>
      </c>
      <c r="BB28" s="107">
        <f t="shared" si="31"/>
        <v>45788</v>
      </c>
      <c r="BC28" s="172">
        <f>+$D$13+10</f>
        <v>45788</v>
      </c>
      <c r="BD28" s="173" t="str">
        <f t="shared" si="32"/>
        <v/>
      </c>
      <c r="BE28" s="173" t="str">
        <f>+IF(OR(BF28=S.CAL!$BJ$3,BF28=S.CAL!$BJ$4),BD28,"")</f>
        <v/>
      </c>
      <c r="BF28" s="351">
        <f>IF($DY$5=S.CAL!$CU$2,Mai!AR30,IF($DY$5=S.CAL!$CU$3,VLOOKUP(BC28,planning_fp,7,FALSE),""))</f>
        <v>0</v>
      </c>
      <c r="BG28" s="363" t="str">
        <f>Mai!BL30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45788</v>
      </c>
      <c r="CF28" s="172">
        <f>+$D$13+10</f>
        <v>45788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45788</v>
      </c>
      <c r="EM28" s="16" t="str">
        <f t="shared" si="29"/>
        <v>Fiche infoA745788</v>
      </c>
      <c r="EN28" s="16">
        <f t="shared" si="20"/>
        <v>0</v>
      </c>
      <c r="EQ28" s="16" t="str">
        <f>Mai!FS30</f>
        <v/>
      </c>
    </row>
    <row r="29" spans="1:147" ht="18" customHeight="1" x14ac:dyDescent="0.2">
      <c r="A29" s="24" t="str">
        <f>+Mai!BJ31</f>
        <v>Fiche infoA1</v>
      </c>
      <c r="B29" s="107">
        <f t="shared" si="30"/>
        <v>45789</v>
      </c>
      <c r="C29" s="172">
        <f>+$D$13+11</f>
        <v>45789</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Mai!BC31</f>
        <v>0</v>
      </c>
      <c r="J29" s="34">
        <f>Mai!BE31</f>
        <v>0</v>
      </c>
      <c r="K29" s="34">
        <f t="shared" si="15"/>
        <v>0</v>
      </c>
      <c r="L29" s="34" t="str">
        <f t="shared" si="21"/>
        <v/>
      </c>
      <c r="O29" s="877" t="s">
        <v>1471</v>
      </c>
      <c r="P29" s="877"/>
      <c r="Q29" s="877"/>
      <c r="R29" s="877"/>
      <c r="BA29" s="349" t="str">
        <f t="shared" si="16"/>
        <v>Fiche infoA1</v>
      </c>
      <c r="BB29" s="107">
        <f t="shared" si="31"/>
        <v>45789</v>
      </c>
      <c r="BC29" s="172">
        <f>+$D$13+11</f>
        <v>45789</v>
      </c>
      <c r="BD29" s="173" t="str">
        <f t="shared" si="32"/>
        <v/>
      </c>
      <c r="BE29" s="173" t="str">
        <f>+IF(OR(BF29=S.CAL!$BJ$3,BF29=S.CAL!$BJ$4),BD29,"")</f>
        <v/>
      </c>
      <c r="BF29" s="351">
        <f>IF($DY$5=S.CAL!$CU$2,Mai!AR31,IF($DY$5=S.CAL!$CU$3,VLOOKUP(BC29,planning_fp,7,FALSE),""))</f>
        <v>0</v>
      </c>
      <c r="BG29" s="363" t="str">
        <f>Mai!BL31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45789</v>
      </c>
      <c r="CF29" s="172">
        <f>+$D$13+11</f>
        <v>45789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45789</v>
      </c>
      <c r="EM29" s="16" t="str">
        <f t="shared" si="29"/>
        <v>Fiche infoA145789</v>
      </c>
      <c r="EN29" s="16">
        <f t="shared" si="20"/>
        <v>0</v>
      </c>
      <c r="EQ29" s="16" t="str">
        <f>Mai!FS31</f>
        <v/>
      </c>
    </row>
    <row r="30" spans="1:147" ht="18" customHeight="1" x14ac:dyDescent="0.25">
      <c r="A30" s="24" t="str">
        <f>+Mai!BJ32</f>
        <v>Fiche infoA2</v>
      </c>
      <c r="B30" s="107">
        <f t="shared" si="30"/>
        <v>45790</v>
      </c>
      <c r="C30" s="172">
        <f>+$D$13+12</f>
        <v>45790</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Mai!BC32</f>
        <v>0</v>
      </c>
      <c r="J30" s="34">
        <f>Mai!BE32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45778</v>
      </c>
      <c r="AP30" s="2496"/>
      <c r="AQ30" s="2496"/>
      <c r="BA30" s="349" t="str">
        <f t="shared" si="16"/>
        <v>Fiche infoA2</v>
      </c>
      <c r="BB30" s="107">
        <f t="shared" si="31"/>
        <v>45790</v>
      </c>
      <c r="BC30" s="172">
        <f>+$D$13+12</f>
        <v>45790</v>
      </c>
      <c r="BD30" s="173" t="str">
        <f t="shared" si="32"/>
        <v/>
      </c>
      <c r="BE30" s="173" t="str">
        <f>+IF(OR(BF30=S.CAL!$BJ$3,BF30=S.CAL!$BJ$4),BD30,"")</f>
        <v/>
      </c>
      <c r="BF30" s="351">
        <f>IF($DY$5=S.CAL!$CU$2,Mai!AR32,IF($DY$5=S.CAL!$CU$3,VLOOKUP(BC30,planning_fp,7,FALSE),""))</f>
        <v>0</v>
      </c>
      <c r="BG30" s="363" t="str">
        <f>Mai!BL32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45790</v>
      </c>
      <c r="CF30" s="172">
        <f>+$D$13+12</f>
        <v>45790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45790</v>
      </c>
      <c r="EM30" s="16" t="str">
        <f t="shared" si="29"/>
        <v>Fiche infoA245790</v>
      </c>
      <c r="EN30" s="16">
        <f t="shared" si="20"/>
        <v>0</v>
      </c>
      <c r="EQ30" s="16" t="str">
        <f>Mai!FS32</f>
        <v/>
      </c>
    </row>
    <row r="31" spans="1:147" ht="18" customHeight="1" x14ac:dyDescent="0.2">
      <c r="A31" s="24" t="str">
        <f>+Mai!BJ33</f>
        <v>Fiche infoA3</v>
      </c>
      <c r="B31" s="107">
        <f t="shared" si="30"/>
        <v>45791</v>
      </c>
      <c r="C31" s="172">
        <f>+$D$13+13</f>
        <v>45791</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Mai!BC33</f>
        <v>0</v>
      </c>
      <c r="J31" s="34">
        <f>Mai!BE33</f>
        <v>0</v>
      </c>
      <c r="K31" s="34">
        <f t="shared" si="15"/>
        <v>0</v>
      </c>
      <c r="L31" s="34" t="str">
        <f t="shared" si="21"/>
        <v/>
      </c>
      <c r="AL31" s="581" t="s">
        <v>351</v>
      </c>
      <c r="BA31" s="349" t="str">
        <f t="shared" si="16"/>
        <v>Fiche infoA3</v>
      </c>
      <c r="BB31" s="107">
        <f t="shared" si="31"/>
        <v>45791</v>
      </c>
      <c r="BC31" s="172">
        <f>+$D$13+13</f>
        <v>45791</v>
      </c>
      <c r="BD31" s="173" t="str">
        <f t="shared" si="32"/>
        <v/>
      </c>
      <c r="BE31" s="173" t="str">
        <f>+IF(OR(BF31=S.CAL!$BJ$3,BF31=S.CAL!$BJ$4),BD31,"")</f>
        <v/>
      </c>
      <c r="BF31" s="351">
        <f>IF($DY$5=S.CAL!$CU$2,Mai!AR33,IF($DY$5=S.CAL!$CU$3,VLOOKUP(BC31,planning_fp,7,FALSE),""))</f>
        <v>0</v>
      </c>
      <c r="BG31" s="363" t="str">
        <f>Mai!BL33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45791</v>
      </c>
      <c r="CF31" s="172">
        <f>+$D$13+13</f>
        <v>45791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45791</v>
      </c>
      <c r="EM31" s="16" t="str">
        <f t="shared" si="29"/>
        <v>Fiche infoA345791</v>
      </c>
      <c r="EN31" s="16">
        <f t="shared" si="20"/>
        <v>0</v>
      </c>
      <c r="EQ31" s="16" t="str">
        <f>Mai!FS33</f>
        <v/>
      </c>
    </row>
    <row r="32" spans="1:147" ht="18" customHeight="1" x14ac:dyDescent="0.2">
      <c r="A32" s="24" t="str">
        <f>+Mai!BJ34</f>
        <v>Fiche infoA4</v>
      </c>
      <c r="B32" s="107">
        <f t="shared" si="30"/>
        <v>45792</v>
      </c>
      <c r="C32" s="172">
        <f>+$D$13+14</f>
        <v>45792</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Mai!BC34</f>
        <v>0</v>
      </c>
      <c r="J32" s="34">
        <f>Mai!BE34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infoA4</v>
      </c>
      <c r="BB32" s="107">
        <f t="shared" si="31"/>
        <v>45792</v>
      </c>
      <c r="BC32" s="172">
        <f>+$D$13+14</f>
        <v>45792</v>
      </c>
      <c r="BD32" s="173" t="str">
        <f t="shared" si="32"/>
        <v/>
      </c>
      <c r="BE32" s="173" t="str">
        <f>+IF(OR(BF32=S.CAL!$BJ$3,BF32=S.CAL!$BJ$4),BD32,"")</f>
        <v/>
      </c>
      <c r="BF32" s="351">
        <f>IF($DY$5=S.CAL!$CU$2,Mai!AR34,IF($DY$5=S.CAL!$CU$3,VLOOKUP(BC32,planning_fp,7,FALSE),""))</f>
        <v>0</v>
      </c>
      <c r="BG32" s="363" t="str">
        <f>Mai!BL34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45792</v>
      </c>
      <c r="CF32" s="172">
        <f>+$D$13+14</f>
        <v>45792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45792</v>
      </c>
      <c r="EM32" s="16" t="str">
        <f t="shared" si="29"/>
        <v>Fiche infoA445792</v>
      </c>
      <c r="EN32" s="16">
        <f t="shared" si="20"/>
        <v>0</v>
      </c>
      <c r="EQ32" s="16" t="str">
        <f>Mai!FS34</f>
        <v/>
      </c>
    </row>
    <row r="33" spans="1:147" ht="18" customHeight="1" x14ac:dyDescent="0.2">
      <c r="A33" s="24" t="str">
        <f>+Mai!BJ35</f>
        <v>Fiche infoA5</v>
      </c>
      <c r="B33" s="107">
        <f t="shared" si="30"/>
        <v>45793</v>
      </c>
      <c r="C33" s="172">
        <f>+$D$13+15</f>
        <v>45793</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Mai!BC35</f>
        <v>0</v>
      </c>
      <c r="J33" s="34">
        <f>Mai!BE35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infoA5</v>
      </c>
      <c r="BB33" s="107">
        <f t="shared" si="31"/>
        <v>45793</v>
      </c>
      <c r="BC33" s="172">
        <f>+$D$13+15</f>
        <v>45793</v>
      </c>
      <c r="BD33" s="173" t="str">
        <f t="shared" si="32"/>
        <v/>
      </c>
      <c r="BE33" s="173" t="str">
        <f>+IF(OR(BF33=S.CAL!$BJ$3,BF33=S.CAL!$BJ$4),BD33,"")</f>
        <v/>
      </c>
      <c r="BF33" s="351">
        <f>IF($DY$5=S.CAL!$CU$2,Mai!AR35,IF($DY$5=S.CAL!$CU$3,VLOOKUP(BC33,planning_fp,7,FALSE),""))</f>
        <v>0</v>
      </c>
      <c r="BG33" s="363" t="str">
        <f>Mai!BL35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45793</v>
      </c>
      <c r="CF33" s="172">
        <f>+$D$13+15</f>
        <v>45793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45793</v>
      </c>
      <c r="EM33" s="16" t="str">
        <f t="shared" si="29"/>
        <v>Fiche infoA545793</v>
      </c>
      <c r="EN33" s="16">
        <f t="shared" si="20"/>
        <v>0</v>
      </c>
      <c r="EQ33" s="16" t="str">
        <f>Mai!FS35</f>
        <v/>
      </c>
    </row>
    <row r="34" spans="1:147" ht="18" customHeight="1" x14ac:dyDescent="0.2">
      <c r="A34" s="24" t="str">
        <f>+Mai!BJ36</f>
        <v>Fiche infoA6</v>
      </c>
      <c r="B34" s="107">
        <f t="shared" si="30"/>
        <v>45794</v>
      </c>
      <c r="C34" s="172">
        <f>+$D$13+16</f>
        <v>45794</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Mai!BC36</f>
        <v>0</v>
      </c>
      <c r="J34" s="34">
        <f>Mai!BE36</f>
        <v>0</v>
      </c>
      <c r="K34" s="34">
        <f t="shared" si="15"/>
        <v>0</v>
      </c>
      <c r="L34" s="34" t="str">
        <f t="shared" si="21"/>
        <v/>
      </c>
      <c r="N34" s="395"/>
      <c r="O34" s="395"/>
      <c r="P34" s="395"/>
      <c r="Q34" s="395"/>
      <c r="R34" s="395"/>
      <c r="T34" s="581">
        <f>+IF(AD34=0,V34,0)</f>
        <v>0</v>
      </c>
      <c r="U34" s="1323" t="str">
        <f>+Mai!AU4</f>
        <v>A</v>
      </c>
      <c r="V34" s="1323">
        <f>IFERROR(+VLOOKUP(U34,U35:AB39,7,FALSE),"")</f>
        <v>0</v>
      </c>
      <c r="W34" s="2482" t="str">
        <f>Mai!BS28</f>
        <v>Semaine numéro : 18</v>
      </c>
      <c r="X34" s="2482"/>
      <c r="Y34" s="2482"/>
      <c r="Z34" s="1345"/>
      <c r="AA34" s="1338">
        <f>+IF(Z34&lt;&gt;"",Z34,IF(T34&gt;0,T34,IF(AND(AD34&gt;0,AC34&gt;0),AD34+AC34,IF(AE34&gt;0,0,AC34))))</f>
        <v>0</v>
      </c>
      <c r="AB34" s="1338">
        <f>IF(AND(AA34&gt;45,AD34=AD48),AA34-45,0)</f>
        <v>0</v>
      </c>
      <c r="AC34" s="1344">
        <f>+SUMIF(Mai!$BK$20:$BK$50,Mai!AT4,$D$18:$D$48)</f>
        <v>0</v>
      </c>
      <c r="AD34" s="1344">
        <f>+SUMIF(Avril!$BK$20:$BK$50,Mai!AT4,'Retenue Avril'!$D$18:$D$48)</f>
        <v>0</v>
      </c>
      <c r="AE34" s="1344">
        <f>+SUMIF(Juin!$BK$20:$BK$50,Mai!AT4,'Retenue Juin'!$D$18:$D$48)</f>
        <v>0</v>
      </c>
      <c r="AF34" s="1338">
        <f>+AC34-AB34</f>
        <v>0</v>
      </c>
      <c r="AK34" s="1211" t="s">
        <v>333</v>
      </c>
      <c r="AL34" s="1324" t="e">
        <f>IF(AL32,+AL24/AL32,0)</f>
        <v>#VALUE!</v>
      </c>
      <c r="BA34" s="349" t="str">
        <f t="shared" si="16"/>
        <v>Fiche infoA6</v>
      </c>
      <c r="BB34" s="107">
        <f t="shared" si="31"/>
        <v>45794</v>
      </c>
      <c r="BC34" s="172">
        <f>+$D$13+16</f>
        <v>45794</v>
      </c>
      <c r="BD34" s="173" t="str">
        <f t="shared" si="32"/>
        <v/>
      </c>
      <c r="BE34" s="173" t="str">
        <f>+IF(OR(BF34=S.CAL!$BJ$3,BF34=S.CAL!$BJ$4),BD34,"")</f>
        <v/>
      </c>
      <c r="BF34" s="351">
        <f>IF($DY$5=S.CAL!$CU$2,Mai!AR36,IF($DY$5=S.CAL!$CU$3,VLOOKUP(BC34,planning_fp,7,FALSE),""))</f>
        <v>0</v>
      </c>
      <c r="BG34" s="363" t="str">
        <f>Mai!BL36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45794</v>
      </c>
      <c r="CF34" s="172">
        <f>+$D$13+16</f>
        <v>45794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45794</v>
      </c>
      <c r="EM34" s="16" t="str">
        <f t="shared" si="29"/>
        <v>Fiche infoA645794</v>
      </c>
      <c r="EN34" s="16">
        <f t="shared" si="20"/>
        <v>0</v>
      </c>
      <c r="EQ34" s="16" t="str">
        <f>Mai!FS36</f>
        <v/>
      </c>
    </row>
    <row r="35" spans="1:147" ht="18" customHeight="1" x14ac:dyDescent="0.2">
      <c r="A35" s="24" t="str">
        <f>+Mai!BJ37</f>
        <v>Fiche infoA7</v>
      </c>
      <c r="B35" s="107">
        <f t="shared" si="30"/>
        <v>45795</v>
      </c>
      <c r="C35" s="172">
        <f>+$D$13+17</f>
        <v>45795</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Mai!BC37</f>
        <v>0</v>
      </c>
      <c r="J35" s="34">
        <f>Mai!BE37</f>
        <v>0</v>
      </c>
      <c r="K35" s="34">
        <f t="shared" si="15"/>
        <v>0</v>
      </c>
      <c r="L35" s="34" t="str">
        <f t="shared" si="21"/>
        <v/>
      </c>
      <c r="N35" s="395"/>
      <c r="O35" s="879" t="s">
        <v>1218</v>
      </c>
      <c r="P35" s="880"/>
      <c r="Q35" s="880"/>
      <c r="R35" s="876"/>
      <c r="T35" s="581">
        <f>+IF(AD35=0,V35,0)</f>
        <v>0</v>
      </c>
      <c r="U35" s="1323" t="str">
        <f>+Mai!AU5</f>
        <v>A</v>
      </c>
      <c r="V35" s="1323">
        <f>IFERROR(+VLOOKUP(U35,U36:AB39,7,FALSE),"")</f>
        <v>0</v>
      </c>
      <c r="W35" s="2482" t="str">
        <f>Mai!BS29</f>
        <v>Semaine numéro : 19</v>
      </c>
      <c r="X35" s="2482"/>
      <c r="Y35" s="2482"/>
      <c r="Z35" s="1345"/>
      <c r="AA35" s="1338">
        <f>+IF(Z35&lt;&gt;"",Z35,IF(T35&gt;0,T35,IF(AND(AD35&gt;0,AC35&gt;0),AD35+AC35,IF(AE35&gt;0,0,AC35))))</f>
        <v>0</v>
      </c>
      <c r="AB35" s="1338">
        <f t="shared" ref="AB35:AB39" si="44">IF(AND(AA35&gt;45,AD35=AD49),AA35-45,0)</f>
        <v>0</v>
      </c>
      <c r="AC35" s="1344">
        <f>+SUMIF(Mai!$BK$20:$BK$50,Mai!AT5,$D$18:$D$48)</f>
        <v>0</v>
      </c>
      <c r="AD35" s="1344">
        <f>+SUMIF(Avril!$BK$20:$BK$50,Mai!AT5,'Retenue Avril'!$D$18:$D$48)</f>
        <v>0</v>
      </c>
      <c r="AE35" s="1344">
        <f>+SUMIF(Juin!$BK$20:$BK$50,Mai!AT5,'Retenue Juin'!$D$18:$D$48)</f>
        <v>0</v>
      </c>
      <c r="AF35" s="1338">
        <f t="shared" ref="AF35:AF39" si="45">+AC35-AB35</f>
        <v>0</v>
      </c>
      <c r="AK35" s="1211"/>
      <c r="AL35" s="1324"/>
      <c r="BA35" s="349" t="str">
        <f t="shared" si="16"/>
        <v>Fiche infoA7</v>
      </c>
      <c r="BB35" s="107">
        <f t="shared" si="31"/>
        <v>45795</v>
      </c>
      <c r="BC35" s="172">
        <f>+$D$13+17</f>
        <v>45795</v>
      </c>
      <c r="BD35" s="173" t="str">
        <f t="shared" si="32"/>
        <v/>
      </c>
      <c r="BE35" s="173" t="str">
        <f>+IF(OR(BF35=S.CAL!$BJ$3,BF35=S.CAL!$BJ$4),BD35,"")</f>
        <v/>
      </c>
      <c r="BF35" s="351">
        <f>IF($DY$5=S.CAL!$CU$2,Mai!AR37,IF($DY$5=S.CAL!$CU$3,VLOOKUP(BC35,planning_fp,7,FALSE),""))</f>
        <v>0</v>
      </c>
      <c r="BG35" s="363" t="str">
        <f>Mai!BL37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45795</v>
      </c>
      <c r="CF35" s="172">
        <f>+$D$13+17</f>
        <v>45795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45795</v>
      </c>
      <c r="EM35" s="16" t="str">
        <f t="shared" si="29"/>
        <v>Fiche infoA745795</v>
      </c>
      <c r="EN35" s="16">
        <f t="shared" si="20"/>
        <v>0</v>
      </c>
      <c r="EQ35" s="16" t="str">
        <f>Mai!FS37</f>
        <v/>
      </c>
    </row>
    <row r="36" spans="1:147" ht="18" customHeight="1" x14ac:dyDescent="0.2">
      <c r="A36" s="24" t="str">
        <f>+Mai!BJ38</f>
        <v>Fiche infoA1</v>
      </c>
      <c r="B36" s="107">
        <f t="shared" si="30"/>
        <v>45796</v>
      </c>
      <c r="C36" s="172">
        <f>+$D$13+18</f>
        <v>45796</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Mai!BC38</f>
        <v>0</v>
      </c>
      <c r="J36" s="34">
        <f>Mai!BE38</f>
        <v>0</v>
      </c>
      <c r="K36" s="34">
        <f t="shared" si="15"/>
        <v>0</v>
      </c>
      <c r="L36" s="34" t="str">
        <f t="shared" si="21"/>
        <v/>
      </c>
      <c r="N36" s="395"/>
      <c r="O36" s="486"/>
      <c r="P36" s="487" t="str">
        <f>+E11&amp;" / ( "&amp;E10&amp;" + "&amp;E11&amp;" ) ="</f>
        <v>0 / ( 0 + 0 ) =</v>
      </c>
      <c r="Q36" s="486" t="e">
        <f>+ROUND(E11/(E11+E10),6)</f>
        <v>#DIV/0!</v>
      </c>
      <c r="R36" s="395"/>
      <c r="U36" s="1323" t="str">
        <f>+Mai!AU6</f>
        <v>A</v>
      </c>
      <c r="V36" s="1323"/>
      <c r="W36" s="2482" t="str">
        <f>Mai!BS30</f>
        <v>Semaine numéro : 20</v>
      </c>
      <c r="X36" s="2482"/>
      <c r="Y36" s="2482"/>
      <c r="Z36" s="1345"/>
      <c r="AA36" s="1338">
        <f t="shared" ref="AA36:AA39" si="46">+IF(Z36="",IF(AND(AD36&gt;0,AC36&gt;0),AD36+AC36,IF(AE36&gt;0,0,AC36)),Z36)</f>
        <v>0</v>
      </c>
      <c r="AB36" s="1338">
        <f t="shared" si="44"/>
        <v>0</v>
      </c>
      <c r="AC36" s="1344">
        <f>+SUMIF(Mai!$BK$20:$BK$50,Mai!AT6,$D$18:$D$48)</f>
        <v>0</v>
      </c>
      <c r="AD36" s="1344">
        <f>+SUMIF(Avril!$BK$20:$BK$50,Mai!AT6,'Retenue Avril'!$D$18:$D$48)</f>
        <v>0</v>
      </c>
      <c r="AE36" s="1344">
        <f>+SUMIF(Juin!$BK$20:$BK$50,Mai!AT6,'Retenue Juin'!$D$18:$D$48)</f>
        <v>0</v>
      </c>
      <c r="AF36" s="1338">
        <f t="shared" si="45"/>
        <v>0</v>
      </c>
      <c r="AK36" s="1211"/>
      <c r="AL36" s="1324"/>
      <c r="BA36" s="349" t="str">
        <f t="shared" si="16"/>
        <v>Fiche infoA1</v>
      </c>
      <c r="BB36" s="107">
        <f t="shared" si="31"/>
        <v>45796</v>
      </c>
      <c r="BC36" s="172">
        <f>+$D$13+18</f>
        <v>45796</v>
      </c>
      <c r="BD36" s="173" t="str">
        <f t="shared" si="32"/>
        <v/>
      </c>
      <c r="BE36" s="173" t="str">
        <f>+IF(OR(BF36=S.CAL!$BJ$3,BF36=S.CAL!$BJ$4),BD36,"")</f>
        <v/>
      </c>
      <c r="BF36" s="351">
        <f>IF($DY$5=S.CAL!$CU$2,Mai!AR38,IF($DY$5=S.CAL!$CU$3,VLOOKUP(BC36,planning_fp,7,FALSE),""))</f>
        <v>0</v>
      </c>
      <c r="BG36" s="363" t="str">
        <f>Mai!BL38</f>
        <v>A</v>
      </c>
      <c r="BH36" s="374"/>
      <c r="BI36" s="375"/>
      <c r="BJ36" s="373"/>
      <c r="BK36" s="373"/>
      <c r="BL36" s="35"/>
      <c r="BS36" s="191"/>
      <c r="BT36" s="360"/>
      <c r="BU36" s="360"/>
      <c r="BV36" s="373"/>
      <c r="BW36" s="373"/>
      <c r="BX36" s="373"/>
      <c r="BY36" s="373"/>
      <c r="BZ36" s="373"/>
      <c r="CA36" s="373"/>
      <c r="CB36" s="373"/>
      <c r="CD36" s="346"/>
      <c r="CE36" s="107">
        <f t="shared" si="33"/>
        <v>45796</v>
      </c>
      <c r="CF36" s="172">
        <f>+$D$13+18</f>
        <v>45796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45796</v>
      </c>
      <c r="EM36" s="16" t="str">
        <f t="shared" si="29"/>
        <v>Fiche infoA145796</v>
      </c>
      <c r="EN36" s="16">
        <f t="shared" si="20"/>
        <v>0</v>
      </c>
      <c r="EQ36" s="16" t="str">
        <f>Mai!FS38</f>
        <v/>
      </c>
    </row>
    <row r="37" spans="1:147" ht="18" customHeight="1" x14ac:dyDescent="0.2">
      <c r="A37" s="24" t="str">
        <f>+Mai!BJ39</f>
        <v>Fiche infoA2</v>
      </c>
      <c r="B37" s="107">
        <f t="shared" si="30"/>
        <v>45797</v>
      </c>
      <c r="C37" s="172">
        <f>+$D$13+19</f>
        <v>45797</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Mai!BC39</f>
        <v>0</v>
      </c>
      <c r="J37" s="34">
        <f>Mai!BE39</f>
        <v>0</v>
      </c>
      <c r="K37" s="34">
        <f t="shared" si="15"/>
        <v>0</v>
      </c>
      <c r="L37" s="34" t="str">
        <f t="shared" si="21"/>
        <v/>
      </c>
      <c r="N37" s="395"/>
      <c r="O37" s="881"/>
      <c r="P37" s="881"/>
      <c r="Q37" s="881"/>
      <c r="R37" s="395"/>
      <c r="U37" s="1323" t="str">
        <f>+Mai!AU7</f>
        <v>A</v>
      </c>
      <c r="V37" s="1323"/>
      <c r="W37" s="2482" t="str">
        <f>Mai!BS31</f>
        <v>Semaine numéro : 21</v>
      </c>
      <c r="X37" s="2482"/>
      <c r="Y37" s="2482"/>
      <c r="Z37" s="1345"/>
      <c r="AA37" s="1338">
        <f t="shared" si="46"/>
        <v>0</v>
      </c>
      <c r="AB37" s="1338">
        <f t="shared" si="44"/>
        <v>0</v>
      </c>
      <c r="AC37" s="1344">
        <f>+SUMIF(Mai!$BK$20:$BK$50,Mai!AT7,$D$18:$D$48)</f>
        <v>0</v>
      </c>
      <c r="AD37" s="1344">
        <f>+SUMIF(Avril!$BK$20:$BK$50,Mai!AT7,'Retenue Avril'!$D$18:$D$48)</f>
        <v>0</v>
      </c>
      <c r="AE37" s="1344">
        <f>+SUMIF(Juin!$BK$20:$BK$50,Mai!AT7,'Retenue Juin'!$D$18:$D$48)</f>
        <v>0</v>
      </c>
      <c r="AF37" s="1338">
        <f t="shared" si="45"/>
        <v>0</v>
      </c>
      <c r="AK37" s="1211"/>
      <c r="AL37" s="2494" t="s">
        <v>334</v>
      </c>
      <c r="AM37" s="2494" t="s">
        <v>335</v>
      </c>
      <c r="AN37" s="2495" t="s">
        <v>336</v>
      </c>
      <c r="AO37" s="2494" t="s">
        <v>337</v>
      </c>
      <c r="AP37" s="2494" t="s">
        <v>357</v>
      </c>
      <c r="AQ37" s="2494" t="s">
        <v>358</v>
      </c>
      <c r="BA37" s="349" t="str">
        <f t="shared" si="16"/>
        <v>Fiche infoA2</v>
      </c>
      <c r="BB37" s="107">
        <f t="shared" si="31"/>
        <v>45797</v>
      </c>
      <c r="BC37" s="172">
        <f>+$D$13+19</f>
        <v>45797</v>
      </c>
      <c r="BD37" s="173" t="str">
        <f t="shared" si="32"/>
        <v/>
      </c>
      <c r="BE37" s="173" t="str">
        <f>+IF(OR(BF37=S.CAL!$BJ$3,BF37=S.CAL!$BJ$4),BD37,"")</f>
        <v/>
      </c>
      <c r="BF37" s="351">
        <f>IF($DY$5=S.CAL!$CU$2,Mai!AR39,IF($DY$5=S.CAL!$CU$3,VLOOKUP(BC37,planning_fp,7,FALSE),""))</f>
        <v>0</v>
      </c>
      <c r="BG37" s="363" t="str">
        <f>Mai!BL39</f>
        <v>A</v>
      </c>
      <c r="BH37" s="373"/>
      <c r="BI37" s="373"/>
      <c r="BJ37" s="373"/>
      <c r="BK37" s="373"/>
      <c r="BL37" s="35"/>
      <c r="BO37" s="29"/>
      <c r="BP37" s="34"/>
      <c r="BS37" s="191"/>
      <c r="BT37" s="191"/>
      <c r="BV37" s="373"/>
      <c r="BW37" s="373"/>
      <c r="BX37" s="373"/>
      <c r="BY37" s="373"/>
      <c r="BZ37" s="373"/>
      <c r="CA37" s="373"/>
      <c r="CB37" s="373"/>
      <c r="CD37" s="346"/>
      <c r="CE37" s="107">
        <f t="shared" si="33"/>
        <v>45797</v>
      </c>
      <c r="CF37" s="172">
        <f>+$D$13+19</f>
        <v>45797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45797</v>
      </c>
      <c r="EM37" s="16" t="str">
        <f t="shared" si="29"/>
        <v>Fiche infoA245797</v>
      </c>
      <c r="EN37" s="16">
        <f t="shared" si="20"/>
        <v>0</v>
      </c>
      <c r="EQ37" s="16" t="str">
        <f>Mai!FS39</f>
        <v/>
      </c>
    </row>
    <row r="38" spans="1:147" ht="18" customHeight="1" x14ac:dyDescent="0.2">
      <c r="A38" s="24" t="str">
        <f>+Mai!BJ40</f>
        <v>Fiche infoA3</v>
      </c>
      <c r="B38" s="107">
        <f t="shared" si="30"/>
        <v>45798</v>
      </c>
      <c r="C38" s="172">
        <f>+$D$13+20</f>
        <v>45798</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Mai!BC40</f>
        <v>0</v>
      </c>
      <c r="J38" s="34">
        <f>Mai!BE40</f>
        <v>0</v>
      </c>
      <c r="K38" s="34">
        <f t="shared" si="15"/>
        <v>0</v>
      </c>
      <c r="L38" s="34" t="str">
        <f t="shared" si="21"/>
        <v/>
      </c>
      <c r="N38" s="395"/>
      <c r="O38" s="882" t="s">
        <v>1472</v>
      </c>
      <c r="P38" s="882"/>
      <c r="Q38" s="882"/>
      <c r="R38" s="878"/>
      <c r="U38" s="1323" t="str">
        <f>+Mai!AU8</f>
        <v>A</v>
      </c>
      <c r="V38" s="1323"/>
      <c r="W38" s="2482" t="str">
        <f>Mai!BS32</f>
        <v>Semaine numéro : 22</v>
      </c>
      <c r="X38" s="2482"/>
      <c r="Y38" s="2482"/>
      <c r="Z38" s="1345"/>
      <c r="AA38" s="1338">
        <f t="shared" si="46"/>
        <v>0</v>
      </c>
      <c r="AB38" s="1338">
        <f t="shared" si="44"/>
        <v>0</v>
      </c>
      <c r="AC38" s="1344">
        <f>+SUMIF(Mai!$BK$20:$BK$50,Mai!AT8,$D$18:$D$48)</f>
        <v>0</v>
      </c>
      <c r="AD38" s="1344">
        <f>+SUMIF(Avril!$BK$20:$BK$50,Mai!AT8,'Retenue Avril'!$D$18:$D$48)</f>
        <v>0</v>
      </c>
      <c r="AE38" s="1344">
        <f>+SUMIF(Juin!$BK$20:$BK$50,Mai!AT8,'Retenue Juin'!$D$18:$D$48)</f>
        <v>0</v>
      </c>
      <c r="AF38" s="1338">
        <f t="shared" si="45"/>
        <v>0</v>
      </c>
      <c r="AL38" s="2494"/>
      <c r="AM38" s="2494"/>
      <c r="AN38" s="2495"/>
      <c r="AO38" s="2494"/>
      <c r="AP38" s="2494"/>
      <c r="AQ38" s="2494"/>
      <c r="BA38" s="349" t="str">
        <f t="shared" si="16"/>
        <v>Fiche infoA3</v>
      </c>
      <c r="BB38" s="107">
        <f t="shared" si="31"/>
        <v>45798</v>
      </c>
      <c r="BC38" s="172">
        <f>+$D$13+20</f>
        <v>45798</v>
      </c>
      <c r="BD38" s="173" t="str">
        <f t="shared" si="32"/>
        <v/>
      </c>
      <c r="BE38" s="173" t="str">
        <f>+IF(OR(BF38=S.CAL!$BJ$3,BF38=S.CAL!$BJ$4),BD38,"")</f>
        <v/>
      </c>
      <c r="BF38" s="351">
        <f>IF($DY$5=S.CAL!$CU$2,Mai!AR40,IF($DY$5=S.CAL!$CU$3,VLOOKUP(BC38,planning_fp,7,FALSE),""))</f>
        <v>0</v>
      </c>
      <c r="BG38" s="363" t="str">
        <f>Mai!BL40</f>
        <v>A</v>
      </c>
      <c r="BH38" s="373"/>
      <c r="BI38" s="373"/>
      <c r="BJ38" s="373"/>
      <c r="BK38" s="373"/>
      <c r="BL38" s="35"/>
      <c r="BO38" s="29"/>
      <c r="BP38" s="34"/>
      <c r="BS38" s="191"/>
      <c r="BT38" s="191"/>
      <c r="BV38" s="373"/>
      <c r="BW38" s="373"/>
      <c r="BX38" s="373"/>
      <c r="BY38" s="373"/>
      <c r="BZ38" s="373"/>
      <c r="CA38" s="373"/>
      <c r="CB38" s="373"/>
      <c r="CD38" s="346"/>
      <c r="CE38" s="107">
        <f t="shared" si="33"/>
        <v>45798</v>
      </c>
      <c r="CF38" s="172">
        <f>+$D$13+20</f>
        <v>45798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45798</v>
      </c>
      <c r="EM38" s="16" t="str">
        <f t="shared" si="29"/>
        <v>Fiche infoA345798</v>
      </c>
      <c r="EN38" s="16">
        <f t="shared" si="20"/>
        <v>0</v>
      </c>
      <c r="EQ38" s="16" t="str">
        <f>Mai!FS40</f>
        <v/>
      </c>
    </row>
    <row r="39" spans="1:147" ht="18" customHeight="1" x14ac:dyDescent="0.2">
      <c r="A39" s="24" t="str">
        <f>+Mai!BJ41</f>
        <v>Fiche infoA4</v>
      </c>
      <c r="B39" s="107">
        <f t="shared" si="30"/>
        <v>45799</v>
      </c>
      <c r="C39" s="172">
        <f>+$D$13+21</f>
        <v>45799</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Mai!BC41</f>
        <v>0</v>
      </c>
      <c r="J39" s="34">
        <f>Mai!BE41</f>
        <v>0</v>
      </c>
      <c r="K39" s="34">
        <f t="shared" si="15"/>
        <v>0</v>
      </c>
      <c r="L39" s="34" t="str">
        <f t="shared" si="21"/>
        <v/>
      </c>
      <c r="N39" s="395"/>
      <c r="O39" s="486"/>
      <c r="P39" s="487" t="str">
        <f>+E10&amp;" / ( "&amp;E10&amp;" + "&amp;E11&amp;" ) ="</f>
        <v>0 / ( 0 + 0 ) =</v>
      </c>
      <c r="Q39" s="486" t="e">
        <f>ROUND(+E10/(E11+E10),6)</f>
        <v>#DIV/0!</v>
      </c>
      <c r="R39" s="395"/>
      <c r="U39" s="1323" t="str">
        <f>+Mai!AU9</f>
        <v>A</v>
      </c>
      <c r="V39" s="1323"/>
      <c r="W39" s="2482" t="str">
        <f>Mai!BS33</f>
        <v xml:space="preserve">Semaine numéro : </v>
      </c>
      <c r="X39" s="2482"/>
      <c r="Y39" s="2482"/>
      <c r="Z39" s="1345"/>
      <c r="AA39" s="1338">
        <f t="shared" si="46"/>
        <v>0</v>
      </c>
      <c r="AB39" s="1338">
        <f t="shared" si="44"/>
        <v>0</v>
      </c>
      <c r="AC39" s="1344">
        <f>+SUMIF(Mai!$BK$20:$BK$50,Mai!AT9,$D$18:$D$48)</f>
        <v>0</v>
      </c>
      <c r="AD39" s="1344">
        <f>+SUMIF(Avril!$BK$20:$BK$50,Mai!AT9,'Retenue Avril'!$D$18:$D$48)</f>
        <v>0</v>
      </c>
      <c r="AE39" s="1344">
        <f>+SUMIF(Juin!$BK$20:$BK$50,Mai!AT9,'Retenue Juin'!$D$18:$D$48)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infoA4</v>
      </c>
      <c r="BB39" s="107">
        <f t="shared" si="31"/>
        <v>45799</v>
      </c>
      <c r="BC39" s="172">
        <f>+$D$13+21</f>
        <v>45799</v>
      </c>
      <c r="BD39" s="173" t="str">
        <f t="shared" si="32"/>
        <v/>
      </c>
      <c r="BE39" s="173" t="str">
        <f>+IF(OR(BF39=S.CAL!$BJ$3,BF39=S.CAL!$BJ$4),BD39,"")</f>
        <v/>
      </c>
      <c r="BF39" s="351">
        <f>IF($DY$5=S.CAL!$CU$2,Mai!AR41,IF($DY$5=S.CAL!$CU$3,VLOOKUP(BC39,planning_fp,7,FALSE),""))</f>
        <v>0</v>
      </c>
      <c r="BG39" s="363" t="str">
        <f>Mai!BL41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45799</v>
      </c>
      <c r="CF39" s="172">
        <f>+$D$13+21</f>
        <v>45799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45799</v>
      </c>
      <c r="EM39" s="16" t="str">
        <f t="shared" si="29"/>
        <v>Fiche infoA445799</v>
      </c>
      <c r="EN39" s="16">
        <f t="shared" si="20"/>
        <v>0</v>
      </c>
      <c r="EQ39" s="16" t="str">
        <f>Mai!FS41</f>
        <v/>
      </c>
    </row>
    <row r="40" spans="1:147" ht="18" customHeight="1" x14ac:dyDescent="0.2">
      <c r="A40" s="24" t="str">
        <f>+Mai!BJ42</f>
        <v>Fiche infoA5</v>
      </c>
      <c r="B40" s="107">
        <f t="shared" si="30"/>
        <v>45800</v>
      </c>
      <c r="C40" s="172">
        <f>+$D$13+22</f>
        <v>45800</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Mai!BC42</f>
        <v>0</v>
      </c>
      <c r="J40" s="34">
        <f>Mai!BE42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infoA5</v>
      </c>
      <c r="BB40" s="107">
        <f t="shared" si="31"/>
        <v>45800</v>
      </c>
      <c r="BC40" s="172">
        <f>+$D$13+22</f>
        <v>45800</v>
      </c>
      <c r="BD40" s="173" t="str">
        <f t="shared" si="32"/>
        <v/>
      </c>
      <c r="BE40" s="173" t="str">
        <f>+IF(OR(BF40=S.CAL!$BJ$3,BF40=S.CAL!$BJ$4),BD40,"")</f>
        <v/>
      </c>
      <c r="BF40" s="351">
        <f>IF($DY$5=S.CAL!$CU$2,Mai!AR42,IF($DY$5=S.CAL!$CU$3,VLOOKUP(BC40,planning_fp,7,FALSE),""))</f>
        <v>0</v>
      </c>
      <c r="BG40" s="363" t="str">
        <f>Mai!BL42</f>
        <v>A</v>
      </c>
      <c r="BH40" s="373"/>
      <c r="BI40" s="373"/>
      <c r="BJ40" s="373"/>
      <c r="BK40" s="373"/>
      <c r="BL40" s="35"/>
      <c r="BN40" s="19"/>
      <c r="BO40" s="39"/>
      <c r="BP40" s="196"/>
      <c r="BV40" s="373"/>
      <c r="BW40" s="373"/>
      <c r="BX40" s="390"/>
      <c r="BY40" s="373"/>
      <c r="BZ40" s="373"/>
      <c r="CA40" s="373"/>
      <c r="CB40" s="373"/>
      <c r="CD40" s="346"/>
      <c r="CE40" s="107">
        <f t="shared" si="33"/>
        <v>45800</v>
      </c>
      <c r="CF40" s="172">
        <f>+$D$13+22</f>
        <v>45800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45800</v>
      </c>
      <c r="EM40" s="16" t="str">
        <f t="shared" si="29"/>
        <v>Fiche infoA545800</v>
      </c>
      <c r="EN40" s="16">
        <f t="shared" si="20"/>
        <v>0</v>
      </c>
      <c r="EQ40" s="16" t="str">
        <f>Mai!FS42</f>
        <v/>
      </c>
    </row>
    <row r="41" spans="1:147" ht="18" customHeight="1" x14ac:dyDescent="0.2">
      <c r="A41" s="24" t="str">
        <f>+Mai!BJ43</f>
        <v>Fiche infoA6</v>
      </c>
      <c r="B41" s="107">
        <f t="shared" si="30"/>
        <v>45801</v>
      </c>
      <c r="C41" s="172">
        <f>+$D$13+23</f>
        <v>45801</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Mai!BC43</f>
        <v>0</v>
      </c>
      <c r="J41" s="34">
        <f>Mai!BE43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infoA6</v>
      </c>
      <c r="BB41" s="107">
        <f t="shared" si="31"/>
        <v>45801</v>
      </c>
      <c r="BC41" s="172">
        <f>+$D$13+23</f>
        <v>45801</v>
      </c>
      <c r="BD41" s="173" t="str">
        <f t="shared" si="32"/>
        <v/>
      </c>
      <c r="BE41" s="173" t="str">
        <f>+IF(OR(BF41=S.CAL!$BJ$3,BF41=S.CAL!$BJ$4),BD41,"")</f>
        <v/>
      </c>
      <c r="BF41" s="351">
        <f>IF($DY$5=S.CAL!$CU$2,Mai!AR43,IF($DY$5=S.CAL!$CU$3,VLOOKUP(BC41,planning_fp,7,FALSE),""))</f>
        <v>0</v>
      </c>
      <c r="BG41" s="363" t="str">
        <f>Mai!BL43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45801</v>
      </c>
      <c r="CF41" s="172">
        <f>+$D$13+23</f>
        <v>45801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45801</v>
      </c>
      <c r="EM41" s="16" t="str">
        <f t="shared" si="29"/>
        <v>Fiche infoA645801</v>
      </c>
      <c r="EN41" s="16">
        <f t="shared" si="20"/>
        <v>0</v>
      </c>
      <c r="EQ41" s="16" t="str">
        <f>Mai!FS43</f>
        <v/>
      </c>
    </row>
    <row r="42" spans="1:147" ht="18" customHeight="1" x14ac:dyDescent="0.2">
      <c r="A42" s="24" t="str">
        <f>+Mai!BJ44</f>
        <v>Fiche infoA7</v>
      </c>
      <c r="B42" s="107">
        <f t="shared" si="30"/>
        <v>45802</v>
      </c>
      <c r="C42" s="172">
        <f>+$D$13+24</f>
        <v>45802</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Mai!BC44</f>
        <v>0</v>
      </c>
      <c r="J42" s="34">
        <f>Mai!BE44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infoA7</v>
      </c>
      <c r="BB42" s="107">
        <f t="shared" si="31"/>
        <v>45802</v>
      </c>
      <c r="BC42" s="172">
        <f>+$D$13+24</f>
        <v>45802</v>
      </c>
      <c r="BD42" s="173" t="str">
        <f t="shared" si="32"/>
        <v/>
      </c>
      <c r="BE42" s="173" t="str">
        <f>+IF(OR(BF42=S.CAL!$BJ$3,BF42=S.CAL!$BJ$4),BD42,"")</f>
        <v/>
      </c>
      <c r="BF42" s="351">
        <f>IF($DY$5=S.CAL!$CU$2,Mai!AR44,IF($DY$5=S.CAL!$CU$3,VLOOKUP(BC42,planning_fp,7,FALSE),""))</f>
        <v>0</v>
      </c>
      <c r="BG42" s="363" t="str">
        <f>Mai!BL44</f>
        <v>A</v>
      </c>
      <c r="BH42" s="374"/>
      <c r="BI42" s="376"/>
      <c r="BJ42" s="373"/>
      <c r="BK42" s="373"/>
      <c r="BL42" s="35"/>
      <c r="BV42" s="373"/>
      <c r="BW42" s="373"/>
      <c r="BX42" s="373"/>
      <c r="BY42" s="373"/>
      <c r="BZ42" s="373"/>
      <c r="CA42" s="373"/>
      <c r="CB42" s="373"/>
      <c r="CD42" s="346"/>
      <c r="CE42" s="107">
        <f t="shared" si="33"/>
        <v>45802</v>
      </c>
      <c r="CF42" s="172">
        <f>+$D$13+24</f>
        <v>45802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45802</v>
      </c>
      <c r="EM42" s="16" t="str">
        <f t="shared" si="29"/>
        <v>Fiche infoA745802</v>
      </c>
      <c r="EN42" s="16">
        <f t="shared" si="20"/>
        <v>0</v>
      </c>
      <c r="EQ42" s="16" t="str">
        <f>Mai!FS44</f>
        <v/>
      </c>
    </row>
    <row r="43" spans="1:147" ht="18" customHeight="1" x14ac:dyDescent="0.2">
      <c r="A43" s="24" t="str">
        <f>+Mai!BJ45</f>
        <v>Fiche infoA1</v>
      </c>
      <c r="B43" s="107">
        <f t="shared" si="30"/>
        <v>45803</v>
      </c>
      <c r="C43" s="172">
        <f>+$D$13+25</f>
        <v>45803</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Mai!BC45</f>
        <v>0</v>
      </c>
      <c r="J43" s="34">
        <f>Mai!BE45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infoA1</v>
      </c>
      <c r="BB43" s="107">
        <f t="shared" si="31"/>
        <v>45803</v>
      </c>
      <c r="BC43" s="172">
        <f>+$D$13+25</f>
        <v>45803</v>
      </c>
      <c r="BD43" s="173" t="str">
        <f t="shared" si="32"/>
        <v/>
      </c>
      <c r="BE43" s="173" t="str">
        <f>+IF(OR(BF43=S.CAL!$BJ$3,BF43=S.CAL!$BJ$4),BD43,"")</f>
        <v/>
      </c>
      <c r="BF43" s="351">
        <f>IF($DY$5=S.CAL!$CU$2,Mai!AR45,IF($DY$5=S.CAL!$CU$3,VLOOKUP(BC43,planning_fp,7,FALSE),""))</f>
        <v>0</v>
      </c>
      <c r="BG43" s="363" t="str">
        <f>Mai!BL45</f>
        <v>A</v>
      </c>
      <c r="BH43" s="24"/>
      <c r="BI43" s="24" t="s">
        <v>708</v>
      </c>
      <c r="BJ43" s="24"/>
      <c r="BK43" s="373"/>
      <c r="BL43" s="35"/>
      <c r="BV43" s="373"/>
      <c r="BW43" s="373"/>
      <c r="BX43" s="373"/>
      <c r="BY43" s="373"/>
      <c r="BZ43" s="373"/>
      <c r="CA43" s="373"/>
      <c r="CB43" s="373"/>
      <c r="CD43" s="346"/>
      <c r="CE43" s="107">
        <f t="shared" si="33"/>
        <v>45803</v>
      </c>
      <c r="CF43" s="172">
        <f>+$D$13+25</f>
        <v>45803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45803</v>
      </c>
      <c r="EM43" s="16" t="str">
        <f t="shared" si="29"/>
        <v>Fiche infoA145803</v>
      </c>
      <c r="EN43" s="16">
        <f t="shared" si="20"/>
        <v>0</v>
      </c>
      <c r="EQ43" s="16" t="str">
        <f>Mai!FS45</f>
        <v/>
      </c>
    </row>
    <row r="44" spans="1:147" ht="18" customHeight="1" x14ac:dyDescent="0.25">
      <c r="A44" s="24" t="str">
        <f>+Mai!BJ46</f>
        <v>Fiche infoA2</v>
      </c>
      <c r="B44" s="107">
        <f t="shared" si="30"/>
        <v>45804</v>
      </c>
      <c r="C44" s="172">
        <f>+$D$13+26</f>
        <v>45804</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Mai!BC46</f>
        <v>0</v>
      </c>
      <c r="J44" s="34">
        <f>Mai!BE46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infoA2</v>
      </c>
      <c r="BB44" s="107">
        <f t="shared" si="31"/>
        <v>45804</v>
      </c>
      <c r="BC44" s="172">
        <f>+$D$13+26</f>
        <v>45804</v>
      </c>
      <c r="BD44" s="173" t="str">
        <f t="shared" si="32"/>
        <v/>
      </c>
      <c r="BE44" s="173" t="str">
        <f>+IF(OR(BF44=S.CAL!$BJ$3,BF44=S.CAL!$BJ$4),BD44,"")</f>
        <v/>
      </c>
      <c r="BF44" s="351">
        <f>IF($DY$5=S.CAL!$CU$2,Mai!AR46,IF($DY$5=S.CAL!$CU$3,VLOOKUP(BC44,planning_fp,7,FALSE),""))</f>
        <v>0</v>
      </c>
      <c r="BG44" s="363" t="str">
        <f>Mai!BL46</f>
        <v>A</v>
      </c>
      <c r="BH44" s="24" t="s">
        <v>800</v>
      </c>
      <c r="BI44" s="24"/>
      <c r="BJ44" s="24"/>
      <c r="BK44" s="373"/>
      <c r="BL44" s="35"/>
      <c r="BV44" s="373"/>
      <c r="BW44" s="373"/>
      <c r="BX44" s="373"/>
      <c r="BY44" s="373"/>
      <c r="BZ44" s="373"/>
      <c r="CA44" s="373"/>
      <c r="CB44" s="373"/>
      <c r="CD44" s="346"/>
      <c r="CE44" s="107">
        <f t="shared" si="33"/>
        <v>45804</v>
      </c>
      <c r="CF44" s="172">
        <f>+$D$13+26</f>
        <v>45804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45804</v>
      </c>
      <c r="EM44" s="16" t="str">
        <f t="shared" si="29"/>
        <v>Fiche infoA245804</v>
      </c>
      <c r="EN44" s="16">
        <f t="shared" si="20"/>
        <v>0</v>
      </c>
      <c r="EQ44" s="16" t="str">
        <f>Mai!FS46</f>
        <v/>
      </c>
    </row>
    <row r="45" spans="1:147" ht="18" customHeight="1" x14ac:dyDescent="0.2">
      <c r="A45" s="24" t="str">
        <f>+Mai!BJ47</f>
        <v>Fiche infoA3</v>
      </c>
      <c r="B45" s="107">
        <f t="shared" si="30"/>
        <v>45805</v>
      </c>
      <c r="C45" s="172">
        <f>IF(C$18+27&lt;DATE(YEAR(O$13),MONTH(O$13),DAY(O$13)),C$18+27,"")</f>
        <v>45805</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Mai!BC47</f>
        <v>0</v>
      </c>
      <c r="J45" s="34">
        <f>Mai!BE47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infoA3</v>
      </c>
      <c r="BB45" s="107">
        <f t="shared" si="31"/>
        <v>45805</v>
      </c>
      <c r="BC45" s="172">
        <f>IF(BC$18+27&lt;DATE(YEAR(BH$13),MONTH(BH$13),DAY(BH$13)),BC$18+27,"")</f>
        <v>45805</v>
      </c>
      <c r="BD45" s="173" t="str">
        <f t="shared" si="32"/>
        <v/>
      </c>
      <c r="BE45" s="173" t="str">
        <f>+IF(OR(BF45=S.CAL!$BJ$3,BF45=S.CAL!$BJ$4),BD45,"")</f>
        <v/>
      </c>
      <c r="BF45" s="351">
        <f>IF($DY$5=S.CAL!$CU$2,Mai!AR47,IF($DY$5=S.CAL!$CU$3,VLOOKUP(BC45,planning_fp,7,FALSE),""))</f>
        <v>0</v>
      </c>
      <c r="BG45" s="363" t="str">
        <f>Mai!BL47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45805</v>
      </c>
      <c r="CF45" s="172">
        <f>IF(CF$18+27&lt;DATE(YEAR(CQ$13),MONTH(CQ$13),DAY(CQ$13)),CF$18+27,"")</f>
        <v>45805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45805</v>
      </c>
      <c r="EM45" s="16" t="str">
        <f t="shared" si="29"/>
        <v>Fiche infoA345805</v>
      </c>
      <c r="EN45" s="16">
        <f t="shared" si="20"/>
        <v>0</v>
      </c>
      <c r="EQ45" s="16" t="str">
        <f>Mai!FS47</f>
        <v/>
      </c>
    </row>
    <row r="46" spans="1:147" ht="18" customHeight="1" x14ac:dyDescent="0.2">
      <c r="A46" s="24" t="str">
        <f>+Mai!BJ48</f>
        <v>Fiche infoA4</v>
      </c>
      <c r="B46" s="107">
        <f t="shared" si="30"/>
        <v>45806</v>
      </c>
      <c r="C46" s="172">
        <f>IF(C$18+28&lt;DATE(YEAR(O$13),MONTH(O$13),DAY(O$13)),C$18+28,"")</f>
        <v>45806</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Mai!BC48</f>
        <v>0</v>
      </c>
      <c r="J46" s="34">
        <f>Mai!BE48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infoA4</v>
      </c>
      <c r="BB46" s="107">
        <f t="shared" si="31"/>
        <v>45806</v>
      </c>
      <c r="BC46" s="172">
        <f>IF(BC$18+28&lt;DATE(YEAR(BH$13),MONTH(BH$13),DAY(BH$13)),BC$18+28,"")</f>
        <v>45806</v>
      </c>
      <c r="BD46" s="173" t="str">
        <f t="shared" si="32"/>
        <v/>
      </c>
      <c r="BE46" s="173" t="str">
        <f>+IF(OR(BF46=S.CAL!$BJ$3,BF46=S.CAL!$BJ$4),BD46,"")</f>
        <v/>
      </c>
      <c r="BF46" s="351">
        <f>IF($DY$5=S.CAL!$CU$2,Mai!AR48,IF($DY$5=S.CAL!$CU$3,VLOOKUP(BC46,planning_fp,7,FALSE),""))</f>
        <v>0</v>
      </c>
      <c r="BG46" s="363" t="str">
        <f>Mai!BL48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45806</v>
      </c>
      <c r="CF46" s="172">
        <f>IF(CF$18+28&lt;DATE(YEAR(CQ$13),MONTH(CQ$13),DAY(CQ$13)),CF$18+28,"")</f>
        <v>45806</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45806</v>
      </c>
      <c r="EM46" s="16" t="str">
        <f t="shared" si="29"/>
        <v>Fiche infoA445806</v>
      </c>
      <c r="EN46" s="16">
        <f t="shared" si="20"/>
        <v>0</v>
      </c>
      <c r="EQ46" s="16" t="str">
        <f>Mai!FS48</f>
        <v/>
      </c>
    </row>
    <row r="47" spans="1:147" ht="18" customHeight="1" x14ac:dyDescent="0.2">
      <c r="A47" s="24" t="str">
        <f>+Mai!BJ49</f>
        <v>Fiche infoA5</v>
      </c>
      <c r="B47" s="107">
        <f t="shared" si="30"/>
        <v>45807</v>
      </c>
      <c r="C47" s="172">
        <f>IF(C$18+29&lt;DATE(YEAR(O$13),MONTH(O$13),DAY(O$13)),C$18+29,"")</f>
        <v>45807</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Mai!BC49</f>
        <v>0</v>
      </c>
      <c r="J47" s="34">
        <f>Mai!BE49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infoA5</v>
      </c>
      <c r="BB47" s="107">
        <f t="shared" si="31"/>
        <v>45807</v>
      </c>
      <c r="BC47" s="172">
        <f>IF(BC$18+29&lt;DATE(YEAR(BH$13),MONTH(BH$13),DAY(BH$13)),BC$18+29,"")</f>
        <v>45807</v>
      </c>
      <c r="BD47" s="173" t="str">
        <f t="shared" si="32"/>
        <v/>
      </c>
      <c r="BE47" s="173" t="str">
        <f>+IF(OR(BF47=S.CAL!$BJ$3,BF47=S.CAL!$BJ$4),BD47,"")</f>
        <v/>
      </c>
      <c r="BF47" s="351">
        <f>IF($DY$5=S.CAL!$CU$2,Mai!AR49,IF($DY$5=S.CAL!$CU$3,VLOOKUP(BC47,planning_fp,7,FALSE),""))</f>
        <v>0</v>
      </c>
      <c r="BG47" s="363" t="str">
        <f>Mai!BL49</f>
        <v>A</v>
      </c>
      <c r="BH47" s="373"/>
      <c r="BI47" s="373"/>
      <c r="BJ47" s="373"/>
      <c r="BK47" s="373"/>
      <c r="BL47" s="35"/>
      <c r="BV47" s="373"/>
      <c r="BW47" s="373"/>
      <c r="BX47" s="373"/>
      <c r="BY47" s="373"/>
      <c r="BZ47" s="373"/>
      <c r="CA47" s="373"/>
      <c r="CB47" s="373"/>
      <c r="CD47" s="346"/>
      <c r="CE47" s="107">
        <f t="shared" si="33"/>
        <v>45807</v>
      </c>
      <c r="CF47" s="172">
        <f>IF(CF$18+29&lt;DATE(YEAR(CQ$13),MONTH(CQ$13),DAY(CQ$13)),CF$18+29,"")</f>
        <v>45807</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45807</v>
      </c>
      <c r="EM47" s="16" t="str">
        <f t="shared" si="29"/>
        <v>Fiche infoA545807</v>
      </c>
      <c r="EN47" s="16">
        <f t="shared" si="20"/>
        <v>0</v>
      </c>
      <c r="EQ47" s="16" t="str">
        <f>Mai!FS49</f>
        <v/>
      </c>
    </row>
    <row r="48" spans="1:147" ht="18" customHeight="1" thickBot="1" x14ac:dyDescent="0.25">
      <c r="A48" s="24" t="str">
        <f>+Mai!BJ50</f>
        <v>Fiche infoA6</v>
      </c>
      <c r="B48" s="110">
        <f t="shared" si="30"/>
        <v>45808</v>
      </c>
      <c r="C48" s="192">
        <f>IF(C$18+30&lt;DATE(YEAR(O$13),MONTH(O$13),DAY(O$13)),C$18+30,"")</f>
        <v>45808</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Mai!BC50</f>
        <v>0</v>
      </c>
      <c r="J48" s="34">
        <f>Mai!BE50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18</v>
      </c>
      <c r="X48" s="2482"/>
      <c r="Y48" s="2482"/>
      <c r="Z48" s="1345" t="str">
        <f>+IF(Z34="","",Z34)</f>
        <v/>
      </c>
      <c r="AA48" s="1338">
        <f>+IF(Z48="",IF(AND(AD48&gt;0,AC48&gt;0),AD48+AC48,IF(AE48&gt;0,0,AC48)),Z48)</f>
        <v>0</v>
      </c>
      <c r="AB48" s="1338">
        <f>IF(AA48&gt;45,AA48-45,0)</f>
        <v>0</v>
      </c>
      <c r="AC48" s="1344">
        <f>+SUMIF(Mai!$BK$20:$BK$50,Mai!AT4,$D$18:$D$48)-SUMIF(Mai!$BK$20:$BK$50,Mai!AT4,$E$18:$E$48)</f>
        <v>0</v>
      </c>
      <c r="AD48" s="1344">
        <f>+SUMIF(Avril!$BK$20:$BK$50,Mai!AT4,'Retenue Avril'!$D$18:$D$48)-SUMIF(Avril!$BK$20:$BK$50,Mai!AT4,'Retenue Avril'!$E$18:$E$48)</f>
        <v>0</v>
      </c>
      <c r="AE48" s="1344">
        <f>+SUMIF(Juin!$BK$20:$BK$50,Mai!AT4,'Retenue Juin'!$D$18:$D$48)-SUMIF(Juin!$BK$20:$BK$50,Mai!AT4,'Retenue Juin'!$E$18:$E$48)</f>
        <v>0</v>
      </c>
      <c r="AF48" s="1338">
        <f>+AC48-AB48</f>
        <v>0</v>
      </c>
      <c r="AK48" s="1211"/>
      <c r="AL48" s="1224"/>
      <c r="AO48" s="1224">
        <f>+AN39*AL26</f>
        <v>0</v>
      </c>
      <c r="AP48" s="1224">
        <f>+AO48*(1-AX21)</f>
        <v>0</v>
      </c>
      <c r="AQ48" s="1224">
        <f>+AO48-AP48</f>
        <v>0</v>
      </c>
      <c r="BA48" s="349" t="str">
        <f t="shared" si="16"/>
        <v>Fiche infoA6</v>
      </c>
      <c r="BB48" s="110">
        <f t="shared" si="31"/>
        <v>45808</v>
      </c>
      <c r="BC48" s="192">
        <f>IF(BC$18+30&lt;DATE(YEAR(BH$13),MONTH(BH$13),DAY(BH$13)),BC$18+30,"")</f>
        <v>45808</v>
      </c>
      <c r="BD48" s="193" t="str">
        <f t="shared" si="32"/>
        <v/>
      </c>
      <c r="BE48" s="193" t="str">
        <f>+IF(OR(BF48=S.CAL!$BJ$3,BF48=S.CAL!$BJ$4),BD48,"")</f>
        <v/>
      </c>
      <c r="BF48" s="352">
        <f>IF($DY$5=S.CAL!$CU$2,Mai!AR50,IF($DY$5=S.CAL!$CU$3,VLOOKUP(BC48,planning_fp,7,FALSE),""))</f>
        <v>0</v>
      </c>
      <c r="BG48" s="364" t="str">
        <f>Mai!BL50</f>
        <v>A</v>
      </c>
      <c r="BH48" s="374"/>
      <c r="BI48" s="373"/>
      <c r="BJ48" s="373"/>
      <c r="BK48" s="373"/>
      <c r="BL48" s="35"/>
      <c r="BQ48" s="16" t="s">
        <v>846</v>
      </c>
      <c r="BV48" s="373"/>
      <c r="BW48" s="373"/>
      <c r="BX48" s="373" t="s">
        <v>846</v>
      </c>
      <c r="BZ48" s="373"/>
      <c r="CA48" s="373"/>
      <c r="CB48" s="373"/>
      <c r="CD48" s="346"/>
      <c r="CE48" s="110">
        <f t="shared" si="33"/>
        <v>45808</v>
      </c>
      <c r="CF48" s="192">
        <f>IF(CF$18+30&lt;DATE(YEAR(CQ$13),MONTH(CQ$13),DAY(CQ$13)),CF$18+30,"")</f>
        <v>45808</v>
      </c>
      <c r="CG48" s="193">
        <f t="shared" si="22"/>
        <v>0</v>
      </c>
      <c r="CH48" s="34"/>
      <c r="CI48" s="2491" t="str">
        <f t="shared" ref="CI48:CI53" si="56">W48</f>
        <v>Semaine numéro : 18</v>
      </c>
      <c r="CJ48" s="2492"/>
      <c r="CK48" s="2493"/>
      <c r="CL48" s="893" t="str">
        <f>+IF(CL34="","",CL34)</f>
        <v/>
      </c>
      <c r="CM48" s="674">
        <f>+IF(CL48="",IF(AND(CP48&gt;0,CO48&gt;0),CP48+CO48,IF(CQ48&gt;0,0,CO48)),CL48)</f>
        <v>0</v>
      </c>
      <c r="CN48" s="673">
        <f>IF(CM48&gt;45,CM48-45,0)</f>
        <v>0</v>
      </c>
      <c r="CO48" s="198">
        <f>+SUMIF(Mai!$BK$20:$BK$50,Mai!AT4,$CG$18:$CG$48)</f>
        <v>0</v>
      </c>
      <c r="CP48" s="198">
        <f>+SUMIF(Avril!$BK$20:$BK$50,Mai!AT4,'Retenue Avril'!$CG$18:$CG$48)</f>
        <v>0</v>
      </c>
      <c r="CQ48" s="198">
        <f>+SUMIF(Juin!$BK$20:$BK$50,Mai!AT4,'Retenue Juin'!$CG$18:$CG$48)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45808</v>
      </c>
      <c r="EM48" s="16" t="str">
        <f t="shared" si="29"/>
        <v>Fiche infoA645808</v>
      </c>
      <c r="EN48" s="16">
        <f t="shared" si="20"/>
        <v>0</v>
      </c>
      <c r="EQ48" s="16" t="str">
        <f>Mai!FS50</f>
        <v/>
      </c>
    </row>
    <row r="49" spans="2:139" ht="18" customHeight="1" thickBot="1" x14ac:dyDescent="0.25">
      <c r="N49" s="24"/>
      <c r="O49" s="24"/>
      <c r="P49" s="24"/>
      <c r="Q49" s="24"/>
      <c r="R49" s="24"/>
      <c r="S49" s="1347"/>
      <c r="U49" s="1323"/>
      <c r="V49" s="1323"/>
      <c r="W49" s="2482" t="str">
        <f t="shared" si="55"/>
        <v>Semaine numéro : 19</v>
      </c>
      <c r="X49" s="2482"/>
      <c r="Y49" s="2482"/>
      <c r="Z49" s="1345" t="str">
        <f t="shared" ref="Z49:Z53" si="57">+IF(Z35="","",Z35)</f>
        <v/>
      </c>
      <c r="AA49" s="1338">
        <f t="shared" ref="AA49:AA53" si="58">+IF(Z49="",IF(AND(AD49&gt;0,AC49&gt;0),AD49+AC49,IF(AE49&gt;0,0,AC49)),Z49)</f>
        <v>0</v>
      </c>
      <c r="AB49" s="1338">
        <f t="shared" ref="AB49:AB53" si="59">IF(AA49&gt;45,AA49-45,0)</f>
        <v>0</v>
      </c>
      <c r="AC49" s="1344">
        <f>+SUMIF(Mai!$BK$20:$BK$50,Mai!AT5,$D$18:$D$48)-SUMIF(Mai!$BK$20:$BK$50,Mai!AT5,$E$18:$E$48)</f>
        <v>0</v>
      </c>
      <c r="AD49" s="1344">
        <f>+SUMIF(Avril!$BK$20:$BK$50,Mai!AT5,'Retenue Avril'!$D$18:$D$48)-SUMIF(Avril!$BK$20:$BK$50,Mai!AT5,'Retenue Avril'!$E$18:$E$48)</f>
        <v>0</v>
      </c>
      <c r="AE49" s="1344">
        <f>+SUMIF(Juin!$BK$20:$BK$50,Mai!AT5,'Retenue Juin'!$D$18:$D$48)-SUMIF(Juin!$BK$20:$BK$50,Mai!AT5,'Retenue Juin'!$E$18:$E$48)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19</v>
      </c>
      <c r="CJ49" s="2492"/>
      <c r="CK49" s="2493"/>
      <c r="CL49" s="893" t="str">
        <f t="shared" ref="CL49:CL53" si="61">+IF(CL35="","",CL35)</f>
        <v/>
      </c>
      <c r="CM49" s="674">
        <f t="shared" ref="CM49:CM53" si="62">+IF(CL49="",IF(AND(CP49&gt;0,CO49&gt;0),CP49+CO49,IF(CQ49&gt;0,0,CO49)),CL49)</f>
        <v>0</v>
      </c>
      <c r="CN49" s="673">
        <f t="shared" ref="CN49:CN53" si="63">IF(CM49&gt;45,CM49-45,0)</f>
        <v>0</v>
      </c>
      <c r="CO49" s="198">
        <f>+SUMIF(Mai!$BK$20:$BK$50,Mai!AT5,$CG$18:$CG$48)</f>
        <v>0</v>
      </c>
      <c r="CP49" s="198">
        <f>+SUMIF(Avril!$BK$20:$BK$50,Mai!AT5,'Retenue Avril'!$CG$18:$CG$48)</f>
        <v>0</v>
      </c>
      <c r="CQ49" s="198">
        <f>+SUMIF(Juin!$BK$20:$BK$50,Mai!AT5,'Retenue Juin'!$CG$18:$CG$48)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20</v>
      </c>
      <c r="X50" s="2482"/>
      <c r="Y50" s="2482"/>
      <c r="Z50" s="1345" t="str">
        <f t="shared" si="57"/>
        <v/>
      </c>
      <c r="AA50" s="1338">
        <f t="shared" si="58"/>
        <v>0</v>
      </c>
      <c r="AB50" s="1338">
        <f t="shared" si="59"/>
        <v>0</v>
      </c>
      <c r="AC50" s="1344">
        <f>+SUMIF(Mai!$BK$20:$BK$50,Mai!AT6,$D$18:$D$48)-SUMIF(Mai!$BK$20:$BK$50,Mai!AT6,$E$18:$E$48)</f>
        <v>0</v>
      </c>
      <c r="AD50" s="1344">
        <f>+SUMIF(Avril!$BK$20:$BK$50,Mai!AT6,'Retenue Avril'!$D$18:$D$48)-SUMIF(Avril!$BK$20:$BK$50,Mai!AT6,'Retenue Avril'!$E$18:$E$48)</f>
        <v>0</v>
      </c>
      <c r="AE50" s="1344">
        <f>+SUMIF(Juin!$BK$20:$BK$50,Mai!AT6,'Retenue Juin'!$D$18:$D$48)-SUMIF(Juin!$BK$20:$BK$50,Mai!AT6,'Retenue Juin'!$E$18:$E$48)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20</v>
      </c>
      <c r="CJ50" s="2492"/>
      <c r="CK50" s="2493"/>
      <c r="CL50" s="893" t="str">
        <f t="shared" si="61"/>
        <v/>
      </c>
      <c r="CM50" s="674">
        <f t="shared" si="62"/>
        <v>0</v>
      </c>
      <c r="CN50" s="673">
        <f t="shared" si="63"/>
        <v>0</v>
      </c>
      <c r="CO50" s="198">
        <f>+SUMIF(Mai!$BK$20:$BK$50,Mai!AT6,$CG$18:$CG$48)</f>
        <v>0</v>
      </c>
      <c r="CP50" s="198">
        <f>+SUMIF(Avril!$BK$20:$BK$50,Mai!AT6,'Retenue Avril'!$CG$18:$CG$48)</f>
        <v>0</v>
      </c>
      <c r="CQ50" s="198">
        <f>+SUMIF(Juin!$BK$20:$BK$50,Mai!AT6,'Retenue Juin'!$CG$18:$CG$48)</f>
        <v>0</v>
      </c>
      <c r="CR50" s="674">
        <f t="shared" si="64"/>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5"/>
        <v>Semaine numéro : 21</v>
      </c>
      <c r="X51" s="2482"/>
      <c r="Y51" s="2482"/>
      <c r="Z51" s="1345" t="str">
        <f t="shared" si="57"/>
        <v/>
      </c>
      <c r="AA51" s="1338">
        <f t="shared" si="58"/>
        <v>0</v>
      </c>
      <c r="AB51" s="1338">
        <f t="shared" si="59"/>
        <v>0</v>
      </c>
      <c r="AC51" s="1344">
        <f>+SUMIF(Mai!$BK$20:$BK$50,Mai!AT7,$D$18:$D$48)-SUMIF(Mai!$BK$20:$BK$50,Mai!AT7,$E$18:$E$48)</f>
        <v>0</v>
      </c>
      <c r="AD51" s="1344">
        <f>+SUMIF(Avril!$BK$20:$BK$50,Mai!AT7,'Retenue Avril'!$D$18:$D$48)-SUMIF(Avril!$BK$20:$BK$50,Mai!AT7,'Retenue Avril'!$E$18:$E$48)</f>
        <v>0</v>
      </c>
      <c r="AE51" s="1344">
        <f>+SUMIF(Juin!$BK$20:$BK$50,Mai!AT7,'Retenue Juin'!$D$18:$D$48)-SUMIF(Juin!$BK$20:$BK$50,Mai!AT7,'Retenue Juin'!$E$18:$E$48)</f>
        <v>0</v>
      </c>
      <c r="AF51" s="1338">
        <f t="shared" si="60"/>
        <v>0</v>
      </c>
      <c r="AG51" s="1349"/>
      <c r="AJ51" s="1326"/>
      <c r="AK51" s="1327"/>
      <c r="AL51" s="1329"/>
      <c r="BA51" s="346"/>
      <c r="BD51" s="369" t="s">
        <v>758</v>
      </c>
      <c r="BE51" s="194">
        <f>+SUMIFS(BE18:BE48,BF18:BF48,S.CAL!BJ3)</f>
        <v>0</v>
      </c>
      <c r="BF51" s="370">
        <f>IF(Mai!AZ90="",+COUNTIF(BF18:BF48,S.CAL!BJ3),Mai!AZ90)</f>
        <v>0</v>
      </c>
      <c r="BL51" s="35"/>
      <c r="CD51" s="346"/>
      <c r="CI51" s="2491" t="str">
        <f t="shared" si="56"/>
        <v>Semaine numéro : 21</v>
      </c>
      <c r="CJ51" s="2492"/>
      <c r="CK51" s="2493"/>
      <c r="CL51" s="893" t="str">
        <f t="shared" si="61"/>
        <v/>
      </c>
      <c r="CM51" s="674">
        <f t="shared" si="62"/>
        <v>0</v>
      </c>
      <c r="CN51" s="673">
        <f t="shared" si="63"/>
        <v>0</v>
      </c>
      <c r="CO51" s="198">
        <f>+SUMIF(Mai!$BK$20:$BK$50,Mai!AT7,$CG$18:$CG$48)</f>
        <v>0</v>
      </c>
      <c r="CP51" s="198">
        <f>+SUMIF(Avril!$BK$20:$BK$50,Mai!AT7,'Retenue Avril'!$CG$18:$CG$48)</f>
        <v>0</v>
      </c>
      <c r="CQ51" s="198">
        <f>+SUMIF(Juin!$BK$20:$BK$50,Mai!AT7,'Retenue Juin'!$CG$18:$CG$48)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22</v>
      </c>
      <c r="X52" s="2482"/>
      <c r="Y52" s="2482"/>
      <c r="Z52" s="1345" t="str">
        <f t="shared" si="57"/>
        <v/>
      </c>
      <c r="AA52" s="1338">
        <f t="shared" si="58"/>
        <v>0</v>
      </c>
      <c r="AB52" s="1338">
        <f t="shared" si="59"/>
        <v>0</v>
      </c>
      <c r="AC52" s="1344">
        <f>+SUMIF(Mai!$BK$20:$BK$50,Mai!AT8,$D$18:$D$48)-SUMIF(Mai!$BK$20:$BK$50,Mai!AT8,$E$18:$E$48)</f>
        <v>0</v>
      </c>
      <c r="AD52" s="1344">
        <f>+SUMIF(Avril!$BK$20:$BK$50,Mai!AT8,'Retenue Avril'!$D$18:$D$48)-SUMIF(Avril!$BK$20:$BK$50,Mai!AT8,'Retenue Avril'!$E$18:$E$48)</f>
        <v>0</v>
      </c>
      <c r="AE52" s="1344">
        <f>+SUMIF(Juin!$BK$20:$BK$50,Mai!AT8,'Retenue Juin'!$D$18:$D$48)-SUMIF(Juin!$BK$20:$BK$50,Mai!AT8,'Retenue Juin'!$E$18:$E$48)</f>
        <v>0</v>
      </c>
      <c r="AF52" s="1338">
        <f t="shared" si="60"/>
        <v>0</v>
      </c>
      <c r="AO52" s="1211" t="s">
        <v>1126</v>
      </c>
      <c r="AP52" s="1348">
        <f>IF(AL22,+ROUND((AQ48+SUM(AQ39:AQ46))*AL34/AL22*Q11,2),0)</f>
        <v>0</v>
      </c>
      <c r="BA52" s="346"/>
      <c r="BD52" s="1363" t="s">
        <v>708</v>
      </c>
      <c r="BE52" s="1364">
        <f>+SUMIFS(BE18:BE48,BF18:BF48,S.CAL!BJ4)</f>
        <v>0</v>
      </c>
      <c r="BF52" s="1365">
        <f>IF(Mai!BA90="",+COUNTIF(BF18:BF48,S.CAL!BJ4),Mai!BA90)</f>
        <v>0</v>
      </c>
      <c r="BL52" s="35"/>
      <c r="BU52" s="16" t="s">
        <v>788</v>
      </c>
      <c r="BW52" s="357">
        <f>+BR46+BR49+BZ46+BZ49</f>
        <v>0</v>
      </c>
      <c r="CD52" s="346"/>
      <c r="CI52" s="2491" t="str">
        <f t="shared" si="56"/>
        <v>Semaine numéro : 22</v>
      </c>
      <c r="CJ52" s="2492"/>
      <c r="CK52" s="2493"/>
      <c r="CL52" s="893" t="str">
        <f t="shared" si="61"/>
        <v/>
      </c>
      <c r="CM52" s="674">
        <f t="shared" si="62"/>
        <v>0</v>
      </c>
      <c r="CN52" s="673">
        <f t="shared" si="63"/>
        <v>0</v>
      </c>
      <c r="CO52" s="198">
        <f>+SUMIF(Mai!$BK$20:$BK$50,Mai!AT8,$CG$18:$CG$48)</f>
        <v>0</v>
      </c>
      <c r="CP52" s="198">
        <f>+SUMIF(Avril!$BK$20:$BK$50,Mai!AT8,'Retenue Avril'!$CG$18:$CG$48)</f>
        <v>0</v>
      </c>
      <c r="CQ52" s="198">
        <f>+SUMIF(Juin!$BK$20:$BK$50,Mai!AT8,'Retenue Juin'!$CG$18:$CG$48)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+SUMIF(Mai!$BK$20:$BK$50,Mai!AT9,$D$18:$D$48)-SUMIF(Mai!$BK$20:$BK$50,Mai!AT9,$E$18:$E$48)</f>
        <v>0</v>
      </c>
      <c r="AD53" s="1344">
        <f>+SUMIF(Avril!$BK$20:$BK$50,Mai!AT9,'Retenue Avril'!$D$18:$D$48)-SUMIF(Avril!$BK$20:$BK$50,Mai!AT9,'Retenue Avril'!$E$18:$E$48)</f>
        <v>0</v>
      </c>
      <c r="AE53" s="1344">
        <f>+SUMIF(Juin!$BK$20:$BK$50,Mai!AT9,'Retenue Juin'!$D$18:$D$48)-SUMIF(Juin!$BK$20:$BK$50,Mai!AT9,'Retenue Juin'!$E$18:$E$48)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+SUMIF(Mai!$BK$20:$BK$50,Mai!AT9,$CG$18:$CG$48)</f>
        <v>0</v>
      </c>
      <c r="CP53" s="198">
        <f>+SUMIF(Avril!$BK$20:$BK$50,Mai!AT9,'Retenue Avril'!$CG$18:$CG$48)</f>
        <v>0</v>
      </c>
      <c r="CQ53" s="198">
        <f>+SUMIF(Juin!$BK$20:$BK$50,Mai!AT9,'Retenue Juin'!$CG$18:$CG$48)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2"/>
      <c r="CP54" s="902"/>
      <c r="CQ54" s="902"/>
      <c r="CR54" s="677">
        <f>SUM(CR48:CR53)</f>
        <v>0</v>
      </c>
      <c r="EE54" s="19"/>
      <c r="EF54" s="19"/>
      <c r="EG54" s="19"/>
      <c r="EH54" s="19"/>
      <c r="EI54" s="19"/>
    </row>
    <row r="55" spans="2:139" ht="13.5" thickBot="1" x14ac:dyDescent="0.25">
      <c r="B55" s="2469">
        <f>B17</f>
        <v>45778</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45778</v>
      </c>
      <c r="C57" s="171">
        <f t="shared" si="65"/>
        <v>45778</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45779</v>
      </c>
      <c r="C58" s="172">
        <f t="shared" si="65"/>
        <v>45779</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45780</v>
      </c>
      <c r="C59" s="172">
        <f t="shared" si="65"/>
        <v>45780</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45781</v>
      </c>
      <c r="C60" s="172">
        <f t="shared" si="65"/>
        <v>45781</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45782</v>
      </c>
      <c r="C61" s="172">
        <f t="shared" si="65"/>
        <v>45782</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45783</v>
      </c>
      <c r="C62" s="172">
        <f t="shared" si="65"/>
        <v>45783</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45784</v>
      </c>
      <c r="C63" s="172">
        <f t="shared" si="65"/>
        <v>45784</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45785</v>
      </c>
      <c r="C64" s="172">
        <f t="shared" si="65"/>
        <v>45785</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45786</v>
      </c>
      <c r="C65" s="172">
        <f t="shared" si="65"/>
        <v>45786</v>
      </c>
      <c r="D65" s="173" t="str">
        <f t="shared" si="66"/>
        <v/>
      </c>
      <c r="E65" s="173" t="str">
        <f t="shared" si="69"/>
        <v/>
      </c>
      <c r="F65" s="1554" t="str">
        <f t="shared" si="67"/>
        <v/>
      </c>
      <c r="G65" s="1554" t="str">
        <f t="shared" si="68"/>
        <v/>
      </c>
      <c r="BA65" s="346"/>
      <c r="CD65" s="346"/>
    </row>
    <row r="66" spans="2:82" x14ac:dyDescent="0.2">
      <c r="B66" s="107">
        <f t="shared" si="65"/>
        <v>45787</v>
      </c>
      <c r="C66" s="172">
        <f t="shared" si="65"/>
        <v>45787</v>
      </c>
      <c r="D66" s="173" t="str">
        <f t="shared" si="66"/>
        <v/>
      </c>
      <c r="E66" s="173" t="str">
        <f t="shared" si="69"/>
        <v/>
      </c>
      <c r="F66" s="1554" t="str">
        <f t="shared" si="67"/>
        <v/>
      </c>
      <c r="G66" s="1554" t="str">
        <f t="shared" si="68"/>
        <v/>
      </c>
      <c r="BA66" s="346"/>
      <c r="CD66" s="346"/>
    </row>
    <row r="67" spans="2:82" x14ac:dyDescent="0.2">
      <c r="B67" s="107">
        <f t="shared" si="65"/>
        <v>45788</v>
      </c>
      <c r="C67" s="172">
        <f t="shared" si="65"/>
        <v>45788</v>
      </c>
      <c r="D67" s="173" t="str">
        <f t="shared" si="66"/>
        <v/>
      </c>
      <c r="E67" s="173" t="str">
        <f t="shared" si="69"/>
        <v/>
      </c>
      <c r="F67" s="1554" t="str">
        <f t="shared" si="67"/>
        <v/>
      </c>
      <c r="G67" s="1554" t="str">
        <f t="shared" si="68"/>
        <v/>
      </c>
      <c r="BA67" s="346"/>
      <c r="CD67" s="346"/>
    </row>
    <row r="68" spans="2:82" x14ac:dyDescent="0.2">
      <c r="B68" s="107">
        <f t="shared" si="65"/>
        <v>45789</v>
      </c>
      <c r="C68" s="172">
        <f t="shared" si="65"/>
        <v>45789</v>
      </c>
      <c r="D68" s="173" t="str">
        <f t="shared" si="66"/>
        <v/>
      </c>
      <c r="E68" s="173" t="str">
        <f t="shared" si="69"/>
        <v/>
      </c>
      <c r="F68" s="1554" t="str">
        <f t="shared" si="67"/>
        <v/>
      </c>
      <c r="G68" s="1554" t="str">
        <f t="shared" si="68"/>
        <v/>
      </c>
      <c r="AI68" s="1354" t="s">
        <v>338</v>
      </c>
      <c r="BA68" s="346"/>
      <c r="CD68" s="346"/>
    </row>
    <row r="69" spans="2:82" x14ac:dyDescent="0.2">
      <c r="B69" s="107">
        <f t="shared" si="65"/>
        <v>45790</v>
      </c>
      <c r="C69" s="172">
        <f t="shared" si="65"/>
        <v>45790</v>
      </c>
      <c r="D69" s="173" t="str">
        <f t="shared" si="66"/>
        <v/>
      </c>
      <c r="E69" s="173" t="str">
        <f t="shared" si="69"/>
        <v/>
      </c>
      <c r="F69" s="1554" t="str">
        <f t="shared" si="67"/>
        <v/>
      </c>
      <c r="G69" s="1554" t="str">
        <f t="shared" si="68"/>
        <v/>
      </c>
      <c r="BA69" s="346"/>
      <c r="CD69" s="346"/>
    </row>
    <row r="70" spans="2:82" x14ac:dyDescent="0.2">
      <c r="B70" s="107">
        <f t="shared" si="65"/>
        <v>45791</v>
      </c>
      <c r="C70" s="172">
        <f t="shared" si="65"/>
        <v>45791</v>
      </c>
      <c r="D70" s="173" t="str">
        <f t="shared" si="66"/>
        <v/>
      </c>
      <c r="E70" s="173" t="str">
        <f t="shared" si="69"/>
        <v/>
      </c>
      <c r="F70" s="1554" t="str">
        <f t="shared" si="67"/>
        <v/>
      </c>
      <c r="G70" s="1554" t="str">
        <f t="shared" si="68"/>
        <v/>
      </c>
      <c r="AI70" s="581" t="s">
        <v>339</v>
      </c>
      <c r="BA70" s="346"/>
      <c r="CD70" s="346"/>
    </row>
    <row r="71" spans="2:82" x14ac:dyDescent="0.2">
      <c r="B71" s="107">
        <f t="shared" si="65"/>
        <v>45792</v>
      </c>
      <c r="C71" s="172">
        <f t="shared" si="65"/>
        <v>45792</v>
      </c>
      <c r="D71" s="173" t="str">
        <f t="shared" si="66"/>
        <v/>
      </c>
      <c r="E71" s="173" t="str">
        <f t="shared" si="69"/>
        <v/>
      </c>
      <c r="F71" s="1554" t="str">
        <f t="shared" si="67"/>
        <v/>
      </c>
      <c r="G71" s="1554" t="str">
        <f t="shared" si="68"/>
        <v/>
      </c>
      <c r="AI71" s="1355" t="s">
        <v>340</v>
      </c>
      <c r="BA71" s="346"/>
      <c r="CD71" s="346"/>
    </row>
    <row r="72" spans="2:82" x14ac:dyDescent="0.2">
      <c r="B72" s="107">
        <f t="shared" si="65"/>
        <v>45793</v>
      </c>
      <c r="C72" s="172">
        <f t="shared" si="65"/>
        <v>45793</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45794</v>
      </c>
      <c r="C73" s="172">
        <f t="shared" si="70"/>
        <v>45794</v>
      </c>
      <c r="D73" s="173" t="str">
        <f t="shared" si="66"/>
        <v/>
      </c>
      <c r="E73" s="173" t="str">
        <f t="shared" si="69"/>
        <v/>
      </c>
      <c r="F73" s="1554" t="str">
        <f t="shared" si="67"/>
        <v/>
      </c>
      <c r="G73" s="1554" t="str">
        <f t="shared" si="68"/>
        <v/>
      </c>
      <c r="BA73" s="346"/>
      <c r="CD73" s="346"/>
    </row>
    <row r="74" spans="2:82" x14ac:dyDescent="0.2">
      <c r="B74" s="107">
        <f t="shared" si="70"/>
        <v>45795</v>
      </c>
      <c r="C74" s="172">
        <f t="shared" si="70"/>
        <v>45795</v>
      </c>
      <c r="D74" s="173" t="str">
        <f t="shared" si="66"/>
        <v/>
      </c>
      <c r="E74" s="173" t="str">
        <f t="shared" si="69"/>
        <v/>
      </c>
      <c r="F74" s="1554" t="str">
        <f t="shared" si="67"/>
        <v/>
      </c>
      <c r="G74" s="1554" t="str">
        <f t="shared" si="68"/>
        <v/>
      </c>
      <c r="AI74" s="581" t="s">
        <v>341</v>
      </c>
      <c r="BA74" s="346"/>
      <c r="CD74" s="346"/>
    </row>
    <row r="75" spans="2:82" x14ac:dyDescent="0.2">
      <c r="B75" s="107">
        <f t="shared" si="70"/>
        <v>45796</v>
      </c>
      <c r="C75" s="172">
        <f t="shared" si="70"/>
        <v>45796</v>
      </c>
      <c r="D75" s="173" t="str">
        <f t="shared" si="66"/>
        <v/>
      </c>
      <c r="E75" s="173" t="str">
        <f t="shared" si="69"/>
        <v/>
      </c>
      <c r="F75" s="1554" t="str">
        <f t="shared" si="67"/>
        <v/>
      </c>
      <c r="G75" s="1554" t="str">
        <f t="shared" si="68"/>
        <v/>
      </c>
      <c r="AI75" s="1355" t="s">
        <v>342</v>
      </c>
      <c r="BA75" s="346"/>
      <c r="CD75" s="346"/>
    </row>
    <row r="76" spans="2:82" x14ac:dyDescent="0.2">
      <c r="B76" s="107">
        <f t="shared" si="70"/>
        <v>45797</v>
      </c>
      <c r="C76" s="172">
        <f t="shared" si="70"/>
        <v>45797</v>
      </c>
      <c r="D76" s="173" t="str">
        <f t="shared" si="66"/>
        <v/>
      </c>
      <c r="E76" s="173" t="str">
        <f t="shared" si="69"/>
        <v/>
      </c>
      <c r="F76" s="1554" t="str">
        <f t="shared" si="67"/>
        <v/>
      </c>
      <c r="G76" s="1554" t="str">
        <f t="shared" si="68"/>
        <v/>
      </c>
      <c r="BA76" s="346"/>
      <c r="CD76" s="346"/>
    </row>
    <row r="77" spans="2:82" x14ac:dyDescent="0.2">
      <c r="B77" s="107">
        <f t="shared" si="70"/>
        <v>45798</v>
      </c>
      <c r="C77" s="172">
        <f t="shared" si="70"/>
        <v>45798</v>
      </c>
      <c r="D77" s="173" t="str">
        <f t="shared" si="66"/>
        <v/>
      </c>
      <c r="E77" s="173" t="str">
        <f t="shared" si="69"/>
        <v/>
      </c>
      <c r="F77" s="1554" t="str">
        <f t="shared" si="67"/>
        <v/>
      </c>
      <c r="G77" s="1554" t="str">
        <f t="shared" si="68"/>
        <v/>
      </c>
      <c r="AI77" s="581" t="s">
        <v>343</v>
      </c>
      <c r="BA77" s="346"/>
      <c r="CD77" s="346"/>
    </row>
    <row r="78" spans="2:82" x14ac:dyDescent="0.2">
      <c r="B78" s="107">
        <f t="shared" si="70"/>
        <v>45799</v>
      </c>
      <c r="C78" s="172">
        <f t="shared" si="70"/>
        <v>45799</v>
      </c>
      <c r="D78" s="173" t="str">
        <f t="shared" si="66"/>
        <v/>
      </c>
      <c r="E78" s="173" t="str">
        <f t="shared" si="69"/>
        <v/>
      </c>
      <c r="F78" s="1554" t="str">
        <f t="shared" si="67"/>
        <v/>
      </c>
      <c r="G78" s="1554" t="str">
        <f t="shared" si="68"/>
        <v/>
      </c>
      <c r="AI78" s="1355" t="s">
        <v>692</v>
      </c>
      <c r="BA78" s="346"/>
      <c r="CD78" s="346"/>
    </row>
    <row r="79" spans="2:82" x14ac:dyDescent="0.2">
      <c r="B79" s="107">
        <f t="shared" si="70"/>
        <v>45800</v>
      </c>
      <c r="C79" s="172">
        <f t="shared" si="70"/>
        <v>45800</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45801</v>
      </c>
      <c r="C80" s="172">
        <f t="shared" si="70"/>
        <v>45801</v>
      </c>
      <c r="D80" s="173" t="str">
        <f t="shared" si="66"/>
        <v/>
      </c>
      <c r="E80" s="173" t="str">
        <f t="shared" si="69"/>
        <v/>
      </c>
      <c r="F80" s="1554" t="str">
        <f t="shared" si="67"/>
        <v/>
      </c>
      <c r="G80" s="1554" t="str">
        <f t="shared" si="68"/>
        <v/>
      </c>
      <c r="BA80" s="346"/>
      <c r="CD80" s="346"/>
    </row>
    <row r="81" spans="2:82" x14ac:dyDescent="0.2">
      <c r="B81" s="107">
        <f t="shared" si="70"/>
        <v>45802</v>
      </c>
      <c r="C81" s="172">
        <f t="shared" si="70"/>
        <v>45802</v>
      </c>
      <c r="D81" s="173" t="str">
        <f t="shared" si="66"/>
        <v/>
      </c>
      <c r="E81" s="173" t="str">
        <f t="shared" si="69"/>
        <v/>
      </c>
      <c r="F81" s="1554" t="str">
        <f t="shared" si="67"/>
        <v/>
      </c>
      <c r="G81" s="1554" t="str">
        <f t="shared" si="68"/>
        <v/>
      </c>
      <c r="AI81" s="581" t="s">
        <v>529</v>
      </c>
      <c r="BA81" s="346"/>
      <c r="CD81" s="346"/>
    </row>
    <row r="82" spans="2:82" x14ac:dyDescent="0.2">
      <c r="B82" s="107">
        <f t="shared" si="70"/>
        <v>45803</v>
      </c>
      <c r="C82" s="172">
        <f t="shared" si="70"/>
        <v>45803</v>
      </c>
      <c r="D82" s="173" t="str">
        <f t="shared" si="66"/>
        <v/>
      </c>
      <c r="E82" s="173" t="str">
        <f t="shared" si="69"/>
        <v/>
      </c>
      <c r="F82" s="1554" t="str">
        <f t="shared" si="67"/>
        <v/>
      </c>
      <c r="G82" s="1554" t="str">
        <f t="shared" si="68"/>
        <v/>
      </c>
      <c r="AI82" s="1355" t="s">
        <v>693</v>
      </c>
      <c r="BA82" s="346"/>
      <c r="CD82" s="346"/>
    </row>
    <row r="83" spans="2:82" x14ac:dyDescent="0.2">
      <c r="B83" s="107">
        <f t="shared" si="70"/>
        <v>45804</v>
      </c>
      <c r="C83" s="172">
        <f t="shared" si="70"/>
        <v>45804</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45805</v>
      </c>
      <c r="C84" s="172">
        <f t="shared" si="70"/>
        <v>45805</v>
      </c>
      <c r="D84" s="173" t="str">
        <f t="shared" si="66"/>
        <v/>
      </c>
      <c r="E84" s="173" t="str">
        <f t="shared" si="69"/>
        <v/>
      </c>
      <c r="F84" s="1554" t="str">
        <f t="shared" si="67"/>
        <v/>
      </c>
      <c r="G84" s="1554" t="str">
        <f t="shared" si="68"/>
        <v/>
      </c>
      <c r="BA84" s="346"/>
      <c r="CD84" s="346"/>
    </row>
    <row r="85" spans="2:82" x14ac:dyDescent="0.2">
      <c r="B85" s="107">
        <f t="shared" si="70"/>
        <v>45806</v>
      </c>
      <c r="C85" s="172">
        <f t="shared" si="70"/>
        <v>45806</v>
      </c>
      <c r="D85" s="173" t="str">
        <f t="shared" si="66"/>
        <v/>
      </c>
      <c r="E85" s="173" t="str">
        <f t="shared" si="69"/>
        <v/>
      </c>
      <c r="F85" s="1554" t="str">
        <f t="shared" si="67"/>
        <v/>
      </c>
      <c r="G85" s="1554" t="str">
        <f t="shared" si="68"/>
        <v/>
      </c>
      <c r="AI85" s="1355" t="s">
        <v>344</v>
      </c>
      <c r="BA85" s="346"/>
      <c r="CD85" s="346"/>
    </row>
    <row r="86" spans="2:82" x14ac:dyDescent="0.2">
      <c r="B86" s="107">
        <f t="shared" si="70"/>
        <v>45807</v>
      </c>
      <c r="C86" s="172">
        <f t="shared" si="70"/>
        <v>45807</v>
      </c>
      <c r="D86" s="173" t="str">
        <f t="shared" si="66"/>
        <v/>
      </c>
      <c r="E86" s="173" t="str">
        <f t="shared" si="69"/>
        <v/>
      </c>
      <c r="F86" s="1554" t="str">
        <f t="shared" si="67"/>
        <v/>
      </c>
      <c r="G86" s="1554" t="str">
        <f t="shared" si="68"/>
        <v/>
      </c>
      <c r="AI86" s="1355" t="s">
        <v>345</v>
      </c>
      <c r="BA86" s="346"/>
      <c r="CD86" s="346"/>
    </row>
    <row r="87" spans="2:82" ht="13.5" thickBot="1" x14ac:dyDescent="0.25">
      <c r="B87" s="110">
        <f t="shared" si="70"/>
        <v>45808</v>
      </c>
      <c r="C87" s="192">
        <f t="shared" si="70"/>
        <v>45808</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OHHEUOh3DGaA5CI/jRSkeG/fEP0Hhmjyhm1belLbLbpFBPUUwsfOF4b784BbIds3KB/OG3hTpOOpqmp8rm3pxA==" saltValue="rtjukL0Esadi41QCapN8sQ=="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945" priority="36">
      <formula>$R$3=$A$5</formula>
    </cfRule>
  </conditionalFormatting>
  <conditionalFormatting sqref="M19:Q23">
    <cfRule type="expression" dxfId="1944" priority="13">
      <formula>$E$11&gt;0</formula>
    </cfRule>
  </conditionalFormatting>
  <conditionalFormatting sqref="M26:R46">
    <cfRule type="expression" dxfId="1943" priority="3">
      <formula>$E$11=0</formula>
    </cfRule>
  </conditionalFormatting>
  <conditionalFormatting sqref="P17">
    <cfRule type="expression" dxfId="1942" priority="16">
      <formula>$E$11=0</formula>
    </cfRule>
  </conditionalFormatting>
  <conditionalFormatting sqref="P30">
    <cfRule type="expression" dxfId="1941" priority="7">
      <formula>AND($R$3="Méthode 1",$E$11&lt;0)</formula>
    </cfRule>
  </conditionalFormatting>
  <conditionalFormatting sqref="P33">
    <cfRule type="expression" dxfId="1940" priority="6">
      <formula>AND($R$3="Méthode 1",$E$11&lt;0)</formula>
    </cfRule>
  </conditionalFormatting>
  <conditionalFormatting sqref="Q17">
    <cfRule type="cellIs" dxfId="1939" priority="15" operator="equal">
      <formula>0</formula>
    </cfRule>
  </conditionalFormatting>
  <conditionalFormatting sqref="Q42">
    <cfRule type="expression" dxfId="1938" priority="5">
      <formula>AND($R$3="Méthode 1",$E$11&lt;0)</formula>
    </cfRule>
  </conditionalFormatting>
  <conditionalFormatting sqref="Q45">
    <cfRule type="expression" dxfId="1937" priority="4">
      <formula>AND($R$3="Méthode 1",$E$11&lt;0)</formula>
    </cfRule>
  </conditionalFormatting>
  <conditionalFormatting sqref="S7:AF7">
    <cfRule type="expression" dxfId="1936" priority="35">
      <formula>$R$3=$T$5</formula>
    </cfRule>
  </conditionalFormatting>
  <conditionalFormatting sqref="W19">
    <cfRule type="expression" dxfId="1935" priority="40">
      <formula>$EF$14=1</formula>
    </cfRule>
  </conditionalFormatting>
  <conditionalFormatting sqref="W21">
    <cfRule type="expression" dxfId="1934" priority="39">
      <formula>$EF$14=1</formula>
    </cfRule>
  </conditionalFormatting>
  <conditionalFormatting sqref="AC19">
    <cfRule type="expression" dxfId="1933" priority="38">
      <formula>$EF$14=1</formula>
    </cfRule>
  </conditionalFormatting>
  <conditionalFormatting sqref="AC21">
    <cfRule type="expression" dxfId="1932" priority="37">
      <formula>$EF$14=1</formula>
    </cfRule>
  </conditionalFormatting>
  <conditionalFormatting sqref="AH7:AZ7">
    <cfRule type="expression" dxfId="1931" priority="21">
      <formula>$R$3=$AI$5</formula>
    </cfRule>
  </conditionalFormatting>
  <conditionalFormatting sqref="AP50">
    <cfRule type="expression" dxfId="1930" priority="20">
      <formula>$R$3="Méthode 2"</formula>
    </cfRule>
  </conditionalFormatting>
  <conditionalFormatting sqref="AP52">
    <cfRule type="expression" dxfId="1929" priority="19">
      <formula>$R$3="Méthode 2"</formula>
    </cfRule>
  </conditionalFormatting>
  <conditionalFormatting sqref="AP61">
    <cfRule type="expression" dxfId="1928" priority="18">
      <formula>$R$3="Méthode 2"</formula>
    </cfRule>
  </conditionalFormatting>
  <conditionalFormatting sqref="AP64">
    <cfRule type="expression" dxfId="1927" priority="17">
      <formula>$R$3="Méthode 2"</formula>
    </cfRule>
  </conditionalFormatting>
  <conditionalFormatting sqref="BI50">
    <cfRule type="expression" dxfId="1926" priority="28">
      <formula>$BK$3="Méthode 1"</formula>
    </cfRule>
  </conditionalFormatting>
  <conditionalFormatting sqref="BJ29">
    <cfRule type="expression" dxfId="1925" priority="30">
      <formula>$BK$3="Méthode 1"</formula>
    </cfRule>
  </conditionalFormatting>
  <conditionalFormatting sqref="BJ45">
    <cfRule type="expression" dxfId="1924" priority="29">
      <formula>$BK$3="Méthode 1"</formula>
    </cfRule>
  </conditionalFormatting>
  <conditionalFormatting sqref="BR46">
    <cfRule type="expression" dxfId="1923" priority="27">
      <formula>$BK$3="Méthode 2"</formula>
    </cfRule>
  </conditionalFormatting>
  <conditionalFormatting sqref="BR49">
    <cfRule type="expression" dxfId="1922" priority="26">
      <formula>$BK$3="Méthode 2"</formula>
    </cfRule>
  </conditionalFormatting>
  <conditionalFormatting sqref="BW52">
    <cfRule type="expression" dxfId="1921" priority="23">
      <formula>$BK$3="Méthode 2"</formula>
    </cfRule>
  </conditionalFormatting>
  <conditionalFormatting sqref="BW54">
    <cfRule type="expression" dxfId="1920" priority="22">
      <formula>$BK$3="Méthode 2"</formula>
    </cfRule>
  </conditionalFormatting>
  <conditionalFormatting sqref="BZ46">
    <cfRule type="expression" dxfId="1919" priority="25">
      <formula>$BK$3="Méthode 2"</formula>
    </cfRule>
  </conditionalFormatting>
  <conditionalFormatting sqref="BZ49">
    <cfRule type="expression" dxfId="1918" priority="24">
      <formula>$BK$3="Méthode 2"</formula>
    </cfRule>
  </conditionalFormatting>
  <conditionalFormatting sqref="CG18:CG48">
    <cfRule type="cellIs" dxfId="191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+Juin!DP4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+Juin!AR13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+Juin!AI3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+Juin!I14</f>
        <v>0</v>
      </c>
      <c r="F10" s="151"/>
      <c r="G10" s="151"/>
      <c r="H10" s="151"/>
      <c r="I10" s="151"/>
      <c r="J10" s="151"/>
      <c r="K10" s="151"/>
      <c r="L10" s="151"/>
      <c r="P10" s="29" t="s">
        <v>1468</v>
      </c>
      <c r="Q10" s="356">
        <f>+Juin!P18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+Juin!T18+Juin!T19</f>
        <v>0</v>
      </c>
      <c r="BI10" s="29" t="s">
        <v>1476</v>
      </c>
      <c r="BJ10" s="356">
        <f>+Juin!AL14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+Juin!U14</f>
        <v>0</v>
      </c>
      <c r="F11" s="151"/>
      <c r="G11" s="151"/>
      <c r="H11" s="151"/>
      <c r="I11" s="151"/>
      <c r="J11" s="151"/>
      <c r="K11" s="151"/>
      <c r="L11" s="151"/>
      <c r="M11" s="1201"/>
      <c r="N11" s="183"/>
      <c r="O11" s="1202"/>
      <c r="P11" s="183" t="s">
        <v>1120</v>
      </c>
      <c r="Q11" s="1203">
        <f>+Juin!P19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+Juin!X3</f>
        <v>45809</v>
      </c>
      <c r="M13" s="154"/>
      <c r="N13" s="155">
        <f>DATE(YEAR($D$13),MONTH($D$13)+1,DAY($D$13))</f>
        <v>45839</v>
      </c>
      <c r="O13" s="156">
        <f>N13</f>
        <v>45839</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45809</v>
      </c>
      <c r="BF13" s="154"/>
      <c r="BG13" s="155">
        <f>DATE(YEAR($D$13),MONTH($D$13)+1,DAY($D$13))</f>
        <v>45839</v>
      </c>
      <c r="BH13" s="156">
        <f>BG13</f>
        <v>45839</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45839</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45809</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45809</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45809</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+Juin!BJ20</f>
        <v>Fiche infoA7</v>
      </c>
      <c r="B18" s="170">
        <f>+D13</f>
        <v>45809</v>
      </c>
      <c r="C18" s="171">
        <f>+$D$13</f>
        <v>45809</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Juin!BC20</f>
        <v>0</v>
      </c>
      <c r="J18" s="34">
        <f>Juin!BE20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infoA7</v>
      </c>
      <c r="BB18" s="170">
        <f>+BD13</f>
        <v>45809</v>
      </c>
      <c r="BC18" s="171">
        <f>+$D$13</f>
        <v>45809</v>
      </c>
      <c r="BD18" s="173" t="str">
        <f>+D18</f>
        <v/>
      </c>
      <c r="BE18" s="353" t="str">
        <f>+IF(OR(BF18=S.CAL!$BJ$3,BF18=S.CAL!$BJ$4),BD18,"")</f>
        <v/>
      </c>
      <c r="BF18" s="350">
        <f>IF($DY$5=S.CAL!$CU$2,Juin!AR20,IF($DY$5=S.CAL!$CU$3,VLOOKUP(BC18,planning_fp,7,FALSE),""))</f>
        <v>0</v>
      </c>
      <c r="BG18" s="362" t="str">
        <f>Juin!BL20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45809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45809</v>
      </c>
      <c r="EM18" s="16" t="str">
        <f>A18&amp;C18</f>
        <v>Fiche infoA745809</v>
      </c>
      <c r="EN18" s="16">
        <f t="shared" ref="EN18:EN48" si="20">+VLOOKUP(EM18,Base_feuille_présence_heure_potentiel,11,FALSE)</f>
        <v>0</v>
      </c>
      <c r="EQ18" s="16" t="str">
        <f>Juin!FS20</f>
        <v/>
      </c>
    </row>
    <row r="19" spans="1:147" ht="18" customHeight="1" x14ac:dyDescent="0.2">
      <c r="A19" s="24" t="str">
        <f>+Juin!BJ21</f>
        <v>Fiche infoA1</v>
      </c>
      <c r="B19" s="107">
        <f>C19</f>
        <v>45810</v>
      </c>
      <c r="C19" s="172">
        <f>+$D$13+1</f>
        <v>45810</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Juin!BC21</f>
        <v>0</v>
      </c>
      <c r="J19" s="34">
        <f>Juin!BE21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infoA1</v>
      </c>
      <c r="BB19" s="107">
        <f>BC19</f>
        <v>45810</v>
      </c>
      <c r="BC19" s="172">
        <f>+$D$13+1</f>
        <v>45810</v>
      </c>
      <c r="BD19" s="173" t="str">
        <f>+D19</f>
        <v/>
      </c>
      <c r="BE19" s="173" t="str">
        <f>+IF(OR(BF19=S.CAL!$BJ$3,BF19=S.CAL!$BJ$4),BD19,"")</f>
        <v/>
      </c>
      <c r="BF19" s="351">
        <f>IF($DY$5=S.CAL!$CU$2,Juin!AR21,IF($DY$5=S.CAL!$CU$3,VLOOKUP(BC19,planning_fp,7,FALSE),""))</f>
        <v>0</v>
      </c>
      <c r="BG19" s="363" t="str">
        <f>Juin!BL21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45810</v>
      </c>
      <c r="CF19" s="172">
        <f>+$D$13+1</f>
        <v>45810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45810</v>
      </c>
      <c r="EM19" s="16" t="str">
        <f t="shared" ref="EM19:EM48" si="29">A19&amp;C19</f>
        <v>Fiche infoA145810</v>
      </c>
      <c r="EN19" s="16">
        <f t="shared" si="20"/>
        <v>0</v>
      </c>
      <c r="EQ19" s="16" t="str">
        <f>Juin!FS21</f>
        <v/>
      </c>
    </row>
    <row r="20" spans="1:147" ht="18" customHeight="1" x14ac:dyDescent="0.2">
      <c r="A20" s="24" t="str">
        <f>+Juin!BJ22</f>
        <v>Fiche infoA2</v>
      </c>
      <c r="B20" s="107">
        <f t="shared" ref="B20:B48" si="30">C20</f>
        <v>45811</v>
      </c>
      <c r="C20" s="172">
        <f>+$D$13+2</f>
        <v>45811</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Juin!BC22</f>
        <v>0</v>
      </c>
      <c r="J20" s="34">
        <f>Juin!BE22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infoA2</v>
      </c>
      <c r="BB20" s="107">
        <f t="shared" ref="BB20:BB48" si="31">BC20</f>
        <v>45811</v>
      </c>
      <c r="BC20" s="172">
        <f>+$D$13+2</f>
        <v>45811</v>
      </c>
      <c r="BD20" s="173" t="str">
        <f t="shared" ref="BD20:BD48" si="32">+D20</f>
        <v/>
      </c>
      <c r="BE20" s="173" t="str">
        <f>+IF(OR(BF20=S.CAL!$BJ$3,BF20=S.CAL!$BJ$4),BD20,"")</f>
        <v/>
      </c>
      <c r="BF20" s="351">
        <f>IF($DY$5=S.CAL!$CU$2,Juin!AR22,IF($DY$5=S.CAL!$CU$3,VLOOKUP(BC20,planning_fp,7,FALSE),""))</f>
        <v>0</v>
      </c>
      <c r="BG20" s="363" t="str">
        <f>Juin!BL22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45811</v>
      </c>
      <c r="CF20" s="172">
        <f>+$D$13+2</f>
        <v>45811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45811</v>
      </c>
      <c r="EM20" s="16" t="str">
        <f t="shared" si="29"/>
        <v>Fiche infoA245811</v>
      </c>
      <c r="EN20" s="16">
        <f t="shared" si="20"/>
        <v>0</v>
      </c>
      <c r="EQ20" s="16" t="str">
        <f>Juin!FS22</f>
        <v/>
      </c>
    </row>
    <row r="21" spans="1:147" ht="18" customHeight="1" x14ac:dyDescent="0.2">
      <c r="A21" s="24" t="str">
        <f>+Juin!BJ23</f>
        <v>Fiche infoA3</v>
      </c>
      <c r="B21" s="107">
        <f t="shared" si="30"/>
        <v>45812</v>
      </c>
      <c r="C21" s="172">
        <f>+$D$13+3</f>
        <v>45812</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infoA3</v>
      </c>
      <c r="BB21" s="107">
        <f t="shared" si="31"/>
        <v>45812</v>
      </c>
      <c r="BC21" s="172">
        <f>+$D$13+3</f>
        <v>45812</v>
      </c>
      <c r="BD21" s="173" t="str">
        <f t="shared" si="32"/>
        <v/>
      </c>
      <c r="BE21" s="173" t="str">
        <f>+IF(OR(BF21=S.CAL!$BJ$3,BF21=S.CAL!$BJ$4),BD21,"")</f>
        <v/>
      </c>
      <c r="BF21" s="351">
        <f>IF($DY$5=S.CAL!$CU$2,Juin!AR23,IF($DY$5=S.CAL!$CU$3,VLOOKUP(BC21,planning_fp,7,FALSE),""))</f>
        <v>0</v>
      </c>
      <c r="BG21" s="363" t="str">
        <f>Juin!BL23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45812</v>
      </c>
      <c r="CF21" s="172">
        <f>+$D$13+3</f>
        <v>45812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45812</v>
      </c>
      <c r="EM21" s="16" t="str">
        <f t="shared" si="29"/>
        <v>Fiche infoA345812</v>
      </c>
      <c r="EN21" s="16">
        <f t="shared" si="20"/>
        <v>0</v>
      </c>
      <c r="EQ21" s="16" t="str">
        <f>Juin!FS23</f>
        <v/>
      </c>
    </row>
    <row r="22" spans="1:147" ht="18" customHeight="1" x14ac:dyDescent="0.25">
      <c r="A22" s="24" t="str">
        <f>+Juin!BJ24</f>
        <v>Fiche infoA4</v>
      </c>
      <c r="B22" s="107">
        <f t="shared" si="30"/>
        <v>45813</v>
      </c>
      <c r="C22" s="172">
        <f>+$D$13+4</f>
        <v>45813</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Juin!BC24</f>
        <v>0</v>
      </c>
      <c r="J22" s="34">
        <f>Juin!BE24</f>
        <v>0</v>
      </c>
      <c r="K22" s="34">
        <f t="shared" si="15"/>
        <v>0</v>
      </c>
      <c r="L22" s="34" t="str">
        <f t="shared" si="21"/>
        <v/>
      </c>
      <c r="O22" s="19"/>
      <c r="AK22" s="1211" t="s">
        <v>41</v>
      </c>
      <c r="AL22" s="1340">
        <f>+Juin!AL14</f>
        <v>0</v>
      </c>
      <c r="BA22" s="349" t="str">
        <f t="shared" si="16"/>
        <v>Fiche infoA4</v>
      </c>
      <c r="BB22" s="107">
        <f t="shared" si="31"/>
        <v>45813</v>
      </c>
      <c r="BC22" s="172">
        <f>+$D$13+4</f>
        <v>45813</v>
      </c>
      <c r="BD22" s="173" t="str">
        <f t="shared" si="32"/>
        <v/>
      </c>
      <c r="BE22" s="173" t="str">
        <f>+IF(OR(BF22=S.CAL!$BJ$3,BF22=S.CAL!$BJ$4),BD22,"")</f>
        <v/>
      </c>
      <c r="BF22" s="351">
        <f>IF($DY$5=S.CAL!$CU$2,Juin!AR24,IF($DY$5=S.CAL!$CU$3,VLOOKUP(BC22,planning_fp,7,FALSE),""))</f>
        <v>0</v>
      </c>
      <c r="BG22" s="363" t="str">
        <f>Juin!BL24</f>
        <v>A</v>
      </c>
      <c r="BH22" s="150"/>
      <c r="BL22" s="146"/>
      <c r="BM22" s="197"/>
      <c r="CD22" s="346"/>
      <c r="CE22" s="107">
        <f t="shared" si="33"/>
        <v>45813</v>
      </c>
      <c r="CF22" s="172">
        <f>+$D$13+4</f>
        <v>45813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45813</v>
      </c>
      <c r="EM22" s="16" t="str">
        <f t="shared" si="29"/>
        <v>Fiche infoA445813</v>
      </c>
      <c r="EN22" s="16">
        <f t="shared" si="20"/>
        <v>0</v>
      </c>
      <c r="EQ22" s="16" t="str">
        <f>Juin!FS24</f>
        <v/>
      </c>
    </row>
    <row r="23" spans="1:147" ht="18" customHeight="1" x14ac:dyDescent="0.2">
      <c r="A23" s="24" t="str">
        <f>+Juin!BJ25</f>
        <v>Fiche infoA5</v>
      </c>
      <c r="B23" s="107">
        <f t="shared" si="30"/>
        <v>45814</v>
      </c>
      <c r="C23" s="172">
        <f>+$D$13+5</f>
        <v>45814</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Juin!BC25</f>
        <v>0</v>
      </c>
      <c r="J23" s="34">
        <f>Juin!BE25</f>
        <v>0</v>
      </c>
      <c r="K23" s="34">
        <f t="shared" si="15"/>
        <v>0</v>
      </c>
      <c r="L23" s="34" t="str">
        <f t="shared" si="21"/>
        <v/>
      </c>
      <c r="O23" s="39" t="str">
        <f>+O21</f>
        <v xml:space="preserve">Retenue sur salaire = </v>
      </c>
      <c r="P23" s="689">
        <f>+P30+P33</f>
        <v>0</v>
      </c>
      <c r="T23" s="581" t="s">
        <v>1123</v>
      </c>
      <c r="Z23" s="581" t="s">
        <v>1123</v>
      </c>
      <c r="BA23" s="349" t="str">
        <f t="shared" si="16"/>
        <v>Fiche infoA5</v>
      </c>
      <c r="BB23" s="107">
        <f t="shared" si="31"/>
        <v>45814</v>
      </c>
      <c r="BC23" s="172">
        <f>+$D$13+5</f>
        <v>45814</v>
      </c>
      <c r="BD23" s="173" t="str">
        <f t="shared" si="32"/>
        <v/>
      </c>
      <c r="BE23" s="173" t="str">
        <f>+IF(OR(BF23=S.CAL!$BJ$3,BF23=S.CAL!$BJ$4),BD23,"")</f>
        <v/>
      </c>
      <c r="BF23" s="351">
        <f>IF($DY$5=S.CAL!$CU$2,Juin!AR25,IF($DY$5=S.CAL!$CU$3,VLOOKUP(BC23,planning_fp,7,FALSE),""))</f>
        <v>0</v>
      </c>
      <c r="BG23" s="363" t="str">
        <f>Juin!BL25</f>
        <v>A</v>
      </c>
      <c r="BH23" s="29"/>
      <c r="BI23" s="354"/>
      <c r="BL23" s="149"/>
      <c r="CD23" s="346"/>
      <c r="CE23" s="107">
        <f t="shared" si="33"/>
        <v>45814</v>
      </c>
      <c r="CF23" s="172">
        <f>+$D$13+5</f>
        <v>45814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45814</v>
      </c>
      <c r="EM23" s="16" t="str">
        <f t="shared" si="29"/>
        <v>Fiche infoA545814</v>
      </c>
      <c r="EN23" s="16">
        <f t="shared" si="20"/>
        <v>0</v>
      </c>
      <c r="EQ23" s="16" t="str">
        <f>Juin!FS25</f>
        <v/>
      </c>
    </row>
    <row r="24" spans="1:147" ht="18" customHeight="1" x14ac:dyDescent="0.2">
      <c r="A24" s="24" t="str">
        <f>+Juin!BJ26</f>
        <v>Fiche infoA6</v>
      </c>
      <c r="B24" s="107">
        <f t="shared" si="30"/>
        <v>45815</v>
      </c>
      <c r="C24" s="172">
        <f>+$D$13+6</f>
        <v>45815</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Juin!BC26</f>
        <v>0</v>
      </c>
      <c r="J24" s="34">
        <f>Juin!BE26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infoA6</v>
      </c>
      <c r="BB24" s="107">
        <f t="shared" si="31"/>
        <v>45815</v>
      </c>
      <c r="BC24" s="172">
        <f>+$D$13+6</f>
        <v>45815</v>
      </c>
      <c r="BD24" s="173" t="str">
        <f t="shared" si="32"/>
        <v/>
      </c>
      <c r="BE24" s="173" t="str">
        <f>+IF(OR(BF24=S.CAL!$BJ$3,BF24=S.CAL!$BJ$4),BD24,"")</f>
        <v/>
      </c>
      <c r="BF24" s="351">
        <f>IF($DY$5=S.CAL!$CU$2,Juin!AR26,IF($DY$5=S.CAL!$CU$3,VLOOKUP(BC24,planning_fp,7,FALSE),""))</f>
        <v>0</v>
      </c>
      <c r="BG24" s="363" t="str">
        <f>Juin!BL26</f>
        <v>A</v>
      </c>
      <c r="BL24" s="35"/>
      <c r="BM24" s="197"/>
      <c r="BO24" s="29"/>
      <c r="BP24" s="184"/>
      <c r="BR24" s="16" t="s">
        <v>758</v>
      </c>
      <c r="BV24" s="373"/>
      <c r="BW24" s="373"/>
      <c r="BX24" s="373"/>
      <c r="BY24" s="373" t="s">
        <v>708</v>
      </c>
      <c r="BZ24" s="373"/>
      <c r="CA24" s="373"/>
      <c r="CB24" s="373"/>
      <c r="CD24" s="346"/>
      <c r="CE24" s="107">
        <f t="shared" si="33"/>
        <v>45815</v>
      </c>
      <c r="CF24" s="172">
        <f>+$D$13+6</f>
        <v>45815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45815</v>
      </c>
      <c r="EM24" s="16" t="str">
        <f t="shared" si="29"/>
        <v>Fiche infoA645815</v>
      </c>
      <c r="EN24" s="16">
        <f t="shared" si="20"/>
        <v>0</v>
      </c>
      <c r="EQ24" s="16" t="str">
        <f>Juin!FS26</f>
        <v/>
      </c>
    </row>
    <row r="25" spans="1:147" ht="18" customHeight="1" x14ac:dyDescent="0.2">
      <c r="A25" s="24" t="str">
        <f>+Juin!BJ27</f>
        <v>Fiche infoA7</v>
      </c>
      <c r="B25" s="107">
        <f t="shared" si="30"/>
        <v>45816</v>
      </c>
      <c r="C25" s="172">
        <f>+$D$13+7</f>
        <v>45816</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Juin!BC27</f>
        <v>0</v>
      </c>
      <c r="J25" s="34">
        <f>Juin!BE27</f>
        <v>0</v>
      </c>
      <c r="K25" s="34">
        <f t="shared" si="15"/>
        <v>0</v>
      </c>
      <c r="L25" s="34" t="str">
        <f t="shared" si="21"/>
        <v/>
      </c>
      <c r="AK25" s="1211" t="s">
        <v>329</v>
      </c>
      <c r="AL25" s="1335">
        <f>+IF(AL22,AL24/AL22,0)</f>
        <v>0</v>
      </c>
      <c r="BA25" s="349" t="str">
        <f t="shared" si="16"/>
        <v>Fiche infoA7</v>
      </c>
      <c r="BB25" s="107">
        <f t="shared" si="31"/>
        <v>45816</v>
      </c>
      <c r="BC25" s="172">
        <f>+$D$13+7</f>
        <v>45816</v>
      </c>
      <c r="BD25" s="173" t="str">
        <f t="shared" si="32"/>
        <v/>
      </c>
      <c r="BE25" s="173" t="str">
        <f>+IF(OR(BF25=S.CAL!$BJ$3,BF25=S.CAL!$BJ$4),BD25,"")</f>
        <v/>
      </c>
      <c r="BF25" s="351">
        <f>IF($DY$5=S.CAL!$CU$2,Juin!AR27,IF($DY$5=S.CAL!$CU$3,VLOOKUP(BC25,planning_fp,7,FALSE),""))</f>
        <v>0</v>
      </c>
      <c r="BG25" s="363" t="str">
        <f>Juin!BL27</f>
        <v>A</v>
      </c>
      <c r="BH25" s="150"/>
      <c r="BL25" s="35"/>
      <c r="BO25" s="29"/>
      <c r="BP25" s="184"/>
      <c r="BV25" s="373"/>
      <c r="BW25" s="373"/>
      <c r="BX25" s="373"/>
      <c r="BY25" s="373"/>
      <c r="BZ25" s="373"/>
      <c r="CA25" s="373"/>
      <c r="CB25" s="373"/>
      <c r="CD25" s="346"/>
      <c r="CE25" s="107">
        <f t="shared" si="33"/>
        <v>45816</v>
      </c>
      <c r="CF25" s="172">
        <f>+$D$13+7</f>
        <v>45816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45816</v>
      </c>
      <c r="EM25" s="16" t="str">
        <f t="shared" si="29"/>
        <v>Fiche infoA745816</v>
      </c>
      <c r="EN25" s="16">
        <f t="shared" si="20"/>
        <v>0</v>
      </c>
      <c r="EQ25" s="16" t="str">
        <f>Juin!FS27</f>
        <v/>
      </c>
    </row>
    <row r="26" spans="1:147" ht="18" customHeight="1" x14ac:dyDescent="0.2">
      <c r="A26" s="24" t="str">
        <f>+Juin!BJ28</f>
        <v>Fiche infoA1</v>
      </c>
      <c r="B26" s="107">
        <f t="shared" si="30"/>
        <v>45817</v>
      </c>
      <c r="C26" s="172">
        <f>+$D$13+8</f>
        <v>45817</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Juin!BC28</f>
        <v>0</v>
      </c>
      <c r="J26" s="34">
        <f>Juin!BE28</f>
        <v>0</v>
      </c>
      <c r="K26" s="34">
        <f t="shared" si="15"/>
        <v>0</v>
      </c>
      <c r="L26" s="34" t="str">
        <f t="shared" si="21"/>
        <v/>
      </c>
      <c r="O26" s="16" t="s">
        <v>1217</v>
      </c>
      <c r="AK26" s="1211" t="s">
        <v>330</v>
      </c>
      <c r="AL26" s="1335">
        <f>IF(AS21,SUM(AT13:AT20)/AS21,0)</f>
        <v>0</v>
      </c>
      <c r="BA26" s="349" t="str">
        <f t="shared" si="16"/>
        <v>Fiche infoA1</v>
      </c>
      <c r="BB26" s="107">
        <f t="shared" si="31"/>
        <v>45817</v>
      </c>
      <c r="BC26" s="172">
        <f>+$D$13+8</f>
        <v>45817</v>
      </c>
      <c r="BD26" s="173" t="str">
        <f t="shared" si="32"/>
        <v/>
      </c>
      <c r="BE26" s="173" t="str">
        <f>+IF(OR(BF26=S.CAL!$BJ$3,BF26=S.CAL!$BJ$4),BD26,"")</f>
        <v/>
      </c>
      <c r="BF26" s="351">
        <f>IF($DY$5=S.CAL!$CU$2,Juin!AR28,IF($DY$5=S.CAL!$CU$3,VLOOKUP(BC26,planning_fp,7,FALSE),""))</f>
        <v>0</v>
      </c>
      <c r="BG26" s="363" t="str">
        <f>Juin!BL28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45817</v>
      </c>
      <c r="CF26" s="172">
        <f>+$D$13+8</f>
        <v>45817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45817</v>
      </c>
      <c r="EM26" s="16" t="str">
        <f t="shared" si="29"/>
        <v>Fiche infoA145817</v>
      </c>
      <c r="EN26" s="16">
        <f t="shared" si="20"/>
        <v>0</v>
      </c>
      <c r="EQ26" s="16" t="str">
        <f>Juin!FS28</f>
        <v/>
      </c>
    </row>
    <row r="27" spans="1:147" ht="18" customHeight="1" x14ac:dyDescent="0.2">
      <c r="A27" s="24" t="str">
        <f>+Juin!BJ29</f>
        <v>Fiche infoA2</v>
      </c>
      <c r="B27" s="107">
        <f t="shared" si="30"/>
        <v>45818</v>
      </c>
      <c r="C27" s="172">
        <f>+$D$13+9</f>
        <v>45818</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Juin!BC29</f>
        <v>0</v>
      </c>
      <c r="J27" s="34">
        <f>Juin!BE29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infoA2</v>
      </c>
      <c r="BB27" s="107">
        <f t="shared" si="31"/>
        <v>45818</v>
      </c>
      <c r="BC27" s="172">
        <f>+$D$13+9</f>
        <v>45818</v>
      </c>
      <c r="BD27" s="173" t="str">
        <f t="shared" si="32"/>
        <v/>
      </c>
      <c r="BE27" s="173" t="str">
        <f>+IF(OR(BF27=S.CAL!$BJ$3,BF27=S.CAL!$BJ$4),BD27,"")</f>
        <v/>
      </c>
      <c r="BF27" s="351">
        <f>IF($DY$5=S.CAL!$CU$2,Juin!AR29,IF($DY$5=S.CAL!$CU$3,VLOOKUP(BC27,planning_fp,7,FALSE),""))</f>
        <v>0</v>
      </c>
      <c r="BG27" s="363" t="str">
        <f>Juin!BL29</f>
        <v>A</v>
      </c>
      <c r="BI27" s="16" t="s">
        <v>758</v>
      </c>
      <c r="BL27" s="35"/>
      <c r="BP27" s="2401"/>
      <c r="BQ27" s="2401"/>
      <c r="BR27" s="2401"/>
      <c r="BS27" s="2401"/>
      <c r="BT27" s="2400"/>
      <c r="BV27" s="373"/>
      <c r="BW27" s="373"/>
      <c r="BX27" s="2488"/>
      <c r="BY27" s="2488"/>
      <c r="BZ27" s="2488"/>
      <c r="CA27" s="2488"/>
      <c r="CB27" s="2487"/>
      <c r="CD27" s="346"/>
      <c r="CE27" s="107">
        <f t="shared" si="33"/>
        <v>45818</v>
      </c>
      <c r="CF27" s="172">
        <f>+$D$13+9</f>
        <v>45818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45818</v>
      </c>
      <c r="EM27" s="16" t="str">
        <f t="shared" si="29"/>
        <v>Fiche infoA245818</v>
      </c>
      <c r="EN27" s="16">
        <f t="shared" si="20"/>
        <v>0</v>
      </c>
      <c r="EQ27" s="16" t="str">
        <f>Juin!FS29</f>
        <v/>
      </c>
    </row>
    <row r="28" spans="1:147" ht="18" customHeight="1" x14ac:dyDescent="0.2">
      <c r="A28" s="24" t="str">
        <f>+Juin!BJ30</f>
        <v>Fiche infoA3</v>
      </c>
      <c r="B28" s="107">
        <f t="shared" si="30"/>
        <v>45819</v>
      </c>
      <c r="C28" s="172">
        <f>+$D$13+10</f>
        <v>45819</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Juin!BC30</f>
        <v>0</v>
      </c>
      <c r="J28" s="34">
        <f>Juin!BE30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infoA3</v>
      </c>
      <c r="BB28" s="107">
        <f t="shared" si="31"/>
        <v>45819</v>
      </c>
      <c r="BC28" s="172">
        <f>+$D$13+10</f>
        <v>45819</v>
      </c>
      <c r="BD28" s="173" t="str">
        <f t="shared" si="32"/>
        <v/>
      </c>
      <c r="BE28" s="173" t="str">
        <f>+IF(OR(BF28=S.CAL!$BJ$3,BF28=S.CAL!$BJ$4),BD28,"")</f>
        <v/>
      </c>
      <c r="BF28" s="351">
        <f>IF($DY$5=S.CAL!$CU$2,Juin!AR30,IF($DY$5=S.CAL!$CU$3,VLOOKUP(BC28,planning_fp,7,FALSE),""))</f>
        <v>0</v>
      </c>
      <c r="BG28" s="363" t="str">
        <f>Juin!BL30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45819</v>
      </c>
      <c r="CF28" s="172">
        <f>+$D$13+10</f>
        <v>45819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45819</v>
      </c>
      <c r="EM28" s="16" t="str">
        <f t="shared" si="29"/>
        <v>Fiche infoA345819</v>
      </c>
      <c r="EN28" s="16">
        <f t="shared" si="20"/>
        <v>0</v>
      </c>
      <c r="EQ28" s="16" t="str">
        <f>Juin!FS30</f>
        <v/>
      </c>
    </row>
    <row r="29" spans="1:147" ht="18" customHeight="1" x14ac:dyDescent="0.2">
      <c r="A29" s="24" t="str">
        <f>+Juin!BJ31</f>
        <v>Fiche infoA4</v>
      </c>
      <c r="B29" s="107">
        <f t="shared" si="30"/>
        <v>45820</v>
      </c>
      <c r="C29" s="172">
        <f>+$D$13+11</f>
        <v>45820</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Juin!BC31</f>
        <v>0</v>
      </c>
      <c r="J29" s="34">
        <f>Juin!BE31</f>
        <v>0</v>
      </c>
      <c r="K29" s="34">
        <f t="shared" si="15"/>
        <v>0</v>
      </c>
      <c r="L29" s="34" t="str">
        <f t="shared" si="21"/>
        <v/>
      </c>
      <c r="O29" s="877" t="s">
        <v>1471</v>
      </c>
      <c r="P29" s="877"/>
      <c r="Q29" s="877"/>
      <c r="R29" s="877"/>
      <c r="BA29" s="349" t="str">
        <f t="shared" si="16"/>
        <v>Fiche infoA4</v>
      </c>
      <c r="BB29" s="107">
        <f t="shared" si="31"/>
        <v>45820</v>
      </c>
      <c r="BC29" s="172">
        <f>+$D$13+11</f>
        <v>45820</v>
      </c>
      <c r="BD29" s="173" t="str">
        <f t="shared" si="32"/>
        <v/>
      </c>
      <c r="BE29" s="173" t="str">
        <f>+IF(OR(BF29=S.CAL!$BJ$3,BF29=S.CAL!$BJ$4),BD29,"")</f>
        <v/>
      </c>
      <c r="BF29" s="351">
        <f>IF($DY$5=S.CAL!$CU$2,Juin!AR31,IF($DY$5=S.CAL!$CU$3,VLOOKUP(BC29,planning_fp,7,FALSE),""))</f>
        <v>0</v>
      </c>
      <c r="BG29" s="363" t="str">
        <f>Juin!BL31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45820</v>
      </c>
      <c r="CF29" s="172">
        <f>+$D$13+11</f>
        <v>45820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45820</v>
      </c>
      <c r="EM29" s="16" t="str">
        <f t="shared" si="29"/>
        <v>Fiche infoA445820</v>
      </c>
      <c r="EN29" s="16">
        <f t="shared" si="20"/>
        <v>0</v>
      </c>
      <c r="EQ29" s="16" t="str">
        <f>Juin!FS31</f>
        <v/>
      </c>
    </row>
    <row r="30" spans="1:147" ht="18" customHeight="1" x14ac:dyDescent="0.25">
      <c r="A30" s="24" t="str">
        <f>+Juin!BJ32</f>
        <v>Fiche infoA5</v>
      </c>
      <c r="B30" s="107">
        <f t="shared" si="30"/>
        <v>45821</v>
      </c>
      <c r="C30" s="172">
        <f>+$D$13+12</f>
        <v>45821</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Juin!BC32</f>
        <v>0</v>
      </c>
      <c r="J30" s="34">
        <f>Juin!BE32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45809</v>
      </c>
      <c r="AP30" s="2496"/>
      <c r="AQ30" s="2496"/>
      <c r="BA30" s="349" t="str">
        <f t="shared" si="16"/>
        <v>Fiche infoA5</v>
      </c>
      <c r="BB30" s="107">
        <f t="shared" si="31"/>
        <v>45821</v>
      </c>
      <c r="BC30" s="172">
        <f>+$D$13+12</f>
        <v>45821</v>
      </c>
      <c r="BD30" s="173" t="str">
        <f t="shared" si="32"/>
        <v/>
      </c>
      <c r="BE30" s="173" t="str">
        <f>+IF(OR(BF30=S.CAL!$BJ$3,BF30=S.CAL!$BJ$4),BD30,"")</f>
        <v/>
      </c>
      <c r="BF30" s="351">
        <f>IF($DY$5=S.CAL!$CU$2,Juin!AR32,IF($DY$5=S.CAL!$CU$3,VLOOKUP(BC30,planning_fp,7,FALSE),""))</f>
        <v>0</v>
      </c>
      <c r="BG30" s="363" t="str">
        <f>Juin!BL32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45821</v>
      </c>
      <c r="CF30" s="172">
        <f>+$D$13+12</f>
        <v>45821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45821</v>
      </c>
      <c r="EM30" s="16" t="str">
        <f t="shared" si="29"/>
        <v>Fiche infoA545821</v>
      </c>
      <c r="EN30" s="16">
        <f t="shared" si="20"/>
        <v>0</v>
      </c>
      <c r="EQ30" s="16" t="str">
        <f>Juin!FS32</f>
        <v/>
      </c>
    </row>
    <row r="31" spans="1:147" ht="18" customHeight="1" x14ac:dyDescent="0.2">
      <c r="A31" s="24" t="str">
        <f>+Juin!BJ33</f>
        <v>Fiche infoA6</v>
      </c>
      <c r="B31" s="107">
        <f t="shared" si="30"/>
        <v>45822</v>
      </c>
      <c r="C31" s="172">
        <f>+$D$13+13</f>
        <v>45822</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Juin!BC33</f>
        <v>0</v>
      </c>
      <c r="J31" s="34">
        <f>Juin!BE33</f>
        <v>0</v>
      </c>
      <c r="K31" s="34">
        <f t="shared" si="15"/>
        <v>0</v>
      </c>
      <c r="L31" s="34" t="str">
        <f t="shared" si="21"/>
        <v/>
      </c>
      <c r="AL31" s="581" t="s">
        <v>351</v>
      </c>
      <c r="BA31" s="349" t="str">
        <f t="shared" si="16"/>
        <v>Fiche infoA6</v>
      </c>
      <c r="BB31" s="107">
        <f t="shared" si="31"/>
        <v>45822</v>
      </c>
      <c r="BC31" s="172">
        <f>+$D$13+13</f>
        <v>45822</v>
      </c>
      <c r="BD31" s="173" t="str">
        <f t="shared" si="32"/>
        <v/>
      </c>
      <c r="BE31" s="173" t="str">
        <f>+IF(OR(BF31=S.CAL!$BJ$3,BF31=S.CAL!$BJ$4),BD31,"")</f>
        <v/>
      </c>
      <c r="BF31" s="351">
        <f>IF($DY$5=S.CAL!$CU$2,Juin!AR33,IF($DY$5=S.CAL!$CU$3,VLOOKUP(BC31,planning_fp,7,FALSE),""))</f>
        <v>0</v>
      </c>
      <c r="BG31" s="363" t="str">
        <f>Juin!BL33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45822</v>
      </c>
      <c r="CF31" s="172">
        <f>+$D$13+13</f>
        <v>45822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45822</v>
      </c>
      <c r="EM31" s="16" t="str">
        <f t="shared" si="29"/>
        <v>Fiche infoA645822</v>
      </c>
      <c r="EN31" s="16">
        <f t="shared" si="20"/>
        <v>0</v>
      </c>
      <c r="EQ31" s="16" t="str">
        <f>Juin!FS33</f>
        <v/>
      </c>
    </row>
    <row r="32" spans="1:147" ht="18" customHeight="1" x14ac:dyDescent="0.2">
      <c r="A32" s="24" t="str">
        <f>+Juin!BJ34</f>
        <v>Fiche infoA7</v>
      </c>
      <c r="B32" s="107">
        <f t="shared" si="30"/>
        <v>45823</v>
      </c>
      <c r="C32" s="172">
        <f>+$D$13+14</f>
        <v>45823</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Juin!BC34</f>
        <v>0</v>
      </c>
      <c r="J32" s="34">
        <f>Juin!BE34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infoA7</v>
      </c>
      <c r="BB32" s="107">
        <f t="shared" si="31"/>
        <v>45823</v>
      </c>
      <c r="BC32" s="172">
        <f>+$D$13+14</f>
        <v>45823</v>
      </c>
      <c r="BD32" s="173" t="str">
        <f t="shared" si="32"/>
        <v/>
      </c>
      <c r="BE32" s="173" t="str">
        <f>+IF(OR(BF32=S.CAL!$BJ$3,BF32=S.CAL!$BJ$4),BD32,"")</f>
        <v/>
      </c>
      <c r="BF32" s="351">
        <f>IF($DY$5=S.CAL!$CU$2,Juin!AR34,IF($DY$5=S.CAL!$CU$3,VLOOKUP(BC32,planning_fp,7,FALSE),""))</f>
        <v>0</v>
      </c>
      <c r="BG32" s="363" t="str">
        <f>Juin!BL34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45823</v>
      </c>
      <c r="CF32" s="172">
        <f>+$D$13+14</f>
        <v>45823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45823</v>
      </c>
      <c r="EM32" s="16" t="str">
        <f t="shared" si="29"/>
        <v>Fiche infoA745823</v>
      </c>
      <c r="EN32" s="16">
        <f t="shared" si="20"/>
        <v>0</v>
      </c>
      <c r="EQ32" s="16" t="str">
        <f>Juin!FS34</f>
        <v/>
      </c>
    </row>
    <row r="33" spans="1:147" ht="18" customHeight="1" x14ac:dyDescent="0.2">
      <c r="A33" s="24" t="str">
        <f>+Juin!BJ35</f>
        <v>Fiche infoA1</v>
      </c>
      <c r="B33" s="107">
        <f t="shared" si="30"/>
        <v>45824</v>
      </c>
      <c r="C33" s="172">
        <f>+$D$13+15</f>
        <v>45824</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Juin!BC35</f>
        <v>0</v>
      </c>
      <c r="J33" s="34">
        <f>Juin!BE35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infoA1</v>
      </c>
      <c r="BB33" s="107">
        <f t="shared" si="31"/>
        <v>45824</v>
      </c>
      <c r="BC33" s="172">
        <f>+$D$13+15</f>
        <v>45824</v>
      </c>
      <c r="BD33" s="173" t="str">
        <f t="shared" si="32"/>
        <v/>
      </c>
      <c r="BE33" s="173" t="str">
        <f>+IF(OR(BF33=S.CAL!$BJ$3,BF33=S.CAL!$BJ$4),BD33,"")</f>
        <v/>
      </c>
      <c r="BF33" s="351">
        <f>IF($DY$5=S.CAL!$CU$2,Juin!AR35,IF($DY$5=S.CAL!$CU$3,VLOOKUP(BC33,planning_fp,7,FALSE),""))</f>
        <v>0</v>
      </c>
      <c r="BG33" s="363" t="str">
        <f>Juin!BL35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45824</v>
      </c>
      <c r="CF33" s="172">
        <f>+$D$13+15</f>
        <v>45824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45824</v>
      </c>
      <c r="EM33" s="16" t="str">
        <f t="shared" si="29"/>
        <v>Fiche infoA145824</v>
      </c>
      <c r="EN33" s="16">
        <f t="shared" si="20"/>
        <v>0</v>
      </c>
      <c r="EQ33" s="16" t="str">
        <f>Juin!FS35</f>
        <v/>
      </c>
    </row>
    <row r="34" spans="1:147" ht="18" customHeight="1" x14ac:dyDescent="0.2">
      <c r="A34" s="24" t="str">
        <f>+Juin!BJ36</f>
        <v>Fiche infoA2</v>
      </c>
      <c r="B34" s="107">
        <f t="shared" si="30"/>
        <v>45825</v>
      </c>
      <c r="C34" s="172">
        <f>+$D$13+16</f>
        <v>45825</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Juin!BC36</f>
        <v>0</v>
      </c>
      <c r="J34" s="34">
        <f>Juin!BE36</f>
        <v>0</v>
      </c>
      <c r="K34" s="34">
        <f t="shared" si="15"/>
        <v>0</v>
      </c>
      <c r="L34" s="34" t="str">
        <f t="shared" si="21"/>
        <v/>
      </c>
      <c r="N34" s="395"/>
      <c r="O34" s="395"/>
      <c r="P34" s="395"/>
      <c r="Q34" s="395"/>
      <c r="R34" s="395"/>
      <c r="T34" s="581">
        <f>+IF(AD34=0,V34,0)</f>
        <v>0</v>
      </c>
      <c r="U34" s="1323" t="str">
        <f>+Juin!AU4</f>
        <v>A</v>
      </c>
      <c r="V34" s="1323">
        <f>IFERROR(+VLOOKUP(U34,U35:AB39,7,FALSE),"")</f>
        <v>0</v>
      </c>
      <c r="W34" s="2482" t="str">
        <f>Juin!BS28</f>
        <v>Semaine numéro : 22</v>
      </c>
      <c r="X34" s="2482"/>
      <c r="Y34" s="2482"/>
      <c r="Z34" s="1345"/>
      <c r="AA34" s="1338">
        <f>+IF(Z34&lt;&gt;"",Z34,IF(T34&gt;0,T34,IF(AND(AD34&gt;0,AC34&gt;0),AD34+AC34,IF(AE34&gt;0,0,AC34))))</f>
        <v>0</v>
      </c>
      <c r="AB34" s="1338">
        <f>IF(AND(AA34&gt;45,AD34=AD48),AA34-45,0)</f>
        <v>0</v>
      </c>
      <c r="AC34" s="1344">
        <f>+SUMIF(Juin!$BK$20:$BK$50,Juin!AT4,$D$18:$D$48)</f>
        <v>0</v>
      </c>
      <c r="AD34" s="1344">
        <f>+SUMIF(Mai!$BK$20:$BK$50,Juin!AT4,'Retenue Mai'!$D$18:$D$48)</f>
        <v>0</v>
      </c>
      <c r="AE34" s="1344">
        <f>+SUMIF(Juillet!$BK$20:$BK$50,Juin!AT4,'Retenue Juil'!$D$18:$D$48)</f>
        <v>0</v>
      </c>
      <c r="AF34" s="1338">
        <f>+AC34-AB34</f>
        <v>0</v>
      </c>
      <c r="AK34" s="1211" t="s">
        <v>333</v>
      </c>
      <c r="AL34" s="1324" t="e">
        <f>IF(AL32,+AL24/AL32,0)</f>
        <v>#VALUE!</v>
      </c>
      <c r="BA34" s="349" t="str">
        <f t="shared" si="16"/>
        <v>Fiche infoA2</v>
      </c>
      <c r="BB34" s="107">
        <f t="shared" si="31"/>
        <v>45825</v>
      </c>
      <c r="BC34" s="172">
        <f>+$D$13+16</f>
        <v>45825</v>
      </c>
      <c r="BD34" s="173" t="str">
        <f t="shared" si="32"/>
        <v/>
      </c>
      <c r="BE34" s="173" t="str">
        <f>+IF(OR(BF34=S.CAL!$BJ$3,BF34=S.CAL!$BJ$4),BD34,"")</f>
        <v/>
      </c>
      <c r="BF34" s="351">
        <f>IF($DY$5=S.CAL!$CU$2,Juin!AR36,IF($DY$5=S.CAL!$CU$3,VLOOKUP(BC34,planning_fp,7,FALSE),""))</f>
        <v>0</v>
      </c>
      <c r="BG34" s="363" t="str">
        <f>Juin!BL36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45825</v>
      </c>
      <c r="CF34" s="172">
        <f>+$D$13+16</f>
        <v>45825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45825</v>
      </c>
      <c r="EM34" s="16" t="str">
        <f t="shared" si="29"/>
        <v>Fiche infoA245825</v>
      </c>
      <c r="EN34" s="16">
        <f t="shared" si="20"/>
        <v>0</v>
      </c>
      <c r="EQ34" s="16" t="str">
        <f>Juin!FS36</f>
        <v/>
      </c>
    </row>
    <row r="35" spans="1:147" ht="18" customHeight="1" x14ac:dyDescent="0.2">
      <c r="A35" s="24" t="str">
        <f>+Juin!BJ37</f>
        <v>Fiche infoA3</v>
      </c>
      <c r="B35" s="107">
        <f t="shared" si="30"/>
        <v>45826</v>
      </c>
      <c r="C35" s="172">
        <f>+$D$13+17</f>
        <v>45826</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Juin!BC37</f>
        <v>0</v>
      </c>
      <c r="J35" s="34">
        <f>Juin!BE37</f>
        <v>0</v>
      </c>
      <c r="K35" s="34">
        <f t="shared" si="15"/>
        <v>0</v>
      </c>
      <c r="L35" s="34" t="str">
        <f t="shared" si="21"/>
        <v/>
      </c>
      <c r="N35" s="395"/>
      <c r="O35" s="879" t="s">
        <v>1218</v>
      </c>
      <c r="P35" s="880"/>
      <c r="Q35" s="880"/>
      <c r="R35" s="876"/>
      <c r="T35" s="581">
        <f>+IF(AD35=0,V35,0)</f>
        <v>0</v>
      </c>
      <c r="U35" s="1323" t="str">
        <f>+Juin!AU5</f>
        <v>A</v>
      </c>
      <c r="V35" s="1323">
        <f>IFERROR(+VLOOKUP(U35,U36:AB39,7,FALSE),"")</f>
        <v>0</v>
      </c>
      <c r="W35" s="2482" t="str">
        <f>Juin!BS29</f>
        <v>Semaine numéro : 23</v>
      </c>
      <c r="X35" s="2482"/>
      <c r="Y35" s="2482"/>
      <c r="Z35" s="1345"/>
      <c r="AA35" s="1338">
        <f>+IF(Z35&lt;&gt;"",Z35,IF(T35&gt;0,T35,IF(AND(AD35&gt;0,AC35&gt;0),AD35+AC35,IF(AE35&gt;0,0,AC35))))</f>
        <v>0</v>
      </c>
      <c r="AB35" s="1338">
        <f t="shared" ref="AB35:AB39" si="44">IF(AND(AA35&gt;45,AD35=AD49),AA35-45,0)</f>
        <v>0</v>
      </c>
      <c r="AC35" s="1344">
        <f>+SUMIF(Juin!$BK$20:$BK$50,Juin!AT5,$D$18:$D$48)</f>
        <v>0</v>
      </c>
      <c r="AD35" s="1344">
        <f>+SUMIF(Mai!$BK$20:$BK$50,Juin!AT5,'Retenue Mai'!$D$18:$D$48)</f>
        <v>0</v>
      </c>
      <c r="AE35" s="1344">
        <f>+SUMIF(Juillet!$BK$20:$BK$50,Juin!AT5,'Retenue Juil'!$D$18:$D$48)</f>
        <v>0</v>
      </c>
      <c r="AF35" s="1338">
        <f t="shared" ref="AF35:AF39" si="45">+AC35-AB35</f>
        <v>0</v>
      </c>
      <c r="AK35" s="1211"/>
      <c r="AL35" s="1324"/>
      <c r="BA35" s="349" t="str">
        <f t="shared" si="16"/>
        <v>Fiche infoA3</v>
      </c>
      <c r="BB35" s="107">
        <f t="shared" si="31"/>
        <v>45826</v>
      </c>
      <c r="BC35" s="172">
        <f>+$D$13+17</f>
        <v>45826</v>
      </c>
      <c r="BD35" s="173" t="str">
        <f t="shared" si="32"/>
        <v/>
      </c>
      <c r="BE35" s="173" t="str">
        <f>+IF(OR(BF35=S.CAL!$BJ$3,BF35=S.CAL!$BJ$4),BD35,"")</f>
        <v/>
      </c>
      <c r="BF35" s="351">
        <f>IF($DY$5=S.CAL!$CU$2,Juin!AR37,IF($DY$5=S.CAL!$CU$3,VLOOKUP(BC35,planning_fp,7,FALSE),""))</f>
        <v>0</v>
      </c>
      <c r="BG35" s="363" t="str">
        <f>Juin!BL37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45826</v>
      </c>
      <c r="CF35" s="172">
        <f>+$D$13+17</f>
        <v>45826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45826</v>
      </c>
      <c r="EM35" s="16" t="str">
        <f t="shared" si="29"/>
        <v>Fiche infoA345826</v>
      </c>
      <c r="EN35" s="16">
        <f t="shared" si="20"/>
        <v>0</v>
      </c>
      <c r="EQ35" s="16" t="str">
        <f>Juin!FS37</f>
        <v/>
      </c>
    </row>
    <row r="36" spans="1:147" ht="18" customHeight="1" x14ac:dyDescent="0.2">
      <c r="A36" s="24" t="str">
        <f>+Juin!BJ38</f>
        <v>Fiche infoA4</v>
      </c>
      <c r="B36" s="107">
        <f t="shared" si="30"/>
        <v>45827</v>
      </c>
      <c r="C36" s="172">
        <f>+$D$13+18</f>
        <v>45827</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Juin!BC38</f>
        <v>0</v>
      </c>
      <c r="J36" s="34">
        <f>Juin!BE38</f>
        <v>0</v>
      </c>
      <c r="K36" s="34">
        <f t="shared" si="15"/>
        <v>0</v>
      </c>
      <c r="L36" s="34" t="str">
        <f t="shared" si="21"/>
        <v/>
      </c>
      <c r="N36" s="395"/>
      <c r="O36" s="486"/>
      <c r="P36" s="487" t="str">
        <f>+E11&amp;" / ( "&amp;E10&amp;" + "&amp;E11&amp;" ) ="</f>
        <v>0 / ( 0 + 0 ) =</v>
      </c>
      <c r="Q36" s="486" t="e">
        <f>+ROUND(E11/(E11+E10),6)</f>
        <v>#DIV/0!</v>
      </c>
      <c r="R36" s="395"/>
      <c r="U36" s="1323" t="str">
        <f>+Juin!AU6</f>
        <v>A</v>
      </c>
      <c r="V36" s="1323"/>
      <c r="W36" s="2482" t="str">
        <f>Juin!BS30</f>
        <v>Semaine numéro : 24</v>
      </c>
      <c r="X36" s="2482"/>
      <c r="Y36" s="2482"/>
      <c r="Z36" s="1345"/>
      <c r="AA36" s="1338">
        <f t="shared" ref="AA36:AA39" si="46">+IF(Z36="",IF(AND(AD36&gt;0,AC36&gt;0),AD36+AC36,IF(AE36&gt;0,0,AC36)),Z36)</f>
        <v>0</v>
      </c>
      <c r="AB36" s="1338">
        <f t="shared" si="44"/>
        <v>0</v>
      </c>
      <c r="AC36" s="1344">
        <f>+SUMIF(Juin!$BK$20:$BK$50,Juin!AT6,$D$18:$D$48)</f>
        <v>0</v>
      </c>
      <c r="AD36" s="1344">
        <f>+SUMIF(Mai!$BK$20:$BK$50,Juin!AT6,'Retenue Mai'!$D$18:$D$48)</f>
        <v>0</v>
      </c>
      <c r="AE36" s="1344">
        <f>+SUMIF(Juillet!$BK$20:$BK$50,Juin!AT6,'Retenue Juil'!$D$18:$D$48)</f>
        <v>0</v>
      </c>
      <c r="AF36" s="1338">
        <f t="shared" si="45"/>
        <v>0</v>
      </c>
      <c r="AK36" s="1211"/>
      <c r="AL36" s="1324"/>
      <c r="BA36" s="349" t="str">
        <f t="shared" si="16"/>
        <v>Fiche infoA4</v>
      </c>
      <c r="BB36" s="107">
        <f t="shared" si="31"/>
        <v>45827</v>
      </c>
      <c r="BC36" s="172">
        <f>+$D$13+18</f>
        <v>45827</v>
      </c>
      <c r="BD36" s="173" t="str">
        <f t="shared" si="32"/>
        <v/>
      </c>
      <c r="BE36" s="173" t="str">
        <f>+IF(OR(BF36=S.CAL!$BJ$3,BF36=S.CAL!$BJ$4),BD36,"")</f>
        <v/>
      </c>
      <c r="BF36" s="351">
        <f>IF($DY$5=S.CAL!$CU$2,Juin!AR38,IF($DY$5=S.CAL!$CU$3,VLOOKUP(BC36,planning_fp,7,FALSE),""))</f>
        <v>0</v>
      </c>
      <c r="BG36" s="363" t="str">
        <f>Juin!BL38</f>
        <v>A</v>
      </c>
      <c r="BH36" s="374"/>
      <c r="BI36" s="375"/>
      <c r="BJ36" s="373"/>
      <c r="BK36" s="373"/>
      <c r="BL36" s="35"/>
      <c r="BS36" s="191"/>
      <c r="BT36" s="360"/>
      <c r="BU36" s="360"/>
      <c r="BV36" s="373"/>
      <c r="BW36" s="373"/>
      <c r="BX36" s="373"/>
      <c r="BY36" s="373"/>
      <c r="BZ36" s="373"/>
      <c r="CA36" s="373"/>
      <c r="CB36" s="373"/>
      <c r="CD36" s="346"/>
      <c r="CE36" s="107">
        <f t="shared" si="33"/>
        <v>45827</v>
      </c>
      <c r="CF36" s="172">
        <f>+$D$13+18</f>
        <v>45827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45827</v>
      </c>
      <c r="EM36" s="16" t="str">
        <f t="shared" si="29"/>
        <v>Fiche infoA445827</v>
      </c>
      <c r="EN36" s="16">
        <f t="shared" si="20"/>
        <v>0</v>
      </c>
      <c r="EQ36" s="16" t="str">
        <f>Juin!FS38</f>
        <v/>
      </c>
    </row>
    <row r="37" spans="1:147" ht="18" customHeight="1" x14ac:dyDescent="0.2">
      <c r="A37" s="24" t="str">
        <f>+Juin!BJ39</f>
        <v>Fiche infoA5</v>
      </c>
      <c r="B37" s="107">
        <f t="shared" si="30"/>
        <v>45828</v>
      </c>
      <c r="C37" s="172">
        <f>+$D$13+19</f>
        <v>45828</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Juin!BC39</f>
        <v>0</v>
      </c>
      <c r="J37" s="34">
        <f>Juin!BE39</f>
        <v>0</v>
      </c>
      <c r="K37" s="34">
        <f t="shared" si="15"/>
        <v>0</v>
      </c>
      <c r="L37" s="34" t="str">
        <f t="shared" si="21"/>
        <v/>
      </c>
      <c r="N37" s="395"/>
      <c r="O37" s="881"/>
      <c r="P37" s="881"/>
      <c r="Q37" s="881"/>
      <c r="R37" s="395"/>
      <c r="U37" s="1323" t="str">
        <f>+Juin!AU7</f>
        <v>A</v>
      </c>
      <c r="V37" s="1323"/>
      <c r="W37" s="2482" t="str">
        <f>Juin!BS31</f>
        <v>Semaine numéro : 25</v>
      </c>
      <c r="X37" s="2482"/>
      <c r="Y37" s="2482"/>
      <c r="Z37" s="1345"/>
      <c r="AA37" s="1338">
        <f t="shared" si="46"/>
        <v>0</v>
      </c>
      <c r="AB37" s="1338">
        <f t="shared" si="44"/>
        <v>0</v>
      </c>
      <c r="AC37" s="1344">
        <f>+SUMIF(Juin!$BK$20:$BK$50,Juin!AT7,$D$18:$D$48)</f>
        <v>0</v>
      </c>
      <c r="AD37" s="1344">
        <f>+SUMIF(Mai!$BK$20:$BK$50,Juin!AT7,'Retenue Mai'!$D$18:$D$48)</f>
        <v>0</v>
      </c>
      <c r="AE37" s="1344">
        <f>+SUMIF(Juillet!$BK$20:$BK$50,Juin!AT7,'Retenue Juil'!$D$18:$D$48)</f>
        <v>0</v>
      </c>
      <c r="AF37" s="1338">
        <f t="shared" si="45"/>
        <v>0</v>
      </c>
      <c r="AK37" s="1211"/>
      <c r="AL37" s="2494" t="s">
        <v>334</v>
      </c>
      <c r="AM37" s="2494" t="s">
        <v>335</v>
      </c>
      <c r="AN37" s="2495" t="s">
        <v>336</v>
      </c>
      <c r="AO37" s="2494" t="s">
        <v>337</v>
      </c>
      <c r="AP37" s="2494" t="s">
        <v>357</v>
      </c>
      <c r="AQ37" s="2494" t="s">
        <v>358</v>
      </c>
      <c r="BA37" s="349" t="str">
        <f t="shared" si="16"/>
        <v>Fiche infoA5</v>
      </c>
      <c r="BB37" s="107">
        <f t="shared" si="31"/>
        <v>45828</v>
      </c>
      <c r="BC37" s="172">
        <f>+$D$13+19</f>
        <v>45828</v>
      </c>
      <c r="BD37" s="173" t="str">
        <f t="shared" si="32"/>
        <v/>
      </c>
      <c r="BE37" s="173" t="str">
        <f>+IF(OR(BF37=S.CAL!$BJ$3,BF37=S.CAL!$BJ$4),BD37,"")</f>
        <v/>
      </c>
      <c r="BF37" s="351">
        <f>IF($DY$5=S.CAL!$CU$2,Juin!AR39,IF($DY$5=S.CAL!$CU$3,VLOOKUP(BC37,planning_fp,7,FALSE),""))</f>
        <v>0</v>
      </c>
      <c r="BG37" s="363" t="str">
        <f>Juin!BL39</f>
        <v>A</v>
      </c>
      <c r="BH37" s="373"/>
      <c r="BI37" s="373"/>
      <c r="BJ37" s="373"/>
      <c r="BK37" s="373"/>
      <c r="BL37" s="35"/>
      <c r="BO37" s="29"/>
      <c r="BP37" s="34"/>
      <c r="BS37" s="191"/>
      <c r="BT37" s="191"/>
      <c r="BV37" s="373"/>
      <c r="BW37" s="373"/>
      <c r="BX37" s="373"/>
      <c r="BY37" s="373"/>
      <c r="BZ37" s="373"/>
      <c r="CA37" s="373"/>
      <c r="CB37" s="373"/>
      <c r="CD37" s="346"/>
      <c r="CE37" s="107">
        <f t="shared" si="33"/>
        <v>45828</v>
      </c>
      <c r="CF37" s="172">
        <f>+$D$13+19</f>
        <v>45828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45828</v>
      </c>
      <c r="EM37" s="16" t="str">
        <f t="shared" si="29"/>
        <v>Fiche infoA545828</v>
      </c>
      <c r="EN37" s="16">
        <f t="shared" si="20"/>
        <v>0</v>
      </c>
      <c r="EQ37" s="16" t="str">
        <f>Juin!FS39</f>
        <v/>
      </c>
    </row>
    <row r="38" spans="1:147" ht="18" customHeight="1" x14ac:dyDescent="0.2">
      <c r="A38" s="24" t="str">
        <f>+Juin!BJ40</f>
        <v>Fiche infoA6</v>
      </c>
      <c r="B38" s="107">
        <f t="shared" si="30"/>
        <v>45829</v>
      </c>
      <c r="C38" s="172">
        <f>+$D$13+20</f>
        <v>45829</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Juin!BC40</f>
        <v>0</v>
      </c>
      <c r="J38" s="34">
        <f>Juin!BE40</f>
        <v>0</v>
      </c>
      <c r="K38" s="34">
        <f t="shared" si="15"/>
        <v>0</v>
      </c>
      <c r="L38" s="34" t="str">
        <f t="shared" si="21"/>
        <v/>
      </c>
      <c r="N38" s="395"/>
      <c r="O38" s="882" t="s">
        <v>1472</v>
      </c>
      <c r="P38" s="882"/>
      <c r="Q38" s="882"/>
      <c r="R38" s="878"/>
      <c r="U38" s="1323" t="str">
        <f>+Juin!AU8</f>
        <v>A</v>
      </c>
      <c r="V38" s="1323"/>
      <c r="W38" s="2482" t="str">
        <f>Juin!BS32</f>
        <v>Semaine numéro : 26</v>
      </c>
      <c r="X38" s="2482"/>
      <c r="Y38" s="2482"/>
      <c r="Z38" s="1345"/>
      <c r="AA38" s="1338">
        <f t="shared" si="46"/>
        <v>0</v>
      </c>
      <c r="AB38" s="1338">
        <f t="shared" si="44"/>
        <v>0</v>
      </c>
      <c r="AC38" s="1344">
        <f>+SUMIF(Juin!$BK$20:$BK$50,Juin!AT8,$D$18:$D$48)</f>
        <v>0</v>
      </c>
      <c r="AD38" s="1344">
        <f>+SUMIF(Mai!$BK$20:$BK$50,Juin!AT8,'Retenue Mai'!$D$18:$D$48)</f>
        <v>0</v>
      </c>
      <c r="AE38" s="1344">
        <f>+SUMIF(Juillet!$BK$20:$BK$50,Juin!AT8,'Retenue Juil'!$D$18:$D$48)</f>
        <v>0</v>
      </c>
      <c r="AF38" s="1338">
        <f t="shared" si="45"/>
        <v>0</v>
      </c>
      <c r="AL38" s="2494"/>
      <c r="AM38" s="2494"/>
      <c r="AN38" s="2495"/>
      <c r="AO38" s="2494"/>
      <c r="AP38" s="2494"/>
      <c r="AQ38" s="2494"/>
      <c r="BA38" s="349" t="str">
        <f t="shared" si="16"/>
        <v>Fiche infoA6</v>
      </c>
      <c r="BB38" s="107">
        <f t="shared" si="31"/>
        <v>45829</v>
      </c>
      <c r="BC38" s="172">
        <f>+$D$13+20</f>
        <v>45829</v>
      </c>
      <c r="BD38" s="173" t="str">
        <f t="shared" si="32"/>
        <v/>
      </c>
      <c r="BE38" s="173" t="str">
        <f>+IF(OR(BF38=S.CAL!$BJ$3,BF38=S.CAL!$BJ$4),BD38,"")</f>
        <v/>
      </c>
      <c r="BF38" s="351">
        <f>IF($DY$5=S.CAL!$CU$2,Juin!AR40,IF($DY$5=S.CAL!$CU$3,VLOOKUP(BC38,planning_fp,7,FALSE),""))</f>
        <v>0</v>
      </c>
      <c r="BG38" s="363" t="str">
        <f>Juin!BL40</f>
        <v>A</v>
      </c>
      <c r="BH38" s="373"/>
      <c r="BI38" s="373"/>
      <c r="BJ38" s="373"/>
      <c r="BK38" s="373"/>
      <c r="BL38" s="35"/>
      <c r="BO38" s="29"/>
      <c r="BP38" s="34"/>
      <c r="BS38" s="191"/>
      <c r="BT38" s="191"/>
      <c r="BV38" s="373"/>
      <c r="BW38" s="373"/>
      <c r="BX38" s="373"/>
      <c r="BY38" s="373"/>
      <c r="BZ38" s="373"/>
      <c r="CA38" s="373"/>
      <c r="CB38" s="373"/>
      <c r="CD38" s="346"/>
      <c r="CE38" s="107">
        <f t="shared" si="33"/>
        <v>45829</v>
      </c>
      <c r="CF38" s="172">
        <f>+$D$13+20</f>
        <v>45829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45829</v>
      </c>
      <c r="EM38" s="16" t="str">
        <f t="shared" si="29"/>
        <v>Fiche infoA645829</v>
      </c>
      <c r="EN38" s="16">
        <f t="shared" si="20"/>
        <v>0</v>
      </c>
      <c r="EQ38" s="16" t="str">
        <f>Juin!FS40</f>
        <v/>
      </c>
    </row>
    <row r="39" spans="1:147" ht="18" customHeight="1" x14ac:dyDescent="0.2">
      <c r="A39" s="24" t="str">
        <f>+Juin!BJ41</f>
        <v>Fiche infoA7</v>
      </c>
      <c r="B39" s="107">
        <f t="shared" si="30"/>
        <v>45830</v>
      </c>
      <c r="C39" s="172">
        <f>+$D$13+21</f>
        <v>45830</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Juin!BC41</f>
        <v>0</v>
      </c>
      <c r="J39" s="34">
        <f>Juin!BE41</f>
        <v>0</v>
      </c>
      <c r="K39" s="34">
        <f t="shared" si="15"/>
        <v>0</v>
      </c>
      <c r="L39" s="34" t="str">
        <f t="shared" si="21"/>
        <v/>
      </c>
      <c r="N39" s="395"/>
      <c r="O39" s="486"/>
      <c r="P39" s="487" t="str">
        <f>+E10&amp;" / ( "&amp;E10&amp;" + "&amp;E11&amp;" ) ="</f>
        <v>0 / ( 0 + 0 ) =</v>
      </c>
      <c r="Q39" s="486" t="e">
        <f>ROUND(+E10/(E11+E10),6)</f>
        <v>#DIV/0!</v>
      </c>
      <c r="R39" s="395"/>
      <c r="U39" s="1323" t="str">
        <f>+Juin!AU9</f>
        <v>A</v>
      </c>
      <c r="V39" s="1323"/>
      <c r="W39" s="2482" t="str">
        <f>Juin!BS33</f>
        <v>Semaine numéro : 27</v>
      </c>
      <c r="X39" s="2482"/>
      <c r="Y39" s="2482"/>
      <c r="Z39" s="1345"/>
      <c r="AA39" s="1338">
        <f t="shared" si="46"/>
        <v>0</v>
      </c>
      <c r="AB39" s="1338">
        <f t="shared" si="44"/>
        <v>0</v>
      </c>
      <c r="AC39" s="1344">
        <f>+SUMIF(Juin!$BK$20:$BK$50,Juin!AT9,$D$18:$D$48)</f>
        <v>0</v>
      </c>
      <c r="AD39" s="1344">
        <f>+SUMIF(Mai!$BK$20:$BK$50,Juin!AT9,'Retenue Mai'!$D$18:$D$48)</f>
        <v>0</v>
      </c>
      <c r="AE39" s="1344">
        <f>+SUMIF(Juillet!$BK$20:$BK$50,Juin!AT9,'Retenue Juil'!$D$18:$D$48)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infoA7</v>
      </c>
      <c r="BB39" s="107">
        <f t="shared" si="31"/>
        <v>45830</v>
      </c>
      <c r="BC39" s="172">
        <f>+$D$13+21</f>
        <v>45830</v>
      </c>
      <c r="BD39" s="173" t="str">
        <f t="shared" si="32"/>
        <v/>
      </c>
      <c r="BE39" s="173" t="str">
        <f>+IF(OR(BF39=S.CAL!$BJ$3,BF39=S.CAL!$BJ$4),BD39,"")</f>
        <v/>
      </c>
      <c r="BF39" s="351">
        <f>IF($DY$5=S.CAL!$CU$2,Juin!AR41,IF($DY$5=S.CAL!$CU$3,VLOOKUP(BC39,planning_fp,7,FALSE),""))</f>
        <v>0</v>
      </c>
      <c r="BG39" s="363" t="str">
        <f>Juin!BL41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45830</v>
      </c>
      <c r="CF39" s="172">
        <f>+$D$13+21</f>
        <v>45830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45830</v>
      </c>
      <c r="EM39" s="16" t="str">
        <f t="shared" si="29"/>
        <v>Fiche infoA745830</v>
      </c>
      <c r="EN39" s="16">
        <f t="shared" si="20"/>
        <v>0</v>
      </c>
      <c r="EQ39" s="16" t="str">
        <f>Juin!FS41</f>
        <v/>
      </c>
    </row>
    <row r="40" spans="1:147" ht="18" customHeight="1" x14ac:dyDescent="0.2">
      <c r="A40" s="24" t="str">
        <f>+Juin!BJ42</f>
        <v>Fiche infoA1</v>
      </c>
      <c r="B40" s="107">
        <f t="shared" si="30"/>
        <v>45831</v>
      </c>
      <c r="C40" s="172">
        <f>+$D$13+22</f>
        <v>45831</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Juin!BC42</f>
        <v>0</v>
      </c>
      <c r="J40" s="34">
        <f>Juin!BE42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infoA1</v>
      </c>
      <c r="BB40" s="107">
        <f t="shared" si="31"/>
        <v>45831</v>
      </c>
      <c r="BC40" s="172">
        <f>+$D$13+22</f>
        <v>45831</v>
      </c>
      <c r="BD40" s="173" t="str">
        <f t="shared" si="32"/>
        <v/>
      </c>
      <c r="BE40" s="173" t="str">
        <f>+IF(OR(BF40=S.CAL!$BJ$3,BF40=S.CAL!$BJ$4),BD40,"")</f>
        <v/>
      </c>
      <c r="BF40" s="351">
        <f>IF($DY$5=S.CAL!$CU$2,Juin!AR42,IF($DY$5=S.CAL!$CU$3,VLOOKUP(BC40,planning_fp,7,FALSE),""))</f>
        <v>0</v>
      </c>
      <c r="BG40" s="363" t="str">
        <f>Juin!BL42</f>
        <v>A</v>
      </c>
      <c r="BH40" s="373"/>
      <c r="BI40" s="373"/>
      <c r="BJ40" s="373"/>
      <c r="BK40" s="373"/>
      <c r="BL40" s="35"/>
      <c r="BN40" s="19"/>
      <c r="BO40" s="39"/>
      <c r="BP40" s="196"/>
      <c r="BV40" s="373"/>
      <c r="BW40" s="373"/>
      <c r="BX40" s="390"/>
      <c r="BY40" s="373"/>
      <c r="BZ40" s="373"/>
      <c r="CA40" s="373"/>
      <c r="CB40" s="373"/>
      <c r="CD40" s="346"/>
      <c r="CE40" s="107">
        <f t="shared" si="33"/>
        <v>45831</v>
      </c>
      <c r="CF40" s="172">
        <f>+$D$13+22</f>
        <v>45831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45831</v>
      </c>
      <c r="EM40" s="16" t="str">
        <f t="shared" si="29"/>
        <v>Fiche infoA145831</v>
      </c>
      <c r="EN40" s="16">
        <f t="shared" si="20"/>
        <v>0</v>
      </c>
      <c r="EQ40" s="16" t="str">
        <f>Juin!FS42</f>
        <v/>
      </c>
    </row>
    <row r="41" spans="1:147" ht="18" customHeight="1" x14ac:dyDescent="0.2">
      <c r="A41" s="24" t="str">
        <f>+Juin!BJ43</f>
        <v>Fiche infoA2</v>
      </c>
      <c r="B41" s="107">
        <f t="shared" si="30"/>
        <v>45832</v>
      </c>
      <c r="C41" s="172">
        <f>+$D$13+23</f>
        <v>45832</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Juin!BC43</f>
        <v>0</v>
      </c>
      <c r="J41" s="34">
        <f>Juin!BE43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infoA2</v>
      </c>
      <c r="BB41" s="107">
        <f t="shared" si="31"/>
        <v>45832</v>
      </c>
      <c r="BC41" s="172">
        <f>+$D$13+23</f>
        <v>45832</v>
      </c>
      <c r="BD41" s="173" t="str">
        <f t="shared" si="32"/>
        <v/>
      </c>
      <c r="BE41" s="173" t="str">
        <f>+IF(OR(BF41=S.CAL!$BJ$3,BF41=S.CAL!$BJ$4),BD41,"")</f>
        <v/>
      </c>
      <c r="BF41" s="351">
        <f>IF($DY$5=S.CAL!$CU$2,Juin!AR43,IF($DY$5=S.CAL!$CU$3,VLOOKUP(BC41,planning_fp,7,FALSE),""))</f>
        <v>0</v>
      </c>
      <c r="BG41" s="363" t="str">
        <f>Juin!BL43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45832</v>
      </c>
      <c r="CF41" s="172">
        <f>+$D$13+23</f>
        <v>45832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45832</v>
      </c>
      <c r="EM41" s="16" t="str">
        <f t="shared" si="29"/>
        <v>Fiche infoA245832</v>
      </c>
      <c r="EN41" s="16">
        <f t="shared" si="20"/>
        <v>0</v>
      </c>
      <c r="EQ41" s="16" t="str">
        <f>Juin!FS43</f>
        <v/>
      </c>
    </row>
    <row r="42" spans="1:147" ht="18" customHeight="1" x14ac:dyDescent="0.2">
      <c r="A42" s="24" t="str">
        <f>+Juin!BJ44</f>
        <v>Fiche infoA3</v>
      </c>
      <c r="B42" s="107">
        <f t="shared" si="30"/>
        <v>45833</v>
      </c>
      <c r="C42" s="172">
        <f>+$D$13+24</f>
        <v>45833</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Juin!BC44</f>
        <v>0</v>
      </c>
      <c r="J42" s="34">
        <f>Juin!BE44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infoA3</v>
      </c>
      <c r="BB42" s="107">
        <f t="shared" si="31"/>
        <v>45833</v>
      </c>
      <c r="BC42" s="172">
        <f>+$D$13+24</f>
        <v>45833</v>
      </c>
      <c r="BD42" s="173" t="str">
        <f t="shared" si="32"/>
        <v/>
      </c>
      <c r="BE42" s="173" t="str">
        <f>+IF(OR(BF42=S.CAL!$BJ$3,BF42=S.CAL!$BJ$4),BD42,"")</f>
        <v/>
      </c>
      <c r="BF42" s="351">
        <f>IF($DY$5=S.CAL!$CU$2,Juin!AR44,IF($DY$5=S.CAL!$CU$3,VLOOKUP(BC42,planning_fp,7,FALSE),""))</f>
        <v>0</v>
      </c>
      <c r="BG42" s="363" t="str">
        <f>Juin!BL44</f>
        <v>A</v>
      </c>
      <c r="BH42" s="374"/>
      <c r="BI42" s="376"/>
      <c r="BJ42" s="373"/>
      <c r="BK42" s="373"/>
      <c r="BL42" s="35"/>
      <c r="BV42" s="373"/>
      <c r="BW42" s="373"/>
      <c r="BX42" s="373"/>
      <c r="BY42" s="373"/>
      <c r="BZ42" s="373"/>
      <c r="CA42" s="373"/>
      <c r="CB42" s="373"/>
      <c r="CD42" s="346"/>
      <c r="CE42" s="107">
        <f t="shared" si="33"/>
        <v>45833</v>
      </c>
      <c r="CF42" s="172">
        <f>+$D$13+24</f>
        <v>45833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45833</v>
      </c>
      <c r="EM42" s="16" t="str">
        <f t="shared" si="29"/>
        <v>Fiche infoA345833</v>
      </c>
      <c r="EN42" s="16">
        <f t="shared" si="20"/>
        <v>0</v>
      </c>
      <c r="EQ42" s="16" t="str">
        <f>Juin!FS44</f>
        <v/>
      </c>
    </row>
    <row r="43" spans="1:147" ht="18" customHeight="1" x14ac:dyDescent="0.2">
      <c r="A43" s="24" t="str">
        <f>+Juin!BJ45</f>
        <v>Fiche infoA4</v>
      </c>
      <c r="B43" s="107">
        <f t="shared" si="30"/>
        <v>45834</v>
      </c>
      <c r="C43" s="172">
        <f>+$D$13+25</f>
        <v>45834</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Juin!BC45</f>
        <v>0</v>
      </c>
      <c r="J43" s="34">
        <f>Juin!BE45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infoA4</v>
      </c>
      <c r="BB43" s="107">
        <f t="shared" si="31"/>
        <v>45834</v>
      </c>
      <c r="BC43" s="172">
        <f>+$D$13+25</f>
        <v>45834</v>
      </c>
      <c r="BD43" s="173" t="str">
        <f t="shared" si="32"/>
        <v/>
      </c>
      <c r="BE43" s="173" t="str">
        <f>+IF(OR(BF43=S.CAL!$BJ$3,BF43=S.CAL!$BJ$4),BD43,"")</f>
        <v/>
      </c>
      <c r="BF43" s="351">
        <f>IF($DY$5=S.CAL!$CU$2,Juin!AR45,IF($DY$5=S.CAL!$CU$3,VLOOKUP(BC43,planning_fp,7,FALSE),""))</f>
        <v>0</v>
      </c>
      <c r="BG43" s="363" t="str">
        <f>Juin!BL45</f>
        <v>A</v>
      </c>
      <c r="BH43" s="24"/>
      <c r="BI43" s="24" t="s">
        <v>708</v>
      </c>
      <c r="BJ43" s="24"/>
      <c r="BK43" s="373"/>
      <c r="BL43" s="35"/>
      <c r="BV43" s="373"/>
      <c r="BW43" s="373"/>
      <c r="BX43" s="373"/>
      <c r="BY43" s="373"/>
      <c r="BZ43" s="373"/>
      <c r="CA43" s="373"/>
      <c r="CB43" s="373"/>
      <c r="CD43" s="346"/>
      <c r="CE43" s="107">
        <f t="shared" si="33"/>
        <v>45834</v>
      </c>
      <c r="CF43" s="172">
        <f>+$D$13+25</f>
        <v>45834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45834</v>
      </c>
      <c r="EM43" s="16" t="str">
        <f t="shared" si="29"/>
        <v>Fiche infoA445834</v>
      </c>
      <c r="EN43" s="16">
        <f t="shared" si="20"/>
        <v>0</v>
      </c>
      <c r="EQ43" s="16" t="str">
        <f>Juin!FS45</f>
        <v/>
      </c>
    </row>
    <row r="44" spans="1:147" ht="18" customHeight="1" x14ac:dyDescent="0.25">
      <c r="A44" s="24" t="str">
        <f>+Juin!BJ46</f>
        <v>Fiche infoA5</v>
      </c>
      <c r="B44" s="107">
        <f t="shared" si="30"/>
        <v>45835</v>
      </c>
      <c r="C44" s="172">
        <f>+$D$13+26</f>
        <v>45835</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Juin!BC46</f>
        <v>0</v>
      </c>
      <c r="J44" s="34">
        <f>Juin!BE46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infoA5</v>
      </c>
      <c r="BB44" s="107">
        <f t="shared" si="31"/>
        <v>45835</v>
      </c>
      <c r="BC44" s="172">
        <f>+$D$13+26</f>
        <v>45835</v>
      </c>
      <c r="BD44" s="173" t="str">
        <f t="shared" si="32"/>
        <v/>
      </c>
      <c r="BE44" s="173" t="str">
        <f>+IF(OR(BF44=S.CAL!$BJ$3,BF44=S.CAL!$BJ$4),BD44,"")</f>
        <v/>
      </c>
      <c r="BF44" s="351">
        <f>IF($DY$5=S.CAL!$CU$2,Juin!AR46,IF($DY$5=S.CAL!$CU$3,VLOOKUP(BC44,planning_fp,7,FALSE),""))</f>
        <v>0</v>
      </c>
      <c r="BG44" s="363" t="str">
        <f>Juin!BL46</f>
        <v>A</v>
      </c>
      <c r="BH44" s="24" t="s">
        <v>800</v>
      </c>
      <c r="BI44" s="24"/>
      <c r="BJ44" s="24"/>
      <c r="BK44" s="373"/>
      <c r="BL44" s="35"/>
      <c r="BV44" s="373"/>
      <c r="BW44" s="373"/>
      <c r="BX44" s="373"/>
      <c r="BY44" s="373"/>
      <c r="BZ44" s="373"/>
      <c r="CA44" s="373"/>
      <c r="CB44" s="373"/>
      <c r="CD44" s="346"/>
      <c r="CE44" s="107">
        <f t="shared" si="33"/>
        <v>45835</v>
      </c>
      <c r="CF44" s="172">
        <f>+$D$13+26</f>
        <v>45835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45835</v>
      </c>
      <c r="EM44" s="16" t="str">
        <f t="shared" si="29"/>
        <v>Fiche infoA545835</v>
      </c>
      <c r="EN44" s="16">
        <f t="shared" si="20"/>
        <v>0</v>
      </c>
      <c r="EQ44" s="16" t="str">
        <f>Juin!FS46</f>
        <v/>
      </c>
    </row>
    <row r="45" spans="1:147" ht="18" customHeight="1" x14ac:dyDescent="0.2">
      <c r="A45" s="24" t="str">
        <f>+Juin!BJ47</f>
        <v>Fiche infoA6</v>
      </c>
      <c r="B45" s="107">
        <f t="shared" si="30"/>
        <v>45836</v>
      </c>
      <c r="C45" s="172">
        <f>IF(C$18+27&lt;DATE(YEAR(O$13),MONTH(O$13),DAY(O$13)),C$18+27,"")</f>
        <v>45836</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Juin!BC47</f>
        <v>0</v>
      </c>
      <c r="J45" s="34">
        <f>Juin!BE47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infoA6</v>
      </c>
      <c r="BB45" s="107">
        <f t="shared" si="31"/>
        <v>45836</v>
      </c>
      <c r="BC45" s="172">
        <f>IF(BC$18+27&lt;DATE(YEAR(BH$13),MONTH(BH$13),DAY(BH$13)),BC$18+27,"")</f>
        <v>45836</v>
      </c>
      <c r="BD45" s="173" t="str">
        <f t="shared" si="32"/>
        <v/>
      </c>
      <c r="BE45" s="173" t="str">
        <f>+IF(OR(BF45=S.CAL!$BJ$3,BF45=S.CAL!$BJ$4),BD45,"")</f>
        <v/>
      </c>
      <c r="BF45" s="351">
        <f>IF($DY$5=S.CAL!$CU$2,Juin!AR47,IF($DY$5=S.CAL!$CU$3,VLOOKUP(BC45,planning_fp,7,FALSE),""))</f>
        <v>0</v>
      </c>
      <c r="BG45" s="363" t="str">
        <f>Juin!BL47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45836</v>
      </c>
      <c r="CF45" s="172">
        <f>IF(CF$18+27&lt;DATE(YEAR(CQ$13),MONTH(CQ$13),DAY(CQ$13)),CF$18+27,"")</f>
        <v>45836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45836</v>
      </c>
      <c r="EM45" s="16" t="str">
        <f t="shared" si="29"/>
        <v>Fiche infoA645836</v>
      </c>
      <c r="EN45" s="16">
        <f t="shared" si="20"/>
        <v>0</v>
      </c>
      <c r="EQ45" s="16" t="str">
        <f>Juin!FS47</f>
        <v/>
      </c>
    </row>
    <row r="46" spans="1:147" ht="18" customHeight="1" x14ac:dyDescent="0.2">
      <c r="A46" s="24" t="str">
        <f>+Juin!BJ48</f>
        <v>Fiche infoA7</v>
      </c>
      <c r="B46" s="107">
        <f t="shared" si="30"/>
        <v>45837</v>
      </c>
      <c r="C46" s="172">
        <f>IF(C$18+28&lt;DATE(YEAR(O$13),MONTH(O$13),DAY(O$13)),C$18+28,"")</f>
        <v>45837</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Juin!BC48</f>
        <v>0</v>
      </c>
      <c r="J46" s="34">
        <f>Juin!BE48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infoA7</v>
      </c>
      <c r="BB46" s="107">
        <f t="shared" si="31"/>
        <v>45837</v>
      </c>
      <c r="BC46" s="172">
        <f>IF(BC$18+28&lt;DATE(YEAR(BH$13),MONTH(BH$13),DAY(BH$13)),BC$18+28,"")</f>
        <v>45837</v>
      </c>
      <c r="BD46" s="173" t="str">
        <f t="shared" si="32"/>
        <v/>
      </c>
      <c r="BE46" s="173" t="str">
        <f>+IF(OR(BF46=S.CAL!$BJ$3,BF46=S.CAL!$BJ$4),BD46,"")</f>
        <v/>
      </c>
      <c r="BF46" s="351">
        <f>IF($DY$5=S.CAL!$CU$2,Juin!AR48,IF($DY$5=S.CAL!$CU$3,VLOOKUP(BC46,planning_fp,7,FALSE),""))</f>
        <v>0</v>
      </c>
      <c r="BG46" s="363" t="str">
        <f>Juin!BL48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45837</v>
      </c>
      <c r="CF46" s="172">
        <f>IF(CF$18+28&lt;DATE(YEAR(CQ$13),MONTH(CQ$13),DAY(CQ$13)),CF$18+28,"")</f>
        <v>45837</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45837</v>
      </c>
      <c r="EM46" s="16" t="str">
        <f t="shared" si="29"/>
        <v>Fiche infoA745837</v>
      </c>
      <c r="EN46" s="16">
        <f t="shared" si="20"/>
        <v>0</v>
      </c>
      <c r="EQ46" s="16" t="str">
        <f>Juin!FS48</f>
        <v/>
      </c>
    </row>
    <row r="47" spans="1:147" ht="18" customHeight="1" x14ac:dyDescent="0.2">
      <c r="A47" s="24" t="str">
        <f>+Juin!BJ49</f>
        <v>Fiche infoA1</v>
      </c>
      <c r="B47" s="107">
        <f t="shared" si="30"/>
        <v>45838</v>
      </c>
      <c r="C47" s="172">
        <f>IF(C$18+29&lt;DATE(YEAR(O$13),MONTH(O$13),DAY(O$13)),C$18+29,"")</f>
        <v>45838</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Juin!BC49</f>
        <v>0</v>
      </c>
      <c r="J47" s="34">
        <f>Juin!BE49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2">SUM(AP39:AP46)</f>
        <v>0</v>
      </c>
      <c r="AQ47" s="1224">
        <f t="shared" si="52"/>
        <v>0</v>
      </c>
      <c r="BA47" s="349" t="str">
        <f t="shared" si="16"/>
        <v>Fiche infoA1</v>
      </c>
      <c r="BB47" s="107">
        <f t="shared" si="31"/>
        <v>45838</v>
      </c>
      <c r="BC47" s="172">
        <f>IF(BC$18+29&lt;DATE(YEAR(BH$13),MONTH(BH$13),DAY(BH$13)),BC$18+29,"")</f>
        <v>45838</v>
      </c>
      <c r="BD47" s="173" t="str">
        <f t="shared" si="32"/>
        <v/>
      </c>
      <c r="BE47" s="173" t="str">
        <f>+IF(OR(BF47=S.CAL!$BJ$3,BF47=S.CAL!$BJ$4),BD47,"")</f>
        <v/>
      </c>
      <c r="BF47" s="351">
        <f>IF($DY$5=S.CAL!$CU$2,Juin!AR49,IF($DY$5=S.CAL!$CU$3,VLOOKUP(BC47,planning_fp,7,FALSE),""))</f>
        <v>0</v>
      </c>
      <c r="BG47" s="363" t="str">
        <f>Juin!BL49</f>
        <v>A</v>
      </c>
      <c r="BH47" s="373"/>
      <c r="BI47" s="373"/>
      <c r="BJ47" s="373"/>
      <c r="BK47" s="373"/>
      <c r="BL47" s="35"/>
      <c r="BV47" s="373"/>
      <c r="BW47" s="373"/>
      <c r="BX47" s="373"/>
      <c r="BY47" s="373"/>
      <c r="BZ47" s="373"/>
      <c r="CA47" s="373"/>
      <c r="CB47" s="373"/>
      <c r="CD47" s="346"/>
      <c r="CE47" s="107">
        <f t="shared" si="33"/>
        <v>45838</v>
      </c>
      <c r="CF47" s="172">
        <f>IF(CF$18+29&lt;DATE(YEAR(CQ$13),MONTH(CQ$13),DAY(CQ$13)),CF$18+29,"")</f>
        <v>45838</v>
      </c>
      <c r="CG47" s="173">
        <f t="shared" si="22"/>
        <v>0</v>
      </c>
      <c r="CH47" s="34"/>
      <c r="CI47" s="129"/>
      <c r="CJ47" s="129"/>
      <c r="CK47" s="595"/>
      <c r="CL47" s="2501"/>
      <c r="CM47" s="2503"/>
      <c r="CN47" s="2084"/>
      <c r="CO47" s="198" t="str">
        <f t="shared" ref="CO47" si="53">AC47</f>
        <v>mois en cours</v>
      </c>
      <c r="CP47" s="198" t="str">
        <f t="shared" ref="CP47" si="54">AD47</f>
        <v>mois avant</v>
      </c>
      <c r="CQ47" s="198" t="str">
        <f t="shared" ref="CQ47" si="55">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45838</v>
      </c>
      <c r="EM47" s="16" t="str">
        <f t="shared" si="29"/>
        <v>Fiche infoA145838</v>
      </c>
      <c r="EN47" s="16">
        <f t="shared" si="20"/>
        <v>0</v>
      </c>
      <c r="EQ47" s="16" t="str">
        <f>Juin!FS49</f>
        <v/>
      </c>
    </row>
    <row r="48" spans="1:147" ht="18" customHeight="1" thickBot="1" x14ac:dyDescent="0.25">
      <c r="A48" s="24" t="str">
        <f>+Juin!BJ50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f t="shared" si="14"/>
        <v>0</v>
      </c>
      <c r="I48" s="34">
        <f>Juin!BC50</f>
        <v>0</v>
      </c>
      <c r="J48" s="34">
        <f>Juin!BE50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6">W34</f>
        <v>Semaine numéro : 22</v>
      </c>
      <c r="X48" s="2482"/>
      <c r="Y48" s="2482"/>
      <c r="Z48" s="1345" t="str">
        <f>+IF(Z34="","",Z34)</f>
        <v/>
      </c>
      <c r="AA48" s="1338">
        <f>+IF(Z48="",IF(AND(AD48&gt;0,AC48&gt;0),AD48+AC48,IF(AE48&gt;0,0,AC48)),Z48)</f>
        <v>0</v>
      </c>
      <c r="AB48" s="1338">
        <f>IF(AA48&gt;45,AA48-45,0)</f>
        <v>0</v>
      </c>
      <c r="AC48" s="1344">
        <f>+SUMIF(Juin!$BK$20:$BK$50,Juin!AT4,$D$18:$D$48)-SUMIF(Juin!$BK$20:$BK$50,Juin!AT4,$E$18:$E$48)</f>
        <v>0</v>
      </c>
      <c r="AD48" s="1344">
        <f>+SUMIF(Mai!$BK$20:$BK$50,Juin!AT4,'Retenue Mai'!$D$18:$D$48)-SUMIF(Mai!$BK$20:$BK$50,Juin!AT4,'Retenue Mai'!$E$18:$E$48)</f>
        <v>0</v>
      </c>
      <c r="AE48" s="1344">
        <f>+SUMIF(Juillet!$BK$20:$BK$50,Juin!AT4,'Retenue Juil'!$D$18:$D$48)-SUMIF(Juillet!$BK$20:$BK$50,Juin!AT4,'Retenue Juil'!$E$18:$E$48)</f>
        <v>0</v>
      </c>
      <c r="AF48" s="1338">
        <f>+AC48-AB48</f>
        <v>0</v>
      </c>
      <c r="AK48" s="1211"/>
      <c r="AL48" s="1224"/>
      <c r="AO48" s="1224">
        <f>+AN39*AL26</f>
        <v>0</v>
      </c>
      <c r="AP48" s="1224">
        <f>+AO48*(1-AX21)</f>
        <v>0</v>
      </c>
      <c r="AQ48" s="1224">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IF($DY$5=S.CAL!$CU$2,Juin!AR50,IF($DY$5=S.CAL!$CU$3,VLOOKUP(BC48,planning_fp,7,FALSE),""))</f>
        <v>0</v>
      </c>
      <c r="BG48" s="364" t="str">
        <f>Juin!BL50</f>
        <v>A</v>
      </c>
      <c r="BH48" s="374"/>
      <c r="BI48" s="373"/>
      <c r="BJ48" s="373"/>
      <c r="BK48" s="373"/>
      <c r="BL48" s="35"/>
      <c r="BQ48" s="16" t="s">
        <v>846</v>
      </c>
      <c r="BV48" s="373"/>
      <c r="BW48" s="373"/>
      <c r="BX48" s="373" t="s">
        <v>846</v>
      </c>
      <c r="BZ48" s="373"/>
      <c r="CA48" s="373"/>
      <c r="CB48" s="373"/>
      <c r="CD48" s="346"/>
      <c r="CE48" s="110" t="str">
        <f t="shared" si="33"/>
        <v/>
      </c>
      <c r="CF48" s="192" t="str">
        <f>IF(CF$18+30&lt;DATE(YEAR(CQ$13),MONTH(CQ$13),DAY(CQ$13)),CF$18+30,"")</f>
        <v/>
      </c>
      <c r="CG48" s="193">
        <f t="shared" si="22"/>
        <v>0</v>
      </c>
      <c r="CH48" s="34"/>
      <c r="CI48" s="2491" t="str">
        <f t="shared" ref="CI48:CI53" si="57">W48</f>
        <v>Semaine numéro : 22</v>
      </c>
      <c r="CJ48" s="2492"/>
      <c r="CK48" s="2493"/>
      <c r="CL48" s="893" t="str">
        <f>+IF(CL34="","",CL34)</f>
        <v/>
      </c>
      <c r="CM48" s="674">
        <f>+IF(CL48="",IF(AND(CP48&gt;0,CO48&gt;0),CP48+CO48,IF(CQ48&gt;0,0,CO48)),CL48)</f>
        <v>0</v>
      </c>
      <c r="CN48" s="673">
        <f>IF(CM48&gt;45,CM48-45,0)</f>
        <v>0</v>
      </c>
      <c r="CO48" s="198">
        <f>+SUMIF(Juin!$BK$20:$BK$50,Juin!AT4,$CG$18:$CG$48)</f>
        <v>0</v>
      </c>
      <c r="CP48" s="198">
        <f>+SUMIF(Mai!$BK$20:$BK$50,Juin!AT4,'Retenue Mai'!$CG$18:$CG$48)</f>
        <v>0</v>
      </c>
      <c r="CQ48" s="198">
        <f>+SUMIF(Juillet!$BK$20:$BK$50,Juin!AT4,'Retenue Juil'!$CG$18:$CG$48)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47"/>
      <c r="U49" s="1323"/>
      <c r="V49" s="1323"/>
      <c r="W49" s="2482" t="str">
        <f t="shared" si="56"/>
        <v>Semaine numéro : 23</v>
      </c>
      <c r="X49" s="2482"/>
      <c r="Y49" s="2482"/>
      <c r="Z49" s="1345" t="str">
        <f t="shared" ref="Z49:Z53" si="58">+IF(Z35="","",Z35)</f>
        <v/>
      </c>
      <c r="AA49" s="1338">
        <f t="shared" ref="AA49:AA53" si="59">+IF(Z49="",IF(AND(AD49&gt;0,AC49&gt;0),AD49+AC49,IF(AE49&gt;0,0,AC49)),Z49)</f>
        <v>0</v>
      </c>
      <c r="AB49" s="1338">
        <f t="shared" ref="AB49:AB53" si="60">IF(AA49&gt;45,AA49-45,0)</f>
        <v>0</v>
      </c>
      <c r="AC49" s="1344">
        <f>+SUMIF(Juin!$BK$20:$BK$50,Juin!AT5,$D$18:$D$48)-SUMIF(Juin!$BK$20:$BK$50,Juin!AT5,$E$18:$E$48)</f>
        <v>0</v>
      </c>
      <c r="AD49" s="1344">
        <f>+SUMIF(Mai!$BK$20:$BK$50,Juin!AT5,'Retenue Mai'!$D$18:$D$48)-SUMIF(Mai!$BK$20:$BK$50,Juin!AT5,'Retenue Mai'!$E$18:$E$48)</f>
        <v>0</v>
      </c>
      <c r="AE49" s="1344">
        <f>+SUMIF(Juillet!$BK$20:$BK$50,Juin!AT5,'Retenue Juil'!$D$18:$D$48)-SUMIF(Juillet!$BK$20:$BK$50,Juin!AT5,'Retenue Juil'!$E$18:$E$48)</f>
        <v>0</v>
      </c>
      <c r="AF49" s="1338">
        <f t="shared" ref="AF49:AF53" si="61">+AC49-AB49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7"/>
        <v>Semaine numéro : 23</v>
      </c>
      <c r="CJ49" s="2492"/>
      <c r="CK49" s="2493"/>
      <c r="CL49" s="893" t="str">
        <f t="shared" ref="CL49:CL53" si="62">+IF(CL35="","",CL35)</f>
        <v/>
      </c>
      <c r="CM49" s="674">
        <f t="shared" ref="CM49:CM53" si="63">+IF(CL49="",IF(AND(CP49&gt;0,CO49&gt;0),CP49+CO49,IF(CQ49&gt;0,0,CO49)),CL49)</f>
        <v>0</v>
      </c>
      <c r="CN49" s="673">
        <f t="shared" ref="CN49:CN53" si="64">IF(CM49&gt;45,CM49-45,0)</f>
        <v>0</v>
      </c>
      <c r="CO49" s="198">
        <f>+SUMIF(Juin!$BK$20:$BK$50,Juin!AT5,$CG$18:$CG$48)</f>
        <v>0</v>
      </c>
      <c r="CP49" s="198">
        <f>+SUMIF(Mai!$BK$20:$BK$50,Juin!AT5,'Retenue Mai'!$CG$18:$CG$48)</f>
        <v>0</v>
      </c>
      <c r="CQ49" s="198">
        <f>+SUMIF(Juillet!$BK$20:$BK$50,Juin!AT5,'Retenue Juil'!$CG$18:$CG$48)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6"/>
        <v>Semaine numéro : 24</v>
      </c>
      <c r="X50" s="2482"/>
      <c r="Y50" s="2482"/>
      <c r="Z50" s="1345" t="str">
        <f t="shared" si="58"/>
        <v/>
      </c>
      <c r="AA50" s="1338">
        <f t="shared" si="59"/>
        <v>0</v>
      </c>
      <c r="AB50" s="1338">
        <f t="shared" si="60"/>
        <v>0</v>
      </c>
      <c r="AC50" s="1344">
        <f>+SUMIF(Juin!$BK$20:$BK$50,Juin!AT6,$D$18:$D$48)-SUMIF(Juin!$BK$20:$BK$50,Juin!AT6,$E$18:$E$48)</f>
        <v>0</v>
      </c>
      <c r="AD50" s="1344">
        <f>+SUMIF(Mai!$BK$20:$BK$50,Juin!AT6,'Retenue Mai'!$D$18:$D$48)-SUMIF(Mai!$BK$20:$BK$50,Juin!AT6,'Retenue Mai'!$E$18:$E$48)</f>
        <v>0</v>
      </c>
      <c r="AE50" s="1344">
        <f>+SUMIF(Juillet!$BK$20:$BK$50,Juin!AT6,'Retenue Juil'!$D$18:$D$48)-SUMIF(Juillet!$BK$20:$BK$50,Juin!AT6,'Retenue Juil'!$E$18:$E$48)</f>
        <v>0</v>
      </c>
      <c r="AF50" s="1338">
        <f t="shared" si="61"/>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7"/>
        <v>Semaine numéro : 24</v>
      </c>
      <c r="CJ50" s="2492"/>
      <c r="CK50" s="2493"/>
      <c r="CL50" s="893" t="str">
        <f t="shared" si="62"/>
        <v/>
      </c>
      <c r="CM50" s="674">
        <f t="shared" si="63"/>
        <v>0</v>
      </c>
      <c r="CN50" s="673">
        <f t="shared" si="64"/>
        <v>0</v>
      </c>
      <c r="CO50" s="198">
        <f>+SUMIF(Juin!$BK$20:$BK$50,Juin!AT6,$CG$18:$CG$48)</f>
        <v>0</v>
      </c>
      <c r="CP50" s="198">
        <f>+SUMIF(Mai!$BK$20:$BK$50,Juin!AT6,'Retenue Mai'!$CG$18:$CG$48)</f>
        <v>0</v>
      </c>
      <c r="CQ50" s="198">
        <f>+SUMIF(Juillet!$BK$20:$BK$50,Juin!AT6,'Retenue Juil'!$CG$18:$CG$48)</f>
        <v>0</v>
      </c>
      <c r="CR50" s="674">
        <f t="shared" si="65"/>
        <v>0</v>
      </c>
    </row>
    <row r="51" spans="2:139" ht="19.5" customHeight="1" thickBot="1" x14ac:dyDescent="0.25">
      <c r="B51" s="24"/>
      <c r="C51" s="24"/>
      <c r="D51" s="183" t="s">
        <v>1225</v>
      </c>
      <c r="E51" s="24">
        <f>+COUNTIF(C18:C48,"&gt;0")-E52</f>
        <v>30</v>
      </c>
      <c r="N51" s="24"/>
      <c r="O51" s="24"/>
      <c r="P51" s="24"/>
      <c r="Q51" s="24"/>
      <c r="R51" s="24"/>
      <c r="S51" s="1349"/>
      <c r="U51" s="1323"/>
      <c r="V51" s="1323"/>
      <c r="W51" s="2482" t="str">
        <f t="shared" si="56"/>
        <v>Semaine numéro : 25</v>
      </c>
      <c r="X51" s="2482"/>
      <c r="Y51" s="2482"/>
      <c r="Z51" s="1345" t="str">
        <f t="shared" si="58"/>
        <v/>
      </c>
      <c r="AA51" s="1338">
        <f t="shared" si="59"/>
        <v>0</v>
      </c>
      <c r="AB51" s="1338">
        <f t="shared" si="60"/>
        <v>0</v>
      </c>
      <c r="AC51" s="1344">
        <f>+SUMIF(Juin!$BK$20:$BK$50,Juin!AT7,$D$18:$D$48)-SUMIF(Juin!$BK$20:$BK$50,Juin!AT7,$E$18:$E$48)</f>
        <v>0</v>
      </c>
      <c r="AD51" s="1344">
        <f>+SUMIF(Mai!$BK$20:$BK$50,Juin!AT7,'Retenue Mai'!$D$18:$D$48)-SUMIF(Mai!$BK$20:$BK$50,Juin!AT7,'Retenue Mai'!$E$18:$E$48)</f>
        <v>0</v>
      </c>
      <c r="AE51" s="1344">
        <f>+SUMIF(Juillet!$BK$20:$BK$50,Juin!AT7,'Retenue Juil'!$D$18:$D$48)-SUMIF(Juillet!$BK$20:$BK$50,Juin!AT7,'Retenue Juil'!$E$18:$E$48)</f>
        <v>0</v>
      </c>
      <c r="AF51" s="1338">
        <f t="shared" si="61"/>
        <v>0</v>
      </c>
      <c r="AG51" s="1349"/>
      <c r="AJ51" s="1326"/>
      <c r="AK51" s="1327"/>
      <c r="AL51" s="1329"/>
      <c r="BA51" s="346"/>
      <c r="BD51" s="369" t="s">
        <v>758</v>
      </c>
      <c r="BE51" s="194">
        <f>+SUMIFS(BE18:BE48,BF18:BF48,S.CAL!BJ3)</f>
        <v>0</v>
      </c>
      <c r="BF51" s="370">
        <f>IF(Juin!AZ90="",+COUNTIF(BF18:BF48,S.CAL!BJ3),Juin!AZ90)</f>
        <v>0</v>
      </c>
      <c r="BL51" s="35"/>
      <c r="CD51" s="346"/>
      <c r="CI51" s="2491" t="str">
        <f t="shared" si="57"/>
        <v>Semaine numéro : 25</v>
      </c>
      <c r="CJ51" s="2492"/>
      <c r="CK51" s="2493"/>
      <c r="CL51" s="893" t="str">
        <f t="shared" si="62"/>
        <v/>
      </c>
      <c r="CM51" s="674">
        <f t="shared" si="63"/>
        <v>0</v>
      </c>
      <c r="CN51" s="673">
        <f t="shared" si="64"/>
        <v>0</v>
      </c>
      <c r="CO51" s="198">
        <f>+SUMIF(Juin!$BK$20:$BK$50,Juin!AT7,$CG$18:$CG$48)</f>
        <v>0</v>
      </c>
      <c r="CP51" s="198">
        <f>+SUMIF(Mai!$BK$20:$BK$50,Juin!AT7,'Retenue Mai'!$CG$18:$CG$48)</f>
        <v>0</v>
      </c>
      <c r="CQ51" s="198">
        <f>+SUMIF(Juillet!$BK$20:$BK$50,Juin!AT7,'Retenue Juil'!$CG$18:$CG$48)</f>
        <v>0</v>
      </c>
      <c r="CR51" s="674">
        <f t="shared" si="65"/>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6"/>
        <v>Semaine numéro : 26</v>
      </c>
      <c r="X52" s="2482"/>
      <c r="Y52" s="2482"/>
      <c r="Z52" s="1345" t="str">
        <f t="shared" si="58"/>
        <v/>
      </c>
      <c r="AA52" s="1338">
        <f t="shared" si="59"/>
        <v>0</v>
      </c>
      <c r="AB52" s="1338">
        <f t="shared" si="60"/>
        <v>0</v>
      </c>
      <c r="AC52" s="1344">
        <f>+SUMIF(Juin!$BK$20:$BK$50,Juin!AT8,$D$18:$D$48)-SUMIF(Juin!$BK$20:$BK$50,Juin!AT8,$E$18:$E$48)</f>
        <v>0</v>
      </c>
      <c r="AD52" s="1344">
        <f>+SUMIF(Mai!$BK$20:$BK$50,Juin!AT8,'Retenue Mai'!$D$18:$D$48)-SUMIF(Mai!$BK$20:$BK$50,Juin!AT8,'Retenue Mai'!$E$18:$E$48)</f>
        <v>0</v>
      </c>
      <c r="AE52" s="1344">
        <f>+SUMIF(Juillet!$BK$20:$BK$50,Juin!AT8,'Retenue Juil'!$D$18:$D$48)-SUMIF(Juillet!$BK$20:$BK$50,Juin!AT8,'Retenue Juil'!$E$18:$E$48)</f>
        <v>0</v>
      </c>
      <c r="AF52" s="1338">
        <f t="shared" si="61"/>
        <v>0</v>
      </c>
      <c r="AO52" s="1211" t="s">
        <v>1126</v>
      </c>
      <c r="AP52" s="1348">
        <f>IF(AL22,+ROUND((AQ48+SUM(AQ39:AQ46))*AL34/AL22*Q11,2),0)</f>
        <v>0</v>
      </c>
      <c r="BA52" s="346"/>
      <c r="BD52" s="1363" t="s">
        <v>708</v>
      </c>
      <c r="BE52" s="1364">
        <f>+SUMIFS(BE18:BE48,BF18:BF48,S.CAL!BJ4)</f>
        <v>0</v>
      </c>
      <c r="BF52" s="1365">
        <f>IF(Juin!BA90="",+COUNTIF(BF18:BF48,S.CAL!BJ4),Juin!BA90)</f>
        <v>0</v>
      </c>
      <c r="BL52" s="35"/>
      <c r="BU52" s="16" t="s">
        <v>788</v>
      </c>
      <c r="BW52" s="357">
        <f>+BR46+BR49+BZ46+BZ49</f>
        <v>0</v>
      </c>
      <c r="CD52" s="346"/>
      <c r="CI52" s="2491" t="str">
        <f t="shared" si="57"/>
        <v>Semaine numéro : 26</v>
      </c>
      <c r="CJ52" s="2492"/>
      <c r="CK52" s="2493"/>
      <c r="CL52" s="893" t="str">
        <f t="shared" si="62"/>
        <v/>
      </c>
      <c r="CM52" s="674">
        <f t="shared" si="63"/>
        <v>0</v>
      </c>
      <c r="CN52" s="673">
        <f t="shared" si="64"/>
        <v>0</v>
      </c>
      <c r="CO52" s="198">
        <f>+SUMIF(Juin!$BK$20:$BK$50,Juin!AT8,$CG$18:$CG$48)</f>
        <v>0</v>
      </c>
      <c r="CP52" s="198">
        <f>+SUMIF(Mai!$BK$20:$BK$50,Juin!AT8,'Retenue Mai'!$CG$18:$CG$48)</f>
        <v>0</v>
      </c>
      <c r="CQ52" s="198">
        <f>+SUMIF(Juillet!$BK$20:$BK$50,Juin!AT8,'Retenue Juil'!$CG$18:$CG$48)</f>
        <v>0</v>
      </c>
      <c r="CR52" s="674">
        <f t="shared" si="65"/>
        <v>0</v>
      </c>
      <c r="EE52" s="19"/>
      <c r="EF52" s="19"/>
      <c r="EG52" s="19"/>
      <c r="EH52" s="19"/>
      <c r="EI52" s="19"/>
    </row>
    <row r="53" spans="2:139" ht="13.5" thickBot="1" x14ac:dyDescent="0.25">
      <c r="N53" s="24"/>
      <c r="O53" s="24"/>
      <c r="P53" s="24"/>
      <c r="Q53" s="24"/>
      <c r="R53" s="24"/>
      <c r="S53" s="1350"/>
      <c r="U53" s="1323"/>
      <c r="V53" s="1323"/>
      <c r="W53" s="2482" t="str">
        <f t="shared" si="56"/>
        <v>Semaine numéro : 27</v>
      </c>
      <c r="X53" s="2482"/>
      <c r="Y53" s="2482"/>
      <c r="Z53" s="1345" t="str">
        <f t="shared" si="58"/>
        <v/>
      </c>
      <c r="AA53" s="1338">
        <f t="shared" si="59"/>
        <v>0</v>
      </c>
      <c r="AB53" s="1338">
        <f t="shared" si="60"/>
        <v>0</v>
      </c>
      <c r="AC53" s="1344">
        <f>+SUMIF(Juin!$BK$20:$BK$50,Juin!AT9,$D$18:$D$48)-SUMIF(Juin!$BK$20:$BK$50,Juin!AT9,$E$18:$E$48)</f>
        <v>0</v>
      </c>
      <c r="AD53" s="1344">
        <f>+SUMIF(Mai!$BK$20:$BK$50,Juin!AT9,'Retenue Mai'!$D$18:$D$48)-SUMIF(Mai!$BK$20:$BK$50,Juin!AT9,'Retenue Mai'!$E$18:$E$48)</f>
        <v>0</v>
      </c>
      <c r="AE53" s="1344">
        <f>+SUMIF(Juillet!$BK$20:$BK$50,Juin!AT9,'Retenue Juil'!$D$18:$D$48)-SUMIF(Juillet!$BK$20:$BK$50,Juin!AT9,'Retenue Juil'!$E$18:$E$48)</f>
        <v>0</v>
      </c>
      <c r="AF53" s="1338">
        <f t="shared" si="61"/>
        <v>0</v>
      </c>
      <c r="AG53" s="1350"/>
      <c r="BA53" s="346"/>
      <c r="BD53" s="392" t="s">
        <v>722</v>
      </c>
      <c r="BE53" s="394">
        <f>+COUNTIF(BE18:BE48,"&gt;0")</f>
        <v>0</v>
      </c>
      <c r="BF53" s="393"/>
      <c r="BH53" s="443"/>
      <c r="BI53" s="444" t="s">
        <v>701</v>
      </c>
      <c r="BJ53" s="445">
        <f>IF(BK3=S.CAL!BP2,BI50,IF(BK3=S.CAL!BP3,BW54,0))</f>
        <v>0</v>
      </c>
      <c r="BK53" s="443"/>
      <c r="BL53" s="35"/>
      <c r="CD53" s="346"/>
      <c r="CI53" s="2491" t="str">
        <f t="shared" si="57"/>
        <v>Semaine numéro : 27</v>
      </c>
      <c r="CJ53" s="2492"/>
      <c r="CK53" s="2493"/>
      <c r="CL53" s="893" t="str">
        <f t="shared" si="62"/>
        <v/>
      </c>
      <c r="CM53" s="674">
        <f t="shared" si="63"/>
        <v>0</v>
      </c>
      <c r="CN53" s="673">
        <f t="shared" si="64"/>
        <v>0</v>
      </c>
      <c r="CO53" s="198">
        <f>+SUMIF(Juin!$BK$20:$BK$50,Juin!AT9,$CG$18:$CG$48)</f>
        <v>0</v>
      </c>
      <c r="CP53" s="198">
        <f>+SUMIF(Mai!$BK$20:$BK$50,Juin!AT9,'Retenue Mai'!$CG$18:$CG$48)</f>
        <v>0</v>
      </c>
      <c r="CQ53" s="198">
        <f>+SUMIF(Juillet!$BK$20:$BK$50,Juin!AT9,'Retenue Juil'!$CG$18:$CG$48)</f>
        <v>0</v>
      </c>
      <c r="CR53" s="674">
        <f t="shared" si="65"/>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2"/>
      <c r="CP54" s="902"/>
      <c r="CQ54" s="902"/>
      <c r="CR54" s="677">
        <f>SUM(CR48:CR53)</f>
        <v>0</v>
      </c>
      <c r="EE54" s="19"/>
      <c r="EF54" s="19"/>
      <c r="EG54" s="19"/>
      <c r="EH54" s="19"/>
      <c r="EI54" s="19"/>
    </row>
    <row r="55" spans="2:139" ht="13.5" thickBot="1" x14ac:dyDescent="0.25">
      <c r="B55" s="2469">
        <f>B17</f>
        <v>45809</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6">B18</f>
        <v>45809</v>
      </c>
      <c r="C57" s="171">
        <f t="shared" si="66"/>
        <v>45809</v>
      </c>
      <c r="D57" s="353" t="str">
        <f t="shared" ref="D57:D87" si="67">E18</f>
        <v/>
      </c>
      <c r="E57" s="353" t="str">
        <f>+IF(D57="","",VLOOKUP(C57,$CF$18:$CG$48,2,FALSE))</f>
        <v/>
      </c>
      <c r="F57" s="1553" t="str">
        <f t="shared" ref="F57:F87" si="68">+IFERROR(IF(VLOOKUP(E57,Liste_motif_formule,10,FALSE)="OUI",D57,""),"")</f>
        <v/>
      </c>
      <c r="G57" s="1553" t="str">
        <f t="shared" ref="G57:G87" si="69">+IFERROR(IF(VLOOKUP(E57,Liste_motif_formule,11,FALSE)="OUI",D57,""),"")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6"/>
        <v>45810</v>
      </c>
      <c r="C58" s="172">
        <f t="shared" si="66"/>
        <v>45810</v>
      </c>
      <c r="D58" s="173" t="str">
        <f t="shared" si="67"/>
        <v/>
      </c>
      <c r="E58" s="173" t="str">
        <f t="shared" ref="E58:E87" si="70">+IF(D58="","",VLOOKUP(C58,$CF$18:$CG$48,2,FALSE))</f>
        <v/>
      </c>
      <c r="F58" s="1554" t="str">
        <f t="shared" si="68"/>
        <v/>
      </c>
      <c r="G58" s="1554" t="str">
        <f t="shared" si="69"/>
        <v/>
      </c>
      <c r="AO58" s="1211" t="str">
        <f>+ROUND(AP47,4)&amp;" / "&amp;ROUND(AO47,4)&amp;" ="</f>
        <v>0 / 0 =</v>
      </c>
      <c r="AP58" s="581">
        <f>IFERROR(ROUND(+AP47/AO47,6),0)</f>
        <v>0</v>
      </c>
      <c r="BA58" s="346"/>
      <c r="CD58" s="346"/>
      <c r="EE58" s="19"/>
      <c r="EF58" s="19"/>
      <c r="EG58" s="19"/>
      <c r="EH58" s="19"/>
      <c r="EI58" s="19"/>
    </row>
    <row r="59" spans="2:139" x14ac:dyDescent="0.2">
      <c r="B59" s="107">
        <f t="shared" si="66"/>
        <v>45811</v>
      </c>
      <c r="C59" s="172">
        <f t="shared" si="66"/>
        <v>45811</v>
      </c>
      <c r="D59" s="173" t="str">
        <f t="shared" si="67"/>
        <v/>
      </c>
      <c r="E59" s="173" t="str">
        <f t="shared" si="70"/>
        <v/>
      </c>
      <c r="F59" s="1554" t="str">
        <f t="shared" si="68"/>
        <v/>
      </c>
      <c r="G59" s="1554" t="str">
        <f t="shared" si="69"/>
        <v/>
      </c>
      <c r="BA59" s="346"/>
      <c r="BH59" s="29" t="s">
        <v>791</v>
      </c>
      <c r="BI59" s="58">
        <f>+BJ45+BJ29</f>
        <v>0</v>
      </c>
      <c r="CD59" s="346"/>
    </row>
    <row r="60" spans="2:139" x14ac:dyDescent="0.2">
      <c r="B60" s="107">
        <f t="shared" si="66"/>
        <v>45812</v>
      </c>
      <c r="C60" s="172">
        <f t="shared" si="66"/>
        <v>45812</v>
      </c>
      <c r="D60" s="173" t="str">
        <f t="shared" si="67"/>
        <v/>
      </c>
      <c r="E60" s="173" t="str">
        <f t="shared" si="70"/>
        <v/>
      </c>
      <c r="F60" s="1554" t="str">
        <f t="shared" si="68"/>
        <v/>
      </c>
      <c r="G60" s="1554" t="str">
        <f t="shared" si="69"/>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6"/>
        <v>45813</v>
      </c>
      <c r="C61" s="172">
        <f t="shared" si="66"/>
        <v>45813</v>
      </c>
      <c r="D61" s="173" t="str">
        <f t="shared" si="67"/>
        <v/>
      </c>
      <c r="E61" s="173" t="str">
        <f t="shared" si="70"/>
        <v/>
      </c>
      <c r="F61" s="1554" t="str">
        <f t="shared" si="68"/>
        <v/>
      </c>
      <c r="G61" s="1554" t="str">
        <f t="shared" si="69"/>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6"/>
        <v>45814</v>
      </c>
      <c r="C62" s="172">
        <f t="shared" si="66"/>
        <v>45814</v>
      </c>
      <c r="D62" s="173" t="str">
        <f t="shared" si="67"/>
        <v/>
      </c>
      <c r="E62" s="173" t="str">
        <f t="shared" si="70"/>
        <v/>
      </c>
      <c r="F62" s="1554" t="str">
        <f t="shared" si="68"/>
        <v/>
      </c>
      <c r="G62" s="1554" t="str">
        <f t="shared" si="69"/>
        <v/>
      </c>
      <c r="BA62" s="346"/>
      <c r="BH62" s="443"/>
      <c r="BI62" s="443"/>
      <c r="BJ62" s="443"/>
      <c r="BK62" s="443"/>
      <c r="CD62" s="346"/>
    </row>
    <row r="63" spans="2:139" x14ac:dyDescent="0.2">
      <c r="B63" s="107">
        <f t="shared" si="66"/>
        <v>45815</v>
      </c>
      <c r="C63" s="172">
        <f t="shared" si="66"/>
        <v>45815</v>
      </c>
      <c r="D63" s="173" t="str">
        <f t="shared" si="67"/>
        <v/>
      </c>
      <c r="E63" s="173" t="str">
        <f t="shared" si="70"/>
        <v/>
      </c>
      <c r="F63" s="1554" t="str">
        <f t="shared" si="68"/>
        <v/>
      </c>
      <c r="G63" s="1554" t="str">
        <f t="shared" si="69"/>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45816</v>
      </c>
      <c r="C64" s="172">
        <f t="shared" si="66"/>
        <v>45816</v>
      </c>
      <c r="D64" s="173" t="str">
        <f t="shared" si="67"/>
        <v/>
      </c>
      <c r="E64" s="173" t="str">
        <f t="shared" si="70"/>
        <v/>
      </c>
      <c r="F64" s="1554" t="str">
        <f t="shared" si="68"/>
        <v/>
      </c>
      <c r="G64" s="1554" t="str">
        <f t="shared" si="69"/>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6"/>
        <v>45817</v>
      </c>
      <c r="C65" s="172">
        <f t="shared" si="66"/>
        <v>45817</v>
      </c>
      <c r="D65" s="173" t="str">
        <f t="shared" si="67"/>
        <v/>
      </c>
      <c r="E65" s="173" t="str">
        <f t="shared" si="70"/>
        <v/>
      </c>
      <c r="F65" s="1554" t="str">
        <f t="shared" si="68"/>
        <v/>
      </c>
      <c r="G65" s="1554" t="str">
        <f t="shared" si="69"/>
        <v/>
      </c>
      <c r="BA65" s="346"/>
      <c r="CD65" s="346"/>
    </row>
    <row r="66" spans="2:82" x14ac:dyDescent="0.2">
      <c r="B66" s="107">
        <f t="shared" si="66"/>
        <v>45818</v>
      </c>
      <c r="C66" s="172">
        <f t="shared" si="66"/>
        <v>45818</v>
      </c>
      <c r="D66" s="173" t="str">
        <f t="shared" si="67"/>
        <v/>
      </c>
      <c r="E66" s="173" t="str">
        <f t="shared" si="70"/>
        <v/>
      </c>
      <c r="F66" s="1554" t="str">
        <f t="shared" si="68"/>
        <v/>
      </c>
      <c r="G66" s="1554" t="str">
        <f t="shared" si="69"/>
        <v/>
      </c>
      <c r="BA66" s="346"/>
      <c r="CD66" s="346"/>
    </row>
    <row r="67" spans="2:82" x14ac:dyDescent="0.2">
      <c r="B67" s="107">
        <f t="shared" si="66"/>
        <v>45819</v>
      </c>
      <c r="C67" s="172">
        <f t="shared" si="66"/>
        <v>45819</v>
      </c>
      <c r="D67" s="173" t="str">
        <f t="shared" si="67"/>
        <v/>
      </c>
      <c r="E67" s="173" t="str">
        <f t="shared" si="70"/>
        <v/>
      </c>
      <c r="F67" s="1554" t="str">
        <f t="shared" si="68"/>
        <v/>
      </c>
      <c r="G67" s="1554" t="str">
        <f t="shared" si="69"/>
        <v/>
      </c>
      <c r="BA67" s="346"/>
      <c r="CD67" s="346"/>
    </row>
    <row r="68" spans="2:82" x14ac:dyDescent="0.2">
      <c r="B68" s="107">
        <f t="shared" si="66"/>
        <v>45820</v>
      </c>
      <c r="C68" s="172">
        <f t="shared" si="66"/>
        <v>45820</v>
      </c>
      <c r="D68" s="173" t="str">
        <f t="shared" si="67"/>
        <v/>
      </c>
      <c r="E68" s="173" t="str">
        <f t="shared" si="70"/>
        <v/>
      </c>
      <c r="F68" s="1554" t="str">
        <f t="shared" si="68"/>
        <v/>
      </c>
      <c r="G68" s="1554" t="str">
        <f t="shared" si="69"/>
        <v/>
      </c>
      <c r="AI68" s="1354" t="s">
        <v>338</v>
      </c>
      <c r="BA68" s="346"/>
      <c r="CD68" s="346"/>
    </row>
    <row r="69" spans="2:82" x14ac:dyDescent="0.2">
      <c r="B69" s="107">
        <f t="shared" si="66"/>
        <v>45821</v>
      </c>
      <c r="C69" s="172">
        <f t="shared" si="66"/>
        <v>45821</v>
      </c>
      <c r="D69" s="173" t="str">
        <f t="shared" si="67"/>
        <v/>
      </c>
      <c r="E69" s="173" t="str">
        <f t="shared" si="70"/>
        <v/>
      </c>
      <c r="F69" s="1554" t="str">
        <f t="shared" si="68"/>
        <v/>
      </c>
      <c r="G69" s="1554" t="str">
        <f t="shared" si="69"/>
        <v/>
      </c>
      <c r="BA69" s="346"/>
      <c r="CD69" s="346"/>
    </row>
    <row r="70" spans="2:82" x14ac:dyDescent="0.2">
      <c r="B70" s="107">
        <f t="shared" si="66"/>
        <v>45822</v>
      </c>
      <c r="C70" s="172">
        <f t="shared" si="66"/>
        <v>45822</v>
      </c>
      <c r="D70" s="173" t="str">
        <f t="shared" si="67"/>
        <v/>
      </c>
      <c r="E70" s="173" t="str">
        <f t="shared" si="70"/>
        <v/>
      </c>
      <c r="F70" s="1554" t="str">
        <f t="shared" si="68"/>
        <v/>
      </c>
      <c r="G70" s="1554" t="str">
        <f t="shared" si="69"/>
        <v/>
      </c>
      <c r="AI70" s="581" t="s">
        <v>339</v>
      </c>
      <c r="BA70" s="346"/>
      <c r="CD70" s="346"/>
    </row>
    <row r="71" spans="2:82" x14ac:dyDescent="0.2">
      <c r="B71" s="107">
        <f t="shared" si="66"/>
        <v>45823</v>
      </c>
      <c r="C71" s="172">
        <f t="shared" si="66"/>
        <v>45823</v>
      </c>
      <c r="D71" s="173" t="str">
        <f t="shared" si="67"/>
        <v/>
      </c>
      <c r="E71" s="173" t="str">
        <f t="shared" si="70"/>
        <v/>
      </c>
      <c r="F71" s="1554" t="str">
        <f t="shared" si="68"/>
        <v/>
      </c>
      <c r="G71" s="1554" t="str">
        <f t="shared" si="69"/>
        <v/>
      </c>
      <c r="AI71" s="1355" t="s">
        <v>340</v>
      </c>
      <c r="BA71" s="346"/>
      <c r="CD71" s="346"/>
    </row>
    <row r="72" spans="2:82" x14ac:dyDescent="0.2">
      <c r="B72" s="107">
        <f t="shared" si="66"/>
        <v>45824</v>
      </c>
      <c r="C72" s="172">
        <f t="shared" si="66"/>
        <v>45824</v>
      </c>
      <c r="D72" s="173" t="str">
        <f t="shared" si="67"/>
        <v/>
      </c>
      <c r="E72" s="173" t="str">
        <f t="shared" si="70"/>
        <v/>
      </c>
      <c r="F72" s="1554" t="str">
        <f t="shared" si="68"/>
        <v/>
      </c>
      <c r="G72" s="1554" t="str">
        <f t="shared" si="69"/>
        <v/>
      </c>
      <c r="AI72" s="581" t="e">
        <f>ROUND(AL24,2)&amp;" / "&amp;AL22&amp;" ="&amp;ROUND(AL25,2)&amp;" hrs"</f>
        <v>#VALUE!</v>
      </c>
      <c r="BA72" s="346"/>
      <c r="CD72" s="346"/>
    </row>
    <row r="73" spans="2:82" x14ac:dyDescent="0.2">
      <c r="B73" s="107">
        <f t="shared" ref="B73:C87" si="71">B34</f>
        <v>45825</v>
      </c>
      <c r="C73" s="172">
        <f t="shared" si="71"/>
        <v>45825</v>
      </c>
      <c r="D73" s="173" t="str">
        <f t="shared" si="67"/>
        <v/>
      </c>
      <c r="E73" s="173" t="str">
        <f t="shared" si="70"/>
        <v/>
      </c>
      <c r="F73" s="1554" t="str">
        <f t="shared" si="68"/>
        <v/>
      </c>
      <c r="G73" s="1554" t="str">
        <f t="shared" si="69"/>
        <v/>
      </c>
      <c r="BA73" s="346"/>
      <c r="CD73" s="346"/>
    </row>
    <row r="74" spans="2:82" x14ac:dyDescent="0.2">
      <c r="B74" s="107">
        <f t="shared" si="71"/>
        <v>45826</v>
      </c>
      <c r="C74" s="172">
        <f t="shared" si="71"/>
        <v>45826</v>
      </c>
      <c r="D74" s="173" t="str">
        <f t="shared" si="67"/>
        <v/>
      </c>
      <c r="E74" s="173" t="str">
        <f t="shared" si="70"/>
        <v/>
      </c>
      <c r="F74" s="1554" t="str">
        <f t="shared" si="68"/>
        <v/>
      </c>
      <c r="G74" s="1554" t="str">
        <f t="shared" si="69"/>
        <v/>
      </c>
      <c r="AI74" s="581" t="s">
        <v>341</v>
      </c>
      <c r="BA74" s="346"/>
      <c r="CD74" s="346"/>
    </row>
    <row r="75" spans="2:82" x14ac:dyDescent="0.2">
      <c r="B75" s="107">
        <f t="shared" si="71"/>
        <v>45827</v>
      </c>
      <c r="C75" s="172">
        <f t="shared" si="71"/>
        <v>45827</v>
      </c>
      <c r="D75" s="173" t="str">
        <f t="shared" si="67"/>
        <v/>
      </c>
      <c r="E75" s="173" t="str">
        <f t="shared" si="70"/>
        <v/>
      </c>
      <c r="F75" s="1554" t="str">
        <f t="shared" si="68"/>
        <v/>
      </c>
      <c r="G75" s="1554" t="str">
        <f t="shared" si="69"/>
        <v/>
      </c>
      <c r="AI75" s="1355" t="s">
        <v>342</v>
      </c>
      <c r="BA75" s="346"/>
      <c r="CD75" s="346"/>
    </row>
    <row r="76" spans="2:82" x14ac:dyDescent="0.2">
      <c r="B76" s="107">
        <f t="shared" si="71"/>
        <v>45828</v>
      </c>
      <c r="C76" s="172">
        <f t="shared" si="71"/>
        <v>45828</v>
      </c>
      <c r="D76" s="173" t="str">
        <f t="shared" si="67"/>
        <v/>
      </c>
      <c r="E76" s="173" t="str">
        <f t="shared" si="70"/>
        <v/>
      </c>
      <c r="F76" s="1554" t="str">
        <f t="shared" si="68"/>
        <v/>
      </c>
      <c r="G76" s="1554" t="str">
        <f t="shared" si="69"/>
        <v/>
      </c>
      <c r="BA76" s="346"/>
      <c r="CD76" s="346"/>
    </row>
    <row r="77" spans="2:82" x14ac:dyDescent="0.2">
      <c r="B77" s="107">
        <f t="shared" si="71"/>
        <v>45829</v>
      </c>
      <c r="C77" s="172">
        <f t="shared" si="71"/>
        <v>45829</v>
      </c>
      <c r="D77" s="173" t="str">
        <f t="shared" si="67"/>
        <v/>
      </c>
      <c r="E77" s="173" t="str">
        <f t="shared" si="70"/>
        <v/>
      </c>
      <c r="F77" s="1554" t="str">
        <f t="shared" si="68"/>
        <v/>
      </c>
      <c r="G77" s="1554" t="str">
        <f t="shared" si="69"/>
        <v/>
      </c>
      <c r="AI77" s="581" t="s">
        <v>343</v>
      </c>
      <c r="BA77" s="346"/>
      <c r="CD77" s="346"/>
    </row>
    <row r="78" spans="2:82" x14ac:dyDescent="0.2">
      <c r="B78" s="107">
        <f t="shared" si="71"/>
        <v>45830</v>
      </c>
      <c r="C78" s="172">
        <f t="shared" si="71"/>
        <v>45830</v>
      </c>
      <c r="D78" s="173" t="str">
        <f t="shared" si="67"/>
        <v/>
      </c>
      <c r="E78" s="173" t="str">
        <f t="shared" si="70"/>
        <v/>
      </c>
      <c r="F78" s="1554" t="str">
        <f t="shared" si="68"/>
        <v/>
      </c>
      <c r="G78" s="1554" t="str">
        <f t="shared" si="69"/>
        <v/>
      </c>
      <c r="AI78" s="1355" t="s">
        <v>692</v>
      </c>
      <c r="BA78" s="346"/>
      <c r="CD78" s="346"/>
    </row>
    <row r="79" spans="2:82" x14ac:dyDescent="0.2">
      <c r="B79" s="107">
        <f t="shared" si="71"/>
        <v>45831</v>
      </c>
      <c r="C79" s="172">
        <f t="shared" si="71"/>
        <v>45831</v>
      </c>
      <c r="D79" s="173" t="str">
        <f t="shared" si="67"/>
        <v/>
      </c>
      <c r="E79" s="173" t="str">
        <f t="shared" si="70"/>
        <v/>
      </c>
      <c r="F79" s="1554" t="str">
        <f t="shared" si="68"/>
        <v/>
      </c>
      <c r="G79" s="1554" t="str">
        <f t="shared" si="69"/>
        <v/>
      </c>
      <c r="AI79" s="581" t="e">
        <f>ROUND(AT21,2)&amp;" /"&amp; AS21&amp;" = "&amp;ROUND(AL26,2)&amp;" hrs"</f>
        <v>#VALUE!</v>
      </c>
      <c r="BA79" s="346"/>
      <c r="CD79" s="346"/>
    </row>
    <row r="80" spans="2:82" x14ac:dyDescent="0.2">
      <c r="B80" s="107">
        <f t="shared" si="71"/>
        <v>45832</v>
      </c>
      <c r="C80" s="172">
        <f t="shared" si="71"/>
        <v>45832</v>
      </c>
      <c r="D80" s="173" t="str">
        <f t="shared" si="67"/>
        <v/>
      </c>
      <c r="E80" s="173" t="str">
        <f t="shared" si="70"/>
        <v/>
      </c>
      <c r="F80" s="1554" t="str">
        <f t="shared" si="68"/>
        <v/>
      </c>
      <c r="G80" s="1554" t="str">
        <f t="shared" si="69"/>
        <v/>
      </c>
      <c r="BA80" s="346"/>
      <c r="CD80" s="346"/>
    </row>
    <row r="81" spans="2:82" x14ac:dyDescent="0.2">
      <c r="B81" s="107">
        <f t="shared" si="71"/>
        <v>45833</v>
      </c>
      <c r="C81" s="172">
        <f t="shared" si="71"/>
        <v>45833</v>
      </c>
      <c r="D81" s="173" t="str">
        <f t="shared" si="67"/>
        <v/>
      </c>
      <c r="E81" s="173" t="str">
        <f t="shared" si="70"/>
        <v/>
      </c>
      <c r="F81" s="1554" t="str">
        <f t="shared" si="68"/>
        <v/>
      </c>
      <c r="G81" s="1554" t="str">
        <f t="shared" si="69"/>
        <v/>
      </c>
      <c r="AI81" s="581" t="s">
        <v>529</v>
      </c>
      <c r="BA81" s="346"/>
      <c r="CD81" s="346"/>
    </row>
    <row r="82" spans="2:82" x14ac:dyDescent="0.2">
      <c r="B82" s="107">
        <f t="shared" si="71"/>
        <v>45834</v>
      </c>
      <c r="C82" s="172">
        <f t="shared" si="71"/>
        <v>45834</v>
      </c>
      <c r="D82" s="173" t="str">
        <f t="shared" si="67"/>
        <v/>
      </c>
      <c r="E82" s="173" t="str">
        <f t="shared" si="70"/>
        <v/>
      </c>
      <c r="F82" s="1554" t="str">
        <f t="shared" si="68"/>
        <v/>
      </c>
      <c r="G82" s="1554" t="str">
        <f t="shared" si="69"/>
        <v/>
      </c>
      <c r="AI82" s="1355" t="s">
        <v>693</v>
      </c>
      <c r="BA82" s="346"/>
      <c r="CD82" s="346"/>
    </row>
    <row r="83" spans="2:82" x14ac:dyDescent="0.2">
      <c r="B83" s="107">
        <f t="shared" si="71"/>
        <v>45835</v>
      </c>
      <c r="C83" s="172">
        <f t="shared" si="71"/>
        <v>45835</v>
      </c>
      <c r="D83" s="173" t="str">
        <f t="shared" si="67"/>
        <v/>
      </c>
      <c r="E83" s="173" t="str">
        <f t="shared" si="70"/>
        <v/>
      </c>
      <c r="F83" s="1554" t="str">
        <f t="shared" si="68"/>
        <v/>
      </c>
      <c r="G83" s="1554" t="str">
        <f t="shared" si="69"/>
        <v/>
      </c>
      <c r="AI83" s="581" t="e">
        <f>AV21&amp;" / "&amp;AS21&amp;" = "&amp;ROUND(AL27,2)&amp;" jrs"</f>
        <v>#VALUE!</v>
      </c>
      <c r="BA83" s="346"/>
      <c r="CD83" s="346"/>
    </row>
    <row r="84" spans="2:82" x14ac:dyDescent="0.2">
      <c r="B84" s="107">
        <f t="shared" si="71"/>
        <v>45836</v>
      </c>
      <c r="C84" s="172">
        <f t="shared" si="71"/>
        <v>45836</v>
      </c>
      <c r="D84" s="173" t="str">
        <f t="shared" si="67"/>
        <v/>
      </c>
      <c r="E84" s="173" t="str">
        <f t="shared" si="70"/>
        <v/>
      </c>
      <c r="F84" s="1554" t="str">
        <f t="shared" si="68"/>
        <v/>
      </c>
      <c r="G84" s="1554" t="str">
        <f t="shared" si="69"/>
        <v/>
      </c>
      <c r="BA84" s="346"/>
      <c r="CD84" s="346"/>
    </row>
    <row r="85" spans="2:82" x14ac:dyDescent="0.2">
      <c r="B85" s="107">
        <f t="shared" si="71"/>
        <v>45837</v>
      </c>
      <c r="C85" s="172">
        <f t="shared" si="71"/>
        <v>45837</v>
      </c>
      <c r="D85" s="173" t="str">
        <f t="shared" si="67"/>
        <v/>
      </c>
      <c r="E85" s="173" t="str">
        <f t="shared" si="70"/>
        <v/>
      </c>
      <c r="F85" s="1554" t="str">
        <f t="shared" si="68"/>
        <v/>
      </c>
      <c r="G85" s="1554" t="str">
        <f t="shared" si="69"/>
        <v/>
      </c>
      <c r="AI85" s="1355" t="s">
        <v>344</v>
      </c>
      <c r="BA85" s="346"/>
      <c r="CD85" s="346"/>
    </row>
    <row r="86" spans="2:82" x14ac:dyDescent="0.2">
      <c r="B86" s="107">
        <f t="shared" si="71"/>
        <v>45838</v>
      </c>
      <c r="C86" s="172">
        <f t="shared" si="71"/>
        <v>45838</v>
      </c>
      <c r="D86" s="173" t="str">
        <f t="shared" si="67"/>
        <v/>
      </c>
      <c r="E86" s="173" t="str">
        <f t="shared" si="70"/>
        <v/>
      </c>
      <c r="F86" s="1554" t="str">
        <f t="shared" si="68"/>
        <v/>
      </c>
      <c r="G86" s="1554" t="str">
        <f t="shared" si="69"/>
        <v/>
      </c>
      <c r="AI86" s="1355" t="s">
        <v>345</v>
      </c>
      <c r="BA86" s="346"/>
      <c r="CD86" s="346"/>
    </row>
    <row r="87" spans="2:82" ht="13.5" thickBot="1" x14ac:dyDescent="0.25">
      <c r="B87" s="110" t="str">
        <f t="shared" si="71"/>
        <v/>
      </c>
      <c r="C87" s="192" t="str">
        <f t="shared" si="71"/>
        <v/>
      </c>
      <c r="D87" s="193" t="str">
        <f t="shared" si="67"/>
        <v/>
      </c>
      <c r="E87" s="193" t="str">
        <f t="shared" si="70"/>
        <v/>
      </c>
      <c r="F87" s="1555" t="str">
        <f t="shared" si="68"/>
        <v/>
      </c>
      <c r="G87" s="1555"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f7a4ZWpgdw/87AA42BI7fpx6hHzPk4YLfG12eL47YfnL+uGnjw5KMEyEc41zaw5xL/UMKHcs9ciQ5/a9um/WmQ==" saltValue="ECMUfrV9YKatDXdHFMMDsg=="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916" priority="36">
      <formula>$R$3=$A$5</formula>
    </cfRule>
  </conditionalFormatting>
  <conditionalFormatting sqref="M19:Q23">
    <cfRule type="expression" dxfId="1915" priority="13">
      <formula>$E$11&gt;0</formula>
    </cfRule>
  </conditionalFormatting>
  <conditionalFormatting sqref="M26:R46">
    <cfRule type="expression" dxfId="1914" priority="3">
      <formula>$E$11=0</formula>
    </cfRule>
  </conditionalFormatting>
  <conditionalFormatting sqref="P17">
    <cfRule type="expression" dxfId="1913" priority="16">
      <formula>$E$11=0</formula>
    </cfRule>
  </conditionalFormatting>
  <conditionalFormatting sqref="P30">
    <cfRule type="expression" dxfId="1912" priority="7">
      <formula>AND($R$3="Méthode 1",$E$11&lt;0)</formula>
    </cfRule>
  </conditionalFormatting>
  <conditionalFormatting sqref="P33">
    <cfRule type="expression" dxfId="1911" priority="6">
      <formula>AND($R$3="Méthode 1",$E$11&lt;0)</formula>
    </cfRule>
  </conditionalFormatting>
  <conditionalFormatting sqref="Q17">
    <cfRule type="cellIs" dxfId="1910" priority="15" operator="equal">
      <formula>0</formula>
    </cfRule>
  </conditionalFormatting>
  <conditionalFormatting sqref="Q42">
    <cfRule type="expression" dxfId="1909" priority="5">
      <formula>AND($R$3="Méthode 1",$E$11&lt;0)</formula>
    </cfRule>
  </conditionalFormatting>
  <conditionalFormatting sqref="Q45">
    <cfRule type="expression" dxfId="1908" priority="4">
      <formula>AND($R$3="Méthode 1",$E$11&lt;0)</formula>
    </cfRule>
  </conditionalFormatting>
  <conditionalFormatting sqref="S7:AF7">
    <cfRule type="expression" dxfId="1907" priority="35">
      <formula>$R$3=$T$5</formula>
    </cfRule>
  </conditionalFormatting>
  <conditionalFormatting sqref="W19">
    <cfRule type="expression" dxfId="1906" priority="40">
      <formula>$EF$14=1</formula>
    </cfRule>
  </conditionalFormatting>
  <conditionalFormatting sqref="W21">
    <cfRule type="expression" dxfId="1905" priority="39">
      <formula>$EF$14=1</formula>
    </cfRule>
  </conditionalFormatting>
  <conditionalFormatting sqref="AC19">
    <cfRule type="expression" dxfId="1904" priority="38">
      <formula>$EF$14=1</formula>
    </cfRule>
  </conditionalFormatting>
  <conditionalFormatting sqref="AC21">
    <cfRule type="expression" dxfId="1903" priority="37">
      <formula>$EF$14=1</formula>
    </cfRule>
  </conditionalFormatting>
  <conditionalFormatting sqref="AH7:AZ7">
    <cfRule type="expression" dxfId="1902" priority="21">
      <formula>$R$3=$AI$5</formula>
    </cfRule>
  </conditionalFormatting>
  <conditionalFormatting sqref="AP50">
    <cfRule type="expression" dxfId="1901" priority="20">
      <formula>$R$3="Méthode 2"</formula>
    </cfRule>
  </conditionalFormatting>
  <conditionalFormatting sqref="AP52">
    <cfRule type="expression" dxfId="1900" priority="19">
      <formula>$R$3="Méthode 2"</formula>
    </cfRule>
  </conditionalFormatting>
  <conditionalFormatting sqref="AP61">
    <cfRule type="expression" dxfId="1899" priority="18">
      <formula>$R$3="Méthode 2"</formula>
    </cfRule>
  </conditionalFormatting>
  <conditionalFormatting sqref="AP64">
    <cfRule type="expression" dxfId="1898" priority="17">
      <formula>$R$3="Méthode 2"</formula>
    </cfRule>
  </conditionalFormatting>
  <conditionalFormatting sqref="BI50">
    <cfRule type="expression" dxfId="1897" priority="28">
      <formula>$BK$3="Méthode 1"</formula>
    </cfRule>
  </conditionalFormatting>
  <conditionalFormatting sqref="BJ29">
    <cfRule type="expression" dxfId="1896" priority="30">
      <formula>$BK$3="Méthode 1"</formula>
    </cfRule>
  </conditionalFormatting>
  <conditionalFormatting sqref="BJ45">
    <cfRule type="expression" dxfId="1895" priority="29">
      <formula>$BK$3="Méthode 1"</formula>
    </cfRule>
  </conditionalFormatting>
  <conditionalFormatting sqref="BR46">
    <cfRule type="expression" dxfId="1894" priority="27">
      <formula>$BK$3="Méthode 2"</formula>
    </cfRule>
  </conditionalFormatting>
  <conditionalFormatting sqref="BR49">
    <cfRule type="expression" dxfId="1893" priority="26">
      <formula>$BK$3="Méthode 2"</formula>
    </cfRule>
  </conditionalFormatting>
  <conditionalFormatting sqref="BW52">
    <cfRule type="expression" dxfId="1892" priority="23">
      <formula>$BK$3="Méthode 2"</formula>
    </cfRule>
  </conditionalFormatting>
  <conditionalFormatting sqref="BW54">
    <cfRule type="expression" dxfId="1891" priority="22">
      <formula>$BK$3="Méthode 2"</formula>
    </cfRule>
  </conditionalFormatting>
  <conditionalFormatting sqref="BZ46">
    <cfRule type="expression" dxfId="1890" priority="25">
      <formula>$BK$3="Méthode 2"</formula>
    </cfRule>
  </conditionalFormatting>
  <conditionalFormatting sqref="BZ49">
    <cfRule type="expression" dxfId="1889" priority="24">
      <formula>$BK$3="Méthode 2"</formula>
    </cfRule>
  </conditionalFormatting>
  <conditionalFormatting sqref="CG18:CG48">
    <cfRule type="cellIs" dxfId="188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+Juillet!DP4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+Juillet!AR13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+Juillet!AI3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+Juillet!I14</f>
        <v>0</v>
      </c>
      <c r="F10" s="151"/>
      <c r="G10" s="151"/>
      <c r="H10" s="151"/>
      <c r="I10" s="151"/>
      <c r="J10" s="151"/>
      <c r="K10" s="151"/>
      <c r="L10" s="151"/>
      <c r="P10" s="29" t="s">
        <v>1468</v>
      </c>
      <c r="Q10" s="356">
        <f>+Juillet!P18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+Juillet!T18+Juillet!T19</f>
        <v>0</v>
      </c>
      <c r="BI10" s="29" t="s">
        <v>1476</v>
      </c>
      <c r="BJ10" s="356">
        <f>+Juillet!AL14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+Juillet!U14</f>
        <v>0</v>
      </c>
      <c r="F11" s="151"/>
      <c r="G11" s="151"/>
      <c r="H11" s="151"/>
      <c r="I11" s="151"/>
      <c r="J11" s="151"/>
      <c r="K11" s="151"/>
      <c r="L11" s="151"/>
      <c r="M11" s="1201"/>
      <c r="N11" s="183"/>
      <c r="O11" s="1202"/>
      <c r="P11" s="183" t="s">
        <v>1120</v>
      </c>
      <c r="Q11" s="1203">
        <f>+Juillet!P19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+Juillet!X3</f>
        <v>45839</v>
      </c>
      <c r="M13" s="154"/>
      <c r="N13" s="155">
        <f>DATE(YEAR($D$13),MONTH($D$13)+1,DAY($D$13))</f>
        <v>45870</v>
      </c>
      <c r="O13" s="156">
        <f>N13</f>
        <v>45870</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45839</v>
      </c>
      <c r="BF13" s="154"/>
      <c r="BG13" s="155">
        <f>DATE(YEAR($D$13),MONTH($D$13)+1,DAY($D$13))</f>
        <v>45870</v>
      </c>
      <c r="BH13" s="156">
        <f>BG13</f>
        <v>45870</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45870</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45839</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45839</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45839</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+Juillet!BJ20</f>
        <v>Fiche infoA2</v>
      </c>
      <c r="B18" s="170">
        <f>+D13</f>
        <v>45839</v>
      </c>
      <c r="C18" s="171">
        <f>+$D$13</f>
        <v>45839</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Juillet!BC20</f>
        <v>0</v>
      </c>
      <c r="J18" s="34">
        <f>Juillet!BE20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infoA2</v>
      </c>
      <c r="BB18" s="170">
        <f>+BD13</f>
        <v>45839</v>
      </c>
      <c r="BC18" s="171">
        <f>+$D$13</f>
        <v>45839</v>
      </c>
      <c r="BD18" s="173" t="str">
        <f>+D18</f>
        <v/>
      </c>
      <c r="BE18" s="353" t="str">
        <f>+IF(OR(BF18=S.CAL!$BJ$3,BF18=S.CAL!$BJ$4),BD18,"")</f>
        <v/>
      </c>
      <c r="BF18" s="350">
        <f>IF($DY$5=S.CAL!$CU$2,Juillet!AR20,IF($DY$5=S.CAL!$CU$3,VLOOKUP(BC18,planning_fp,7,FALSE),""))</f>
        <v>0</v>
      </c>
      <c r="BG18" s="362" t="str">
        <f>Juillet!BL20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45839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45839</v>
      </c>
      <c r="EM18" s="16" t="str">
        <f>A18&amp;C18</f>
        <v>Fiche infoA245839</v>
      </c>
      <c r="EN18" s="16">
        <f t="shared" ref="EN18:EN48" si="20">+VLOOKUP(EM18,Base_feuille_présence_heure_potentiel,11,FALSE)</f>
        <v>0</v>
      </c>
      <c r="EQ18" s="16" t="str">
        <f>Juillet!FS20</f>
        <v/>
      </c>
    </row>
    <row r="19" spans="1:147" ht="18" customHeight="1" x14ac:dyDescent="0.2">
      <c r="A19" s="24" t="str">
        <f>+Juillet!BJ21</f>
        <v>Fiche infoA3</v>
      </c>
      <c r="B19" s="107">
        <f>C19</f>
        <v>45840</v>
      </c>
      <c r="C19" s="172">
        <f>+$D$13+1</f>
        <v>45840</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Juillet!BC21</f>
        <v>0</v>
      </c>
      <c r="J19" s="34">
        <f>Juillet!BE21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infoA3</v>
      </c>
      <c r="BB19" s="107">
        <f>BC19</f>
        <v>45840</v>
      </c>
      <c r="BC19" s="172">
        <f>+$D$13+1</f>
        <v>45840</v>
      </c>
      <c r="BD19" s="173" t="str">
        <f>+D19</f>
        <v/>
      </c>
      <c r="BE19" s="173" t="str">
        <f>+IF(OR(BF19=S.CAL!$BJ$3,BF19=S.CAL!$BJ$4),BD19,"")</f>
        <v/>
      </c>
      <c r="BF19" s="351">
        <f>IF($DY$5=S.CAL!$CU$2,Juillet!AR21,IF($DY$5=S.CAL!$CU$3,VLOOKUP(BC19,planning_fp,7,FALSE),""))</f>
        <v>0</v>
      </c>
      <c r="BG19" s="363" t="str">
        <f>Juillet!BL21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45840</v>
      </c>
      <c r="CF19" s="172">
        <f>+$D$13+1</f>
        <v>45840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45840</v>
      </c>
      <c r="EM19" s="16" t="str">
        <f t="shared" ref="EM19:EM48" si="29">A19&amp;C19</f>
        <v>Fiche infoA345840</v>
      </c>
      <c r="EN19" s="16">
        <f t="shared" si="20"/>
        <v>0</v>
      </c>
      <c r="EQ19" s="16" t="str">
        <f>Juillet!FS21</f>
        <v/>
      </c>
    </row>
    <row r="20" spans="1:147" ht="18" customHeight="1" x14ac:dyDescent="0.2">
      <c r="A20" s="24" t="str">
        <f>+Juillet!BJ22</f>
        <v>Fiche infoA4</v>
      </c>
      <c r="B20" s="107">
        <f t="shared" ref="B20:B48" si="30">C20</f>
        <v>45841</v>
      </c>
      <c r="C20" s="172">
        <f>+$D$13+2</f>
        <v>45841</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Juillet!BC22</f>
        <v>0</v>
      </c>
      <c r="J20" s="34">
        <f>Juillet!BE22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infoA4</v>
      </c>
      <c r="BB20" s="107">
        <f t="shared" ref="BB20:BB48" si="31">BC20</f>
        <v>45841</v>
      </c>
      <c r="BC20" s="172">
        <f>+$D$13+2</f>
        <v>45841</v>
      </c>
      <c r="BD20" s="173" t="str">
        <f t="shared" ref="BD20:BD48" si="32">+D20</f>
        <v/>
      </c>
      <c r="BE20" s="173" t="str">
        <f>+IF(OR(BF20=S.CAL!$BJ$3,BF20=S.CAL!$BJ$4),BD20,"")</f>
        <v/>
      </c>
      <c r="BF20" s="351">
        <f>IF($DY$5=S.CAL!$CU$2,Juillet!AR22,IF($DY$5=S.CAL!$CU$3,VLOOKUP(BC20,planning_fp,7,FALSE),""))</f>
        <v>0</v>
      </c>
      <c r="BG20" s="363" t="str">
        <f>Juillet!BL22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45841</v>
      </c>
      <c r="CF20" s="172">
        <f>+$D$13+2</f>
        <v>45841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45841</v>
      </c>
      <c r="EM20" s="16" t="str">
        <f t="shared" si="29"/>
        <v>Fiche infoA445841</v>
      </c>
      <c r="EN20" s="16">
        <f t="shared" si="20"/>
        <v>0</v>
      </c>
      <c r="EQ20" s="16" t="str">
        <f>Juillet!FS22</f>
        <v/>
      </c>
    </row>
    <row r="21" spans="1:147" ht="18" customHeight="1" x14ac:dyDescent="0.2">
      <c r="A21" s="24" t="str">
        <f>+Juillet!BJ23</f>
        <v>Fiche infoA5</v>
      </c>
      <c r="B21" s="107">
        <f t="shared" si="30"/>
        <v>45842</v>
      </c>
      <c r="C21" s="172">
        <f>+$D$13+3</f>
        <v>45842</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infoA5</v>
      </c>
      <c r="BB21" s="107">
        <f t="shared" si="31"/>
        <v>45842</v>
      </c>
      <c r="BC21" s="172">
        <f>+$D$13+3</f>
        <v>45842</v>
      </c>
      <c r="BD21" s="173" t="str">
        <f t="shared" si="32"/>
        <v/>
      </c>
      <c r="BE21" s="173" t="str">
        <f>+IF(OR(BF21=S.CAL!$BJ$3,BF21=S.CAL!$BJ$4),BD21,"")</f>
        <v/>
      </c>
      <c r="BF21" s="351">
        <f>IF($DY$5=S.CAL!$CU$2,Juillet!AR23,IF($DY$5=S.CAL!$CU$3,VLOOKUP(BC21,planning_fp,7,FALSE),""))</f>
        <v>0</v>
      </c>
      <c r="BG21" s="363" t="str">
        <f>Juillet!BL23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45842</v>
      </c>
      <c r="CF21" s="172">
        <f>+$D$13+3</f>
        <v>45842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45842</v>
      </c>
      <c r="EM21" s="16" t="str">
        <f t="shared" si="29"/>
        <v>Fiche infoA545842</v>
      </c>
      <c r="EN21" s="16">
        <f t="shared" si="20"/>
        <v>0</v>
      </c>
      <c r="EQ21" s="16" t="str">
        <f>Juillet!FS23</f>
        <v/>
      </c>
    </row>
    <row r="22" spans="1:147" ht="18" customHeight="1" x14ac:dyDescent="0.25">
      <c r="A22" s="24" t="str">
        <f>+Juillet!BJ24</f>
        <v>Fiche infoA6</v>
      </c>
      <c r="B22" s="107">
        <f t="shared" si="30"/>
        <v>45843</v>
      </c>
      <c r="C22" s="172">
        <f>+$D$13+4</f>
        <v>45843</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Juillet!BC24</f>
        <v>0</v>
      </c>
      <c r="J22" s="34">
        <f>Juillet!BE24</f>
        <v>0</v>
      </c>
      <c r="K22" s="34">
        <f t="shared" si="15"/>
        <v>0</v>
      </c>
      <c r="L22" s="34" t="str">
        <f t="shared" si="21"/>
        <v/>
      </c>
      <c r="O22" s="19"/>
      <c r="AK22" s="1211" t="s">
        <v>41</v>
      </c>
      <c r="AL22" s="1340">
        <f>+Juillet!AL14</f>
        <v>0</v>
      </c>
      <c r="BA22" s="349" t="str">
        <f t="shared" si="16"/>
        <v>Fiche infoA6</v>
      </c>
      <c r="BB22" s="107">
        <f t="shared" si="31"/>
        <v>45843</v>
      </c>
      <c r="BC22" s="172">
        <f>+$D$13+4</f>
        <v>45843</v>
      </c>
      <c r="BD22" s="173" t="str">
        <f t="shared" si="32"/>
        <v/>
      </c>
      <c r="BE22" s="173" t="str">
        <f>+IF(OR(BF22=S.CAL!$BJ$3,BF22=S.CAL!$BJ$4),BD22,"")</f>
        <v/>
      </c>
      <c r="BF22" s="351">
        <f>IF($DY$5=S.CAL!$CU$2,Juillet!AR24,IF($DY$5=S.CAL!$CU$3,VLOOKUP(BC22,planning_fp,7,FALSE),""))</f>
        <v>0</v>
      </c>
      <c r="BG22" s="363" t="str">
        <f>Juillet!BL24</f>
        <v>A</v>
      </c>
      <c r="BH22" s="150"/>
      <c r="BL22" s="146"/>
      <c r="BM22" s="197"/>
      <c r="CD22" s="346"/>
      <c r="CE22" s="107">
        <f t="shared" si="33"/>
        <v>45843</v>
      </c>
      <c r="CF22" s="172">
        <f>+$D$13+4</f>
        <v>45843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45843</v>
      </c>
      <c r="EM22" s="16" t="str">
        <f t="shared" si="29"/>
        <v>Fiche infoA645843</v>
      </c>
      <c r="EN22" s="16">
        <f t="shared" si="20"/>
        <v>0</v>
      </c>
      <c r="EQ22" s="16" t="str">
        <f>Juillet!FS24</f>
        <v/>
      </c>
    </row>
    <row r="23" spans="1:147" ht="18" customHeight="1" x14ac:dyDescent="0.2">
      <c r="A23" s="24" t="str">
        <f>+Juillet!BJ25</f>
        <v>Fiche infoA7</v>
      </c>
      <c r="B23" s="107">
        <f t="shared" si="30"/>
        <v>45844</v>
      </c>
      <c r="C23" s="172">
        <f>+$D$13+5</f>
        <v>45844</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Juillet!BC25</f>
        <v>0</v>
      </c>
      <c r="J23" s="34">
        <f>Juillet!BE25</f>
        <v>0</v>
      </c>
      <c r="K23" s="34">
        <f t="shared" si="15"/>
        <v>0</v>
      </c>
      <c r="L23" s="34" t="str">
        <f t="shared" si="21"/>
        <v/>
      </c>
      <c r="O23" s="39" t="str">
        <f>+O21</f>
        <v xml:space="preserve">Retenue sur salaire = </v>
      </c>
      <c r="P23" s="689">
        <f>+P30+P33</f>
        <v>0</v>
      </c>
      <c r="T23" s="581" t="s">
        <v>1123</v>
      </c>
      <c r="Z23" s="581" t="s">
        <v>1123</v>
      </c>
      <c r="BA23" s="349" t="str">
        <f t="shared" si="16"/>
        <v>Fiche infoA7</v>
      </c>
      <c r="BB23" s="107">
        <f t="shared" si="31"/>
        <v>45844</v>
      </c>
      <c r="BC23" s="172">
        <f>+$D$13+5</f>
        <v>45844</v>
      </c>
      <c r="BD23" s="173" t="str">
        <f t="shared" si="32"/>
        <v/>
      </c>
      <c r="BE23" s="173" t="str">
        <f>+IF(OR(BF23=S.CAL!$BJ$3,BF23=S.CAL!$BJ$4),BD23,"")</f>
        <v/>
      </c>
      <c r="BF23" s="351">
        <f>IF($DY$5=S.CAL!$CU$2,Juillet!AR25,IF($DY$5=S.CAL!$CU$3,VLOOKUP(BC23,planning_fp,7,FALSE),""))</f>
        <v>0</v>
      </c>
      <c r="BG23" s="363" t="str">
        <f>Juillet!BL25</f>
        <v>A</v>
      </c>
      <c r="BH23" s="29"/>
      <c r="BI23" s="354"/>
      <c r="BL23" s="149"/>
      <c r="CD23" s="346"/>
      <c r="CE23" s="107">
        <f t="shared" si="33"/>
        <v>45844</v>
      </c>
      <c r="CF23" s="172">
        <f>+$D$13+5</f>
        <v>45844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45844</v>
      </c>
      <c r="EM23" s="16" t="str">
        <f t="shared" si="29"/>
        <v>Fiche infoA745844</v>
      </c>
      <c r="EN23" s="16">
        <f t="shared" si="20"/>
        <v>0</v>
      </c>
      <c r="EQ23" s="16" t="str">
        <f>Juillet!FS25</f>
        <v/>
      </c>
    </row>
    <row r="24" spans="1:147" ht="18" customHeight="1" x14ac:dyDescent="0.2">
      <c r="A24" s="24" t="str">
        <f>+Juillet!BJ26</f>
        <v>Fiche infoA1</v>
      </c>
      <c r="B24" s="107">
        <f t="shared" si="30"/>
        <v>45845</v>
      </c>
      <c r="C24" s="172">
        <f>+$D$13+6</f>
        <v>45845</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Juillet!BC26</f>
        <v>0</v>
      </c>
      <c r="J24" s="34">
        <f>Juillet!BE26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infoA1</v>
      </c>
      <c r="BB24" s="107">
        <f t="shared" si="31"/>
        <v>45845</v>
      </c>
      <c r="BC24" s="172">
        <f>+$D$13+6</f>
        <v>45845</v>
      </c>
      <c r="BD24" s="173" t="str">
        <f t="shared" si="32"/>
        <v/>
      </c>
      <c r="BE24" s="173" t="str">
        <f>+IF(OR(BF24=S.CAL!$BJ$3,BF24=S.CAL!$BJ$4),BD24,"")</f>
        <v/>
      </c>
      <c r="BF24" s="351">
        <f>IF($DY$5=S.CAL!$CU$2,Juillet!AR26,IF($DY$5=S.CAL!$CU$3,VLOOKUP(BC24,planning_fp,7,FALSE),""))</f>
        <v>0</v>
      </c>
      <c r="BG24" s="363" t="str">
        <f>Juillet!BL26</f>
        <v>A</v>
      </c>
      <c r="BL24" s="35"/>
      <c r="BM24" s="197"/>
      <c r="BO24" s="29"/>
      <c r="BP24" s="184"/>
      <c r="BR24" s="16" t="s">
        <v>758</v>
      </c>
      <c r="BV24" s="373"/>
      <c r="BW24" s="373"/>
      <c r="BX24" s="373"/>
      <c r="BY24" s="373" t="s">
        <v>708</v>
      </c>
      <c r="BZ24" s="373"/>
      <c r="CA24" s="373"/>
      <c r="CB24" s="373"/>
      <c r="CD24" s="346"/>
      <c r="CE24" s="107">
        <f t="shared" si="33"/>
        <v>45845</v>
      </c>
      <c r="CF24" s="172">
        <f>+$D$13+6</f>
        <v>45845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45845</v>
      </c>
      <c r="EM24" s="16" t="str">
        <f t="shared" si="29"/>
        <v>Fiche infoA145845</v>
      </c>
      <c r="EN24" s="16">
        <f t="shared" si="20"/>
        <v>0</v>
      </c>
      <c r="EQ24" s="16" t="str">
        <f>Juillet!FS26</f>
        <v/>
      </c>
    </row>
    <row r="25" spans="1:147" ht="18" customHeight="1" x14ac:dyDescent="0.2">
      <c r="A25" s="24" t="str">
        <f>+Juillet!BJ27</f>
        <v>Fiche infoA2</v>
      </c>
      <c r="B25" s="107">
        <f t="shared" si="30"/>
        <v>45846</v>
      </c>
      <c r="C25" s="172">
        <f>+$D$13+7</f>
        <v>45846</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Juillet!BC27</f>
        <v>0</v>
      </c>
      <c r="J25" s="34">
        <f>Juillet!BE27</f>
        <v>0</v>
      </c>
      <c r="K25" s="34">
        <f t="shared" si="15"/>
        <v>0</v>
      </c>
      <c r="L25" s="34" t="str">
        <f t="shared" si="21"/>
        <v/>
      </c>
      <c r="AK25" s="1211" t="s">
        <v>329</v>
      </c>
      <c r="AL25" s="1335">
        <f>+IF(AL22,AL24/AL22,0)</f>
        <v>0</v>
      </c>
      <c r="BA25" s="349" t="str">
        <f t="shared" si="16"/>
        <v>Fiche infoA2</v>
      </c>
      <c r="BB25" s="107">
        <f t="shared" si="31"/>
        <v>45846</v>
      </c>
      <c r="BC25" s="172">
        <f>+$D$13+7</f>
        <v>45846</v>
      </c>
      <c r="BD25" s="173" t="str">
        <f t="shared" si="32"/>
        <v/>
      </c>
      <c r="BE25" s="173" t="str">
        <f>+IF(OR(BF25=S.CAL!$BJ$3,BF25=S.CAL!$BJ$4),BD25,"")</f>
        <v/>
      </c>
      <c r="BF25" s="351">
        <f>IF($DY$5=S.CAL!$CU$2,Juillet!AR27,IF($DY$5=S.CAL!$CU$3,VLOOKUP(BC25,planning_fp,7,FALSE),""))</f>
        <v>0</v>
      </c>
      <c r="BG25" s="363" t="str">
        <f>Juillet!BL27</f>
        <v>A</v>
      </c>
      <c r="BH25" s="150"/>
      <c r="BL25" s="35"/>
      <c r="BO25" s="29"/>
      <c r="BP25" s="184"/>
      <c r="BV25" s="373"/>
      <c r="BW25" s="373"/>
      <c r="BX25" s="373"/>
      <c r="BY25" s="373"/>
      <c r="BZ25" s="373"/>
      <c r="CA25" s="373"/>
      <c r="CB25" s="373"/>
      <c r="CD25" s="346"/>
      <c r="CE25" s="107">
        <f t="shared" si="33"/>
        <v>45846</v>
      </c>
      <c r="CF25" s="172">
        <f>+$D$13+7</f>
        <v>45846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45846</v>
      </c>
      <c r="EM25" s="16" t="str">
        <f t="shared" si="29"/>
        <v>Fiche infoA245846</v>
      </c>
      <c r="EN25" s="16">
        <f t="shared" si="20"/>
        <v>0</v>
      </c>
      <c r="EQ25" s="16" t="str">
        <f>Juillet!FS27</f>
        <v/>
      </c>
    </row>
    <row r="26" spans="1:147" ht="18" customHeight="1" x14ac:dyDescent="0.2">
      <c r="A26" s="24" t="str">
        <f>+Juillet!BJ28</f>
        <v>Fiche infoA3</v>
      </c>
      <c r="B26" s="107">
        <f t="shared" si="30"/>
        <v>45847</v>
      </c>
      <c r="C26" s="172">
        <f>+$D$13+8</f>
        <v>45847</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Juillet!BC28</f>
        <v>0</v>
      </c>
      <c r="J26" s="34">
        <f>Juillet!BE28</f>
        <v>0</v>
      </c>
      <c r="K26" s="34">
        <f t="shared" si="15"/>
        <v>0</v>
      </c>
      <c r="L26" s="34" t="str">
        <f t="shared" si="21"/>
        <v/>
      </c>
      <c r="O26" s="16" t="s">
        <v>1217</v>
      </c>
      <c r="AK26" s="1211" t="s">
        <v>330</v>
      </c>
      <c r="AL26" s="1335">
        <f>IF(AS21,SUM(AT13:AT20)/AS21,0)</f>
        <v>0</v>
      </c>
      <c r="BA26" s="349" t="str">
        <f t="shared" si="16"/>
        <v>Fiche infoA3</v>
      </c>
      <c r="BB26" s="107">
        <f t="shared" si="31"/>
        <v>45847</v>
      </c>
      <c r="BC26" s="172">
        <f>+$D$13+8</f>
        <v>45847</v>
      </c>
      <c r="BD26" s="173" t="str">
        <f t="shared" si="32"/>
        <v/>
      </c>
      <c r="BE26" s="173" t="str">
        <f>+IF(OR(BF26=S.CAL!$BJ$3,BF26=S.CAL!$BJ$4),BD26,"")</f>
        <v/>
      </c>
      <c r="BF26" s="351">
        <f>IF($DY$5=S.CAL!$CU$2,Juillet!AR28,IF($DY$5=S.CAL!$CU$3,VLOOKUP(BC26,planning_fp,7,FALSE),""))</f>
        <v>0</v>
      </c>
      <c r="BG26" s="363" t="str">
        <f>Juillet!BL28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45847</v>
      </c>
      <c r="CF26" s="172">
        <f>+$D$13+8</f>
        <v>45847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45847</v>
      </c>
      <c r="EM26" s="16" t="str">
        <f t="shared" si="29"/>
        <v>Fiche infoA345847</v>
      </c>
      <c r="EN26" s="16">
        <f t="shared" si="20"/>
        <v>0</v>
      </c>
      <c r="EQ26" s="16" t="str">
        <f>Juillet!FS28</f>
        <v/>
      </c>
    </row>
    <row r="27" spans="1:147" ht="18" customHeight="1" x14ac:dyDescent="0.2">
      <c r="A27" s="24" t="str">
        <f>+Juillet!BJ29</f>
        <v>Fiche infoA4</v>
      </c>
      <c r="B27" s="107">
        <f t="shared" si="30"/>
        <v>45848</v>
      </c>
      <c r="C27" s="172">
        <f>+$D$13+9</f>
        <v>45848</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Juillet!BC29</f>
        <v>0</v>
      </c>
      <c r="J27" s="34">
        <f>Juillet!BE29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infoA4</v>
      </c>
      <c r="BB27" s="107">
        <f t="shared" si="31"/>
        <v>45848</v>
      </c>
      <c r="BC27" s="172">
        <f>+$D$13+9</f>
        <v>45848</v>
      </c>
      <c r="BD27" s="173" t="str">
        <f t="shared" si="32"/>
        <v/>
      </c>
      <c r="BE27" s="173" t="str">
        <f>+IF(OR(BF27=S.CAL!$BJ$3,BF27=S.CAL!$BJ$4),BD27,"")</f>
        <v/>
      </c>
      <c r="BF27" s="351">
        <f>IF($DY$5=S.CAL!$CU$2,Juillet!AR29,IF($DY$5=S.CAL!$CU$3,VLOOKUP(BC27,planning_fp,7,FALSE),""))</f>
        <v>0</v>
      </c>
      <c r="BG27" s="363" t="str">
        <f>Juillet!BL29</f>
        <v>A</v>
      </c>
      <c r="BI27" s="16" t="s">
        <v>758</v>
      </c>
      <c r="BL27" s="35"/>
      <c r="BP27" s="2401"/>
      <c r="BQ27" s="2401"/>
      <c r="BR27" s="2401"/>
      <c r="BS27" s="2401"/>
      <c r="BT27" s="2400"/>
      <c r="BV27" s="373"/>
      <c r="BW27" s="373"/>
      <c r="BX27" s="2488"/>
      <c r="BY27" s="2488"/>
      <c r="BZ27" s="2488"/>
      <c r="CA27" s="2488"/>
      <c r="CB27" s="2487"/>
      <c r="CD27" s="346"/>
      <c r="CE27" s="107">
        <f t="shared" si="33"/>
        <v>45848</v>
      </c>
      <c r="CF27" s="172">
        <f>+$D$13+9</f>
        <v>45848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45848</v>
      </c>
      <c r="EM27" s="16" t="str">
        <f t="shared" si="29"/>
        <v>Fiche infoA445848</v>
      </c>
      <c r="EN27" s="16">
        <f t="shared" si="20"/>
        <v>0</v>
      </c>
      <c r="EQ27" s="16" t="str">
        <f>Juillet!FS29</f>
        <v/>
      </c>
    </row>
    <row r="28" spans="1:147" ht="18" customHeight="1" x14ac:dyDescent="0.2">
      <c r="A28" s="24" t="str">
        <f>+Juillet!BJ30</f>
        <v>Fiche infoA5</v>
      </c>
      <c r="B28" s="107">
        <f t="shared" si="30"/>
        <v>45849</v>
      </c>
      <c r="C28" s="172">
        <f>+$D$13+10</f>
        <v>45849</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Juillet!BC30</f>
        <v>0</v>
      </c>
      <c r="J28" s="34">
        <f>Juillet!BE30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infoA5</v>
      </c>
      <c r="BB28" s="107">
        <f t="shared" si="31"/>
        <v>45849</v>
      </c>
      <c r="BC28" s="172">
        <f>+$D$13+10</f>
        <v>45849</v>
      </c>
      <c r="BD28" s="173" t="str">
        <f t="shared" si="32"/>
        <v/>
      </c>
      <c r="BE28" s="173" t="str">
        <f>+IF(OR(BF28=S.CAL!$BJ$3,BF28=S.CAL!$BJ$4),BD28,"")</f>
        <v/>
      </c>
      <c r="BF28" s="351">
        <f>IF($DY$5=S.CAL!$CU$2,Juillet!AR30,IF($DY$5=S.CAL!$CU$3,VLOOKUP(BC28,planning_fp,7,FALSE),""))</f>
        <v>0</v>
      </c>
      <c r="BG28" s="363" t="str">
        <f>Juillet!BL30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45849</v>
      </c>
      <c r="CF28" s="172">
        <f>+$D$13+10</f>
        <v>45849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45849</v>
      </c>
      <c r="EM28" s="16" t="str">
        <f t="shared" si="29"/>
        <v>Fiche infoA545849</v>
      </c>
      <c r="EN28" s="16">
        <f t="shared" si="20"/>
        <v>0</v>
      </c>
      <c r="EQ28" s="16" t="str">
        <f>Juillet!FS30</f>
        <v/>
      </c>
    </row>
    <row r="29" spans="1:147" ht="18" customHeight="1" x14ac:dyDescent="0.2">
      <c r="A29" s="24" t="str">
        <f>+Juillet!BJ31</f>
        <v>Fiche infoA6</v>
      </c>
      <c r="B29" s="107">
        <f t="shared" si="30"/>
        <v>45850</v>
      </c>
      <c r="C29" s="172">
        <f>+$D$13+11</f>
        <v>45850</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Juillet!BC31</f>
        <v>0</v>
      </c>
      <c r="J29" s="34">
        <f>Juillet!BE31</f>
        <v>0</v>
      </c>
      <c r="K29" s="34">
        <f t="shared" si="15"/>
        <v>0</v>
      </c>
      <c r="L29" s="34" t="str">
        <f t="shared" si="21"/>
        <v/>
      </c>
      <c r="O29" s="877" t="s">
        <v>1471</v>
      </c>
      <c r="P29" s="877"/>
      <c r="Q29" s="877"/>
      <c r="R29" s="877"/>
      <c r="BA29" s="349" t="str">
        <f t="shared" si="16"/>
        <v>Fiche infoA6</v>
      </c>
      <c r="BB29" s="107">
        <f t="shared" si="31"/>
        <v>45850</v>
      </c>
      <c r="BC29" s="172">
        <f>+$D$13+11</f>
        <v>45850</v>
      </c>
      <c r="BD29" s="173" t="str">
        <f t="shared" si="32"/>
        <v/>
      </c>
      <c r="BE29" s="173" t="str">
        <f>+IF(OR(BF29=S.CAL!$BJ$3,BF29=S.CAL!$BJ$4),BD29,"")</f>
        <v/>
      </c>
      <c r="BF29" s="351">
        <f>IF($DY$5=S.CAL!$CU$2,Juillet!AR31,IF($DY$5=S.CAL!$CU$3,VLOOKUP(BC29,planning_fp,7,FALSE),""))</f>
        <v>0</v>
      </c>
      <c r="BG29" s="363" t="str">
        <f>Juillet!BL31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45850</v>
      </c>
      <c r="CF29" s="172">
        <f>+$D$13+11</f>
        <v>45850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45850</v>
      </c>
      <c r="EM29" s="16" t="str">
        <f t="shared" si="29"/>
        <v>Fiche infoA645850</v>
      </c>
      <c r="EN29" s="16">
        <f t="shared" si="20"/>
        <v>0</v>
      </c>
      <c r="EQ29" s="16" t="str">
        <f>Juillet!FS31</f>
        <v/>
      </c>
    </row>
    <row r="30" spans="1:147" ht="18" customHeight="1" x14ac:dyDescent="0.25">
      <c r="A30" s="24" t="str">
        <f>+Juillet!BJ32</f>
        <v>Fiche infoA7</v>
      </c>
      <c r="B30" s="107">
        <f t="shared" si="30"/>
        <v>45851</v>
      </c>
      <c r="C30" s="172">
        <f>+$D$13+12</f>
        <v>45851</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Juillet!BC32</f>
        <v>0</v>
      </c>
      <c r="J30" s="34">
        <f>Juillet!BE32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45839</v>
      </c>
      <c r="AP30" s="2496"/>
      <c r="AQ30" s="2496"/>
      <c r="BA30" s="349" t="str">
        <f t="shared" si="16"/>
        <v>Fiche infoA7</v>
      </c>
      <c r="BB30" s="107">
        <f t="shared" si="31"/>
        <v>45851</v>
      </c>
      <c r="BC30" s="172">
        <f>+$D$13+12</f>
        <v>45851</v>
      </c>
      <c r="BD30" s="173" t="str">
        <f t="shared" si="32"/>
        <v/>
      </c>
      <c r="BE30" s="173" t="str">
        <f>+IF(OR(BF30=S.CAL!$BJ$3,BF30=S.CAL!$BJ$4),BD30,"")</f>
        <v/>
      </c>
      <c r="BF30" s="351">
        <f>IF($DY$5=S.CAL!$CU$2,Juillet!AR32,IF($DY$5=S.CAL!$CU$3,VLOOKUP(BC30,planning_fp,7,FALSE),""))</f>
        <v>0</v>
      </c>
      <c r="BG30" s="363" t="str">
        <f>Juillet!BL32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45851</v>
      </c>
      <c r="CF30" s="172">
        <f>+$D$13+12</f>
        <v>45851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45851</v>
      </c>
      <c r="EM30" s="16" t="str">
        <f t="shared" si="29"/>
        <v>Fiche infoA745851</v>
      </c>
      <c r="EN30" s="16">
        <f t="shared" si="20"/>
        <v>0</v>
      </c>
      <c r="EQ30" s="16" t="str">
        <f>Juillet!FS32</f>
        <v/>
      </c>
    </row>
    <row r="31" spans="1:147" ht="18" customHeight="1" x14ac:dyDescent="0.2">
      <c r="A31" s="24" t="str">
        <f>+Juillet!BJ33</f>
        <v>Fiche infoA1</v>
      </c>
      <c r="B31" s="107">
        <f t="shared" si="30"/>
        <v>45852</v>
      </c>
      <c r="C31" s="172">
        <f>+$D$13+13</f>
        <v>45852</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Juillet!BC33</f>
        <v>0</v>
      </c>
      <c r="J31" s="34">
        <f>Juillet!BE33</f>
        <v>0</v>
      </c>
      <c r="K31" s="34">
        <f t="shared" si="15"/>
        <v>0</v>
      </c>
      <c r="L31" s="34" t="str">
        <f t="shared" si="21"/>
        <v/>
      </c>
      <c r="AL31" s="581" t="s">
        <v>351</v>
      </c>
      <c r="BA31" s="349" t="str">
        <f t="shared" si="16"/>
        <v>Fiche infoA1</v>
      </c>
      <c r="BB31" s="107">
        <f t="shared" si="31"/>
        <v>45852</v>
      </c>
      <c r="BC31" s="172">
        <f>+$D$13+13</f>
        <v>45852</v>
      </c>
      <c r="BD31" s="173" t="str">
        <f t="shared" si="32"/>
        <v/>
      </c>
      <c r="BE31" s="173" t="str">
        <f>+IF(OR(BF31=S.CAL!$BJ$3,BF31=S.CAL!$BJ$4),BD31,"")</f>
        <v/>
      </c>
      <c r="BF31" s="351">
        <f>IF($DY$5=S.CAL!$CU$2,Juillet!AR33,IF($DY$5=S.CAL!$CU$3,VLOOKUP(BC31,planning_fp,7,FALSE),""))</f>
        <v>0</v>
      </c>
      <c r="BG31" s="363" t="str">
        <f>Juillet!BL33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45852</v>
      </c>
      <c r="CF31" s="172">
        <f>+$D$13+13</f>
        <v>45852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45852</v>
      </c>
      <c r="EM31" s="16" t="str">
        <f t="shared" si="29"/>
        <v>Fiche infoA145852</v>
      </c>
      <c r="EN31" s="16">
        <f t="shared" si="20"/>
        <v>0</v>
      </c>
      <c r="EQ31" s="16" t="str">
        <f>Juillet!FS33</f>
        <v/>
      </c>
    </row>
    <row r="32" spans="1:147" ht="18" customHeight="1" x14ac:dyDescent="0.2">
      <c r="A32" s="24" t="str">
        <f>+Juillet!BJ34</f>
        <v>Fiche infoA2</v>
      </c>
      <c r="B32" s="107">
        <f t="shared" si="30"/>
        <v>45853</v>
      </c>
      <c r="C32" s="172">
        <f>+$D$13+14</f>
        <v>45853</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Juillet!BC34</f>
        <v>0</v>
      </c>
      <c r="J32" s="34">
        <f>Juillet!BE34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infoA2</v>
      </c>
      <c r="BB32" s="107">
        <f t="shared" si="31"/>
        <v>45853</v>
      </c>
      <c r="BC32" s="172">
        <f>+$D$13+14</f>
        <v>45853</v>
      </c>
      <c r="BD32" s="173" t="str">
        <f t="shared" si="32"/>
        <v/>
      </c>
      <c r="BE32" s="173" t="str">
        <f>+IF(OR(BF32=S.CAL!$BJ$3,BF32=S.CAL!$BJ$4),BD32,"")</f>
        <v/>
      </c>
      <c r="BF32" s="351">
        <f>IF($DY$5=S.CAL!$CU$2,Juillet!AR34,IF($DY$5=S.CAL!$CU$3,VLOOKUP(BC32,planning_fp,7,FALSE),""))</f>
        <v>0</v>
      </c>
      <c r="BG32" s="363" t="str">
        <f>Juillet!BL34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45853</v>
      </c>
      <c r="CF32" s="172">
        <f>+$D$13+14</f>
        <v>45853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45853</v>
      </c>
      <c r="EM32" s="16" t="str">
        <f t="shared" si="29"/>
        <v>Fiche infoA245853</v>
      </c>
      <c r="EN32" s="16">
        <f t="shared" si="20"/>
        <v>0</v>
      </c>
      <c r="EQ32" s="16" t="str">
        <f>Juillet!FS34</f>
        <v/>
      </c>
    </row>
    <row r="33" spans="1:147" ht="18" customHeight="1" x14ac:dyDescent="0.2">
      <c r="A33" s="24" t="str">
        <f>+Juillet!BJ35</f>
        <v>Fiche infoA3</v>
      </c>
      <c r="B33" s="107">
        <f t="shared" si="30"/>
        <v>45854</v>
      </c>
      <c r="C33" s="172">
        <f>+$D$13+15</f>
        <v>45854</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Juillet!BC35</f>
        <v>0</v>
      </c>
      <c r="J33" s="34">
        <f>Juillet!BE35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infoA3</v>
      </c>
      <c r="BB33" s="107">
        <f t="shared" si="31"/>
        <v>45854</v>
      </c>
      <c r="BC33" s="172">
        <f>+$D$13+15</f>
        <v>45854</v>
      </c>
      <c r="BD33" s="173" t="str">
        <f t="shared" si="32"/>
        <v/>
      </c>
      <c r="BE33" s="173" t="str">
        <f>+IF(OR(BF33=S.CAL!$BJ$3,BF33=S.CAL!$BJ$4),BD33,"")</f>
        <v/>
      </c>
      <c r="BF33" s="351">
        <f>IF($DY$5=S.CAL!$CU$2,Juillet!AR35,IF($DY$5=S.CAL!$CU$3,VLOOKUP(BC33,planning_fp,7,FALSE),""))</f>
        <v>0</v>
      </c>
      <c r="BG33" s="363" t="str">
        <f>Juillet!BL35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45854</v>
      </c>
      <c r="CF33" s="172">
        <f>+$D$13+15</f>
        <v>45854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45854</v>
      </c>
      <c r="EM33" s="16" t="str">
        <f t="shared" si="29"/>
        <v>Fiche infoA345854</v>
      </c>
      <c r="EN33" s="16">
        <f t="shared" si="20"/>
        <v>0</v>
      </c>
      <c r="EQ33" s="16" t="str">
        <f>Juillet!FS35</f>
        <v/>
      </c>
    </row>
    <row r="34" spans="1:147" ht="18" customHeight="1" x14ac:dyDescent="0.2">
      <c r="A34" s="24" t="str">
        <f>+Juillet!BJ36</f>
        <v>Fiche infoA4</v>
      </c>
      <c r="B34" s="107">
        <f t="shared" si="30"/>
        <v>45855</v>
      </c>
      <c r="C34" s="172">
        <f>+$D$13+16</f>
        <v>45855</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Juillet!BC36</f>
        <v>0</v>
      </c>
      <c r="J34" s="34">
        <f>Juillet!BE36</f>
        <v>0</v>
      </c>
      <c r="K34" s="34">
        <f t="shared" si="15"/>
        <v>0</v>
      </c>
      <c r="L34" s="34" t="str">
        <f t="shared" si="21"/>
        <v/>
      </c>
      <c r="N34" s="395"/>
      <c r="O34" s="395"/>
      <c r="P34" s="395"/>
      <c r="Q34" s="395"/>
      <c r="R34" s="395"/>
      <c r="T34" s="581">
        <f>+IF(AD34=0,V34,0)</f>
        <v>0</v>
      </c>
      <c r="U34" s="1323" t="str">
        <f>+Juillet!AU4</f>
        <v>A</v>
      </c>
      <c r="V34" s="1323">
        <f>IFERROR(+VLOOKUP(U34,U35:AB39,7,FALSE),"")</f>
        <v>0</v>
      </c>
      <c r="W34" s="2482" t="str">
        <f>Juillet!BS28</f>
        <v>Semaine numéro : 27</v>
      </c>
      <c r="X34" s="2482"/>
      <c r="Y34" s="2482"/>
      <c r="Z34" s="1345"/>
      <c r="AA34" s="1338">
        <f>+IF(Z34&lt;&gt;"",Z34,IF(T34&gt;0,T34,IF(AND(AD34&gt;0,AC34&gt;0),AD34+AC34,IF(AE34&gt;0,0,AC34))))</f>
        <v>0</v>
      </c>
      <c r="AB34" s="1338">
        <f>IF(AND(AA34&gt;45,AD34=AD48),AA34-45,0)</f>
        <v>0</v>
      </c>
      <c r="AC34" s="1344">
        <f>+SUMIF(Juillet!$BK$20:$BK$50,Juillet!AT4,$D$18:$D$48)</f>
        <v>0</v>
      </c>
      <c r="AD34" s="1344">
        <f>+SUMIF(Juin!$BK$20:$BK$50,Juillet!AT4,'Retenue Juin'!$D$18:$D$48)</f>
        <v>0</v>
      </c>
      <c r="AE34" s="1344">
        <f>+SUMIF(Aout!$BK$20:$BK$50,Juillet!AT4,'Retenue Aout'!$D$18:$D$48)</f>
        <v>0</v>
      </c>
      <c r="AF34" s="1338">
        <f>+AC34-AB34</f>
        <v>0</v>
      </c>
      <c r="AK34" s="1211" t="s">
        <v>333</v>
      </c>
      <c r="AL34" s="1324" t="e">
        <f>IF(AL32,+AL24/AL32,0)</f>
        <v>#VALUE!</v>
      </c>
      <c r="BA34" s="349" t="str">
        <f t="shared" si="16"/>
        <v>Fiche infoA4</v>
      </c>
      <c r="BB34" s="107">
        <f t="shared" si="31"/>
        <v>45855</v>
      </c>
      <c r="BC34" s="172">
        <f>+$D$13+16</f>
        <v>45855</v>
      </c>
      <c r="BD34" s="173" t="str">
        <f t="shared" si="32"/>
        <v/>
      </c>
      <c r="BE34" s="173" t="str">
        <f>+IF(OR(BF34=S.CAL!$BJ$3,BF34=S.CAL!$BJ$4),BD34,"")</f>
        <v/>
      </c>
      <c r="BF34" s="351">
        <f>IF($DY$5=S.CAL!$CU$2,Juillet!AR36,IF($DY$5=S.CAL!$CU$3,VLOOKUP(BC34,planning_fp,7,FALSE),""))</f>
        <v>0</v>
      </c>
      <c r="BG34" s="363" t="str">
        <f>Juillet!BL36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45855</v>
      </c>
      <c r="CF34" s="172">
        <f>+$D$13+16</f>
        <v>45855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45855</v>
      </c>
      <c r="EM34" s="16" t="str">
        <f t="shared" si="29"/>
        <v>Fiche infoA445855</v>
      </c>
      <c r="EN34" s="16">
        <f t="shared" si="20"/>
        <v>0</v>
      </c>
      <c r="EQ34" s="16" t="str">
        <f>Juillet!FS36</f>
        <v/>
      </c>
    </row>
    <row r="35" spans="1:147" ht="18" customHeight="1" x14ac:dyDescent="0.2">
      <c r="A35" s="24" t="str">
        <f>+Juillet!BJ37</f>
        <v>Fiche infoA5</v>
      </c>
      <c r="B35" s="107">
        <f t="shared" si="30"/>
        <v>45856</v>
      </c>
      <c r="C35" s="172">
        <f>+$D$13+17</f>
        <v>45856</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Juillet!BC37</f>
        <v>0</v>
      </c>
      <c r="J35" s="34">
        <f>Juillet!BE37</f>
        <v>0</v>
      </c>
      <c r="K35" s="34">
        <f t="shared" si="15"/>
        <v>0</v>
      </c>
      <c r="L35" s="34" t="str">
        <f t="shared" si="21"/>
        <v/>
      </c>
      <c r="N35" s="395"/>
      <c r="O35" s="879" t="s">
        <v>1218</v>
      </c>
      <c r="P35" s="880"/>
      <c r="Q35" s="880"/>
      <c r="R35" s="876"/>
      <c r="T35" s="581">
        <f>+IF(AD35=0,V35,0)</f>
        <v>0</v>
      </c>
      <c r="U35" s="1323" t="str">
        <f>+Juillet!AU5</f>
        <v>A</v>
      </c>
      <c r="V35" s="1323">
        <f>IFERROR(+VLOOKUP(U35,U36:AB39,7,FALSE),"")</f>
        <v>0</v>
      </c>
      <c r="W35" s="2482" t="str">
        <f>Juillet!BS29</f>
        <v>Semaine numéro : 28</v>
      </c>
      <c r="X35" s="2482"/>
      <c r="Y35" s="2482"/>
      <c r="Z35" s="1345"/>
      <c r="AA35" s="1338">
        <f>+IF(Z35&lt;&gt;"",Z35,IF(T35&gt;0,T35,IF(AND(AD35&gt;0,AC35&gt;0),AD35+AC35,IF(AE35&gt;0,0,AC35))))</f>
        <v>0</v>
      </c>
      <c r="AB35" s="1338">
        <f t="shared" ref="AB35:AB39" si="44">IF(AND(AA35&gt;45,AD35=AD49),AA35-45,0)</f>
        <v>0</v>
      </c>
      <c r="AC35" s="1344">
        <f>+SUMIF(Juillet!$BK$20:$BK$50,Juillet!AT5,$D$18:$D$48)</f>
        <v>0</v>
      </c>
      <c r="AD35" s="1344">
        <f>+SUMIF(Juin!$BK$20:$BK$50,Juillet!AT5,'Retenue Juin'!$D$18:$D$48)</f>
        <v>0</v>
      </c>
      <c r="AE35" s="1344">
        <f>+SUMIF(Aout!$BK$20:$BK$50,Juillet!AT5,'Retenue Aout'!$D$18:$D$48)</f>
        <v>0</v>
      </c>
      <c r="AF35" s="1338">
        <f t="shared" ref="AF35:AF39" si="45">+AC35-AB35</f>
        <v>0</v>
      </c>
      <c r="AK35" s="1211"/>
      <c r="AL35" s="1324"/>
      <c r="BA35" s="349" t="str">
        <f t="shared" si="16"/>
        <v>Fiche infoA5</v>
      </c>
      <c r="BB35" s="107">
        <f t="shared" si="31"/>
        <v>45856</v>
      </c>
      <c r="BC35" s="172">
        <f>+$D$13+17</f>
        <v>45856</v>
      </c>
      <c r="BD35" s="173" t="str">
        <f t="shared" si="32"/>
        <v/>
      </c>
      <c r="BE35" s="173" t="str">
        <f>+IF(OR(BF35=S.CAL!$BJ$3,BF35=S.CAL!$BJ$4),BD35,"")</f>
        <v/>
      </c>
      <c r="BF35" s="351">
        <f>IF($DY$5=S.CAL!$CU$2,Juillet!AR37,IF($DY$5=S.CAL!$CU$3,VLOOKUP(BC35,planning_fp,7,FALSE),""))</f>
        <v>0</v>
      </c>
      <c r="BG35" s="363" t="str">
        <f>Juillet!BL37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45856</v>
      </c>
      <c r="CF35" s="172">
        <f>+$D$13+17</f>
        <v>45856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45856</v>
      </c>
      <c r="EM35" s="16" t="str">
        <f t="shared" si="29"/>
        <v>Fiche infoA545856</v>
      </c>
      <c r="EN35" s="16">
        <f t="shared" si="20"/>
        <v>0</v>
      </c>
      <c r="EQ35" s="16" t="str">
        <f>Juillet!FS37</f>
        <v/>
      </c>
    </row>
    <row r="36" spans="1:147" ht="18" customHeight="1" x14ac:dyDescent="0.2">
      <c r="A36" s="24" t="str">
        <f>+Juillet!BJ38</f>
        <v>Fiche infoA6</v>
      </c>
      <c r="B36" s="107">
        <f t="shared" si="30"/>
        <v>45857</v>
      </c>
      <c r="C36" s="172">
        <f>+$D$13+18</f>
        <v>45857</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Juillet!BC38</f>
        <v>0</v>
      </c>
      <c r="J36" s="34">
        <f>Juillet!BE38</f>
        <v>0</v>
      </c>
      <c r="K36" s="34">
        <f t="shared" si="15"/>
        <v>0</v>
      </c>
      <c r="L36" s="34" t="str">
        <f t="shared" si="21"/>
        <v/>
      </c>
      <c r="N36" s="395"/>
      <c r="O36" s="486"/>
      <c r="P36" s="487" t="str">
        <f>+E11&amp;" / ( "&amp;E10&amp;" + "&amp;E11&amp;" ) ="</f>
        <v>0 / ( 0 + 0 ) =</v>
      </c>
      <c r="Q36" s="486" t="e">
        <f>+ROUND(E11/(E11+E10),6)</f>
        <v>#DIV/0!</v>
      </c>
      <c r="R36" s="395"/>
      <c r="U36" s="1323" t="str">
        <f>+Juillet!AU6</f>
        <v>A</v>
      </c>
      <c r="V36" s="1323"/>
      <c r="W36" s="2482" t="str">
        <f>Juillet!BS30</f>
        <v>Semaine numéro : 29</v>
      </c>
      <c r="X36" s="2482"/>
      <c r="Y36" s="2482"/>
      <c r="Z36" s="1345"/>
      <c r="AA36" s="1338">
        <f t="shared" ref="AA36:AA39" si="46">+IF(Z36="",IF(AND(AD36&gt;0,AC36&gt;0),AD36+AC36,IF(AE36&gt;0,0,AC36)),Z36)</f>
        <v>0</v>
      </c>
      <c r="AB36" s="1338">
        <f t="shared" si="44"/>
        <v>0</v>
      </c>
      <c r="AC36" s="1344">
        <f>+SUMIF(Juillet!$BK$20:$BK$50,Juillet!AT6,$D$18:$D$48)</f>
        <v>0</v>
      </c>
      <c r="AD36" s="1344">
        <f>+SUMIF(Juin!$BK$20:$BK$50,Juillet!AT6,'Retenue Juin'!$D$18:$D$48)</f>
        <v>0</v>
      </c>
      <c r="AE36" s="1344">
        <f>+SUMIF(Aout!$BK$20:$BK$50,Juillet!AT6,'Retenue Aout'!$D$18:$D$48)</f>
        <v>0</v>
      </c>
      <c r="AF36" s="1338">
        <f t="shared" si="45"/>
        <v>0</v>
      </c>
      <c r="AK36" s="1211"/>
      <c r="AL36" s="1324"/>
      <c r="BA36" s="349" t="str">
        <f t="shared" si="16"/>
        <v>Fiche infoA6</v>
      </c>
      <c r="BB36" s="107">
        <f t="shared" si="31"/>
        <v>45857</v>
      </c>
      <c r="BC36" s="172">
        <f>+$D$13+18</f>
        <v>45857</v>
      </c>
      <c r="BD36" s="173" t="str">
        <f t="shared" si="32"/>
        <v/>
      </c>
      <c r="BE36" s="173" t="str">
        <f>+IF(OR(BF36=S.CAL!$BJ$3,BF36=S.CAL!$BJ$4),BD36,"")</f>
        <v/>
      </c>
      <c r="BF36" s="351">
        <f>IF($DY$5=S.CAL!$CU$2,Juillet!AR38,IF($DY$5=S.CAL!$CU$3,VLOOKUP(BC36,planning_fp,7,FALSE),""))</f>
        <v>0</v>
      </c>
      <c r="BG36" s="363" t="str">
        <f>Juillet!BL38</f>
        <v>A</v>
      </c>
      <c r="BH36" s="374"/>
      <c r="BI36" s="375"/>
      <c r="BJ36" s="373"/>
      <c r="BK36" s="373"/>
      <c r="BL36" s="35"/>
      <c r="BS36" s="191"/>
      <c r="BT36" s="360"/>
      <c r="BU36" s="360"/>
      <c r="BV36" s="373"/>
      <c r="BW36" s="373"/>
      <c r="BX36" s="373"/>
      <c r="BY36" s="373"/>
      <c r="BZ36" s="373"/>
      <c r="CA36" s="373"/>
      <c r="CB36" s="373"/>
      <c r="CD36" s="346"/>
      <c r="CE36" s="107">
        <f t="shared" si="33"/>
        <v>45857</v>
      </c>
      <c r="CF36" s="172">
        <f>+$D$13+18</f>
        <v>45857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45857</v>
      </c>
      <c r="EM36" s="16" t="str">
        <f t="shared" si="29"/>
        <v>Fiche infoA645857</v>
      </c>
      <c r="EN36" s="16">
        <f t="shared" si="20"/>
        <v>0</v>
      </c>
      <c r="EQ36" s="16" t="str">
        <f>Juillet!FS38</f>
        <v/>
      </c>
    </row>
    <row r="37" spans="1:147" ht="18" customHeight="1" x14ac:dyDescent="0.2">
      <c r="A37" s="24" t="str">
        <f>+Juillet!BJ39</f>
        <v>Fiche infoA7</v>
      </c>
      <c r="B37" s="107">
        <f t="shared" si="30"/>
        <v>45858</v>
      </c>
      <c r="C37" s="172">
        <f>+$D$13+19</f>
        <v>45858</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Juillet!BC39</f>
        <v>0</v>
      </c>
      <c r="J37" s="34">
        <f>Juillet!BE39</f>
        <v>0</v>
      </c>
      <c r="K37" s="34">
        <f t="shared" si="15"/>
        <v>0</v>
      </c>
      <c r="L37" s="34" t="str">
        <f t="shared" si="21"/>
        <v/>
      </c>
      <c r="N37" s="395"/>
      <c r="O37" s="881"/>
      <c r="P37" s="881"/>
      <c r="Q37" s="881"/>
      <c r="R37" s="395"/>
      <c r="U37" s="1323" t="str">
        <f>+Juillet!AU7</f>
        <v>A</v>
      </c>
      <c r="V37" s="1323"/>
      <c r="W37" s="2482" t="str">
        <f>Juillet!BS31</f>
        <v>Semaine numéro : 30</v>
      </c>
      <c r="X37" s="2482"/>
      <c r="Y37" s="2482"/>
      <c r="Z37" s="1345"/>
      <c r="AA37" s="1338">
        <f t="shared" si="46"/>
        <v>0</v>
      </c>
      <c r="AB37" s="1338">
        <f t="shared" si="44"/>
        <v>0</v>
      </c>
      <c r="AC37" s="1344">
        <f>+SUMIF(Juillet!$BK$20:$BK$50,Juillet!AT7,$D$18:$D$48)</f>
        <v>0</v>
      </c>
      <c r="AD37" s="1344">
        <f>+SUMIF(Juin!$BK$20:$BK$50,Juillet!AT7,'Retenue Juin'!$D$18:$D$48)</f>
        <v>0</v>
      </c>
      <c r="AE37" s="1344">
        <f>+SUMIF(Aout!$BK$20:$BK$50,Juillet!AT7,'Retenue Aout'!$D$18:$D$48)</f>
        <v>0</v>
      </c>
      <c r="AF37" s="1338">
        <f t="shared" si="45"/>
        <v>0</v>
      </c>
      <c r="AK37" s="1211"/>
      <c r="AL37" s="2494" t="s">
        <v>334</v>
      </c>
      <c r="AM37" s="2494" t="s">
        <v>335</v>
      </c>
      <c r="AN37" s="2495" t="s">
        <v>336</v>
      </c>
      <c r="AO37" s="2494" t="s">
        <v>337</v>
      </c>
      <c r="AP37" s="2494" t="s">
        <v>357</v>
      </c>
      <c r="AQ37" s="2494" t="s">
        <v>358</v>
      </c>
      <c r="BA37" s="349" t="str">
        <f t="shared" si="16"/>
        <v>Fiche infoA7</v>
      </c>
      <c r="BB37" s="107">
        <f t="shared" si="31"/>
        <v>45858</v>
      </c>
      <c r="BC37" s="172">
        <f>+$D$13+19</f>
        <v>45858</v>
      </c>
      <c r="BD37" s="173" t="str">
        <f t="shared" si="32"/>
        <v/>
      </c>
      <c r="BE37" s="173" t="str">
        <f>+IF(OR(BF37=S.CAL!$BJ$3,BF37=S.CAL!$BJ$4),BD37,"")</f>
        <v/>
      </c>
      <c r="BF37" s="351">
        <f>IF($DY$5=S.CAL!$CU$2,Juillet!AR39,IF($DY$5=S.CAL!$CU$3,VLOOKUP(BC37,planning_fp,7,FALSE),""))</f>
        <v>0</v>
      </c>
      <c r="BG37" s="363" t="str">
        <f>Juillet!BL39</f>
        <v>A</v>
      </c>
      <c r="BH37" s="373"/>
      <c r="BI37" s="373"/>
      <c r="BJ37" s="373"/>
      <c r="BK37" s="373"/>
      <c r="BL37" s="35"/>
      <c r="BO37" s="29"/>
      <c r="BP37" s="34"/>
      <c r="BS37" s="191"/>
      <c r="BT37" s="191"/>
      <c r="BV37" s="373"/>
      <c r="BW37" s="373"/>
      <c r="BX37" s="373"/>
      <c r="BY37" s="373"/>
      <c r="BZ37" s="373"/>
      <c r="CA37" s="373"/>
      <c r="CB37" s="373"/>
      <c r="CD37" s="346"/>
      <c r="CE37" s="107">
        <f t="shared" si="33"/>
        <v>45858</v>
      </c>
      <c r="CF37" s="172">
        <f>+$D$13+19</f>
        <v>45858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45858</v>
      </c>
      <c r="EM37" s="16" t="str">
        <f t="shared" si="29"/>
        <v>Fiche infoA745858</v>
      </c>
      <c r="EN37" s="16">
        <f t="shared" si="20"/>
        <v>0</v>
      </c>
      <c r="EQ37" s="16" t="str">
        <f>Juillet!FS39</f>
        <v/>
      </c>
    </row>
    <row r="38" spans="1:147" ht="18" customHeight="1" x14ac:dyDescent="0.2">
      <c r="A38" s="24" t="str">
        <f>+Juillet!BJ40</f>
        <v>Fiche infoA1</v>
      </c>
      <c r="B38" s="107">
        <f t="shared" si="30"/>
        <v>45859</v>
      </c>
      <c r="C38" s="172">
        <f>+$D$13+20</f>
        <v>45859</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Juillet!BC40</f>
        <v>0</v>
      </c>
      <c r="J38" s="34">
        <f>Juillet!BE40</f>
        <v>0</v>
      </c>
      <c r="K38" s="34">
        <f t="shared" si="15"/>
        <v>0</v>
      </c>
      <c r="L38" s="34" t="str">
        <f t="shared" si="21"/>
        <v/>
      </c>
      <c r="N38" s="395"/>
      <c r="O38" s="882" t="s">
        <v>1472</v>
      </c>
      <c r="P38" s="882"/>
      <c r="Q38" s="882"/>
      <c r="R38" s="878"/>
      <c r="U38" s="1323" t="str">
        <f>+Juillet!AU8</f>
        <v>A</v>
      </c>
      <c r="V38" s="1323"/>
      <c r="W38" s="2482" t="str">
        <f>Juillet!BS32</f>
        <v>Semaine numéro : 31</v>
      </c>
      <c r="X38" s="2482"/>
      <c r="Y38" s="2482"/>
      <c r="Z38" s="1345"/>
      <c r="AA38" s="1338">
        <f t="shared" si="46"/>
        <v>0</v>
      </c>
      <c r="AB38" s="1338">
        <f t="shared" si="44"/>
        <v>0</v>
      </c>
      <c r="AC38" s="1344">
        <f>+SUMIF(Juillet!$BK$20:$BK$50,Juillet!AT8,$D$18:$D$48)</f>
        <v>0</v>
      </c>
      <c r="AD38" s="1344">
        <f>+SUMIF(Juin!$BK$20:$BK$50,Juillet!AT8,'Retenue Juin'!$D$18:$D$48)</f>
        <v>0</v>
      </c>
      <c r="AE38" s="1344">
        <f>+SUMIF(Aout!$BK$20:$BK$50,Juillet!AT8,'Retenue Aout'!$D$18:$D$48)</f>
        <v>0</v>
      </c>
      <c r="AF38" s="1338">
        <f t="shared" si="45"/>
        <v>0</v>
      </c>
      <c r="AL38" s="2494"/>
      <c r="AM38" s="2494"/>
      <c r="AN38" s="2495"/>
      <c r="AO38" s="2494"/>
      <c r="AP38" s="2494"/>
      <c r="AQ38" s="2494"/>
      <c r="BA38" s="349" t="str">
        <f t="shared" si="16"/>
        <v>Fiche infoA1</v>
      </c>
      <c r="BB38" s="107">
        <f t="shared" si="31"/>
        <v>45859</v>
      </c>
      <c r="BC38" s="172">
        <f>+$D$13+20</f>
        <v>45859</v>
      </c>
      <c r="BD38" s="173" t="str">
        <f t="shared" si="32"/>
        <v/>
      </c>
      <c r="BE38" s="173" t="str">
        <f>+IF(OR(BF38=S.CAL!$BJ$3,BF38=S.CAL!$BJ$4),BD38,"")</f>
        <v/>
      </c>
      <c r="BF38" s="351">
        <f>IF($DY$5=S.CAL!$CU$2,Juillet!AR40,IF($DY$5=S.CAL!$CU$3,VLOOKUP(BC38,planning_fp,7,FALSE),""))</f>
        <v>0</v>
      </c>
      <c r="BG38" s="363" t="str">
        <f>Juillet!BL40</f>
        <v>A</v>
      </c>
      <c r="BH38" s="373"/>
      <c r="BI38" s="373"/>
      <c r="BJ38" s="373"/>
      <c r="BK38" s="373"/>
      <c r="BL38" s="35"/>
      <c r="BO38" s="29"/>
      <c r="BP38" s="34"/>
      <c r="BS38" s="191"/>
      <c r="BT38" s="191"/>
      <c r="BV38" s="373"/>
      <c r="BW38" s="373"/>
      <c r="BX38" s="373"/>
      <c r="BY38" s="373"/>
      <c r="BZ38" s="373"/>
      <c r="CA38" s="373"/>
      <c r="CB38" s="373"/>
      <c r="CD38" s="346"/>
      <c r="CE38" s="107">
        <f t="shared" si="33"/>
        <v>45859</v>
      </c>
      <c r="CF38" s="172">
        <f>+$D$13+20</f>
        <v>45859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45859</v>
      </c>
      <c r="EM38" s="16" t="str">
        <f t="shared" si="29"/>
        <v>Fiche infoA145859</v>
      </c>
      <c r="EN38" s="16">
        <f t="shared" si="20"/>
        <v>0</v>
      </c>
      <c r="EQ38" s="16" t="str">
        <f>Juillet!FS40</f>
        <v/>
      </c>
    </row>
    <row r="39" spans="1:147" ht="18" customHeight="1" x14ac:dyDescent="0.2">
      <c r="A39" s="24" t="str">
        <f>+Juillet!BJ41</f>
        <v>Fiche infoA2</v>
      </c>
      <c r="B39" s="107">
        <f t="shared" si="30"/>
        <v>45860</v>
      </c>
      <c r="C39" s="172">
        <f>+$D$13+21</f>
        <v>45860</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Juillet!BC41</f>
        <v>0</v>
      </c>
      <c r="J39" s="34">
        <f>Juillet!BE41</f>
        <v>0</v>
      </c>
      <c r="K39" s="34">
        <f t="shared" si="15"/>
        <v>0</v>
      </c>
      <c r="L39" s="34" t="str">
        <f t="shared" si="21"/>
        <v/>
      </c>
      <c r="N39" s="395"/>
      <c r="O39" s="486"/>
      <c r="P39" s="487" t="str">
        <f>+E10&amp;" / ( "&amp;E10&amp;" + "&amp;E11&amp;" ) ="</f>
        <v>0 / ( 0 + 0 ) =</v>
      </c>
      <c r="Q39" s="486" t="e">
        <f>ROUND(+E10/(E11+E10),6)</f>
        <v>#DIV/0!</v>
      </c>
      <c r="R39" s="395"/>
      <c r="U39" s="1323" t="str">
        <f>+Juillet!AU9</f>
        <v>A</v>
      </c>
      <c r="V39" s="1323"/>
      <c r="W39" s="2482" t="str">
        <f>Juillet!BS33</f>
        <v xml:space="preserve">Semaine numéro : </v>
      </c>
      <c r="X39" s="2482"/>
      <c r="Y39" s="2482"/>
      <c r="Z39" s="1345"/>
      <c r="AA39" s="1338">
        <f t="shared" si="46"/>
        <v>0</v>
      </c>
      <c r="AB39" s="1338">
        <f t="shared" si="44"/>
        <v>0</v>
      </c>
      <c r="AC39" s="1344">
        <f>+SUMIF(Juillet!$BK$20:$BK$50,Juillet!AT9,$D$18:$D$48)</f>
        <v>0</v>
      </c>
      <c r="AD39" s="1344">
        <f>+SUMIF(Juin!$BK$20:$BK$50,Juillet!AT9,'Retenue Juin'!$D$18:$D$48)</f>
        <v>0</v>
      </c>
      <c r="AE39" s="1344">
        <f>+SUMIF(Aout!$BK$20:$BK$50,Juillet!AT9,'Retenue Aout'!$D$18:$D$48)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infoA2</v>
      </c>
      <c r="BB39" s="107">
        <f t="shared" si="31"/>
        <v>45860</v>
      </c>
      <c r="BC39" s="172">
        <f>+$D$13+21</f>
        <v>45860</v>
      </c>
      <c r="BD39" s="173" t="str">
        <f t="shared" si="32"/>
        <v/>
      </c>
      <c r="BE39" s="173" t="str">
        <f>+IF(OR(BF39=S.CAL!$BJ$3,BF39=S.CAL!$BJ$4),BD39,"")</f>
        <v/>
      </c>
      <c r="BF39" s="351">
        <f>IF($DY$5=S.CAL!$CU$2,Juillet!AR41,IF($DY$5=S.CAL!$CU$3,VLOOKUP(BC39,planning_fp,7,FALSE),""))</f>
        <v>0</v>
      </c>
      <c r="BG39" s="363" t="str">
        <f>Juillet!BL41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45860</v>
      </c>
      <c r="CF39" s="172">
        <f>+$D$13+21</f>
        <v>45860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45860</v>
      </c>
      <c r="EM39" s="16" t="str">
        <f t="shared" si="29"/>
        <v>Fiche infoA245860</v>
      </c>
      <c r="EN39" s="16">
        <f t="shared" si="20"/>
        <v>0</v>
      </c>
      <c r="EQ39" s="16" t="str">
        <f>Juillet!FS41</f>
        <v/>
      </c>
    </row>
    <row r="40" spans="1:147" ht="18" customHeight="1" x14ac:dyDescent="0.2">
      <c r="A40" s="24" t="str">
        <f>+Juillet!BJ42</f>
        <v>Fiche infoA3</v>
      </c>
      <c r="B40" s="107">
        <f t="shared" si="30"/>
        <v>45861</v>
      </c>
      <c r="C40" s="172">
        <f>+$D$13+22</f>
        <v>45861</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Juillet!BC42</f>
        <v>0</v>
      </c>
      <c r="J40" s="34">
        <f>Juillet!BE42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infoA3</v>
      </c>
      <c r="BB40" s="107">
        <f t="shared" si="31"/>
        <v>45861</v>
      </c>
      <c r="BC40" s="172">
        <f>+$D$13+22</f>
        <v>45861</v>
      </c>
      <c r="BD40" s="173" t="str">
        <f t="shared" si="32"/>
        <v/>
      </c>
      <c r="BE40" s="173" t="str">
        <f>+IF(OR(BF40=S.CAL!$BJ$3,BF40=S.CAL!$BJ$4),BD40,"")</f>
        <v/>
      </c>
      <c r="BF40" s="351">
        <f>IF($DY$5=S.CAL!$CU$2,Juillet!AR42,IF($DY$5=S.CAL!$CU$3,VLOOKUP(BC40,planning_fp,7,FALSE),""))</f>
        <v>0</v>
      </c>
      <c r="BG40" s="363" t="str">
        <f>Juillet!BL42</f>
        <v>A</v>
      </c>
      <c r="BH40" s="373"/>
      <c r="BI40" s="373"/>
      <c r="BJ40" s="373"/>
      <c r="BK40" s="373"/>
      <c r="BL40" s="35"/>
      <c r="BN40" s="19"/>
      <c r="BO40" s="39"/>
      <c r="BP40" s="196"/>
      <c r="BV40" s="373"/>
      <c r="BW40" s="373"/>
      <c r="BX40" s="390"/>
      <c r="BY40" s="373"/>
      <c r="BZ40" s="373"/>
      <c r="CA40" s="373"/>
      <c r="CB40" s="373"/>
      <c r="CD40" s="346"/>
      <c r="CE40" s="107">
        <f t="shared" si="33"/>
        <v>45861</v>
      </c>
      <c r="CF40" s="172">
        <f>+$D$13+22</f>
        <v>45861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45861</v>
      </c>
      <c r="EM40" s="16" t="str">
        <f t="shared" si="29"/>
        <v>Fiche infoA345861</v>
      </c>
      <c r="EN40" s="16">
        <f t="shared" si="20"/>
        <v>0</v>
      </c>
      <c r="EQ40" s="16" t="str">
        <f>Juillet!FS42</f>
        <v/>
      </c>
    </row>
    <row r="41" spans="1:147" ht="18" customHeight="1" x14ac:dyDescent="0.2">
      <c r="A41" s="24" t="str">
        <f>+Juillet!BJ43</f>
        <v>Fiche infoA4</v>
      </c>
      <c r="B41" s="107">
        <f t="shared" si="30"/>
        <v>45862</v>
      </c>
      <c r="C41" s="172">
        <f>+$D$13+23</f>
        <v>45862</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Juillet!BC43</f>
        <v>0</v>
      </c>
      <c r="J41" s="34">
        <f>Juillet!BE43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infoA4</v>
      </c>
      <c r="BB41" s="107">
        <f t="shared" si="31"/>
        <v>45862</v>
      </c>
      <c r="BC41" s="172">
        <f>+$D$13+23</f>
        <v>45862</v>
      </c>
      <c r="BD41" s="173" t="str">
        <f t="shared" si="32"/>
        <v/>
      </c>
      <c r="BE41" s="173" t="str">
        <f>+IF(OR(BF41=S.CAL!$BJ$3,BF41=S.CAL!$BJ$4),BD41,"")</f>
        <v/>
      </c>
      <c r="BF41" s="351">
        <f>IF($DY$5=S.CAL!$CU$2,Juillet!AR43,IF($DY$5=S.CAL!$CU$3,VLOOKUP(BC41,planning_fp,7,FALSE),""))</f>
        <v>0</v>
      </c>
      <c r="BG41" s="363" t="str">
        <f>Juillet!BL43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45862</v>
      </c>
      <c r="CF41" s="172">
        <f>+$D$13+23</f>
        <v>45862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45862</v>
      </c>
      <c r="EM41" s="16" t="str">
        <f t="shared" si="29"/>
        <v>Fiche infoA445862</v>
      </c>
      <c r="EN41" s="16">
        <f t="shared" si="20"/>
        <v>0</v>
      </c>
      <c r="EQ41" s="16" t="str">
        <f>Juillet!FS43</f>
        <v/>
      </c>
    </row>
    <row r="42" spans="1:147" ht="18" customHeight="1" x14ac:dyDescent="0.2">
      <c r="A42" s="24" t="str">
        <f>+Juillet!BJ44</f>
        <v>Fiche infoA5</v>
      </c>
      <c r="B42" s="107">
        <f t="shared" si="30"/>
        <v>45863</v>
      </c>
      <c r="C42" s="172">
        <f>+$D$13+24</f>
        <v>45863</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Juillet!BC44</f>
        <v>0</v>
      </c>
      <c r="J42" s="34">
        <f>Juillet!BE44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infoA5</v>
      </c>
      <c r="BB42" s="107">
        <f t="shared" si="31"/>
        <v>45863</v>
      </c>
      <c r="BC42" s="172">
        <f>+$D$13+24</f>
        <v>45863</v>
      </c>
      <c r="BD42" s="173" t="str">
        <f t="shared" si="32"/>
        <v/>
      </c>
      <c r="BE42" s="173" t="str">
        <f>+IF(OR(BF42=S.CAL!$BJ$3,BF42=S.CAL!$BJ$4),BD42,"")</f>
        <v/>
      </c>
      <c r="BF42" s="351">
        <f>IF($DY$5=S.CAL!$CU$2,Juillet!AR44,IF($DY$5=S.CAL!$CU$3,VLOOKUP(BC42,planning_fp,7,FALSE),""))</f>
        <v>0</v>
      </c>
      <c r="BG42" s="363" t="str">
        <f>Juillet!BL44</f>
        <v>A</v>
      </c>
      <c r="BH42" s="374"/>
      <c r="BI42" s="376"/>
      <c r="BJ42" s="373"/>
      <c r="BK42" s="373"/>
      <c r="BL42" s="35"/>
      <c r="BV42" s="373"/>
      <c r="BW42" s="373"/>
      <c r="BX42" s="373"/>
      <c r="BY42" s="373"/>
      <c r="BZ42" s="373"/>
      <c r="CA42" s="373"/>
      <c r="CB42" s="373"/>
      <c r="CD42" s="346"/>
      <c r="CE42" s="107">
        <f t="shared" si="33"/>
        <v>45863</v>
      </c>
      <c r="CF42" s="172">
        <f>+$D$13+24</f>
        <v>45863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45863</v>
      </c>
      <c r="EM42" s="16" t="str">
        <f t="shared" si="29"/>
        <v>Fiche infoA545863</v>
      </c>
      <c r="EN42" s="16">
        <f t="shared" si="20"/>
        <v>0</v>
      </c>
      <c r="EQ42" s="16" t="str">
        <f>Juillet!FS44</f>
        <v/>
      </c>
    </row>
    <row r="43" spans="1:147" ht="18" customHeight="1" x14ac:dyDescent="0.2">
      <c r="A43" s="24" t="str">
        <f>+Juillet!BJ45</f>
        <v>Fiche infoA6</v>
      </c>
      <c r="B43" s="107">
        <f t="shared" si="30"/>
        <v>45864</v>
      </c>
      <c r="C43" s="172">
        <f>+$D$13+25</f>
        <v>45864</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Juillet!BC45</f>
        <v>0</v>
      </c>
      <c r="J43" s="34">
        <f>Juillet!BE45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infoA6</v>
      </c>
      <c r="BB43" s="107">
        <f t="shared" si="31"/>
        <v>45864</v>
      </c>
      <c r="BC43" s="172">
        <f>+$D$13+25</f>
        <v>45864</v>
      </c>
      <c r="BD43" s="173" t="str">
        <f t="shared" si="32"/>
        <v/>
      </c>
      <c r="BE43" s="173" t="str">
        <f>+IF(OR(BF43=S.CAL!$BJ$3,BF43=S.CAL!$BJ$4),BD43,"")</f>
        <v/>
      </c>
      <c r="BF43" s="351">
        <f>IF($DY$5=S.CAL!$CU$2,Juillet!AR45,IF($DY$5=S.CAL!$CU$3,VLOOKUP(BC43,planning_fp,7,FALSE),""))</f>
        <v>0</v>
      </c>
      <c r="BG43" s="363" t="str">
        <f>Juillet!BL45</f>
        <v>A</v>
      </c>
      <c r="BH43" s="24"/>
      <c r="BI43" s="24" t="s">
        <v>708</v>
      </c>
      <c r="BJ43" s="24"/>
      <c r="BK43" s="373"/>
      <c r="BL43" s="35"/>
      <c r="BV43" s="373"/>
      <c r="BW43" s="373"/>
      <c r="BX43" s="373"/>
      <c r="BY43" s="373"/>
      <c r="BZ43" s="373"/>
      <c r="CA43" s="373"/>
      <c r="CB43" s="373"/>
      <c r="CD43" s="346"/>
      <c r="CE43" s="107">
        <f t="shared" si="33"/>
        <v>45864</v>
      </c>
      <c r="CF43" s="172">
        <f>+$D$13+25</f>
        <v>45864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45864</v>
      </c>
      <c r="EM43" s="16" t="str">
        <f t="shared" si="29"/>
        <v>Fiche infoA645864</v>
      </c>
      <c r="EN43" s="16">
        <f t="shared" si="20"/>
        <v>0</v>
      </c>
      <c r="EQ43" s="16" t="str">
        <f>Juillet!FS45</f>
        <v/>
      </c>
    </row>
    <row r="44" spans="1:147" ht="18" customHeight="1" x14ac:dyDescent="0.25">
      <c r="A44" s="24" t="str">
        <f>+Juillet!BJ46</f>
        <v>Fiche infoA7</v>
      </c>
      <c r="B44" s="107">
        <f t="shared" si="30"/>
        <v>45865</v>
      </c>
      <c r="C44" s="172">
        <f>+$D$13+26</f>
        <v>45865</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Juillet!BC46</f>
        <v>0</v>
      </c>
      <c r="J44" s="34">
        <f>Juillet!BE46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infoA7</v>
      </c>
      <c r="BB44" s="107">
        <f t="shared" si="31"/>
        <v>45865</v>
      </c>
      <c r="BC44" s="172">
        <f>+$D$13+26</f>
        <v>45865</v>
      </c>
      <c r="BD44" s="173" t="str">
        <f t="shared" si="32"/>
        <v/>
      </c>
      <c r="BE44" s="173" t="str">
        <f>+IF(OR(BF44=S.CAL!$BJ$3,BF44=S.CAL!$BJ$4),BD44,"")</f>
        <v/>
      </c>
      <c r="BF44" s="351">
        <f>IF($DY$5=S.CAL!$CU$2,Juillet!AR46,IF($DY$5=S.CAL!$CU$3,VLOOKUP(BC44,planning_fp,7,FALSE),""))</f>
        <v>0</v>
      </c>
      <c r="BG44" s="363" t="str">
        <f>Juillet!BL46</f>
        <v>A</v>
      </c>
      <c r="BH44" s="24" t="s">
        <v>800</v>
      </c>
      <c r="BI44" s="24"/>
      <c r="BJ44" s="24"/>
      <c r="BK44" s="373"/>
      <c r="BL44" s="35"/>
      <c r="BV44" s="373"/>
      <c r="BW44" s="373"/>
      <c r="BX44" s="373"/>
      <c r="BY44" s="373"/>
      <c r="BZ44" s="373"/>
      <c r="CA44" s="373"/>
      <c r="CB44" s="373"/>
      <c r="CD44" s="346"/>
      <c r="CE44" s="107">
        <f t="shared" si="33"/>
        <v>45865</v>
      </c>
      <c r="CF44" s="172">
        <f>+$D$13+26</f>
        <v>45865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45865</v>
      </c>
      <c r="EM44" s="16" t="str">
        <f t="shared" si="29"/>
        <v>Fiche infoA745865</v>
      </c>
      <c r="EN44" s="16">
        <f t="shared" si="20"/>
        <v>0</v>
      </c>
      <c r="EQ44" s="16" t="str">
        <f>Juillet!FS46</f>
        <v/>
      </c>
    </row>
    <row r="45" spans="1:147" ht="18" customHeight="1" x14ac:dyDescent="0.2">
      <c r="A45" s="24" t="str">
        <f>+Juillet!BJ47</f>
        <v>Fiche infoA1</v>
      </c>
      <c r="B45" s="107">
        <f t="shared" si="30"/>
        <v>45866</v>
      </c>
      <c r="C45" s="172">
        <f>IF(C$18+27&lt;DATE(YEAR(O$13),MONTH(O$13),DAY(O$13)),C$18+27,"")</f>
        <v>45866</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Juillet!BC47</f>
        <v>0</v>
      </c>
      <c r="J45" s="34">
        <f>Juillet!BE47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infoA1</v>
      </c>
      <c r="BB45" s="107">
        <f t="shared" si="31"/>
        <v>45866</v>
      </c>
      <c r="BC45" s="172">
        <f>IF(BC$18+27&lt;DATE(YEAR(BH$13),MONTH(BH$13),DAY(BH$13)),BC$18+27,"")</f>
        <v>45866</v>
      </c>
      <c r="BD45" s="173" t="str">
        <f t="shared" si="32"/>
        <v/>
      </c>
      <c r="BE45" s="173" t="str">
        <f>+IF(OR(BF45=S.CAL!$BJ$3,BF45=S.CAL!$BJ$4),BD45,"")</f>
        <v/>
      </c>
      <c r="BF45" s="351">
        <f>IF($DY$5=S.CAL!$CU$2,Juillet!AR47,IF($DY$5=S.CAL!$CU$3,VLOOKUP(BC45,planning_fp,7,FALSE),""))</f>
        <v>0</v>
      </c>
      <c r="BG45" s="363" t="str">
        <f>Juillet!BL47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45866</v>
      </c>
      <c r="CF45" s="172">
        <f>IF(CF$18+27&lt;DATE(YEAR(CQ$13),MONTH(CQ$13),DAY(CQ$13)),CF$18+27,"")</f>
        <v>45866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45866</v>
      </c>
      <c r="EM45" s="16" t="str">
        <f t="shared" si="29"/>
        <v>Fiche infoA145866</v>
      </c>
      <c r="EN45" s="16">
        <f t="shared" si="20"/>
        <v>0</v>
      </c>
      <c r="EQ45" s="16" t="str">
        <f>Juillet!FS47</f>
        <v/>
      </c>
    </row>
    <row r="46" spans="1:147" ht="18" customHeight="1" x14ac:dyDescent="0.2">
      <c r="A46" s="24" t="str">
        <f>+Juillet!BJ48</f>
        <v>Fiche infoA2</v>
      </c>
      <c r="B46" s="107">
        <f t="shared" si="30"/>
        <v>45867</v>
      </c>
      <c r="C46" s="172">
        <f>IF(C$18+28&lt;DATE(YEAR(O$13),MONTH(O$13),DAY(O$13)),C$18+28,"")</f>
        <v>45867</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Juillet!BC48</f>
        <v>0</v>
      </c>
      <c r="J46" s="34">
        <f>Juillet!BE48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infoA2</v>
      </c>
      <c r="BB46" s="107">
        <f t="shared" si="31"/>
        <v>45867</v>
      </c>
      <c r="BC46" s="172">
        <f>IF(BC$18+28&lt;DATE(YEAR(BH$13),MONTH(BH$13),DAY(BH$13)),BC$18+28,"")</f>
        <v>45867</v>
      </c>
      <c r="BD46" s="173" t="str">
        <f t="shared" si="32"/>
        <v/>
      </c>
      <c r="BE46" s="173" t="str">
        <f>+IF(OR(BF46=S.CAL!$BJ$3,BF46=S.CAL!$BJ$4),BD46,"")</f>
        <v/>
      </c>
      <c r="BF46" s="351">
        <f>IF($DY$5=S.CAL!$CU$2,Juillet!AR48,IF($DY$5=S.CAL!$CU$3,VLOOKUP(BC46,planning_fp,7,FALSE),""))</f>
        <v>0</v>
      </c>
      <c r="BG46" s="363" t="str">
        <f>Juillet!BL48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45867</v>
      </c>
      <c r="CF46" s="172">
        <f>IF(CF$18+28&lt;DATE(YEAR(CQ$13),MONTH(CQ$13),DAY(CQ$13)),CF$18+28,"")</f>
        <v>45867</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45867</v>
      </c>
      <c r="EM46" s="16" t="str">
        <f t="shared" si="29"/>
        <v>Fiche infoA245867</v>
      </c>
      <c r="EN46" s="16">
        <f t="shared" si="20"/>
        <v>0</v>
      </c>
      <c r="EQ46" s="16" t="str">
        <f>Juillet!FS48</f>
        <v/>
      </c>
    </row>
    <row r="47" spans="1:147" ht="18" customHeight="1" x14ac:dyDescent="0.2">
      <c r="A47" s="24" t="str">
        <f>+Juillet!BJ49</f>
        <v>Fiche infoA3</v>
      </c>
      <c r="B47" s="107">
        <f t="shared" si="30"/>
        <v>45868</v>
      </c>
      <c r="C47" s="172">
        <f>IF(C$18+29&lt;DATE(YEAR(O$13),MONTH(O$13),DAY(O$13)),C$18+29,"")</f>
        <v>45868</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Juillet!BC49</f>
        <v>0</v>
      </c>
      <c r="J47" s="34">
        <f>Juillet!BE49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2">SUM(AP39:AP46)</f>
        <v>0</v>
      </c>
      <c r="AQ47" s="1224">
        <f t="shared" si="52"/>
        <v>0</v>
      </c>
      <c r="BA47" s="349" t="str">
        <f t="shared" si="16"/>
        <v>Fiche infoA3</v>
      </c>
      <c r="BB47" s="107">
        <f t="shared" si="31"/>
        <v>45868</v>
      </c>
      <c r="BC47" s="172">
        <f>IF(BC$18+29&lt;DATE(YEAR(BH$13),MONTH(BH$13),DAY(BH$13)),BC$18+29,"")</f>
        <v>45868</v>
      </c>
      <c r="BD47" s="173" t="str">
        <f t="shared" si="32"/>
        <v/>
      </c>
      <c r="BE47" s="173" t="str">
        <f>+IF(OR(BF47=S.CAL!$BJ$3,BF47=S.CAL!$BJ$4),BD47,"")</f>
        <v/>
      </c>
      <c r="BF47" s="351">
        <f>IF($DY$5=S.CAL!$CU$2,Juillet!AR49,IF($DY$5=S.CAL!$CU$3,VLOOKUP(BC47,planning_fp,7,FALSE),""))</f>
        <v>0</v>
      </c>
      <c r="BG47" s="363" t="str">
        <f>Juillet!BL49</f>
        <v>A</v>
      </c>
      <c r="BH47" s="373"/>
      <c r="BI47" s="373"/>
      <c r="BJ47" s="373"/>
      <c r="BK47" s="373"/>
      <c r="BL47" s="35"/>
      <c r="BV47" s="373"/>
      <c r="BW47" s="373"/>
      <c r="BX47" s="373"/>
      <c r="BY47" s="373"/>
      <c r="BZ47" s="373"/>
      <c r="CA47" s="373"/>
      <c r="CB47" s="373"/>
      <c r="CD47" s="346"/>
      <c r="CE47" s="107">
        <f t="shared" si="33"/>
        <v>45868</v>
      </c>
      <c r="CF47" s="172">
        <f>IF(CF$18+29&lt;DATE(YEAR(CQ$13),MONTH(CQ$13),DAY(CQ$13)),CF$18+29,"")</f>
        <v>45868</v>
      </c>
      <c r="CG47" s="173">
        <f t="shared" si="22"/>
        <v>0</v>
      </c>
      <c r="CH47" s="34"/>
      <c r="CI47" s="129"/>
      <c r="CJ47" s="129"/>
      <c r="CK47" s="595"/>
      <c r="CL47" s="2501"/>
      <c r="CM47" s="2503"/>
      <c r="CN47" s="2084"/>
      <c r="CO47" s="198" t="str">
        <f t="shared" ref="CO47" si="53">AC47</f>
        <v>mois en cours</v>
      </c>
      <c r="CP47" s="198" t="str">
        <f t="shared" ref="CP47" si="54">AD47</f>
        <v>mois avant</v>
      </c>
      <c r="CQ47" s="198" t="str">
        <f t="shared" ref="CQ47" si="55">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45868</v>
      </c>
      <c r="EM47" s="16" t="str">
        <f t="shared" si="29"/>
        <v>Fiche infoA345868</v>
      </c>
      <c r="EN47" s="16">
        <f t="shared" si="20"/>
        <v>0</v>
      </c>
      <c r="EQ47" s="16" t="str">
        <f>Juillet!FS49</f>
        <v/>
      </c>
    </row>
    <row r="48" spans="1:147" ht="18" customHeight="1" thickBot="1" x14ac:dyDescent="0.25">
      <c r="A48" s="24" t="str">
        <f>+Juillet!BJ50</f>
        <v>Fiche infoA4</v>
      </c>
      <c r="B48" s="110">
        <f t="shared" si="30"/>
        <v>45869</v>
      </c>
      <c r="C48" s="192">
        <f>IF(C$18+30&lt;DATE(YEAR(O$13),MONTH(O$13),DAY(O$13)),C$18+30,"")</f>
        <v>45869</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Juillet!BC50</f>
        <v>0</v>
      </c>
      <c r="J48" s="34">
        <f>Juillet!BE50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6">W34</f>
        <v>Semaine numéro : 27</v>
      </c>
      <c r="X48" s="2482"/>
      <c r="Y48" s="2482"/>
      <c r="Z48" s="1345" t="str">
        <f>+IF(Z34="","",Z34)</f>
        <v/>
      </c>
      <c r="AA48" s="1338">
        <f>+IF(Z48="",IF(AND(AD48&gt;0,AC48&gt;0),AD48+AC48,IF(AE48&gt;0,0,AC48)),Z48)</f>
        <v>0</v>
      </c>
      <c r="AB48" s="1338">
        <f>IF(AA48&gt;45,AA48-45,0)</f>
        <v>0</v>
      </c>
      <c r="AC48" s="1344">
        <f>+SUMIF(Juillet!$BK$20:$BK$50,Juillet!AT4,$D$18:$D$48)-SUMIF(Juillet!$BK$20:$BK$50,Juillet!AT4,$E$18:$E$48)</f>
        <v>0</v>
      </c>
      <c r="AD48" s="1344">
        <f>+SUMIF(Juin!$BK$20:$BK$50,Juillet!AT4,'Retenue Juin'!$D$18:$D$48)-SUMIF(Juin!$BK$20:$BK$50,Juillet!AT4,'Retenue Juin'!$E$18:$E$48)</f>
        <v>0</v>
      </c>
      <c r="AE48" s="1344">
        <f>+SUMIF(Aout!$BK$20:$BK$50,Juillet!AT4,'Retenue Aout'!$D$18:$D$48)-SUMIF(Aout!$BK$20:$BK$50,Juillet!AT4,'Retenue Aout'!$E$18:$E$48)</f>
        <v>0</v>
      </c>
      <c r="AF48" s="1338">
        <f>+AC48-AB48</f>
        <v>0</v>
      </c>
      <c r="AK48" s="1211"/>
      <c r="AL48" s="1224"/>
      <c r="AO48" s="1224">
        <f>+AN39*AL26</f>
        <v>0</v>
      </c>
      <c r="AP48" s="1224">
        <f>+AO48*(1-AX21)</f>
        <v>0</v>
      </c>
      <c r="AQ48" s="1224">
        <f>+AO48-AP48</f>
        <v>0</v>
      </c>
      <c r="BA48" s="349" t="str">
        <f t="shared" si="16"/>
        <v>Fiche infoA4</v>
      </c>
      <c r="BB48" s="110">
        <f t="shared" si="31"/>
        <v>45869</v>
      </c>
      <c r="BC48" s="192">
        <f>IF(BC$18+30&lt;DATE(YEAR(BH$13),MONTH(BH$13),DAY(BH$13)),BC$18+30,"")</f>
        <v>45869</v>
      </c>
      <c r="BD48" s="193" t="str">
        <f t="shared" si="32"/>
        <v/>
      </c>
      <c r="BE48" s="193" t="str">
        <f>+IF(OR(BF48=S.CAL!$BJ$3,BF48=S.CAL!$BJ$4),BD48,"")</f>
        <v/>
      </c>
      <c r="BF48" s="352">
        <f>IF($DY$5=S.CAL!$CU$2,Juillet!AR50,IF($DY$5=S.CAL!$CU$3,VLOOKUP(BC48,planning_fp,7,FALSE),""))</f>
        <v>0</v>
      </c>
      <c r="BG48" s="364" t="str">
        <f>Juillet!BL50</f>
        <v>A</v>
      </c>
      <c r="BH48" s="374"/>
      <c r="BI48" s="373"/>
      <c r="BJ48" s="373"/>
      <c r="BK48" s="373"/>
      <c r="BL48" s="35"/>
      <c r="BQ48" s="16" t="s">
        <v>846</v>
      </c>
      <c r="BV48" s="373"/>
      <c r="BW48" s="373"/>
      <c r="BX48" s="373" t="s">
        <v>846</v>
      </c>
      <c r="BZ48" s="373"/>
      <c r="CA48" s="373"/>
      <c r="CB48" s="373"/>
      <c r="CD48" s="346"/>
      <c r="CE48" s="110">
        <f t="shared" si="33"/>
        <v>45869</v>
      </c>
      <c r="CF48" s="192">
        <f>IF(CF$18+30&lt;DATE(YEAR(CQ$13),MONTH(CQ$13),DAY(CQ$13)),CF$18+30,"")</f>
        <v>45869</v>
      </c>
      <c r="CG48" s="193">
        <f t="shared" si="22"/>
        <v>0</v>
      </c>
      <c r="CH48" s="34"/>
      <c r="CI48" s="2491" t="str">
        <f t="shared" ref="CI48:CI53" si="57">W48</f>
        <v>Semaine numéro : 27</v>
      </c>
      <c r="CJ48" s="2492"/>
      <c r="CK48" s="2493"/>
      <c r="CL48" s="893" t="str">
        <f>+IF(CL34="","",CL34)</f>
        <v/>
      </c>
      <c r="CM48" s="674">
        <f>+IF(CL48="",IF(AND(CP48&gt;0,CO48&gt;0),CP48+CO48,IF(CQ48&gt;0,0,CO48)),CL48)</f>
        <v>0</v>
      </c>
      <c r="CN48" s="673">
        <f>IF(CM48&gt;45,CM48-45,0)</f>
        <v>0</v>
      </c>
      <c r="CO48" s="198">
        <f>+SUMIF(Juillet!$BK$20:$BK$50,Juillet!AT4,$CG$18:$CG$48)</f>
        <v>0</v>
      </c>
      <c r="CP48" s="198">
        <f>+SUMIF(Juin!$BK$20:$BK$50,Juillet!AT4,'Retenue Juin'!$CG$18:$CG$48)</f>
        <v>0</v>
      </c>
      <c r="CQ48" s="198">
        <f>+SUMIF(Aout!$BK$20:$BK$50,Juillet!AT4,'Retenue Aout'!$CG$18:$CG$48)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45869</v>
      </c>
      <c r="EM48" s="16" t="str">
        <f t="shared" si="29"/>
        <v>Fiche infoA445869</v>
      </c>
      <c r="EN48" s="16">
        <f t="shared" si="20"/>
        <v>0</v>
      </c>
      <c r="EQ48" s="16" t="str">
        <f>Juillet!FS50</f>
        <v/>
      </c>
    </row>
    <row r="49" spans="2:139" ht="18" customHeight="1" thickBot="1" x14ac:dyDescent="0.25">
      <c r="N49" s="24"/>
      <c r="O49" s="24"/>
      <c r="P49" s="24"/>
      <c r="Q49" s="24"/>
      <c r="R49" s="24"/>
      <c r="S49" s="1347"/>
      <c r="U49" s="1323"/>
      <c r="V49" s="1323"/>
      <c r="W49" s="2482" t="str">
        <f t="shared" si="56"/>
        <v>Semaine numéro : 28</v>
      </c>
      <c r="X49" s="2482"/>
      <c r="Y49" s="2482"/>
      <c r="Z49" s="1345" t="str">
        <f t="shared" ref="Z49:Z53" si="58">+IF(Z35="","",Z35)</f>
        <v/>
      </c>
      <c r="AA49" s="1338">
        <f t="shared" ref="AA49:AA53" si="59">+IF(Z49="",IF(AND(AD49&gt;0,AC49&gt;0),AD49+AC49,IF(AE49&gt;0,0,AC49)),Z49)</f>
        <v>0</v>
      </c>
      <c r="AB49" s="1338">
        <f t="shared" ref="AB49:AB53" si="60">IF(AA49&gt;45,AA49-45,0)</f>
        <v>0</v>
      </c>
      <c r="AC49" s="1344">
        <f>+SUMIF(Juillet!$BK$20:$BK$50,Juillet!AT5,$D$18:$D$48)-SUMIF(Juillet!$BK$20:$BK$50,Juillet!AT5,$E$18:$E$48)</f>
        <v>0</v>
      </c>
      <c r="AD49" s="1344">
        <f>+SUMIF(Juin!$BK$20:$BK$50,Juillet!AT5,'Retenue Juin'!$D$18:$D$48)-SUMIF(Juin!$BK$20:$BK$50,Juillet!AT5,'Retenue Juin'!$E$18:$E$48)</f>
        <v>0</v>
      </c>
      <c r="AE49" s="1344">
        <f>+SUMIF(Aout!$BK$20:$BK$50,Juillet!AT5,'Retenue Aout'!$D$18:$D$48)-SUMIF(Aout!$BK$20:$BK$50,Juillet!AT5,'Retenue Aout'!$E$18:$E$48)</f>
        <v>0</v>
      </c>
      <c r="AF49" s="1338">
        <f t="shared" ref="AF49:AF53" si="61">+AC49-AB49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7"/>
        <v>Semaine numéro : 28</v>
      </c>
      <c r="CJ49" s="2492"/>
      <c r="CK49" s="2493"/>
      <c r="CL49" s="893" t="str">
        <f t="shared" ref="CL49:CL53" si="62">+IF(CL35="","",CL35)</f>
        <v/>
      </c>
      <c r="CM49" s="674">
        <f t="shared" ref="CM49:CM53" si="63">+IF(CL49="",IF(AND(CP49&gt;0,CO49&gt;0),CP49+CO49,IF(CQ49&gt;0,0,CO49)),CL49)</f>
        <v>0</v>
      </c>
      <c r="CN49" s="673">
        <f t="shared" ref="CN49:CN53" si="64">IF(CM49&gt;45,CM49-45,0)</f>
        <v>0</v>
      </c>
      <c r="CO49" s="198">
        <f>+SUMIF(Juillet!$BK$20:$BK$50,Juillet!AT5,$CG$18:$CG$48)</f>
        <v>0</v>
      </c>
      <c r="CP49" s="198">
        <f>+SUMIF(Juin!$BK$20:$BK$50,Juillet!AT5,'Retenue Juin'!$CG$18:$CG$48)</f>
        <v>0</v>
      </c>
      <c r="CQ49" s="198">
        <f>+SUMIF(Aout!$BK$20:$BK$50,Juillet!AT5,'Retenue Aout'!$CG$18:$CG$48)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6"/>
        <v>Semaine numéro : 29</v>
      </c>
      <c r="X50" s="2482"/>
      <c r="Y50" s="2482"/>
      <c r="Z50" s="1345" t="str">
        <f t="shared" si="58"/>
        <v/>
      </c>
      <c r="AA50" s="1338">
        <f t="shared" si="59"/>
        <v>0</v>
      </c>
      <c r="AB50" s="1338">
        <f t="shared" si="60"/>
        <v>0</v>
      </c>
      <c r="AC50" s="1344">
        <f>+SUMIF(Juillet!$BK$20:$BK$50,Juillet!AT6,$D$18:$D$48)-SUMIF(Juillet!$BK$20:$BK$50,Juillet!AT6,$E$18:$E$48)</f>
        <v>0</v>
      </c>
      <c r="AD50" s="1344">
        <f>+SUMIF(Juin!$BK$20:$BK$50,Juillet!AT6,'Retenue Juin'!$D$18:$D$48)-SUMIF(Juin!$BK$20:$BK$50,Juillet!AT6,'Retenue Juin'!$E$18:$E$48)</f>
        <v>0</v>
      </c>
      <c r="AE50" s="1344">
        <f>+SUMIF(Aout!$BK$20:$BK$50,Juillet!AT6,'Retenue Aout'!$D$18:$D$48)-SUMIF(Aout!$BK$20:$BK$50,Juillet!AT6,'Retenue Aout'!$E$18:$E$48)</f>
        <v>0</v>
      </c>
      <c r="AF50" s="1338">
        <f t="shared" si="61"/>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7"/>
        <v>Semaine numéro : 29</v>
      </c>
      <c r="CJ50" s="2492"/>
      <c r="CK50" s="2493"/>
      <c r="CL50" s="893" t="str">
        <f t="shared" si="62"/>
        <v/>
      </c>
      <c r="CM50" s="674">
        <f t="shared" si="63"/>
        <v>0</v>
      </c>
      <c r="CN50" s="673">
        <f t="shared" si="64"/>
        <v>0</v>
      </c>
      <c r="CO50" s="198">
        <f>+SUMIF(Juillet!$BK$20:$BK$50,Juillet!AT6,$CG$18:$CG$48)</f>
        <v>0</v>
      </c>
      <c r="CP50" s="198">
        <f>+SUMIF(Juin!$BK$20:$BK$50,Juillet!AT6,'Retenue Juin'!$CG$18:$CG$48)</f>
        <v>0</v>
      </c>
      <c r="CQ50" s="198">
        <f>+SUMIF(Aout!$BK$20:$BK$50,Juillet!AT6,'Retenue Aout'!$CG$18:$CG$48)</f>
        <v>0</v>
      </c>
      <c r="CR50" s="674">
        <f t="shared" si="65"/>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6"/>
        <v>Semaine numéro : 30</v>
      </c>
      <c r="X51" s="2482"/>
      <c r="Y51" s="2482"/>
      <c r="Z51" s="1345" t="str">
        <f t="shared" si="58"/>
        <v/>
      </c>
      <c r="AA51" s="1338">
        <f t="shared" si="59"/>
        <v>0</v>
      </c>
      <c r="AB51" s="1338">
        <f t="shared" si="60"/>
        <v>0</v>
      </c>
      <c r="AC51" s="1344">
        <f>+SUMIF(Juillet!$BK$20:$BK$50,Juillet!AT7,$D$18:$D$48)-SUMIF(Juillet!$BK$20:$BK$50,Juillet!AT7,$E$18:$E$48)</f>
        <v>0</v>
      </c>
      <c r="AD51" s="1344">
        <f>+SUMIF(Juin!$BK$20:$BK$50,Juillet!AT7,'Retenue Juin'!$D$18:$D$48)-SUMIF(Juin!$BK$20:$BK$50,Juillet!AT7,'Retenue Juin'!$E$18:$E$48)</f>
        <v>0</v>
      </c>
      <c r="AE51" s="1344">
        <f>+SUMIF(Aout!$BK$20:$BK$50,Juillet!AT7,'Retenue Aout'!$D$18:$D$48)-SUMIF(Aout!$BK$20:$BK$50,Juillet!AT7,'Retenue Aout'!$E$18:$E$48)</f>
        <v>0</v>
      </c>
      <c r="AF51" s="1338">
        <f t="shared" si="61"/>
        <v>0</v>
      </c>
      <c r="AG51" s="1349"/>
      <c r="AJ51" s="1326"/>
      <c r="AK51" s="1327"/>
      <c r="AL51" s="1329"/>
      <c r="BA51" s="346"/>
      <c r="BD51" s="369" t="s">
        <v>758</v>
      </c>
      <c r="BE51" s="194">
        <f>+SUMIFS(BE18:BE48,BF18:BF48,S.CAL!BJ3)</f>
        <v>0</v>
      </c>
      <c r="BF51" s="370">
        <f>IF(Juillet!AZ90="",+COUNTIF(BF18:BF48,S.CAL!BJ3),Juillet!AZ90)</f>
        <v>0</v>
      </c>
      <c r="BL51" s="35"/>
      <c r="CD51" s="346"/>
      <c r="CI51" s="2491" t="str">
        <f t="shared" si="57"/>
        <v>Semaine numéro : 30</v>
      </c>
      <c r="CJ51" s="2492"/>
      <c r="CK51" s="2493"/>
      <c r="CL51" s="893" t="str">
        <f t="shared" si="62"/>
        <v/>
      </c>
      <c r="CM51" s="674">
        <f t="shared" si="63"/>
        <v>0</v>
      </c>
      <c r="CN51" s="673">
        <f t="shared" si="64"/>
        <v>0</v>
      </c>
      <c r="CO51" s="198">
        <f>+SUMIF(Juillet!$BK$20:$BK$50,Juillet!AT7,$CG$18:$CG$48)</f>
        <v>0</v>
      </c>
      <c r="CP51" s="198">
        <f>+SUMIF(Juin!$BK$20:$BK$50,Juillet!AT7,'Retenue Juin'!$CG$18:$CG$48)</f>
        <v>0</v>
      </c>
      <c r="CQ51" s="198">
        <f>+SUMIF(Aout!$BK$20:$BK$50,Juillet!AT7,'Retenue Aout'!$CG$18:$CG$48)</f>
        <v>0</v>
      </c>
      <c r="CR51" s="674">
        <f t="shared" si="65"/>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6"/>
        <v>Semaine numéro : 31</v>
      </c>
      <c r="X52" s="2482"/>
      <c r="Y52" s="2482"/>
      <c r="Z52" s="1345" t="str">
        <f t="shared" si="58"/>
        <v/>
      </c>
      <c r="AA52" s="1338">
        <f t="shared" si="59"/>
        <v>0</v>
      </c>
      <c r="AB52" s="1338">
        <f t="shared" si="60"/>
        <v>0</v>
      </c>
      <c r="AC52" s="1344">
        <f>+SUMIF(Juillet!$BK$20:$BK$50,Juillet!AT8,$D$18:$D$48)-SUMIF(Juillet!$BK$20:$BK$50,Juillet!AT8,$E$18:$E$48)</f>
        <v>0</v>
      </c>
      <c r="AD52" s="1344">
        <f>+SUMIF(Juin!$BK$20:$BK$50,Juillet!AT8,'Retenue Juin'!$D$18:$D$48)-SUMIF(Juin!$BK$20:$BK$50,Juillet!AT8,'Retenue Juin'!$E$18:$E$48)</f>
        <v>0</v>
      </c>
      <c r="AE52" s="1344">
        <f>+SUMIF(Aout!$BK$20:$BK$50,Juillet!AT8,'Retenue Aout'!$D$18:$D$48)-SUMIF(Aout!$BK$20:$BK$50,Juillet!AT8,'Retenue Aout'!$E$18:$E$48)</f>
        <v>0</v>
      </c>
      <c r="AF52" s="1338">
        <f t="shared" si="61"/>
        <v>0</v>
      </c>
      <c r="AO52" s="1211" t="s">
        <v>1126</v>
      </c>
      <c r="AP52" s="1348">
        <f>IF(AL22,+ROUND((AQ48+SUM(AQ39:AQ46))*AL34/AL22*Q11,2),0)</f>
        <v>0</v>
      </c>
      <c r="BA52" s="346"/>
      <c r="BD52" s="1363" t="s">
        <v>708</v>
      </c>
      <c r="BE52" s="1364">
        <f>+SUMIFS(BE18:BE48,BF18:BF48,S.CAL!BJ4)</f>
        <v>0</v>
      </c>
      <c r="BF52" s="1365">
        <f>IF(Juillet!BA90="",+COUNTIF(BF18:BF48,S.CAL!BJ4),Juillet!BA90)</f>
        <v>0</v>
      </c>
      <c r="BL52" s="35"/>
      <c r="BU52" s="16" t="s">
        <v>788</v>
      </c>
      <c r="BW52" s="357">
        <f>+BR46+BR49+BZ46+BZ49</f>
        <v>0</v>
      </c>
      <c r="CD52" s="346"/>
      <c r="CI52" s="2491" t="str">
        <f t="shared" si="57"/>
        <v>Semaine numéro : 31</v>
      </c>
      <c r="CJ52" s="2492"/>
      <c r="CK52" s="2493"/>
      <c r="CL52" s="893" t="str">
        <f t="shared" si="62"/>
        <v/>
      </c>
      <c r="CM52" s="674">
        <f t="shared" si="63"/>
        <v>0</v>
      </c>
      <c r="CN52" s="673">
        <f t="shared" si="64"/>
        <v>0</v>
      </c>
      <c r="CO52" s="198">
        <f>+SUMIF(Juillet!$BK$20:$BK$50,Juillet!AT8,$CG$18:$CG$48)</f>
        <v>0</v>
      </c>
      <c r="CP52" s="198">
        <f>+SUMIF(Juin!$BK$20:$BK$50,Juillet!AT8,'Retenue Juin'!$CG$18:$CG$48)</f>
        <v>0</v>
      </c>
      <c r="CQ52" s="198">
        <f>+SUMIF(Aout!$BK$20:$BK$50,Juillet!AT8,'Retenue Aout'!$CG$18:$CG$48)</f>
        <v>0</v>
      </c>
      <c r="CR52" s="674">
        <f t="shared" si="65"/>
        <v>0</v>
      </c>
      <c r="EE52" s="19"/>
      <c r="EF52" s="19"/>
      <c r="EG52" s="19"/>
      <c r="EH52" s="19"/>
      <c r="EI52" s="19"/>
    </row>
    <row r="53" spans="2:139" ht="13.5" thickBot="1" x14ac:dyDescent="0.25">
      <c r="N53" s="24"/>
      <c r="O53" s="24"/>
      <c r="P53" s="24"/>
      <c r="Q53" s="24"/>
      <c r="R53" s="24"/>
      <c r="S53" s="1350"/>
      <c r="U53" s="1323"/>
      <c r="V53" s="1323"/>
      <c r="W53" s="2482" t="str">
        <f t="shared" si="56"/>
        <v xml:space="preserve">Semaine numéro : </v>
      </c>
      <c r="X53" s="2482"/>
      <c r="Y53" s="2482"/>
      <c r="Z53" s="1345" t="str">
        <f t="shared" si="58"/>
        <v/>
      </c>
      <c r="AA53" s="1338">
        <f t="shared" si="59"/>
        <v>0</v>
      </c>
      <c r="AB53" s="1338">
        <f t="shared" si="60"/>
        <v>0</v>
      </c>
      <c r="AC53" s="1344">
        <f>+SUMIF(Juillet!$BK$20:$BK$50,Juillet!AT9,$D$18:$D$48)-SUMIF(Juillet!$BK$20:$BK$50,Juillet!AT9,$E$18:$E$48)</f>
        <v>0</v>
      </c>
      <c r="AD53" s="1344">
        <f>+SUMIF(Juin!$BK$20:$BK$50,Juillet!AT9,'Retenue Juin'!$D$18:$D$48)-SUMIF(Juin!$BK$20:$BK$50,Juillet!AT9,'Retenue Juin'!$E$18:$E$48)</f>
        <v>0</v>
      </c>
      <c r="AE53" s="1344">
        <f>+SUMIF(Aout!$BK$20:$BK$50,Juillet!AT9,'Retenue Aout'!$D$18:$D$48)-SUMIF(Aout!$BK$20:$BK$50,Juillet!AT9,'Retenue Aout'!$E$18:$E$48)</f>
        <v>0</v>
      </c>
      <c r="AF53" s="1338">
        <f t="shared" si="61"/>
        <v>0</v>
      </c>
      <c r="AG53" s="1350"/>
      <c r="BA53" s="346"/>
      <c r="BD53" s="392" t="s">
        <v>722</v>
      </c>
      <c r="BE53" s="394">
        <f>+COUNTIF(BE18:BE48,"&gt;0")</f>
        <v>0</v>
      </c>
      <c r="BF53" s="393"/>
      <c r="BH53" s="443"/>
      <c r="BI53" s="444" t="s">
        <v>701</v>
      </c>
      <c r="BJ53" s="445">
        <f>IF(BK3=S.CAL!BP2,BI50,IF(BK3=S.CAL!BP3,BW54,0))</f>
        <v>0</v>
      </c>
      <c r="BK53" s="443"/>
      <c r="BL53" s="35"/>
      <c r="CD53" s="346"/>
      <c r="CI53" s="2491" t="str">
        <f t="shared" si="57"/>
        <v xml:space="preserve">Semaine numéro : </v>
      </c>
      <c r="CJ53" s="2492"/>
      <c r="CK53" s="2493"/>
      <c r="CL53" s="893" t="str">
        <f t="shared" si="62"/>
        <v/>
      </c>
      <c r="CM53" s="674">
        <f t="shared" si="63"/>
        <v>0</v>
      </c>
      <c r="CN53" s="673">
        <f t="shared" si="64"/>
        <v>0</v>
      </c>
      <c r="CO53" s="198">
        <f>+SUMIF(Juillet!$BK$20:$BK$50,Juillet!AT9,$CG$18:$CG$48)</f>
        <v>0</v>
      </c>
      <c r="CP53" s="198">
        <f>+SUMIF(Juin!$BK$20:$BK$50,Juillet!AT9,'Retenue Juin'!$CG$18:$CG$48)</f>
        <v>0</v>
      </c>
      <c r="CQ53" s="198">
        <f>+SUMIF(Aout!$BK$20:$BK$50,Juillet!AT9,'Retenue Aout'!$CG$18:$CG$48)</f>
        <v>0</v>
      </c>
      <c r="CR53" s="674">
        <f t="shared" si="65"/>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2"/>
      <c r="CP54" s="902"/>
      <c r="CQ54" s="902"/>
      <c r="CR54" s="677">
        <f>SUM(CR48:CR53)</f>
        <v>0</v>
      </c>
      <c r="EE54" s="19"/>
      <c r="EF54" s="19"/>
      <c r="EG54" s="19"/>
      <c r="EH54" s="19"/>
      <c r="EI54" s="19"/>
    </row>
    <row r="55" spans="2:139" ht="13.5" thickBot="1" x14ac:dyDescent="0.25">
      <c r="B55" s="2469">
        <f>B17</f>
        <v>45839</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6">B18</f>
        <v>45839</v>
      </c>
      <c r="C57" s="171">
        <f t="shared" si="66"/>
        <v>45839</v>
      </c>
      <c r="D57" s="353" t="str">
        <f t="shared" ref="D57:D87" si="67">E18</f>
        <v/>
      </c>
      <c r="E57" s="353" t="str">
        <f>+IF(D57="","",VLOOKUP(C57,$CF$18:$CG$48,2,FALSE))</f>
        <v/>
      </c>
      <c r="F57" s="1553" t="str">
        <f t="shared" ref="F57:F87" si="68">+IFERROR(IF(VLOOKUP(E57,Liste_motif_formule,10,FALSE)="OUI",D57,""),"")</f>
        <v/>
      </c>
      <c r="G57" s="1553" t="str">
        <f t="shared" ref="G57:G87" si="69">+IFERROR(IF(VLOOKUP(E57,Liste_motif_formule,11,FALSE)="OUI",D57,""),"")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6"/>
        <v>45840</v>
      </c>
      <c r="C58" s="172">
        <f t="shared" si="66"/>
        <v>45840</v>
      </c>
      <c r="D58" s="173" t="str">
        <f t="shared" si="67"/>
        <v/>
      </c>
      <c r="E58" s="173" t="str">
        <f t="shared" ref="E58:E87" si="70">+IF(D58="","",VLOOKUP(C58,$CF$18:$CG$48,2,FALSE))</f>
        <v/>
      </c>
      <c r="F58" s="1554" t="str">
        <f t="shared" si="68"/>
        <v/>
      </c>
      <c r="G58" s="1554" t="str">
        <f t="shared" si="69"/>
        <v/>
      </c>
      <c r="AO58" s="1211" t="str">
        <f>+ROUND(AP47,4)&amp;" / "&amp;ROUND(AO47,4)&amp;" ="</f>
        <v>0 / 0 =</v>
      </c>
      <c r="AP58" s="581">
        <f>IFERROR(ROUND(+AP47/AO47,6),0)</f>
        <v>0</v>
      </c>
      <c r="BA58" s="346"/>
      <c r="CD58" s="346"/>
      <c r="EE58" s="19"/>
      <c r="EF58" s="19"/>
      <c r="EG58" s="19"/>
      <c r="EH58" s="19"/>
      <c r="EI58" s="19"/>
    </row>
    <row r="59" spans="2:139" x14ac:dyDescent="0.2">
      <c r="B59" s="107">
        <f t="shared" si="66"/>
        <v>45841</v>
      </c>
      <c r="C59" s="172">
        <f t="shared" si="66"/>
        <v>45841</v>
      </c>
      <c r="D59" s="173" t="str">
        <f t="shared" si="67"/>
        <v/>
      </c>
      <c r="E59" s="173" t="str">
        <f t="shared" si="70"/>
        <v/>
      </c>
      <c r="F59" s="1554" t="str">
        <f t="shared" si="68"/>
        <v/>
      </c>
      <c r="G59" s="1554" t="str">
        <f t="shared" si="69"/>
        <v/>
      </c>
      <c r="BA59" s="346"/>
      <c r="BH59" s="29" t="s">
        <v>791</v>
      </c>
      <c r="BI59" s="58">
        <f>+BJ45+BJ29</f>
        <v>0</v>
      </c>
      <c r="CD59" s="346"/>
    </row>
    <row r="60" spans="2:139" x14ac:dyDescent="0.2">
      <c r="B60" s="107">
        <f t="shared" si="66"/>
        <v>45842</v>
      </c>
      <c r="C60" s="172">
        <f t="shared" si="66"/>
        <v>45842</v>
      </c>
      <c r="D60" s="173" t="str">
        <f t="shared" si="67"/>
        <v/>
      </c>
      <c r="E60" s="173" t="str">
        <f t="shared" si="70"/>
        <v/>
      </c>
      <c r="F60" s="1554" t="str">
        <f t="shared" si="68"/>
        <v/>
      </c>
      <c r="G60" s="1554" t="str">
        <f t="shared" si="69"/>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6"/>
        <v>45843</v>
      </c>
      <c r="C61" s="172">
        <f t="shared" si="66"/>
        <v>45843</v>
      </c>
      <c r="D61" s="173" t="str">
        <f t="shared" si="67"/>
        <v/>
      </c>
      <c r="E61" s="173" t="str">
        <f t="shared" si="70"/>
        <v/>
      </c>
      <c r="F61" s="1554" t="str">
        <f t="shared" si="68"/>
        <v/>
      </c>
      <c r="G61" s="1554" t="str">
        <f t="shared" si="69"/>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6"/>
        <v>45844</v>
      </c>
      <c r="C62" s="172">
        <f t="shared" si="66"/>
        <v>45844</v>
      </c>
      <c r="D62" s="173" t="str">
        <f t="shared" si="67"/>
        <v/>
      </c>
      <c r="E62" s="173" t="str">
        <f t="shared" si="70"/>
        <v/>
      </c>
      <c r="F62" s="1554" t="str">
        <f t="shared" si="68"/>
        <v/>
      </c>
      <c r="G62" s="1554" t="str">
        <f t="shared" si="69"/>
        <v/>
      </c>
      <c r="BA62" s="346"/>
      <c r="BH62" s="443"/>
      <c r="BI62" s="443"/>
      <c r="BJ62" s="443"/>
      <c r="BK62" s="443"/>
      <c r="CD62" s="346"/>
    </row>
    <row r="63" spans="2:139" x14ac:dyDescent="0.2">
      <c r="B63" s="107">
        <f t="shared" si="66"/>
        <v>45845</v>
      </c>
      <c r="C63" s="172">
        <f t="shared" si="66"/>
        <v>45845</v>
      </c>
      <c r="D63" s="173" t="str">
        <f t="shared" si="67"/>
        <v/>
      </c>
      <c r="E63" s="173" t="str">
        <f t="shared" si="70"/>
        <v/>
      </c>
      <c r="F63" s="1554" t="str">
        <f t="shared" si="68"/>
        <v/>
      </c>
      <c r="G63" s="1554" t="str">
        <f t="shared" si="69"/>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45846</v>
      </c>
      <c r="C64" s="172">
        <f t="shared" si="66"/>
        <v>45846</v>
      </c>
      <c r="D64" s="173" t="str">
        <f t="shared" si="67"/>
        <v/>
      </c>
      <c r="E64" s="173" t="str">
        <f t="shared" si="70"/>
        <v/>
      </c>
      <c r="F64" s="1554" t="str">
        <f t="shared" si="68"/>
        <v/>
      </c>
      <c r="G64" s="1554" t="str">
        <f t="shared" si="69"/>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6"/>
        <v>45847</v>
      </c>
      <c r="C65" s="172">
        <f t="shared" si="66"/>
        <v>45847</v>
      </c>
      <c r="D65" s="173" t="str">
        <f t="shared" si="67"/>
        <v/>
      </c>
      <c r="E65" s="173" t="str">
        <f t="shared" si="70"/>
        <v/>
      </c>
      <c r="F65" s="1554" t="str">
        <f t="shared" si="68"/>
        <v/>
      </c>
      <c r="G65" s="1554" t="str">
        <f t="shared" si="69"/>
        <v/>
      </c>
      <c r="BA65" s="346"/>
      <c r="CD65" s="346"/>
    </row>
    <row r="66" spans="2:82" x14ac:dyDescent="0.2">
      <c r="B66" s="107">
        <f t="shared" si="66"/>
        <v>45848</v>
      </c>
      <c r="C66" s="172">
        <f t="shared" si="66"/>
        <v>45848</v>
      </c>
      <c r="D66" s="173" t="str">
        <f t="shared" si="67"/>
        <v/>
      </c>
      <c r="E66" s="173" t="str">
        <f t="shared" si="70"/>
        <v/>
      </c>
      <c r="F66" s="1554" t="str">
        <f t="shared" si="68"/>
        <v/>
      </c>
      <c r="G66" s="1554" t="str">
        <f t="shared" si="69"/>
        <v/>
      </c>
      <c r="BA66" s="346"/>
      <c r="CD66" s="346"/>
    </row>
    <row r="67" spans="2:82" x14ac:dyDescent="0.2">
      <c r="B67" s="107">
        <f t="shared" si="66"/>
        <v>45849</v>
      </c>
      <c r="C67" s="172">
        <f t="shared" si="66"/>
        <v>45849</v>
      </c>
      <c r="D67" s="173" t="str">
        <f t="shared" si="67"/>
        <v/>
      </c>
      <c r="E67" s="173" t="str">
        <f t="shared" si="70"/>
        <v/>
      </c>
      <c r="F67" s="1554" t="str">
        <f t="shared" si="68"/>
        <v/>
      </c>
      <c r="G67" s="1554" t="str">
        <f t="shared" si="69"/>
        <v/>
      </c>
      <c r="BA67" s="346"/>
      <c r="CD67" s="346"/>
    </row>
    <row r="68" spans="2:82" x14ac:dyDescent="0.2">
      <c r="B68" s="107">
        <f t="shared" si="66"/>
        <v>45850</v>
      </c>
      <c r="C68" s="172">
        <f t="shared" si="66"/>
        <v>45850</v>
      </c>
      <c r="D68" s="173" t="str">
        <f t="shared" si="67"/>
        <v/>
      </c>
      <c r="E68" s="173" t="str">
        <f t="shared" si="70"/>
        <v/>
      </c>
      <c r="F68" s="1554" t="str">
        <f t="shared" si="68"/>
        <v/>
      </c>
      <c r="G68" s="1554" t="str">
        <f t="shared" si="69"/>
        <v/>
      </c>
      <c r="AI68" s="1354" t="s">
        <v>338</v>
      </c>
      <c r="BA68" s="346"/>
      <c r="CD68" s="346"/>
    </row>
    <row r="69" spans="2:82" x14ac:dyDescent="0.2">
      <c r="B69" s="107">
        <f t="shared" si="66"/>
        <v>45851</v>
      </c>
      <c r="C69" s="172">
        <f t="shared" si="66"/>
        <v>45851</v>
      </c>
      <c r="D69" s="173" t="str">
        <f t="shared" si="67"/>
        <v/>
      </c>
      <c r="E69" s="173" t="str">
        <f t="shared" si="70"/>
        <v/>
      </c>
      <c r="F69" s="1554" t="str">
        <f t="shared" si="68"/>
        <v/>
      </c>
      <c r="G69" s="1554" t="str">
        <f t="shared" si="69"/>
        <v/>
      </c>
      <c r="BA69" s="346"/>
      <c r="CD69" s="346"/>
    </row>
    <row r="70" spans="2:82" x14ac:dyDescent="0.2">
      <c r="B70" s="107">
        <f t="shared" si="66"/>
        <v>45852</v>
      </c>
      <c r="C70" s="172">
        <f t="shared" si="66"/>
        <v>45852</v>
      </c>
      <c r="D70" s="173" t="str">
        <f t="shared" si="67"/>
        <v/>
      </c>
      <c r="E70" s="173" t="str">
        <f t="shared" si="70"/>
        <v/>
      </c>
      <c r="F70" s="1554" t="str">
        <f t="shared" si="68"/>
        <v/>
      </c>
      <c r="G70" s="1554" t="str">
        <f t="shared" si="69"/>
        <v/>
      </c>
      <c r="AI70" s="581" t="s">
        <v>339</v>
      </c>
      <c r="BA70" s="346"/>
      <c r="CD70" s="346"/>
    </row>
    <row r="71" spans="2:82" x14ac:dyDescent="0.2">
      <c r="B71" s="107">
        <f t="shared" si="66"/>
        <v>45853</v>
      </c>
      <c r="C71" s="172">
        <f t="shared" si="66"/>
        <v>45853</v>
      </c>
      <c r="D71" s="173" t="str">
        <f t="shared" si="67"/>
        <v/>
      </c>
      <c r="E71" s="173" t="str">
        <f t="shared" si="70"/>
        <v/>
      </c>
      <c r="F71" s="1554" t="str">
        <f t="shared" si="68"/>
        <v/>
      </c>
      <c r="G71" s="1554" t="str">
        <f t="shared" si="69"/>
        <v/>
      </c>
      <c r="AI71" s="1355" t="s">
        <v>340</v>
      </c>
      <c r="BA71" s="346"/>
      <c r="CD71" s="346"/>
    </row>
    <row r="72" spans="2:82" x14ac:dyDescent="0.2">
      <c r="B72" s="107">
        <f t="shared" si="66"/>
        <v>45854</v>
      </c>
      <c r="C72" s="172">
        <f t="shared" si="66"/>
        <v>45854</v>
      </c>
      <c r="D72" s="173" t="str">
        <f t="shared" si="67"/>
        <v/>
      </c>
      <c r="E72" s="173" t="str">
        <f t="shared" si="70"/>
        <v/>
      </c>
      <c r="F72" s="1554" t="str">
        <f t="shared" si="68"/>
        <v/>
      </c>
      <c r="G72" s="1554" t="str">
        <f t="shared" si="69"/>
        <v/>
      </c>
      <c r="AI72" s="581" t="e">
        <f>ROUND(AL24,2)&amp;" / "&amp;AL22&amp;" ="&amp;ROUND(AL25,2)&amp;" hrs"</f>
        <v>#VALUE!</v>
      </c>
      <c r="BA72" s="346"/>
      <c r="CD72" s="346"/>
    </row>
    <row r="73" spans="2:82" x14ac:dyDescent="0.2">
      <c r="B73" s="107">
        <f t="shared" ref="B73:C87" si="71">B34</f>
        <v>45855</v>
      </c>
      <c r="C73" s="172">
        <f t="shared" si="71"/>
        <v>45855</v>
      </c>
      <c r="D73" s="173" t="str">
        <f t="shared" si="67"/>
        <v/>
      </c>
      <c r="E73" s="173" t="str">
        <f t="shared" si="70"/>
        <v/>
      </c>
      <c r="F73" s="1554" t="str">
        <f t="shared" si="68"/>
        <v/>
      </c>
      <c r="G73" s="1554" t="str">
        <f t="shared" si="69"/>
        <v/>
      </c>
      <c r="BA73" s="346"/>
      <c r="CD73" s="346"/>
    </row>
    <row r="74" spans="2:82" x14ac:dyDescent="0.2">
      <c r="B74" s="107">
        <f t="shared" si="71"/>
        <v>45856</v>
      </c>
      <c r="C74" s="172">
        <f t="shared" si="71"/>
        <v>45856</v>
      </c>
      <c r="D74" s="173" t="str">
        <f t="shared" si="67"/>
        <v/>
      </c>
      <c r="E74" s="173" t="str">
        <f t="shared" si="70"/>
        <v/>
      </c>
      <c r="F74" s="1554" t="str">
        <f t="shared" si="68"/>
        <v/>
      </c>
      <c r="G74" s="1554" t="str">
        <f t="shared" si="69"/>
        <v/>
      </c>
      <c r="AI74" s="581" t="s">
        <v>341</v>
      </c>
      <c r="BA74" s="346"/>
      <c r="CD74" s="346"/>
    </row>
    <row r="75" spans="2:82" x14ac:dyDescent="0.2">
      <c r="B75" s="107">
        <f t="shared" si="71"/>
        <v>45857</v>
      </c>
      <c r="C75" s="172">
        <f t="shared" si="71"/>
        <v>45857</v>
      </c>
      <c r="D75" s="173" t="str">
        <f t="shared" si="67"/>
        <v/>
      </c>
      <c r="E75" s="173" t="str">
        <f t="shared" si="70"/>
        <v/>
      </c>
      <c r="F75" s="1554" t="str">
        <f t="shared" si="68"/>
        <v/>
      </c>
      <c r="G75" s="1554" t="str">
        <f t="shared" si="69"/>
        <v/>
      </c>
      <c r="AI75" s="1355" t="s">
        <v>342</v>
      </c>
      <c r="BA75" s="346"/>
      <c r="CD75" s="346"/>
    </row>
    <row r="76" spans="2:82" x14ac:dyDescent="0.2">
      <c r="B76" s="107">
        <f t="shared" si="71"/>
        <v>45858</v>
      </c>
      <c r="C76" s="172">
        <f t="shared" si="71"/>
        <v>45858</v>
      </c>
      <c r="D76" s="173" t="str">
        <f t="shared" si="67"/>
        <v/>
      </c>
      <c r="E76" s="173" t="str">
        <f t="shared" si="70"/>
        <v/>
      </c>
      <c r="F76" s="1554" t="str">
        <f t="shared" si="68"/>
        <v/>
      </c>
      <c r="G76" s="1554" t="str">
        <f t="shared" si="69"/>
        <v/>
      </c>
      <c r="BA76" s="346"/>
      <c r="CD76" s="346"/>
    </row>
    <row r="77" spans="2:82" x14ac:dyDescent="0.2">
      <c r="B77" s="107">
        <f t="shared" si="71"/>
        <v>45859</v>
      </c>
      <c r="C77" s="172">
        <f t="shared" si="71"/>
        <v>45859</v>
      </c>
      <c r="D77" s="173" t="str">
        <f t="shared" si="67"/>
        <v/>
      </c>
      <c r="E77" s="173" t="str">
        <f t="shared" si="70"/>
        <v/>
      </c>
      <c r="F77" s="1554" t="str">
        <f t="shared" si="68"/>
        <v/>
      </c>
      <c r="G77" s="1554" t="str">
        <f t="shared" si="69"/>
        <v/>
      </c>
      <c r="AI77" s="581" t="s">
        <v>343</v>
      </c>
      <c r="BA77" s="346"/>
      <c r="CD77" s="346"/>
    </row>
    <row r="78" spans="2:82" x14ac:dyDescent="0.2">
      <c r="B78" s="107">
        <f t="shared" si="71"/>
        <v>45860</v>
      </c>
      <c r="C78" s="172">
        <f t="shared" si="71"/>
        <v>45860</v>
      </c>
      <c r="D78" s="173" t="str">
        <f t="shared" si="67"/>
        <v/>
      </c>
      <c r="E78" s="173" t="str">
        <f t="shared" si="70"/>
        <v/>
      </c>
      <c r="F78" s="1554" t="str">
        <f t="shared" si="68"/>
        <v/>
      </c>
      <c r="G78" s="1554" t="str">
        <f t="shared" si="69"/>
        <v/>
      </c>
      <c r="AI78" s="1355" t="s">
        <v>692</v>
      </c>
      <c r="BA78" s="346"/>
      <c r="CD78" s="346"/>
    </row>
    <row r="79" spans="2:82" x14ac:dyDescent="0.2">
      <c r="B79" s="107">
        <f t="shared" si="71"/>
        <v>45861</v>
      </c>
      <c r="C79" s="172">
        <f t="shared" si="71"/>
        <v>45861</v>
      </c>
      <c r="D79" s="173" t="str">
        <f t="shared" si="67"/>
        <v/>
      </c>
      <c r="E79" s="173" t="str">
        <f t="shared" si="70"/>
        <v/>
      </c>
      <c r="F79" s="1554" t="str">
        <f t="shared" si="68"/>
        <v/>
      </c>
      <c r="G79" s="1554" t="str">
        <f t="shared" si="69"/>
        <v/>
      </c>
      <c r="AI79" s="581" t="e">
        <f>ROUND(AT21,2)&amp;" /"&amp; AS21&amp;" = "&amp;ROUND(AL26,2)&amp;" hrs"</f>
        <v>#VALUE!</v>
      </c>
      <c r="BA79" s="346"/>
      <c r="CD79" s="346"/>
    </row>
    <row r="80" spans="2:82" x14ac:dyDescent="0.2">
      <c r="B80" s="107">
        <f t="shared" si="71"/>
        <v>45862</v>
      </c>
      <c r="C80" s="172">
        <f t="shared" si="71"/>
        <v>45862</v>
      </c>
      <c r="D80" s="173" t="str">
        <f t="shared" si="67"/>
        <v/>
      </c>
      <c r="E80" s="173" t="str">
        <f t="shared" si="70"/>
        <v/>
      </c>
      <c r="F80" s="1554" t="str">
        <f t="shared" si="68"/>
        <v/>
      </c>
      <c r="G80" s="1554" t="str">
        <f t="shared" si="69"/>
        <v/>
      </c>
      <c r="BA80" s="346"/>
      <c r="CD80" s="346"/>
    </row>
    <row r="81" spans="2:82" x14ac:dyDescent="0.2">
      <c r="B81" s="107">
        <f t="shared" si="71"/>
        <v>45863</v>
      </c>
      <c r="C81" s="172">
        <f t="shared" si="71"/>
        <v>45863</v>
      </c>
      <c r="D81" s="173" t="str">
        <f t="shared" si="67"/>
        <v/>
      </c>
      <c r="E81" s="173" t="str">
        <f t="shared" si="70"/>
        <v/>
      </c>
      <c r="F81" s="1554" t="str">
        <f t="shared" si="68"/>
        <v/>
      </c>
      <c r="G81" s="1554" t="str">
        <f t="shared" si="69"/>
        <v/>
      </c>
      <c r="AI81" s="581" t="s">
        <v>529</v>
      </c>
      <c r="BA81" s="346"/>
      <c r="CD81" s="346"/>
    </row>
    <row r="82" spans="2:82" x14ac:dyDescent="0.2">
      <c r="B82" s="107">
        <f t="shared" si="71"/>
        <v>45864</v>
      </c>
      <c r="C82" s="172">
        <f t="shared" si="71"/>
        <v>45864</v>
      </c>
      <c r="D82" s="173" t="str">
        <f t="shared" si="67"/>
        <v/>
      </c>
      <c r="E82" s="173" t="str">
        <f t="shared" si="70"/>
        <v/>
      </c>
      <c r="F82" s="1554" t="str">
        <f t="shared" si="68"/>
        <v/>
      </c>
      <c r="G82" s="1554" t="str">
        <f t="shared" si="69"/>
        <v/>
      </c>
      <c r="AI82" s="1355" t="s">
        <v>693</v>
      </c>
      <c r="BA82" s="346"/>
      <c r="CD82" s="346"/>
    </row>
    <row r="83" spans="2:82" x14ac:dyDescent="0.2">
      <c r="B83" s="107">
        <f t="shared" si="71"/>
        <v>45865</v>
      </c>
      <c r="C83" s="172">
        <f t="shared" si="71"/>
        <v>45865</v>
      </c>
      <c r="D83" s="173" t="str">
        <f t="shared" si="67"/>
        <v/>
      </c>
      <c r="E83" s="173" t="str">
        <f t="shared" si="70"/>
        <v/>
      </c>
      <c r="F83" s="1554" t="str">
        <f t="shared" si="68"/>
        <v/>
      </c>
      <c r="G83" s="1554" t="str">
        <f t="shared" si="69"/>
        <v/>
      </c>
      <c r="AI83" s="581" t="e">
        <f>AV21&amp;" / "&amp;AS21&amp;" = "&amp;ROUND(AL27,2)&amp;" jrs"</f>
        <v>#VALUE!</v>
      </c>
      <c r="BA83" s="346"/>
      <c r="CD83" s="346"/>
    </row>
    <row r="84" spans="2:82" x14ac:dyDescent="0.2">
      <c r="B84" s="107">
        <f t="shared" si="71"/>
        <v>45866</v>
      </c>
      <c r="C84" s="172">
        <f t="shared" si="71"/>
        <v>45866</v>
      </c>
      <c r="D84" s="173" t="str">
        <f t="shared" si="67"/>
        <v/>
      </c>
      <c r="E84" s="173" t="str">
        <f t="shared" si="70"/>
        <v/>
      </c>
      <c r="F84" s="1554" t="str">
        <f t="shared" si="68"/>
        <v/>
      </c>
      <c r="G84" s="1554" t="str">
        <f t="shared" si="69"/>
        <v/>
      </c>
      <c r="BA84" s="346"/>
      <c r="CD84" s="346"/>
    </row>
    <row r="85" spans="2:82" x14ac:dyDescent="0.2">
      <c r="B85" s="107">
        <f t="shared" si="71"/>
        <v>45867</v>
      </c>
      <c r="C85" s="172">
        <f t="shared" si="71"/>
        <v>45867</v>
      </c>
      <c r="D85" s="173" t="str">
        <f t="shared" si="67"/>
        <v/>
      </c>
      <c r="E85" s="173" t="str">
        <f t="shared" si="70"/>
        <v/>
      </c>
      <c r="F85" s="1554" t="str">
        <f t="shared" si="68"/>
        <v/>
      </c>
      <c r="G85" s="1554" t="str">
        <f t="shared" si="69"/>
        <v/>
      </c>
      <c r="AI85" s="1355" t="s">
        <v>344</v>
      </c>
      <c r="BA85" s="346"/>
      <c r="CD85" s="346"/>
    </row>
    <row r="86" spans="2:82" x14ac:dyDescent="0.2">
      <c r="B86" s="107">
        <f t="shared" si="71"/>
        <v>45868</v>
      </c>
      <c r="C86" s="172">
        <f t="shared" si="71"/>
        <v>45868</v>
      </c>
      <c r="D86" s="173" t="str">
        <f t="shared" si="67"/>
        <v/>
      </c>
      <c r="E86" s="173" t="str">
        <f t="shared" si="70"/>
        <v/>
      </c>
      <c r="F86" s="1554" t="str">
        <f t="shared" si="68"/>
        <v/>
      </c>
      <c r="G86" s="1554" t="str">
        <f t="shared" si="69"/>
        <v/>
      </c>
      <c r="AI86" s="1355" t="s">
        <v>345</v>
      </c>
      <c r="BA86" s="346"/>
      <c r="CD86" s="346"/>
    </row>
    <row r="87" spans="2:82" ht="13.5" thickBot="1" x14ac:dyDescent="0.25">
      <c r="B87" s="110">
        <f t="shared" si="71"/>
        <v>45869</v>
      </c>
      <c r="C87" s="192">
        <f t="shared" si="71"/>
        <v>45869</v>
      </c>
      <c r="D87" s="193" t="str">
        <f t="shared" si="67"/>
        <v/>
      </c>
      <c r="E87" s="193" t="str">
        <f t="shared" si="70"/>
        <v/>
      </c>
      <c r="F87" s="1555" t="str">
        <f t="shared" si="68"/>
        <v/>
      </c>
      <c r="G87" s="1555"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qiMzSmOvckU2mOHDNTyfbAB3zP9K5U3yTC4WEw0FrKO2mIZdXoDpNwyR2dbWhq87IyBkgW7q4aKwsV0wngj14A==" saltValue="3ILl/Hs6FcHZPAvHXqtCcg=="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887" priority="36">
      <formula>$R$3=$A$5</formula>
    </cfRule>
  </conditionalFormatting>
  <conditionalFormatting sqref="M19:Q23">
    <cfRule type="expression" dxfId="1886" priority="13">
      <formula>$E$11&gt;0</formula>
    </cfRule>
  </conditionalFormatting>
  <conditionalFormatting sqref="M26:R46">
    <cfRule type="expression" dxfId="1885" priority="3">
      <formula>$E$11=0</formula>
    </cfRule>
  </conditionalFormatting>
  <conditionalFormatting sqref="P17">
    <cfRule type="expression" dxfId="1884" priority="16">
      <formula>$E$11=0</formula>
    </cfRule>
  </conditionalFormatting>
  <conditionalFormatting sqref="P30">
    <cfRule type="expression" dxfId="1883" priority="7">
      <formula>AND($R$3="Méthode 1",$E$11&lt;0)</formula>
    </cfRule>
  </conditionalFormatting>
  <conditionalFormatting sqref="P33">
    <cfRule type="expression" dxfId="1882" priority="6">
      <formula>AND($R$3="Méthode 1",$E$11&lt;0)</formula>
    </cfRule>
  </conditionalFormatting>
  <conditionalFormatting sqref="Q17">
    <cfRule type="cellIs" dxfId="1881" priority="15" operator="equal">
      <formula>0</formula>
    </cfRule>
  </conditionalFormatting>
  <conditionalFormatting sqref="Q42">
    <cfRule type="expression" dxfId="1880" priority="5">
      <formula>AND($R$3="Méthode 1",$E$11&lt;0)</formula>
    </cfRule>
  </conditionalFormatting>
  <conditionalFormatting sqref="Q45">
    <cfRule type="expression" dxfId="1879" priority="4">
      <formula>AND($R$3="Méthode 1",$E$11&lt;0)</formula>
    </cfRule>
  </conditionalFormatting>
  <conditionalFormatting sqref="S7:AF7">
    <cfRule type="expression" dxfId="1878" priority="35">
      <formula>$R$3=$T$5</formula>
    </cfRule>
  </conditionalFormatting>
  <conditionalFormatting sqref="W19">
    <cfRule type="expression" dxfId="1877" priority="40">
      <formula>$EF$14=1</formula>
    </cfRule>
  </conditionalFormatting>
  <conditionalFormatting sqref="W21">
    <cfRule type="expression" dxfId="1876" priority="39">
      <formula>$EF$14=1</formula>
    </cfRule>
  </conditionalFormatting>
  <conditionalFormatting sqref="AC19">
    <cfRule type="expression" dxfId="1875" priority="38">
      <formula>$EF$14=1</formula>
    </cfRule>
  </conditionalFormatting>
  <conditionalFormatting sqref="AC21">
    <cfRule type="expression" dxfId="1874" priority="37">
      <formula>$EF$14=1</formula>
    </cfRule>
  </conditionalFormatting>
  <conditionalFormatting sqref="AH7:AZ7">
    <cfRule type="expression" dxfId="1873" priority="21">
      <formula>$R$3=$AI$5</formula>
    </cfRule>
  </conditionalFormatting>
  <conditionalFormatting sqref="AP50">
    <cfRule type="expression" dxfId="1872" priority="20">
      <formula>$R$3="Méthode 2"</formula>
    </cfRule>
  </conditionalFormatting>
  <conditionalFormatting sqref="AP52">
    <cfRule type="expression" dxfId="1871" priority="19">
      <formula>$R$3="Méthode 2"</formula>
    </cfRule>
  </conditionalFormatting>
  <conditionalFormatting sqref="AP61">
    <cfRule type="expression" dxfId="1870" priority="18">
      <formula>$R$3="Méthode 2"</formula>
    </cfRule>
  </conditionalFormatting>
  <conditionalFormatting sqref="AP64">
    <cfRule type="expression" dxfId="1869" priority="17">
      <formula>$R$3="Méthode 2"</formula>
    </cfRule>
  </conditionalFormatting>
  <conditionalFormatting sqref="BI50">
    <cfRule type="expression" dxfId="1868" priority="28">
      <formula>$BK$3="Méthode 1"</formula>
    </cfRule>
  </conditionalFormatting>
  <conditionalFormatting sqref="BJ29">
    <cfRule type="expression" dxfId="1867" priority="30">
      <formula>$BK$3="Méthode 1"</formula>
    </cfRule>
  </conditionalFormatting>
  <conditionalFormatting sqref="BJ45">
    <cfRule type="expression" dxfId="1866" priority="29">
      <formula>$BK$3="Méthode 1"</formula>
    </cfRule>
  </conditionalFormatting>
  <conditionalFormatting sqref="BR46">
    <cfRule type="expression" dxfId="1865" priority="27">
      <formula>$BK$3="Méthode 2"</formula>
    </cfRule>
  </conditionalFormatting>
  <conditionalFormatting sqref="BR49">
    <cfRule type="expression" dxfId="1864" priority="26">
      <formula>$BK$3="Méthode 2"</formula>
    </cfRule>
  </conditionalFormatting>
  <conditionalFormatting sqref="BW52">
    <cfRule type="expression" dxfId="1863" priority="23">
      <formula>$BK$3="Méthode 2"</formula>
    </cfRule>
  </conditionalFormatting>
  <conditionalFormatting sqref="BW54">
    <cfRule type="expression" dxfId="1862" priority="22">
      <formula>$BK$3="Méthode 2"</formula>
    </cfRule>
  </conditionalFormatting>
  <conditionalFormatting sqref="BZ46">
    <cfRule type="expression" dxfId="1861" priority="25">
      <formula>$BK$3="Méthode 2"</formula>
    </cfRule>
  </conditionalFormatting>
  <conditionalFormatting sqref="BZ49">
    <cfRule type="expression" dxfId="1860" priority="24">
      <formula>$BK$3="Méthode 2"</formula>
    </cfRule>
  </conditionalFormatting>
  <conditionalFormatting sqref="CG18:CG48">
    <cfRule type="cellIs" dxfId="185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+Aout!DP4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+Aout!AR13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AG7" s="1354"/>
      <c r="BA7" s="347"/>
      <c r="BB7" s="148"/>
      <c r="BC7" s="148"/>
      <c r="BD7" s="148"/>
      <c r="BE7" s="148"/>
      <c r="BF7" s="148"/>
      <c r="BG7" s="148"/>
      <c r="BH7" s="148"/>
      <c r="BI7" s="148"/>
      <c r="BL7" s="35"/>
      <c r="CD7" s="346"/>
    </row>
    <row r="8" spans="1:144" ht="18" x14ac:dyDescent="0.25">
      <c r="A8" s="150"/>
      <c r="B8" s="358"/>
      <c r="C8" s="95" t="s">
        <v>127</v>
      </c>
      <c r="D8" s="2334">
        <f>+Aout!AI3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+Aout!I14</f>
        <v>0</v>
      </c>
      <c r="F10" s="151"/>
      <c r="G10" s="151"/>
      <c r="H10" s="151"/>
      <c r="I10" s="151"/>
      <c r="J10" s="151"/>
      <c r="K10" s="151"/>
      <c r="L10" s="151"/>
      <c r="P10" s="29" t="s">
        <v>1468</v>
      </c>
      <c r="Q10" s="356">
        <f>+Aout!P18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+Aout!T18+Aout!T19</f>
        <v>0</v>
      </c>
      <c r="BI10" s="29" t="s">
        <v>1476</v>
      </c>
      <c r="BJ10" s="356">
        <f>+Aout!AL14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+Aout!U14</f>
        <v>0</v>
      </c>
      <c r="F11" s="151"/>
      <c r="G11" s="151"/>
      <c r="H11" s="151"/>
      <c r="I11" s="151"/>
      <c r="J11" s="151"/>
      <c r="K11" s="151"/>
      <c r="L11" s="151"/>
      <c r="M11" s="1201"/>
      <c r="N11" s="183"/>
      <c r="O11" s="1202"/>
      <c r="P11" s="183" t="s">
        <v>1120</v>
      </c>
      <c r="Q11" s="1203">
        <f>+Aout!P19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+Aout!X3</f>
        <v>45870</v>
      </c>
      <c r="M13" s="154"/>
      <c r="N13" s="155">
        <f>DATE(YEAR($D$13),MONTH($D$13)+1,DAY($D$13))</f>
        <v>45901</v>
      </c>
      <c r="O13" s="156">
        <f>N13</f>
        <v>45901</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45870</v>
      </c>
      <c r="BF13" s="154"/>
      <c r="BG13" s="155">
        <f>DATE(YEAR($D$13),MONTH($D$13)+1,DAY($D$13))</f>
        <v>45901</v>
      </c>
      <c r="BH13" s="156">
        <f>BG13</f>
        <v>45901</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45901</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45870</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45870</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45870</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+Aout!BJ20</f>
        <v>Fiche infoA5</v>
      </c>
      <c r="B18" s="170">
        <f>+D13</f>
        <v>45870</v>
      </c>
      <c r="C18" s="171">
        <f>+$D$13</f>
        <v>45870</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Aout!BC20</f>
        <v>0</v>
      </c>
      <c r="J18" s="34">
        <f>Aout!BE20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infoA5</v>
      </c>
      <c r="BB18" s="170">
        <f>+BD13</f>
        <v>45870</v>
      </c>
      <c r="BC18" s="171">
        <f>+$D$13</f>
        <v>45870</v>
      </c>
      <c r="BD18" s="173" t="str">
        <f>+D18</f>
        <v/>
      </c>
      <c r="BE18" s="353" t="str">
        <f>+IF(OR(BF18=S.CAL!$BJ$3,BF18=S.CAL!$BJ$4),BD18,"")</f>
        <v/>
      </c>
      <c r="BF18" s="350">
        <f>IF($DY$5=S.CAL!$CU$2,Aout!AR20,IF($DY$5=S.CAL!$CU$3,VLOOKUP(BC18,planning_fp,7,FALSE),""))</f>
        <v>0</v>
      </c>
      <c r="BG18" s="362" t="str">
        <f>Aout!BL20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45870</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45870</v>
      </c>
      <c r="EM18" s="16" t="str">
        <f>A18&amp;C18</f>
        <v>Fiche infoA545870</v>
      </c>
      <c r="EN18" s="16">
        <f t="shared" ref="EN18:EN48" si="20">+VLOOKUP(EM18,Base_feuille_présence_heure_potentiel,11,FALSE)</f>
        <v>0</v>
      </c>
      <c r="EQ18" s="16" t="str">
        <f>Aout!FS20</f>
        <v/>
      </c>
    </row>
    <row r="19" spans="1:147" ht="18" customHeight="1" x14ac:dyDescent="0.2">
      <c r="A19" s="24" t="str">
        <f>+Aout!BJ21</f>
        <v>Fiche infoA6</v>
      </c>
      <c r="B19" s="107">
        <f>C19</f>
        <v>45871</v>
      </c>
      <c r="C19" s="172">
        <f>+$D$13+1</f>
        <v>45871</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Aout!BC21</f>
        <v>0</v>
      </c>
      <c r="J19" s="34">
        <f>Aout!BE21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infoA6</v>
      </c>
      <c r="BB19" s="107">
        <f>BC19</f>
        <v>45871</v>
      </c>
      <c r="BC19" s="172">
        <f>+$D$13+1</f>
        <v>45871</v>
      </c>
      <c r="BD19" s="173" t="str">
        <f>+D19</f>
        <v/>
      </c>
      <c r="BE19" s="173" t="str">
        <f>+IF(OR(BF19=S.CAL!$BJ$3,BF19=S.CAL!$BJ$4),BD19,"")</f>
        <v/>
      </c>
      <c r="BF19" s="351">
        <f>IF($DY$5=S.CAL!$CU$2,Aout!AR21,IF($DY$5=S.CAL!$CU$3,VLOOKUP(BC19,planning_fp,7,FALSE),""))</f>
        <v>0</v>
      </c>
      <c r="BG19" s="363" t="str">
        <f>Aout!BL21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45871</v>
      </c>
      <c r="CF19" s="172">
        <f>+$D$13+1</f>
        <v>45871</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45871</v>
      </c>
      <c r="EM19" s="16" t="str">
        <f t="shared" ref="EM19:EM48" si="29">A19&amp;C19</f>
        <v>Fiche infoA645871</v>
      </c>
      <c r="EN19" s="16">
        <f t="shared" si="20"/>
        <v>0</v>
      </c>
      <c r="EQ19" s="16" t="str">
        <f>Aout!FS21</f>
        <v/>
      </c>
    </row>
    <row r="20" spans="1:147" ht="18" customHeight="1" x14ac:dyDescent="0.2">
      <c r="A20" s="24" t="str">
        <f>+Aout!BJ22</f>
        <v>Fiche infoA7</v>
      </c>
      <c r="B20" s="107">
        <f t="shared" ref="B20:B48" si="30">C20</f>
        <v>45872</v>
      </c>
      <c r="C20" s="172">
        <f>+$D$13+2</f>
        <v>45872</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Aout!BC22</f>
        <v>0</v>
      </c>
      <c r="J20" s="34">
        <f>Aout!BE22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infoA7</v>
      </c>
      <c r="BB20" s="107">
        <f t="shared" ref="BB20:BB48" si="31">BC20</f>
        <v>45872</v>
      </c>
      <c r="BC20" s="172">
        <f>+$D$13+2</f>
        <v>45872</v>
      </c>
      <c r="BD20" s="173" t="str">
        <f t="shared" ref="BD20:BD48" si="32">+D20</f>
        <v/>
      </c>
      <c r="BE20" s="173" t="str">
        <f>+IF(OR(BF20=S.CAL!$BJ$3,BF20=S.CAL!$BJ$4),BD20,"")</f>
        <v/>
      </c>
      <c r="BF20" s="351">
        <f>IF($DY$5=S.CAL!$CU$2,Aout!AR22,IF($DY$5=S.CAL!$CU$3,VLOOKUP(BC20,planning_fp,7,FALSE),""))</f>
        <v>0</v>
      </c>
      <c r="BG20" s="363" t="str">
        <f>Aout!BL22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45872</v>
      </c>
      <c r="CF20" s="172">
        <f>+$D$13+2</f>
        <v>45872</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45872</v>
      </c>
      <c r="EM20" s="16" t="str">
        <f t="shared" si="29"/>
        <v>Fiche infoA745872</v>
      </c>
      <c r="EN20" s="16">
        <f t="shared" si="20"/>
        <v>0</v>
      </c>
      <c r="EQ20" s="16" t="str">
        <f>Aout!FS22</f>
        <v/>
      </c>
    </row>
    <row r="21" spans="1:147" ht="18" customHeight="1" x14ac:dyDescent="0.2">
      <c r="A21" s="24" t="str">
        <f>+Aout!BJ23</f>
        <v>Fiche infoA1</v>
      </c>
      <c r="B21" s="107">
        <f t="shared" si="30"/>
        <v>45873</v>
      </c>
      <c r="C21" s="172">
        <f>+$D$13+3</f>
        <v>45873</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infoA1</v>
      </c>
      <c r="BB21" s="107">
        <f t="shared" si="31"/>
        <v>45873</v>
      </c>
      <c r="BC21" s="172">
        <f>+$D$13+3</f>
        <v>45873</v>
      </c>
      <c r="BD21" s="173" t="str">
        <f t="shared" si="32"/>
        <v/>
      </c>
      <c r="BE21" s="173" t="str">
        <f>+IF(OR(BF21=S.CAL!$BJ$3,BF21=S.CAL!$BJ$4),BD21,"")</f>
        <v/>
      </c>
      <c r="BF21" s="351">
        <f>IF($DY$5=S.CAL!$CU$2,Aout!AR23,IF($DY$5=S.CAL!$CU$3,VLOOKUP(BC21,planning_fp,7,FALSE),""))</f>
        <v>0</v>
      </c>
      <c r="BG21" s="363" t="str">
        <f>Aout!BL23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45873</v>
      </c>
      <c r="CF21" s="172">
        <f>+$D$13+3</f>
        <v>45873</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45873</v>
      </c>
      <c r="EM21" s="16" t="str">
        <f t="shared" si="29"/>
        <v>Fiche infoA145873</v>
      </c>
      <c r="EN21" s="16">
        <f t="shared" si="20"/>
        <v>0</v>
      </c>
      <c r="EQ21" s="16" t="str">
        <f>Aout!FS23</f>
        <v/>
      </c>
    </row>
    <row r="22" spans="1:147" ht="18" customHeight="1" x14ac:dyDescent="0.25">
      <c r="A22" s="24" t="str">
        <f>+Aout!BJ24</f>
        <v>Fiche infoA2</v>
      </c>
      <c r="B22" s="107">
        <f t="shared" si="30"/>
        <v>45874</v>
      </c>
      <c r="C22" s="172">
        <f>+$D$13+4</f>
        <v>45874</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Aout!BC24</f>
        <v>0</v>
      </c>
      <c r="J22" s="34">
        <f>Aout!BE24</f>
        <v>0</v>
      </c>
      <c r="K22" s="34">
        <f t="shared" si="15"/>
        <v>0</v>
      </c>
      <c r="L22" s="34" t="str">
        <f t="shared" si="21"/>
        <v/>
      </c>
      <c r="O22" s="19"/>
      <c r="AK22" s="1211" t="s">
        <v>41</v>
      </c>
      <c r="AL22" s="1340">
        <f>+Aout!AL14</f>
        <v>0</v>
      </c>
      <c r="BA22" s="349" t="str">
        <f t="shared" si="16"/>
        <v>Fiche infoA2</v>
      </c>
      <c r="BB22" s="107">
        <f t="shared" si="31"/>
        <v>45874</v>
      </c>
      <c r="BC22" s="172">
        <f>+$D$13+4</f>
        <v>45874</v>
      </c>
      <c r="BD22" s="173" t="str">
        <f t="shared" si="32"/>
        <v/>
      </c>
      <c r="BE22" s="173" t="str">
        <f>+IF(OR(BF22=S.CAL!$BJ$3,BF22=S.CAL!$BJ$4),BD22,"")</f>
        <v/>
      </c>
      <c r="BF22" s="351">
        <f>IF($DY$5=S.CAL!$CU$2,Aout!AR24,IF($DY$5=S.CAL!$CU$3,VLOOKUP(BC22,planning_fp,7,FALSE),""))</f>
        <v>0</v>
      </c>
      <c r="BG22" s="363" t="str">
        <f>Aout!BL24</f>
        <v>A</v>
      </c>
      <c r="BH22" s="150"/>
      <c r="BL22" s="146"/>
      <c r="BM22" s="197"/>
      <c r="CD22" s="346"/>
      <c r="CE22" s="107">
        <f t="shared" si="33"/>
        <v>45874</v>
      </c>
      <c r="CF22" s="172">
        <f>+$D$13+4</f>
        <v>45874</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45874</v>
      </c>
      <c r="EM22" s="16" t="str">
        <f t="shared" si="29"/>
        <v>Fiche infoA245874</v>
      </c>
      <c r="EN22" s="16">
        <f t="shared" si="20"/>
        <v>0</v>
      </c>
      <c r="EQ22" s="16" t="str">
        <f>Aout!FS24</f>
        <v/>
      </c>
    </row>
    <row r="23" spans="1:147" ht="18" customHeight="1" x14ac:dyDescent="0.2">
      <c r="A23" s="24" t="str">
        <f>+Aout!BJ25</f>
        <v>Fiche infoA3</v>
      </c>
      <c r="B23" s="107">
        <f t="shared" si="30"/>
        <v>45875</v>
      </c>
      <c r="C23" s="172">
        <f>+$D$13+5</f>
        <v>45875</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Aout!BC25</f>
        <v>0</v>
      </c>
      <c r="J23" s="34">
        <f>Aout!BE25</f>
        <v>0</v>
      </c>
      <c r="K23" s="34">
        <f t="shared" si="15"/>
        <v>0</v>
      </c>
      <c r="L23" s="34" t="str">
        <f t="shared" si="21"/>
        <v/>
      </c>
      <c r="O23" s="39" t="str">
        <f>+O21</f>
        <v xml:space="preserve">Retenue sur salaire = </v>
      </c>
      <c r="P23" s="689">
        <f>+P30+P33</f>
        <v>0</v>
      </c>
      <c r="T23" s="581" t="s">
        <v>1123</v>
      </c>
      <c r="Z23" s="581" t="s">
        <v>1123</v>
      </c>
      <c r="BA23" s="349" t="str">
        <f t="shared" si="16"/>
        <v>Fiche infoA3</v>
      </c>
      <c r="BB23" s="107">
        <f t="shared" si="31"/>
        <v>45875</v>
      </c>
      <c r="BC23" s="172">
        <f>+$D$13+5</f>
        <v>45875</v>
      </c>
      <c r="BD23" s="173" t="str">
        <f t="shared" si="32"/>
        <v/>
      </c>
      <c r="BE23" s="173" t="str">
        <f>+IF(OR(BF23=S.CAL!$BJ$3,BF23=S.CAL!$BJ$4),BD23,"")</f>
        <v/>
      </c>
      <c r="BF23" s="351">
        <f>IF($DY$5=S.CAL!$CU$2,Aout!AR25,IF($DY$5=S.CAL!$CU$3,VLOOKUP(BC23,planning_fp,7,FALSE),""))</f>
        <v>0</v>
      </c>
      <c r="BG23" s="363" t="str">
        <f>Aout!BL25</f>
        <v>A</v>
      </c>
      <c r="BH23" s="29"/>
      <c r="BI23" s="354"/>
      <c r="BL23" s="149"/>
      <c r="CD23" s="346"/>
      <c r="CE23" s="107">
        <f t="shared" si="33"/>
        <v>45875</v>
      </c>
      <c r="CF23" s="172">
        <f>+$D$13+5</f>
        <v>45875</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45875</v>
      </c>
      <c r="EM23" s="16" t="str">
        <f t="shared" si="29"/>
        <v>Fiche infoA345875</v>
      </c>
      <c r="EN23" s="16">
        <f t="shared" si="20"/>
        <v>0</v>
      </c>
      <c r="EQ23" s="16" t="str">
        <f>Aout!FS25</f>
        <v/>
      </c>
    </row>
    <row r="24" spans="1:147" ht="18" customHeight="1" x14ac:dyDescent="0.2">
      <c r="A24" s="24" t="str">
        <f>+Aout!BJ26</f>
        <v>Fiche infoA4</v>
      </c>
      <c r="B24" s="107">
        <f t="shared" si="30"/>
        <v>45876</v>
      </c>
      <c r="C24" s="172">
        <f>+$D$13+6</f>
        <v>45876</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Aout!BC26</f>
        <v>0</v>
      </c>
      <c r="J24" s="34">
        <f>Aout!BE26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infoA4</v>
      </c>
      <c r="BB24" s="107">
        <f t="shared" si="31"/>
        <v>45876</v>
      </c>
      <c r="BC24" s="172">
        <f>+$D$13+6</f>
        <v>45876</v>
      </c>
      <c r="BD24" s="173" t="str">
        <f t="shared" si="32"/>
        <v/>
      </c>
      <c r="BE24" s="173" t="str">
        <f>+IF(OR(BF24=S.CAL!$BJ$3,BF24=S.CAL!$BJ$4),BD24,"")</f>
        <v/>
      </c>
      <c r="BF24" s="351">
        <f>IF($DY$5=S.CAL!$CU$2,Aout!AR26,IF($DY$5=S.CAL!$CU$3,VLOOKUP(BC24,planning_fp,7,FALSE),""))</f>
        <v>0</v>
      </c>
      <c r="BG24" s="363" t="str">
        <f>Aout!BL26</f>
        <v>A</v>
      </c>
      <c r="BL24" s="35"/>
      <c r="BM24" s="197"/>
      <c r="BO24" s="29"/>
      <c r="BP24" s="184"/>
      <c r="BR24" s="16" t="s">
        <v>758</v>
      </c>
      <c r="BV24" s="373"/>
      <c r="BW24" s="373"/>
      <c r="BX24" s="373"/>
      <c r="BY24" s="373" t="s">
        <v>708</v>
      </c>
      <c r="BZ24" s="373"/>
      <c r="CA24" s="373"/>
      <c r="CB24" s="373"/>
      <c r="CD24" s="346"/>
      <c r="CE24" s="107">
        <f t="shared" si="33"/>
        <v>45876</v>
      </c>
      <c r="CF24" s="172">
        <f>+$D$13+6</f>
        <v>45876</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45876</v>
      </c>
      <c r="EM24" s="16" t="str">
        <f t="shared" si="29"/>
        <v>Fiche infoA445876</v>
      </c>
      <c r="EN24" s="16">
        <f t="shared" si="20"/>
        <v>0</v>
      </c>
      <c r="EQ24" s="16" t="str">
        <f>Aout!FS26</f>
        <v/>
      </c>
    </row>
    <row r="25" spans="1:147" ht="18" customHeight="1" x14ac:dyDescent="0.2">
      <c r="A25" s="24" t="str">
        <f>+Aout!BJ27</f>
        <v>Fiche infoA5</v>
      </c>
      <c r="B25" s="107">
        <f t="shared" si="30"/>
        <v>45877</v>
      </c>
      <c r="C25" s="172">
        <f>+$D$13+7</f>
        <v>45877</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Aout!BC27</f>
        <v>0</v>
      </c>
      <c r="J25" s="34">
        <f>Aout!BE27</f>
        <v>0</v>
      </c>
      <c r="K25" s="34">
        <f t="shared" si="15"/>
        <v>0</v>
      </c>
      <c r="L25" s="34" t="str">
        <f t="shared" si="21"/>
        <v/>
      </c>
      <c r="AK25" s="1211" t="s">
        <v>329</v>
      </c>
      <c r="AL25" s="1335">
        <f>+IF(AL22,AL24/AL22,0)</f>
        <v>0</v>
      </c>
      <c r="BA25" s="349" t="str">
        <f t="shared" si="16"/>
        <v>Fiche infoA5</v>
      </c>
      <c r="BB25" s="107">
        <f t="shared" si="31"/>
        <v>45877</v>
      </c>
      <c r="BC25" s="172">
        <f>+$D$13+7</f>
        <v>45877</v>
      </c>
      <c r="BD25" s="173" t="str">
        <f t="shared" si="32"/>
        <v/>
      </c>
      <c r="BE25" s="173" t="str">
        <f>+IF(OR(BF25=S.CAL!$BJ$3,BF25=S.CAL!$BJ$4),BD25,"")</f>
        <v/>
      </c>
      <c r="BF25" s="351">
        <f>IF($DY$5=S.CAL!$CU$2,Aout!AR27,IF($DY$5=S.CAL!$CU$3,VLOOKUP(BC25,planning_fp,7,FALSE),""))</f>
        <v>0</v>
      </c>
      <c r="BG25" s="363" t="str">
        <f>Aout!BL27</f>
        <v>A</v>
      </c>
      <c r="BH25" s="150"/>
      <c r="BL25" s="35"/>
      <c r="BO25" s="29"/>
      <c r="BP25" s="184"/>
      <c r="BV25" s="373"/>
      <c r="BW25" s="373"/>
      <c r="BX25" s="373"/>
      <c r="BY25" s="373"/>
      <c r="BZ25" s="373"/>
      <c r="CA25" s="373"/>
      <c r="CB25" s="373"/>
      <c r="CD25" s="346"/>
      <c r="CE25" s="107">
        <f t="shared" si="33"/>
        <v>45877</v>
      </c>
      <c r="CF25" s="172">
        <f>+$D$13+7</f>
        <v>45877</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45877</v>
      </c>
      <c r="EM25" s="16" t="str">
        <f t="shared" si="29"/>
        <v>Fiche infoA545877</v>
      </c>
      <c r="EN25" s="16">
        <f t="shared" si="20"/>
        <v>0</v>
      </c>
      <c r="EQ25" s="16" t="str">
        <f>Aout!FS27</f>
        <v/>
      </c>
    </row>
    <row r="26" spans="1:147" ht="18" customHeight="1" x14ac:dyDescent="0.2">
      <c r="A26" s="24" t="str">
        <f>+Aout!BJ28</f>
        <v>Fiche infoA6</v>
      </c>
      <c r="B26" s="107">
        <f t="shared" si="30"/>
        <v>45878</v>
      </c>
      <c r="C26" s="172">
        <f>+$D$13+8</f>
        <v>45878</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Aout!BC28</f>
        <v>0</v>
      </c>
      <c r="J26" s="34">
        <f>Aout!BE28</f>
        <v>0</v>
      </c>
      <c r="K26" s="34">
        <f t="shared" si="15"/>
        <v>0</v>
      </c>
      <c r="L26" s="34" t="str">
        <f t="shared" si="21"/>
        <v/>
      </c>
      <c r="O26" s="16" t="s">
        <v>1217</v>
      </c>
      <c r="AK26" s="1211" t="s">
        <v>330</v>
      </c>
      <c r="AL26" s="1335">
        <f>IF(AS21,SUM(AT13:AT20)/AS21,0)</f>
        <v>0</v>
      </c>
      <c r="BA26" s="349" t="str">
        <f t="shared" si="16"/>
        <v>Fiche infoA6</v>
      </c>
      <c r="BB26" s="107">
        <f t="shared" si="31"/>
        <v>45878</v>
      </c>
      <c r="BC26" s="172">
        <f>+$D$13+8</f>
        <v>45878</v>
      </c>
      <c r="BD26" s="173" t="str">
        <f t="shared" si="32"/>
        <v/>
      </c>
      <c r="BE26" s="173" t="str">
        <f>+IF(OR(BF26=S.CAL!$BJ$3,BF26=S.CAL!$BJ$4),BD26,"")</f>
        <v/>
      </c>
      <c r="BF26" s="351">
        <f>IF($DY$5=S.CAL!$CU$2,Aout!AR28,IF($DY$5=S.CAL!$CU$3,VLOOKUP(BC26,planning_fp,7,FALSE),""))</f>
        <v>0</v>
      </c>
      <c r="BG26" s="363" t="str">
        <f>Aout!BL28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45878</v>
      </c>
      <c r="CF26" s="172">
        <f>+$D$13+8</f>
        <v>45878</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45878</v>
      </c>
      <c r="EM26" s="16" t="str">
        <f t="shared" si="29"/>
        <v>Fiche infoA645878</v>
      </c>
      <c r="EN26" s="16">
        <f t="shared" si="20"/>
        <v>0</v>
      </c>
      <c r="EQ26" s="16" t="str">
        <f>Aout!FS28</f>
        <v/>
      </c>
    </row>
    <row r="27" spans="1:147" ht="18" customHeight="1" x14ac:dyDescent="0.2">
      <c r="A27" s="24" t="str">
        <f>+Aout!BJ29</f>
        <v>Fiche infoA7</v>
      </c>
      <c r="B27" s="107">
        <f t="shared" si="30"/>
        <v>45879</v>
      </c>
      <c r="C27" s="172">
        <f>+$D$13+9</f>
        <v>45879</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Aout!BC29</f>
        <v>0</v>
      </c>
      <c r="J27" s="34">
        <f>Aout!BE29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infoA7</v>
      </c>
      <c r="BB27" s="107">
        <f t="shared" si="31"/>
        <v>45879</v>
      </c>
      <c r="BC27" s="172">
        <f>+$D$13+9</f>
        <v>45879</v>
      </c>
      <c r="BD27" s="173" t="str">
        <f t="shared" si="32"/>
        <v/>
      </c>
      <c r="BE27" s="173" t="str">
        <f>+IF(OR(BF27=S.CAL!$BJ$3,BF27=S.CAL!$BJ$4),BD27,"")</f>
        <v/>
      </c>
      <c r="BF27" s="351">
        <f>IF($DY$5=S.CAL!$CU$2,Aout!AR29,IF($DY$5=S.CAL!$CU$3,VLOOKUP(BC27,planning_fp,7,FALSE),""))</f>
        <v>0</v>
      </c>
      <c r="BG27" s="363" t="str">
        <f>Aout!BL29</f>
        <v>A</v>
      </c>
      <c r="BI27" s="16" t="s">
        <v>758</v>
      </c>
      <c r="BL27" s="35"/>
      <c r="BP27" s="2401"/>
      <c r="BQ27" s="2401"/>
      <c r="BR27" s="2401"/>
      <c r="BS27" s="2401"/>
      <c r="BT27" s="2400"/>
      <c r="BV27" s="373"/>
      <c r="BW27" s="373"/>
      <c r="BX27" s="2488"/>
      <c r="BY27" s="2488"/>
      <c r="BZ27" s="2488"/>
      <c r="CA27" s="2488"/>
      <c r="CB27" s="2487"/>
      <c r="CD27" s="346"/>
      <c r="CE27" s="107">
        <f t="shared" si="33"/>
        <v>45879</v>
      </c>
      <c r="CF27" s="172">
        <f>+$D$13+9</f>
        <v>45879</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45879</v>
      </c>
      <c r="EM27" s="16" t="str">
        <f t="shared" si="29"/>
        <v>Fiche infoA745879</v>
      </c>
      <c r="EN27" s="16">
        <f t="shared" si="20"/>
        <v>0</v>
      </c>
      <c r="EQ27" s="16" t="str">
        <f>Aout!FS29</f>
        <v/>
      </c>
    </row>
    <row r="28" spans="1:147" ht="18" customHeight="1" x14ac:dyDescent="0.2">
      <c r="A28" s="24" t="str">
        <f>+Aout!BJ30</f>
        <v>Fiche infoA1</v>
      </c>
      <c r="B28" s="107">
        <f t="shared" si="30"/>
        <v>45880</v>
      </c>
      <c r="C28" s="172">
        <f>+$D$13+10</f>
        <v>45880</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Aout!BC30</f>
        <v>0</v>
      </c>
      <c r="J28" s="34">
        <f>Aout!BE30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infoA1</v>
      </c>
      <c r="BB28" s="107">
        <f t="shared" si="31"/>
        <v>45880</v>
      </c>
      <c r="BC28" s="172">
        <f>+$D$13+10</f>
        <v>45880</v>
      </c>
      <c r="BD28" s="173" t="str">
        <f t="shared" si="32"/>
        <v/>
      </c>
      <c r="BE28" s="173" t="str">
        <f>+IF(OR(BF28=S.CAL!$BJ$3,BF28=S.CAL!$BJ$4),BD28,"")</f>
        <v/>
      </c>
      <c r="BF28" s="351">
        <f>IF($DY$5=S.CAL!$CU$2,Aout!AR30,IF($DY$5=S.CAL!$CU$3,VLOOKUP(BC28,planning_fp,7,FALSE),""))</f>
        <v>0</v>
      </c>
      <c r="BG28" s="363" t="str">
        <f>Aout!BL30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45880</v>
      </c>
      <c r="CF28" s="172">
        <f>+$D$13+10</f>
        <v>45880</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45880</v>
      </c>
      <c r="EM28" s="16" t="str">
        <f t="shared" si="29"/>
        <v>Fiche infoA145880</v>
      </c>
      <c r="EN28" s="16">
        <f t="shared" si="20"/>
        <v>0</v>
      </c>
      <c r="EQ28" s="16" t="str">
        <f>Aout!FS30</f>
        <v/>
      </c>
    </row>
    <row r="29" spans="1:147" ht="18" customHeight="1" x14ac:dyDescent="0.2">
      <c r="A29" s="24" t="str">
        <f>+Aout!BJ31</f>
        <v>Fiche infoA2</v>
      </c>
      <c r="B29" s="107">
        <f t="shared" si="30"/>
        <v>45881</v>
      </c>
      <c r="C29" s="172">
        <f>+$D$13+11</f>
        <v>45881</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Aout!BC31</f>
        <v>0</v>
      </c>
      <c r="J29" s="34">
        <f>Aout!BE31</f>
        <v>0</v>
      </c>
      <c r="K29" s="34">
        <f t="shared" si="15"/>
        <v>0</v>
      </c>
      <c r="L29" s="34" t="str">
        <f t="shared" si="21"/>
        <v/>
      </c>
      <c r="O29" s="877" t="s">
        <v>1471</v>
      </c>
      <c r="P29" s="877"/>
      <c r="Q29" s="877"/>
      <c r="R29" s="877"/>
      <c r="BA29" s="349" t="str">
        <f t="shared" si="16"/>
        <v>Fiche infoA2</v>
      </c>
      <c r="BB29" s="107">
        <f t="shared" si="31"/>
        <v>45881</v>
      </c>
      <c r="BC29" s="172">
        <f>+$D$13+11</f>
        <v>45881</v>
      </c>
      <c r="BD29" s="173" t="str">
        <f t="shared" si="32"/>
        <v/>
      </c>
      <c r="BE29" s="173" t="str">
        <f>+IF(OR(BF29=S.CAL!$BJ$3,BF29=S.CAL!$BJ$4),BD29,"")</f>
        <v/>
      </c>
      <c r="BF29" s="351">
        <f>IF($DY$5=S.CAL!$CU$2,Aout!AR31,IF($DY$5=S.CAL!$CU$3,VLOOKUP(BC29,planning_fp,7,FALSE),""))</f>
        <v>0</v>
      </c>
      <c r="BG29" s="363" t="str">
        <f>Aout!BL31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45881</v>
      </c>
      <c r="CF29" s="172">
        <f>+$D$13+11</f>
        <v>45881</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45881</v>
      </c>
      <c r="EM29" s="16" t="str">
        <f t="shared" si="29"/>
        <v>Fiche infoA245881</v>
      </c>
      <c r="EN29" s="16">
        <f t="shared" si="20"/>
        <v>0</v>
      </c>
      <c r="EQ29" s="16" t="str">
        <f>Aout!FS31</f>
        <v/>
      </c>
    </row>
    <row r="30" spans="1:147" ht="18" customHeight="1" x14ac:dyDescent="0.25">
      <c r="A30" s="24" t="str">
        <f>+Aout!BJ32</f>
        <v>Fiche infoA3</v>
      </c>
      <c r="B30" s="107">
        <f t="shared" si="30"/>
        <v>45882</v>
      </c>
      <c r="C30" s="172">
        <f>+$D$13+12</f>
        <v>45882</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Aout!BC32</f>
        <v>0</v>
      </c>
      <c r="J30" s="34">
        <f>Aout!BE32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45870</v>
      </c>
      <c r="AP30" s="2496"/>
      <c r="AQ30" s="2496"/>
      <c r="BA30" s="349" t="str">
        <f t="shared" si="16"/>
        <v>Fiche infoA3</v>
      </c>
      <c r="BB30" s="107">
        <f t="shared" si="31"/>
        <v>45882</v>
      </c>
      <c r="BC30" s="172">
        <f>+$D$13+12</f>
        <v>45882</v>
      </c>
      <c r="BD30" s="173" t="str">
        <f t="shared" si="32"/>
        <v/>
      </c>
      <c r="BE30" s="173" t="str">
        <f>+IF(OR(BF30=S.CAL!$BJ$3,BF30=S.CAL!$BJ$4),BD30,"")</f>
        <v/>
      </c>
      <c r="BF30" s="351">
        <f>IF($DY$5=S.CAL!$CU$2,Aout!AR32,IF($DY$5=S.CAL!$CU$3,VLOOKUP(BC30,planning_fp,7,FALSE),""))</f>
        <v>0</v>
      </c>
      <c r="BG30" s="363" t="str">
        <f>Aout!BL32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45882</v>
      </c>
      <c r="CF30" s="172">
        <f>+$D$13+12</f>
        <v>45882</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45882</v>
      </c>
      <c r="EM30" s="16" t="str">
        <f t="shared" si="29"/>
        <v>Fiche infoA345882</v>
      </c>
      <c r="EN30" s="16">
        <f t="shared" si="20"/>
        <v>0</v>
      </c>
      <c r="EQ30" s="16" t="str">
        <f>Aout!FS32</f>
        <v/>
      </c>
    </row>
    <row r="31" spans="1:147" ht="18" customHeight="1" x14ac:dyDescent="0.2">
      <c r="A31" s="24" t="str">
        <f>+Aout!BJ33</f>
        <v>Fiche infoA4</v>
      </c>
      <c r="B31" s="107">
        <f t="shared" si="30"/>
        <v>45883</v>
      </c>
      <c r="C31" s="172">
        <f>+$D$13+13</f>
        <v>45883</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Aout!BC33</f>
        <v>0</v>
      </c>
      <c r="J31" s="34">
        <f>Aout!BE33</f>
        <v>0</v>
      </c>
      <c r="K31" s="34">
        <f t="shared" si="15"/>
        <v>0</v>
      </c>
      <c r="L31" s="34" t="str">
        <f t="shared" si="21"/>
        <v/>
      </c>
      <c r="AL31" s="581" t="s">
        <v>351</v>
      </c>
      <c r="BA31" s="349" t="str">
        <f t="shared" si="16"/>
        <v>Fiche infoA4</v>
      </c>
      <c r="BB31" s="107">
        <f t="shared" si="31"/>
        <v>45883</v>
      </c>
      <c r="BC31" s="172">
        <f>+$D$13+13</f>
        <v>45883</v>
      </c>
      <c r="BD31" s="173" t="str">
        <f t="shared" si="32"/>
        <v/>
      </c>
      <c r="BE31" s="173" t="str">
        <f>+IF(OR(BF31=S.CAL!$BJ$3,BF31=S.CAL!$BJ$4),BD31,"")</f>
        <v/>
      </c>
      <c r="BF31" s="351">
        <f>IF($DY$5=S.CAL!$CU$2,Aout!AR33,IF($DY$5=S.CAL!$CU$3,VLOOKUP(BC31,planning_fp,7,FALSE),""))</f>
        <v>0</v>
      </c>
      <c r="BG31" s="363" t="str">
        <f>Aout!BL33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45883</v>
      </c>
      <c r="CF31" s="172">
        <f>+$D$13+13</f>
        <v>45883</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45883</v>
      </c>
      <c r="EM31" s="16" t="str">
        <f t="shared" si="29"/>
        <v>Fiche infoA445883</v>
      </c>
      <c r="EN31" s="16">
        <f t="shared" si="20"/>
        <v>0</v>
      </c>
      <c r="EQ31" s="16" t="str">
        <f>Aout!FS33</f>
        <v/>
      </c>
    </row>
    <row r="32" spans="1:147" ht="18" customHeight="1" x14ac:dyDescent="0.2">
      <c r="A32" s="24" t="str">
        <f>+Aout!BJ34</f>
        <v>Fiche infoA5</v>
      </c>
      <c r="B32" s="107">
        <f t="shared" si="30"/>
        <v>45884</v>
      </c>
      <c r="C32" s="172">
        <f>+$D$13+14</f>
        <v>45884</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Aout!BC34</f>
        <v>0</v>
      </c>
      <c r="J32" s="34">
        <f>Aout!BE34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infoA5</v>
      </c>
      <c r="BB32" s="107">
        <f t="shared" si="31"/>
        <v>45884</v>
      </c>
      <c r="BC32" s="172">
        <f>+$D$13+14</f>
        <v>45884</v>
      </c>
      <c r="BD32" s="173" t="str">
        <f t="shared" si="32"/>
        <v/>
      </c>
      <c r="BE32" s="173" t="str">
        <f>+IF(OR(BF32=S.CAL!$BJ$3,BF32=S.CAL!$BJ$4),BD32,"")</f>
        <v/>
      </c>
      <c r="BF32" s="351">
        <f>IF($DY$5=S.CAL!$CU$2,Aout!AR34,IF($DY$5=S.CAL!$CU$3,VLOOKUP(BC32,planning_fp,7,FALSE),""))</f>
        <v>0</v>
      </c>
      <c r="BG32" s="363" t="str">
        <f>Aout!BL34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45884</v>
      </c>
      <c r="CF32" s="172">
        <f>+$D$13+14</f>
        <v>45884</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45884</v>
      </c>
      <c r="EM32" s="16" t="str">
        <f t="shared" si="29"/>
        <v>Fiche infoA545884</v>
      </c>
      <c r="EN32" s="16">
        <f t="shared" si="20"/>
        <v>0</v>
      </c>
      <c r="EQ32" s="16" t="str">
        <f>Aout!FS34</f>
        <v/>
      </c>
    </row>
    <row r="33" spans="1:147" ht="18" customHeight="1" x14ac:dyDescent="0.2">
      <c r="A33" s="24" t="str">
        <f>+Aout!BJ35</f>
        <v>Fiche infoA6</v>
      </c>
      <c r="B33" s="107">
        <f t="shared" si="30"/>
        <v>45885</v>
      </c>
      <c r="C33" s="172">
        <f>+$D$13+15</f>
        <v>45885</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Aout!BC35</f>
        <v>0</v>
      </c>
      <c r="J33" s="34">
        <f>Aout!BE35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infoA6</v>
      </c>
      <c r="BB33" s="107">
        <f t="shared" si="31"/>
        <v>45885</v>
      </c>
      <c r="BC33" s="172">
        <f>+$D$13+15</f>
        <v>45885</v>
      </c>
      <c r="BD33" s="173" t="str">
        <f t="shared" si="32"/>
        <v/>
      </c>
      <c r="BE33" s="173" t="str">
        <f>+IF(OR(BF33=S.CAL!$BJ$3,BF33=S.CAL!$BJ$4),BD33,"")</f>
        <v/>
      </c>
      <c r="BF33" s="351">
        <f>IF($DY$5=S.CAL!$CU$2,Aout!AR35,IF($DY$5=S.CAL!$CU$3,VLOOKUP(BC33,planning_fp,7,FALSE),""))</f>
        <v>0</v>
      </c>
      <c r="BG33" s="363" t="str">
        <f>Aout!BL35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45885</v>
      </c>
      <c r="CF33" s="172">
        <f>+$D$13+15</f>
        <v>45885</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45885</v>
      </c>
      <c r="EM33" s="16" t="str">
        <f t="shared" si="29"/>
        <v>Fiche infoA645885</v>
      </c>
      <c r="EN33" s="16">
        <f t="shared" si="20"/>
        <v>0</v>
      </c>
      <c r="EQ33" s="16" t="str">
        <f>Aout!FS35</f>
        <v/>
      </c>
    </row>
    <row r="34" spans="1:147" ht="18" customHeight="1" x14ac:dyDescent="0.2">
      <c r="A34" s="24" t="str">
        <f>+Aout!BJ36</f>
        <v>Fiche infoA7</v>
      </c>
      <c r="B34" s="107">
        <f t="shared" si="30"/>
        <v>45886</v>
      </c>
      <c r="C34" s="172">
        <f>+$D$13+16</f>
        <v>45886</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Aout!BC36</f>
        <v>0</v>
      </c>
      <c r="J34" s="34">
        <f>Aout!BE36</f>
        <v>0</v>
      </c>
      <c r="K34" s="34">
        <f t="shared" si="15"/>
        <v>0</v>
      </c>
      <c r="L34" s="34" t="str">
        <f t="shared" si="21"/>
        <v/>
      </c>
      <c r="N34" s="395"/>
      <c r="O34" s="395"/>
      <c r="P34" s="395"/>
      <c r="Q34" s="395"/>
      <c r="R34" s="395"/>
      <c r="T34" s="581">
        <f>+IF(AD34=0,V34,0)</f>
        <v>0</v>
      </c>
      <c r="U34" s="1323" t="str">
        <f>+Aout!AU4</f>
        <v>A</v>
      </c>
      <c r="V34" s="1323">
        <f>IFERROR(+VLOOKUP(U34,U35:AB39,7,FALSE),"")</f>
        <v>0</v>
      </c>
      <c r="W34" s="2482" t="str">
        <f>Aout!BS28</f>
        <v>Semaine numéro : 31</v>
      </c>
      <c r="X34" s="2482"/>
      <c r="Y34" s="2482"/>
      <c r="Z34" s="1345"/>
      <c r="AA34" s="1338">
        <f>+IF(Z34&lt;&gt;"",Z34,IF(T34&gt;0,T34,IF(AND(AD34&gt;0,AC34&gt;0),AD34+AC34,IF(AE34&gt;0,0,AC34))))</f>
        <v>0</v>
      </c>
      <c r="AB34" s="1338">
        <f>IF(AND(AA34&gt;45,AD34=AD48),AA34-45,0)</f>
        <v>0</v>
      </c>
      <c r="AC34" s="1344">
        <f>+SUMIF(Aout!$BK$20:$BK$50,Aout!AT4,$D$18:$D$48)</f>
        <v>0</v>
      </c>
      <c r="AD34" s="1344">
        <f>+SUMIF(Juillet!$BK$20:$BK$50,Aout!AT4,'Retenue Juil'!$D$18:$D$48)</f>
        <v>0</v>
      </c>
      <c r="AE34" s="1344">
        <f>+SUMIF(Septembre!$BK$20:$BK$50,Aout!AT4,'Retenue Sept'!$D$18:$D$48)</f>
        <v>0</v>
      </c>
      <c r="AF34" s="1338">
        <f>+AC34-AB34</f>
        <v>0</v>
      </c>
      <c r="AK34" s="1211" t="s">
        <v>333</v>
      </c>
      <c r="AL34" s="1324" t="e">
        <f>IF(AL32,+AL24/AL32,0)</f>
        <v>#VALUE!</v>
      </c>
      <c r="BA34" s="349" t="str">
        <f t="shared" si="16"/>
        <v>Fiche infoA7</v>
      </c>
      <c r="BB34" s="107">
        <f t="shared" si="31"/>
        <v>45886</v>
      </c>
      <c r="BC34" s="172">
        <f>+$D$13+16</f>
        <v>45886</v>
      </c>
      <c r="BD34" s="173" t="str">
        <f t="shared" si="32"/>
        <v/>
      </c>
      <c r="BE34" s="173" t="str">
        <f>+IF(OR(BF34=S.CAL!$BJ$3,BF34=S.CAL!$BJ$4),BD34,"")</f>
        <v/>
      </c>
      <c r="BF34" s="351">
        <f>IF($DY$5=S.CAL!$CU$2,Aout!AR36,IF($DY$5=S.CAL!$CU$3,VLOOKUP(BC34,planning_fp,7,FALSE),""))</f>
        <v>0</v>
      </c>
      <c r="BG34" s="363" t="str">
        <f>Aout!BL36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45886</v>
      </c>
      <c r="CF34" s="172">
        <f>+$D$13+16</f>
        <v>45886</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45886</v>
      </c>
      <c r="EM34" s="16" t="str">
        <f t="shared" si="29"/>
        <v>Fiche infoA745886</v>
      </c>
      <c r="EN34" s="16">
        <f t="shared" si="20"/>
        <v>0</v>
      </c>
      <c r="EQ34" s="16" t="str">
        <f>Aout!FS36</f>
        <v/>
      </c>
    </row>
    <row r="35" spans="1:147" ht="18" customHeight="1" x14ac:dyDescent="0.2">
      <c r="A35" s="24" t="str">
        <f>+Aout!BJ37</f>
        <v>Fiche infoA1</v>
      </c>
      <c r="B35" s="107">
        <f t="shared" si="30"/>
        <v>45887</v>
      </c>
      <c r="C35" s="172">
        <f>+$D$13+17</f>
        <v>45887</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Aout!BC37</f>
        <v>0</v>
      </c>
      <c r="J35" s="34">
        <f>Aout!BE37</f>
        <v>0</v>
      </c>
      <c r="K35" s="34">
        <f t="shared" si="15"/>
        <v>0</v>
      </c>
      <c r="L35" s="34" t="str">
        <f t="shared" si="21"/>
        <v/>
      </c>
      <c r="N35" s="395"/>
      <c r="O35" s="879" t="s">
        <v>1218</v>
      </c>
      <c r="P35" s="880"/>
      <c r="Q35" s="880"/>
      <c r="R35" s="876"/>
      <c r="T35" s="581">
        <f>+IF(AD35=0,V35,0)</f>
        <v>0</v>
      </c>
      <c r="U35" s="1323" t="str">
        <f>+Aout!AU5</f>
        <v>A</v>
      </c>
      <c r="V35" s="1323">
        <f>IFERROR(+VLOOKUP(U35,U36:AB39,7,FALSE),"")</f>
        <v>0</v>
      </c>
      <c r="W35" s="2482" t="str">
        <f>Aout!BS29</f>
        <v>Semaine numéro : 32</v>
      </c>
      <c r="X35" s="2482"/>
      <c r="Y35" s="2482"/>
      <c r="Z35" s="1345"/>
      <c r="AA35" s="1338">
        <f>+IF(Z35&lt;&gt;"",Z35,IF(T35&gt;0,T35,IF(AND(AD35&gt;0,AC35&gt;0),AD35+AC35,IF(AE35&gt;0,0,AC35))))</f>
        <v>0</v>
      </c>
      <c r="AB35" s="1338">
        <f t="shared" ref="AB35:AB39" si="44">IF(AND(AA35&gt;45,AD35=AD49),AA35-45,0)</f>
        <v>0</v>
      </c>
      <c r="AC35" s="1344">
        <f>+SUMIF(Aout!$BK$20:$BK$50,Aout!AT5,$D$18:$D$48)</f>
        <v>0</v>
      </c>
      <c r="AD35" s="1344">
        <f>+SUMIF(Juillet!$BK$20:$BK$50,Aout!AT5,'Retenue Juil'!$D$18:$D$48)</f>
        <v>0</v>
      </c>
      <c r="AE35" s="1344">
        <f>+SUMIF(Septembre!$BK$20:$BK$50,Aout!AT5,'Retenue Sept'!$D$18:$D$48)</f>
        <v>0</v>
      </c>
      <c r="AF35" s="1338">
        <f t="shared" ref="AF35:AF39" si="45">+AC35-AB35</f>
        <v>0</v>
      </c>
      <c r="AK35" s="1211"/>
      <c r="AL35" s="1324"/>
      <c r="BA35" s="349" t="str">
        <f t="shared" si="16"/>
        <v>Fiche infoA1</v>
      </c>
      <c r="BB35" s="107">
        <f t="shared" si="31"/>
        <v>45887</v>
      </c>
      <c r="BC35" s="172">
        <f>+$D$13+17</f>
        <v>45887</v>
      </c>
      <c r="BD35" s="173" t="str">
        <f t="shared" si="32"/>
        <v/>
      </c>
      <c r="BE35" s="173" t="str">
        <f>+IF(OR(BF35=S.CAL!$BJ$3,BF35=S.CAL!$BJ$4),BD35,"")</f>
        <v/>
      </c>
      <c r="BF35" s="351">
        <f>IF($DY$5=S.CAL!$CU$2,Aout!AR37,IF($DY$5=S.CAL!$CU$3,VLOOKUP(BC35,planning_fp,7,FALSE),""))</f>
        <v>0</v>
      </c>
      <c r="BG35" s="363" t="str">
        <f>Aout!BL37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45887</v>
      </c>
      <c r="CF35" s="172">
        <f>+$D$13+17</f>
        <v>45887</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45887</v>
      </c>
      <c r="EM35" s="16" t="str">
        <f t="shared" si="29"/>
        <v>Fiche infoA145887</v>
      </c>
      <c r="EN35" s="16">
        <f t="shared" si="20"/>
        <v>0</v>
      </c>
      <c r="EQ35" s="16" t="str">
        <f>Aout!FS37</f>
        <v/>
      </c>
    </row>
    <row r="36" spans="1:147" ht="18" customHeight="1" x14ac:dyDescent="0.2">
      <c r="A36" s="24" t="str">
        <f>+Aout!BJ38</f>
        <v>Fiche infoA2</v>
      </c>
      <c r="B36" s="107">
        <f t="shared" si="30"/>
        <v>45888</v>
      </c>
      <c r="C36" s="172">
        <f>+$D$13+18</f>
        <v>45888</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Aout!BC38</f>
        <v>0</v>
      </c>
      <c r="J36" s="34">
        <f>Aout!BE38</f>
        <v>0</v>
      </c>
      <c r="K36" s="34">
        <f t="shared" si="15"/>
        <v>0</v>
      </c>
      <c r="L36" s="34" t="str">
        <f t="shared" si="21"/>
        <v/>
      </c>
      <c r="N36" s="395"/>
      <c r="O36" s="486"/>
      <c r="P36" s="487" t="str">
        <f>+E11&amp;" / ( "&amp;E10&amp;" + "&amp;E11&amp;" ) ="</f>
        <v>0 / ( 0 + 0 ) =</v>
      </c>
      <c r="Q36" s="486" t="e">
        <f>+ROUND(E11/(E11+E10),6)</f>
        <v>#DIV/0!</v>
      </c>
      <c r="R36" s="395"/>
      <c r="U36" s="1323" t="str">
        <f>+Aout!AU6</f>
        <v>A</v>
      </c>
      <c r="V36" s="1323"/>
      <c r="W36" s="2482" t="str">
        <f>Aout!BS30</f>
        <v>Semaine numéro : 33</v>
      </c>
      <c r="X36" s="2482"/>
      <c r="Y36" s="2482"/>
      <c r="Z36" s="1345"/>
      <c r="AA36" s="1338">
        <f t="shared" ref="AA36:AA39" si="46">+IF(Z36="",IF(AND(AD36&gt;0,AC36&gt;0),AD36+AC36,IF(AE36&gt;0,0,AC36)),Z36)</f>
        <v>0</v>
      </c>
      <c r="AB36" s="1338">
        <f t="shared" si="44"/>
        <v>0</v>
      </c>
      <c r="AC36" s="1344">
        <f>+SUMIF(Aout!$BK$20:$BK$50,Aout!AT6,$D$18:$D$48)</f>
        <v>0</v>
      </c>
      <c r="AD36" s="1344">
        <f>+SUMIF(Juillet!$BK$20:$BK$50,Aout!AT6,'Retenue Juil'!$D$18:$D$48)</f>
        <v>0</v>
      </c>
      <c r="AE36" s="1344">
        <f>+SUMIF(Septembre!$BK$20:$BK$50,Aout!AT6,'Retenue Sept'!$D$18:$D$48)</f>
        <v>0</v>
      </c>
      <c r="AF36" s="1338">
        <f t="shared" si="45"/>
        <v>0</v>
      </c>
      <c r="AK36" s="1211"/>
      <c r="AL36" s="1324"/>
      <c r="BA36" s="349" t="str">
        <f t="shared" si="16"/>
        <v>Fiche infoA2</v>
      </c>
      <c r="BB36" s="107">
        <f t="shared" si="31"/>
        <v>45888</v>
      </c>
      <c r="BC36" s="172">
        <f>+$D$13+18</f>
        <v>45888</v>
      </c>
      <c r="BD36" s="173" t="str">
        <f t="shared" si="32"/>
        <v/>
      </c>
      <c r="BE36" s="173" t="str">
        <f>+IF(OR(BF36=S.CAL!$BJ$3,BF36=S.CAL!$BJ$4),BD36,"")</f>
        <v/>
      </c>
      <c r="BF36" s="351">
        <f>IF($DY$5=S.CAL!$CU$2,Aout!AR38,IF($DY$5=S.CAL!$CU$3,VLOOKUP(BC36,planning_fp,7,FALSE),""))</f>
        <v>0</v>
      </c>
      <c r="BG36" s="363" t="str">
        <f>Aout!BL38</f>
        <v>A</v>
      </c>
      <c r="BH36" s="374"/>
      <c r="BI36" s="375"/>
      <c r="BJ36" s="373"/>
      <c r="BK36" s="373"/>
      <c r="BL36" s="35"/>
      <c r="BS36" s="191"/>
      <c r="BT36" s="360"/>
      <c r="BU36" s="360"/>
      <c r="BV36" s="373"/>
      <c r="BW36" s="373"/>
      <c r="BX36" s="373"/>
      <c r="BY36" s="373"/>
      <c r="BZ36" s="373"/>
      <c r="CA36" s="373"/>
      <c r="CB36" s="373"/>
      <c r="CD36" s="346"/>
      <c r="CE36" s="107">
        <f t="shared" si="33"/>
        <v>45888</v>
      </c>
      <c r="CF36" s="172">
        <f>+$D$13+18</f>
        <v>45888</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45888</v>
      </c>
      <c r="EM36" s="16" t="str">
        <f t="shared" si="29"/>
        <v>Fiche infoA245888</v>
      </c>
      <c r="EN36" s="16">
        <f t="shared" si="20"/>
        <v>0</v>
      </c>
      <c r="EQ36" s="16" t="str">
        <f>Aout!FS38</f>
        <v/>
      </c>
    </row>
    <row r="37" spans="1:147" ht="18" customHeight="1" x14ac:dyDescent="0.2">
      <c r="A37" s="24" t="str">
        <f>+Aout!BJ39</f>
        <v>Fiche infoA3</v>
      </c>
      <c r="B37" s="107">
        <f t="shared" si="30"/>
        <v>45889</v>
      </c>
      <c r="C37" s="172">
        <f>+$D$13+19</f>
        <v>45889</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Aout!BC39</f>
        <v>0</v>
      </c>
      <c r="J37" s="34">
        <f>Aout!BE39</f>
        <v>0</v>
      </c>
      <c r="K37" s="34">
        <f t="shared" si="15"/>
        <v>0</v>
      </c>
      <c r="L37" s="34" t="str">
        <f t="shared" si="21"/>
        <v/>
      </c>
      <c r="N37" s="395"/>
      <c r="O37" s="881"/>
      <c r="P37" s="881"/>
      <c r="Q37" s="881"/>
      <c r="R37" s="395"/>
      <c r="U37" s="1323" t="str">
        <f>+Aout!AU7</f>
        <v>A</v>
      </c>
      <c r="V37" s="1323"/>
      <c r="W37" s="2482" t="str">
        <f>Aout!BS31</f>
        <v>Semaine numéro : 34</v>
      </c>
      <c r="X37" s="2482"/>
      <c r="Y37" s="2482"/>
      <c r="Z37" s="1345"/>
      <c r="AA37" s="1338">
        <f t="shared" si="46"/>
        <v>0</v>
      </c>
      <c r="AB37" s="1338">
        <f t="shared" si="44"/>
        <v>0</v>
      </c>
      <c r="AC37" s="1344">
        <f>+SUMIF(Aout!$BK$20:$BK$50,Aout!AT7,$D$18:$D$48)</f>
        <v>0</v>
      </c>
      <c r="AD37" s="1344">
        <f>+SUMIF(Juillet!$BK$20:$BK$50,Aout!AT7,'Retenue Juil'!$D$18:$D$48)</f>
        <v>0</v>
      </c>
      <c r="AE37" s="1344">
        <f>+SUMIF(Septembre!$BK$20:$BK$50,Aout!AT7,'Retenue Sept'!$D$18:$D$48)</f>
        <v>0</v>
      </c>
      <c r="AF37" s="1338">
        <f t="shared" si="45"/>
        <v>0</v>
      </c>
      <c r="AK37" s="1211"/>
      <c r="AL37" s="2494" t="s">
        <v>334</v>
      </c>
      <c r="AM37" s="2494" t="s">
        <v>335</v>
      </c>
      <c r="AN37" s="2495" t="s">
        <v>336</v>
      </c>
      <c r="AO37" s="2494" t="s">
        <v>337</v>
      </c>
      <c r="AP37" s="2494" t="s">
        <v>357</v>
      </c>
      <c r="AQ37" s="2494" t="s">
        <v>358</v>
      </c>
      <c r="BA37" s="349" t="str">
        <f t="shared" si="16"/>
        <v>Fiche infoA3</v>
      </c>
      <c r="BB37" s="107">
        <f t="shared" si="31"/>
        <v>45889</v>
      </c>
      <c r="BC37" s="172">
        <f>+$D$13+19</f>
        <v>45889</v>
      </c>
      <c r="BD37" s="173" t="str">
        <f t="shared" si="32"/>
        <v/>
      </c>
      <c r="BE37" s="173" t="str">
        <f>+IF(OR(BF37=S.CAL!$BJ$3,BF37=S.CAL!$BJ$4),BD37,"")</f>
        <v/>
      </c>
      <c r="BF37" s="351">
        <f>IF($DY$5=S.CAL!$CU$2,Aout!AR39,IF($DY$5=S.CAL!$CU$3,VLOOKUP(BC37,planning_fp,7,FALSE),""))</f>
        <v>0</v>
      </c>
      <c r="BG37" s="363" t="str">
        <f>Aout!BL39</f>
        <v>A</v>
      </c>
      <c r="BH37" s="373"/>
      <c r="BI37" s="373"/>
      <c r="BJ37" s="373"/>
      <c r="BK37" s="373"/>
      <c r="BL37" s="35"/>
      <c r="BO37" s="29"/>
      <c r="BP37" s="34"/>
      <c r="BS37" s="191"/>
      <c r="BT37" s="191"/>
      <c r="BV37" s="373"/>
      <c r="BW37" s="373"/>
      <c r="BX37" s="373"/>
      <c r="BY37" s="373"/>
      <c r="BZ37" s="373"/>
      <c r="CA37" s="373"/>
      <c r="CB37" s="373"/>
      <c r="CD37" s="346"/>
      <c r="CE37" s="107">
        <f t="shared" si="33"/>
        <v>45889</v>
      </c>
      <c r="CF37" s="172">
        <f>+$D$13+19</f>
        <v>45889</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45889</v>
      </c>
      <c r="EM37" s="16" t="str">
        <f t="shared" si="29"/>
        <v>Fiche infoA345889</v>
      </c>
      <c r="EN37" s="16">
        <f t="shared" si="20"/>
        <v>0</v>
      </c>
      <c r="EQ37" s="16" t="str">
        <f>Aout!FS39</f>
        <v/>
      </c>
    </row>
    <row r="38" spans="1:147" ht="18" customHeight="1" x14ac:dyDescent="0.2">
      <c r="A38" s="24" t="str">
        <f>+Aout!BJ40</f>
        <v>Fiche infoA4</v>
      </c>
      <c r="B38" s="107">
        <f t="shared" si="30"/>
        <v>45890</v>
      </c>
      <c r="C38" s="172">
        <f>+$D$13+20</f>
        <v>45890</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Aout!BC40</f>
        <v>0</v>
      </c>
      <c r="J38" s="34">
        <f>Aout!BE40</f>
        <v>0</v>
      </c>
      <c r="K38" s="34">
        <f t="shared" si="15"/>
        <v>0</v>
      </c>
      <c r="L38" s="34" t="str">
        <f t="shared" si="21"/>
        <v/>
      </c>
      <c r="N38" s="395"/>
      <c r="O38" s="882" t="s">
        <v>1472</v>
      </c>
      <c r="P38" s="882"/>
      <c r="Q38" s="882"/>
      <c r="R38" s="878"/>
      <c r="U38" s="1323" t="str">
        <f>+Aout!AU8</f>
        <v>A</v>
      </c>
      <c r="V38" s="1323"/>
      <c r="W38" s="2482" t="str">
        <f>Aout!BS32</f>
        <v>Semaine numéro : 35</v>
      </c>
      <c r="X38" s="2482"/>
      <c r="Y38" s="2482"/>
      <c r="Z38" s="1345"/>
      <c r="AA38" s="1338">
        <f t="shared" si="46"/>
        <v>0</v>
      </c>
      <c r="AB38" s="1338">
        <f t="shared" si="44"/>
        <v>0</v>
      </c>
      <c r="AC38" s="1344">
        <f>+SUMIF(Aout!$BK$20:$BK$50,Aout!AT8,$D$18:$D$48)</f>
        <v>0</v>
      </c>
      <c r="AD38" s="1344">
        <f>+SUMIF(Juillet!$BK$20:$BK$50,Aout!AT8,'Retenue Juil'!$D$18:$D$48)</f>
        <v>0</v>
      </c>
      <c r="AE38" s="1344">
        <f>+SUMIF(Septembre!$BK$20:$BK$50,Aout!AT8,'Retenue Sept'!$D$18:$D$48)</f>
        <v>0</v>
      </c>
      <c r="AF38" s="1338">
        <f t="shared" si="45"/>
        <v>0</v>
      </c>
      <c r="AL38" s="2494"/>
      <c r="AM38" s="2494"/>
      <c r="AN38" s="2495"/>
      <c r="AO38" s="2494"/>
      <c r="AP38" s="2494"/>
      <c r="AQ38" s="2494"/>
      <c r="BA38" s="349" t="str">
        <f t="shared" si="16"/>
        <v>Fiche infoA4</v>
      </c>
      <c r="BB38" s="107">
        <f t="shared" si="31"/>
        <v>45890</v>
      </c>
      <c r="BC38" s="172">
        <f>+$D$13+20</f>
        <v>45890</v>
      </c>
      <c r="BD38" s="173" t="str">
        <f t="shared" si="32"/>
        <v/>
      </c>
      <c r="BE38" s="173" t="str">
        <f>+IF(OR(BF38=S.CAL!$BJ$3,BF38=S.CAL!$BJ$4),BD38,"")</f>
        <v/>
      </c>
      <c r="BF38" s="351">
        <f>IF($DY$5=S.CAL!$CU$2,Aout!AR40,IF($DY$5=S.CAL!$CU$3,VLOOKUP(BC38,planning_fp,7,FALSE),""))</f>
        <v>0</v>
      </c>
      <c r="BG38" s="363" t="str">
        <f>Aout!BL40</f>
        <v>A</v>
      </c>
      <c r="BH38" s="373"/>
      <c r="BI38" s="373"/>
      <c r="BJ38" s="373"/>
      <c r="BK38" s="373"/>
      <c r="BL38" s="35"/>
      <c r="BO38" s="29"/>
      <c r="BP38" s="34"/>
      <c r="BS38" s="191"/>
      <c r="BT38" s="191"/>
      <c r="BV38" s="373"/>
      <c r="BW38" s="373"/>
      <c r="BX38" s="373"/>
      <c r="BY38" s="373"/>
      <c r="BZ38" s="373"/>
      <c r="CA38" s="373"/>
      <c r="CB38" s="373"/>
      <c r="CD38" s="346"/>
      <c r="CE38" s="107">
        <f t="shared" si="33"/>
        <v>45890</v>
      </c>
      <c r="CF38" s="172">
        <f>+$D$13+20</f>
        <v>45890</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45890</v>
      </c>
      <c r="EM38" s="16" t="str">
        <f t="shared" si="29"/>
        <v>Fiche infoA445890</v>
      </c>
      <c r="EN38" s="16">
        <f t="shared" si="20"/>
        <v>0</v>
      </c>
      <c r="EQ38" s="16" t="str">
        <f>Aout!FS40</f>
        <v/>
      </c>
    </row>
    <row r="39" spans="1:147" ht="18" customHeight="1" x14ac:dyDescent="0.2">
      <c r="A39" s="24" t="str">
        <f>+Aout!BJ41</f>
        <v>Fiche infoA5</v>
      </c>
      <c r="B39" s="107">
        <f t="shared" si="30"/>
        <v>45891</v>
      </c>
      <c r="C39" s="172">
        <f>+$D$13+21</f>
        <v>45891</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Aout!BC41</f>
        <v>0</v>
      </c>
      <c r="J39" s="34">
        <f>Aout!BE41</f>
        <v>0</v>
      </c>
      <c r="K39" s="34">
        <f t="shared" si="15"/>
        <v>0</v>
      </c>
      <c r="L39" s="34" t="str">
        <f t="shared" si="21"/>
        <v/>
      </c>
      <c r="N39" s="395"/>
      <c r="O39" s="486"/>
      <c r="P39" s="487" t="str">
        <f>+E10&amp;" / ( "&amp;E10&amp;" + "&amp;E11&amp;" ) ="</f>
        <v>0 / ( 0 + 0 ) =</v>
      </c>
      <c r="Q39" s="486" t="e">
        <f>ROUND(+E10/(E11+E10),6)</f>
        <v>#DIV/0!</v>
      </c>
      <c r="R39" s="395"/>
      <c r="U39" s="1323" t="str">
        <f>+Aout!AU9</f>
        <v>A</v>
      </c>
      <c r="V39" s="1323"/>
      <c r="W39" s="2482" t="str">
        <f>Aout!BS33</f>
        <v xml:space="preserve">Semaine numéro : </v>
      </c>
      <c r="X39" s="2482"/>
      <c r="Y39" s="2482"/>
      <c r="Z39" s="1345"/>
      <c r="AA39" s="1338">
        <f t="shared" si="46"/>
        <v>0</v>
      </c>
      <c r="AB39" s="1338">
        <f t="shared" si="44"/>
        <v>0</v>
      </c>
      <c r="AC39" s="1344">
        <f>+SUMIF(Aout!$BK$20:$BK$50,Aout!AT9,$D$18:$D$48)</f>
        <v>0</v>
      </c>
      <c r="AD39" s="1344">
        <f>+SUMIF(Juillet!$BK$20:$BK$50,Aout!AT9,'Retenue Juil'!$D$18:$D$48)</f>
        <v>0</v>
      </c>
      <c r="AE39" s="1344">
        <f>+SUMIF(Septembre!$BK$20:$BK$50,Aout!AT9,'Retenue Sept'!$D$18:$D$48)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infoA5</v>
      </c>
      <c r="BB39" s="107">
        <f t="shared" si="31"/>
        <v>45891</v>
      </c>
      <c r="BC39" s="172">
        <f>+$D$13+21</f>
        <v>45891</v>
      </c>
      <c r="BD39" s="173" t="str">
        <f t="shared" si="32"/>
        <v/>
      </c>
      <c r="BE39" s="173" t="str">
        <f>+IF(OR(BF39=S.CAL!$BJ$3,BF39=S.CAL!$BJ$4),BD39,"")</f>
        <v/>
      </c>
      <c r="BF39" s="351">
        <f>IF($DY$5=S.CAL!$CU$2,Aout!AR41,IF($DY$5=S.CAL!$CU$3,VLOOKUP(BC39,planning_fp,7,FALSE),""))</f>
        <v>0</v>
      </c>
      <c r="BG39" s="363" t="str">
        <f>Aout!BL41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45891</v>
      </c>
      <c r="CF39" s="172">
        <f>+$D$13+21</f>
        <v>45891</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45891</v>
      </c>
      <c r="EM39" s="16" t="str">
        <f t="shared" si="29"/>
        <v>Fiche infoA545891</v>
      </c>
      <c r="EN39" s="16">
        <f t="shared" si="20"/>
        <v>0</v>
      </c>
      <c r="EQ39" s="16" t="str">
        <f>Aout!FS41</f>
        <v/>
      </c>
    </row>
    <row r="40" spans="1:147" ht="18" customHeight="1" x14ac:dyDescent="0.2">
      <c r="A40" s="24" t="str">
        <f>+Aout!BJ42</f>
        <v>Fiche infoA6</v>
      </c>
      <c r="B40" s="107">
        <f t="shared" si="30"/>
        <v>45892</v>
      </c>
      <c r="C40" s="172">
        <f>+$D$13+22</f>
        <v>45892</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Aout!BC42</f>
        <v>0</v>
      </c>
      <c r="J40" s="34">
        <f>Aout!BE42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infoA6</v>
      </c>
      <c r="BB40" s="107">
        <f t="shared" si="31"/>
        <v>45892</v>
      </c>
      <c r="BC40" s="172">
        <f>+$D$13+22</f>
        <v>45892</v>
      </c>
      <c r="BD40" s="173" t="str">
        <f t="shared" si="32"/>
        <v/>
      </c>
      <c r="BE40" s="173" t="str">
        <f>+IF(OR(BF40=S.CAL!$BJ$3,BF40=S.CAL!$BJ$4),BD40,"")</f>
        <v/>
      </c>
      <c r="BF40" s="351">
        <f>IF($DY$5=S.CAL!$CU$2,Aout!AR42,IF($DY$5=S.CAL!$CU$3,VLOOKUP(BC40,planning_fp,7,FALSE),""))</f>
        <v>0</v>
      </c>
      <c r="BG40" s="363" t="str">
        <f>Aout!BL42</f>
        <v>A</v>
      </c>
      <c r="BH40" s="373"/>
      <c r="BI40" s="373"/>
      <c r="BJ40" s="373"/>
      <c r="BK40" s="373"/>
      <c r="BL40" s="35"/>
      <c r="BN40" s="19"/>
      <c r="BO40" s="39"/>
      <c r="BP40" s="196"/>
      <c r="BV40" s="373"/>
      <c r="BW40" s="373"/>
      <c r="BX40" s="390"/>
      <c r="BY40" s="373"/>
      <c r="BZ40" s="373"/>
      <c r="CA40" s="373"/>
      <c r="CB40" s="373"/>
      <c r="CD40" s="346"/>
      <c r="CE40" s="107">
        <f t="shared" si="33"/>
        <v>45892</v>
      </c>
      <c r="CF40" s="172">
        <f>+$D$13+22</f>
        <v>45892</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45892</v>
      </c>
      <c r="EM40" s="16" t="str">
        <f t="shared" si="29"/>
        <v>Fiche infoA645892</v>
      </c>
      <c r="EN40" s="16">
        <f t="shared" si="20"/>
        <v>0</v>
      </c>
      <c r="EQ40" s="16" t="str">
        <f>Aout!FS42</f>
        <v/>
      </c>
    </row>
    <row r="41" spans="1:147" ht="18" customHeight="1" x14ac:dyDescent="0.2">
      <c r="A41" s="24" t="str">
        <f>+Aout!BJ43</f>
        <v>Fiche infoA7</v>
      </c>
      <c r="B41" s="107">
        <f t="shared" si="30"/>
        <v>45893</v>
      </c>
      <c r="C41" s="172">
        <f>+$D$13+23</f>
        <v>45893</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Aout!BC43</f>
        <v>0</v>
      </c>
      <c r="J41" s="34">
        <f>Aout!BE43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infoA7</v>
      </c>
      <c r="BB41" s="107">
        <f t="shared" si="31"/>
        <v>45893</v>
      </c>
      <c r="BC41" s="172">
        <f>+$D$13+23</f>
        <v>45893</v>
      </c>
      <c r="BD41" s="173" t="str">
        <f t="shared" si="32"/>
        <v/>
      </c>
      <c r="BE41" s="173" t="str">
        <f>+IF(OR(BF41=S.CAL!$BJ$3,BF41=S.CAL!$BJ$4),BD41,"")</f>
        <v/>
      </c>
      <c r="BF41" s="351">
        <f>IF($DY$5=S.CAL!$CU$2,Aout!AR43,IF($DY$5=S.CAL!$CU$3,VLOOKUP(BC41,planning_fp,7,FALSE),""))</f>
        <v>0</v>
      </c>
      <c r="BG41" s="363" t="str">
        <f>Aout!BL43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45893</v>
      </c>
      <c r="CF41" s="172">
        <f>+$D$13+23</f>
        <v>45893</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45893</v>
      </c>
      <c r="EM41" s="16" t="str">
        <f t="shared" si="29"/>
        <v>Fiche infoA745893</v>
      </c>
      <c r="EN41" s="16">
        <f t="shared" si="20"/>
        <v>0</v>
      </c>
      <c r="EQ41" s="16" t="str">
        <f>Aout!FS43</f>
        <v/>
      </c>
    </row>
    <row r="42" spans="1:147" ht="18" customHeight="1" x14ac:dyDescent="0.2">
      <c r="A42" s="24" t="str">
        <f>+Aout!BJ44</f>
        <v>Fiche infoA1</v>
      </c>
      <c r="B42" s="107">
        <f t="shared" si="30"/>
        <v>45894</v>
      </c>
      <c r="C42" s="172">
        <f>+$D$13+24</f>
        <v>45894</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Aout!BC44</f>
        <v>0</v>
      </c>
      <c r="J42" s="34">
        <f>Aout!BE44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infoA1</v>
      </c>
      <c r="BB42" s="107">
        <f t="shared" si="31"/>
        <v>45894</v>
      </c>
      <c r="BC42" s="172">
        <f>+$D$13+24</f>
        <v>45894</v>
      </c>
      <c r="BD42" s="173" t="str">
        <f t="shared" si="32"/>
        <v/>
      </c>
      <c r="BE42" s="173" t="str">
        <f>+IF(OR(BF42=S.CAL!$BJ$3,BF42=S.CAL!$BJ$4),BD42,"")</f>
        <v/>
      </c>
      <c r="BF42" s="351">
        <f>IF($DY$5=S.CAL!$CU$2,Aout!AR44,IF($DY$5=S.CAL!$CU$3,VLOOKUP(BC42,planning_fp,7,FALSE),""))</f>
        <v>0</v>
      </c>
      <c r="BG42" s="363" t="str">
        <f>Aout!BL44</f>
        <v>A</v>
      </c>
      <c r="BH42" s="374"/>
      <c r="BI42" s="376"/>
      <c r="BJ42" s="373"/>
      <c r="BK42" s="373"/>
      <c r="BL42" s="35"/>
      <c r="BV42" s="373"/>
      <c r="BW42" s="373"/>
      <c r="BX42" s="373"/>
      <c r="BY42" s="373"/>
      <c r="BZ42" s="373"/>
      <c r="CA42" s="373"/>
      <c r="CB42" s="373"/>
      <c r="CD42" s="346"/>
      <c r="CE42" s="107">
        <f t="shared" si="33"/>
        <v>45894</v>
      </c>
      <c r="CF42" s="172">
        <f>+$D$13+24</f>
        <v>45894</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45894</v>
      </c>
      <c r="EM42" s="16" t="str">
        <f t="shared" si="29"/>
        <v>Fiche infoA145894</v>
      </c>
      <c r="EN42" s="16">
        <f t="shared" si="20"/>
        <v>0</v>
      </c>
      <c r="EQ42" s="16" t="str">
        <f>Aout!FS44</f>
        <v/>
      </c>
    </row>
    <row r="43" spans="1:147" ht="18" customHeight="1" x14ac:dyDescent="0.2">
      <c r="A43" s="24" t="str">
        <f>+Aout!BJ45</f>
        <v>Fiche infoA2</v>
      </c>
      <c r="B43" s="107">
        <f t="shared" si="30"/>
        <v>45895</v>
      </c>
      <c r="C43" s="172">
        <f>+$D$13+25</f>
        <v>45895</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Aout!BC45</f>
        <v>0</v>
      </c>
      <c r="J43" s="34">
        <f>Aout!BE45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infoA2</v>
      </c>
      <c r="BB43" s="107">
        <f t="shared" si="31"/>
        <v>45895</v>
      </c>
      <c r="BC43" s="172">
        <f>+$D$13+25</f>
        <v>45895</v>
      </c>
      <c r="BD43" s="173" t="str">
        <f t="shared" si="32"/>
        <v/>
      </c>
      <c r="BE43" s="173" t="str">
        <f>+IF(OR(BF43=S.CAL!$BJ$3,BF43=S.CAL!$BJ$4),BD43,"")</f>
        <v/>
      </c>
      <c r="BF43" s="351">
        <f>IF($DY$5=S.CAL!$CU$2,Aout!AR45,IF($DY$5=S.CAL!$CU$3,VLOOKUP(BC43,planning_fp,7,FALSE),""))</f>
        <v>0</v>
      </c>
      <c r="BG43" s="363" t="str">
        <f>Aout!BL45</f>
        <v>A</v>
      </c>
      <c r="BH43" s="24"/>
      <c r="BI43" s="24" t="s">
        <v>708</v>
      </c>
      <c r="BJ43" s="24"/>
      <c r="BK43" s="373"/>
      <c r="BL43" s="35"/>
      <c r="BV43" s="373"/>
      <c r="BW43" s="373"/>
      <c r="BX43" s="373"/>
      <c r="BY43" s="373"/>
      <c r="BZ43" s="373"/>
      <c r="CA43" s="373"/>
      <c r="CB43" s="373"/>
      <c r="CD43" s="346"/>
      <c r="CE43" s="107">
        <f t="shared" si="33"/>
        <v>45895</v>
      </c>
      <c r="CF43" s="172">
        <f>+$D$13+25</f>
        <v>45895</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45895</v>
      </c>
      <c r="EM43" s="16" t="str">
        <f t="shared" si="29"/>
        <v>Fiche infoA245895</v>
      </c>
      <c r="EN43" s="16">
        <f t="shared" si="20"/>
        <v>0</v>
      </c>
      <c r="EQ43" s="16" t="str">
        <f>Aout!FS45</f>
        <v/>
      </c>
    </row>
    <row r="44" spans="1:147" ht="18" customHeight="1" x14ac:dyDescent="0.25">
      <c r="A44" s="24" t="str">
        <f>+Aout!BJ46</f>
        <v>Fiche infoA3</v>
      </c>
      <c r="B44" s="107">
        <f t="shared" si="30"/>
        <v>45896</v>
      </c>
      <c r="C44" s="172">
        <f>+$D$13+26</f>
        <v>45896</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Aout!BC46</f>
        <v>0</v>
      </c>
      <c r="J44" s="34">
        <f>Aout!BE46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infoA3</v>
      </c>
      <c r="BB44" s="107">
        <f t="shared" si="31"/>
        <v>45896</v>
      </c>
      <c r="BC44" s="172">
        <f>+$D$13+26</f>
        <v>45896</v>
      </c>
      <c r="BD44" s="173" t="str">
        <f t="shared" si="32"/>
        <v/>
      </c>
      <c r="BE44" s="173" t="str">
        <f>+IF(OR(BF44=S.CAL!$BJ$3,BF44=S.CAL!$BJ$4),BD44,"")</f>
        <v/>
      </c>
      <c r="BF44" s="351">
        <f>IF($DY$5=S.CAL!$CU$2,Aout!AR46,IF($DY$5=S.CAL!$CU$3,VLOOKUP(BC44,planning_fp,7,FALSE),""))</f>
        <v>0</v>
      </c>
      <c r="BG44" s="363" t="str">
        <f>Aout!BL46</f>
        <v>A</v>
      </c>
      <c r="BH44" s="24" t="s">
        <v>800</v>
      </c>
      <c r="BI44" s="24"/>
      <c r="BJ44" s="24"/>
      <c r="BK44" s="373"/>
      <c r="BL44" s="35"/>
      <c r="BV44" s="373"/>
      <c r="BW44" s="373"/>
      <c r="BX44" s="373"/>
      <c r="BY44" s="373"/>
      <c r="BZ44" s="373"/>
      <c r="CA44" s="373"/>
      <c r="CB44" s="373"/>
      <c r="CD44" s="346"/>
      <c r="CE44" s="107">
        <f t="shared" si="33"/>
        <v>45896</v>
      </c>
      <c r="CF44" s="172">
        <f>+$D$13+26</f>
        <v>45896</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45896</v>
      </c>
      <c r="EM44" s="16" t="str">
        <f t="shared" si="29"/>
        <v>Fiche infoA345896</v>
      </c>
      <c r="EN44" s="16">
        <f t="shared" si="20"/>
        <v>0</v>
      </c>
      <c r="EQ44" s="16" t="str">
        <f>Aout!FS46</f>
        <v/>
      </c>
    </row>
    <row r="45" spans="1:147" ht="18" customHeight="1" x14ac:dyDescent="0.2">
      <c r="A45" s="24" t="str">
        <f>+Aout!BJ47</f>
        <v>Fiche infoA4</v>
      </c>
      <c r="B45" s="107">
        <f t="shared" si="30"/>
        <v>45897</v>
      </c>
      <c r="C45" s="172">
        <f>IF(C$18+27&lt;DATE(YEAR(O$13),MONTH(O$13),DAY(O$13)),C$18+27,"")</f>
        <v>45897</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Aout!BC47</f>
        <v>0</v>
      </c>
      <c r="J45" s="34">
        <f>Aout!BE47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infoA4</v>
      </c>
      <c r="BB45" s="107">
        <f t="shared" si="31"/>
        <v>45897</v>
      </c>
      <c r="BC45" s="172">
        <f>IF(BC$18+27&lt;DATE(YEAR(BH$13),MONTH(BH$13),DAY(BH$13)),BC$18+27,"")</f>
        <v>45897</v>
      </c>
      <c r="BD45" s="173" t="str">
        <f t="shared" si="32"/>
        <v/>
      </c>
      <c r="BE45" s="173" t="str">
        <f>+IF(OR(BF45=S.CAL!$BJ$3,BF45=S.CAL!$BJ$4),BD45,"")</f>
        <v/>
      </c>
      <c r="BF45" s="351">
        <f>IF($DY$5=S.CAL!$CU$2,Aout!AR47,IF($DY$5=S.CAL!$CU$3,VLOOKUP(BC45,planning_fp,7,FALSE),""))</f>
        <v>0</v>
      </c>
      <c r="BG45" s="363" t="str">
        <f>Aout!BL47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45897</v>
      </c>
      <c r="CF45" s="172">
        <f>IF(CF$18+27&lt;DATE(YEAR(CQ$13),MONTH(CQ$13),DAY(CQ$13)),CF$18+27,"")</f>
        <v>45897</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45897</v>
      </c>
      <c r="EM45" s="16" t="str">
        <f t="shared" si="29"/>
        <v>Fiche infoA445897</v>
      </c>
      <c r="EN45" s="16">
        <f t="shared" si="20"/>
        <v>0</v>
      </c>
      <c r="EQ45" s="16" t="str">
        <f>Aout!FS47</f>
        <v/>
      </c>
    </row>
    <row r="46" spans="1:147" ht="18" customHeight="1" x14ac:dyDescent="0.2">
      <c r="A46" s="24" t="str">
        <f>+Aout!BJ48</f>
        <v>Fiche infoA5</v>
      </c>
      <c r="B46" s="107">
        <f t="shared" si="30"/>
        <v>45898</v>
      </c>
      <c r="C46" s="172">
        <f>IF(C$18+28&lt;DATE(YEAR(O$13),MONTH(O$13),DAY(O$13)),C$18+28,"")</f>
        <v>45898</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Aout!BC48</f>
        <v>0</v>
      </c>
      <c r="J46" s="34">
        <f>Aout!BE48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infoA5</v>
      </c>
      <c r="BB46" s="107">
        <f t="shared" si="31"/>
        <v>45898</v>
      </c>
      <c r="BC46" s="172">
        <f>IF(BC$18+28&lt;DATE(YEAR(BH$13),MONTH(BH$13),DAY(BH$13)),BC$18+28,"")</f>
        <v>45898</v>
      </c>
      <c r="BD46" s="173" t="str">
        <f t="shared" si="32"/>
        <v/>
      </c>
      <c r="BE46" s="173" t="str">
        <f>+IF(OR(BF46=S.CAL!$BJ$3,BF46=S.CAL!$BJ$4),BD46,"")</f>
        <v/>
      </c>
      <c r="BF46" s="351">
        <f>IF($DY$5=S.CAL!$CU$2,Aout!AR48,IF($DY$5=S.CAL!$CU$3,VLOOKUP(BC46,planning_fp,7,FALSE),""))</f>
        <v>0</v>
      </c>
      <c r="BG46" s="363" t="str">
        <f>Aout!BL48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45898</v>
      </c>
      <c r="CF46" s="172">
        <f>IF(CF$18+28&lt;DATE(YEAR(CQ$13),MONTH(CQ$13),DAY(CQ$13)),CF$18+28,"")</f>
        <v>45898</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45898</v>
      </c>
      <c r="EM46" s="16" t="str">
        <f t="shared" si="29"/>
        <v>Fiche infoA545898</v>
      </c>
      <c r="EN46" s="16">
        <f t="shared" si="20"/>
        <v>0</v>
      </c>
      <c r="EQ46" s="16" t="str">
        <f>Aout!FS48</f>
        <v/>
      </c>
    </row>
    <row r="47" spans="1:147" ht="18" customHeight="1" x14ac:dyDescent="0.2">
      <c r="A47" s="24" t="str">
        <f>+Aout!BJ49</f>
        <v>Fiche infoA6</v>
      </c>
      <c r="B47" s="107">
        <f t="shared" si="30"/>
        <v>45899</v>
      </c>
      <c r="C47" s="172">
        <f>IF(C$18+29&lt;DATE(YEAR(O$13),MONTH(O$13),DAY(O$13)),C$18+29,"")</f>
        <v>45899</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Aout!BC49</f>
        <v>0</v>
      </c>
      <c r="J47" s="34">
        <f>Aout!BE49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infoA6</v>
      </c>
      <c r="BB47" s="107">
        <f t="shared" si="31"/>
        <v>45899</v>
      </c>
      <c r="BC47" s="172">
        <f>IF(BC$18+29&lt;DATE(YEAR(BH$13),MONTH(BH$13),DAY(BH$13)),BC$18+29,"")</f>
        <v>45899</v>
      </c>
      <c r="BD47" s="173" t="str">
        <f t="shared" si="32"/>
        <v/>
      </c>
      <c r="BE47" s="173" t="str">
        <f>+IF(OR(BF47=S.CAL!$BJ$3,BF47=S.CAL!$BJ$4),BD47,"")</f>
        <v/>
      </c>
      <c r="BF47" s="351">
        <f>IF($DY$5=S.CAL!$CU$2,Aout!AR49,IF($DY$5=S.CAL!$CU$3,VLOOKUP(BC47,planning_fp,7,FALSE),""))</f>
        <v>0</v>
      </c>
      <c r="BG47" s="363" t="str">
        <f>Aout!BL49</f>
        <v>A</v>
      </c>
      <c r="BH47" s="373"/>
      <c r="BI47" s="373"/>
      <c r="BJ47" s="373"/>
      <c r="BK47" s="373"/>
      <c r="BL47" s="35"/>
      <c r="BV47" s="373"/>
      <c r="BW47" s="373"/>
      <c r="BX47" s="373"/>
      <c r="BY47" s="373"/>
      <c r="BZ47" s="373"/>
      <c r="CA47" s="373"/>
      <c r="CB47" s="373"/>
      <c r="CD47" s="346"/>
      <c r="CE47" s="107">
        <f t="shared" si="33"/>
        <v>45899</v>
      </c>
      <c r="CF47" s="172">
        <f>IF(CF$18+29&lt;DATE(YEAR(CQ$13),MONTH(CQ$13),DAY(CQ$13)),CF$18+29,"")</f>
        <v>45899</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45899</v>
      </c>
      <c r="EM47" s="16" t="str">
        <f t="shared" si="29"/>
        <v>Fiche infoA645899</v>
      </c>
      <c r="EN47" s="16">
        <f t="shared" si="20"/>
        <v>0</v>
      </c>
      <c r="EQ47" s="16" t="str">
        <f>Aout!FS49</f>
        <v/>
      </c>
    </row>
    <row r="48" spans="1:147" ht="18" customHeight="1" thickBot="1" x14ac:dyDescent="0.25">
      <c r="A48" s="24" t="str">
        <f>+Aout!BJ50</f>
        <v>Fiche infoA7</v>
      </c>
      <c r="B48" s="110">
        <f t="shared" si="30"/>
        <v>45900</v>
      </c>
      <c r="C48" s="192">
        <f>IF(C$18+30&lt;DATE(YEAR(O$13),MONTH(O$13),DAY(O$13)),C$18+30,"")</f>
        <v>45900</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Aout!BC50</f>
        <v>0</v>
      </c>
      <c r="J48" s="34">
        <f>Aout!BE50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31</v>
      </c>
      <c r="X48" s="2482"/>
      <c r="Y48" s="2482"/>
      <c r="Z48" s="1345" t="str">
        <f>+IF(Z34="","",Z34)</f>
        <v/>
      </c>
      <c r="AA48" s="1338">
        <f>+IF(Z48="",IF(AND(AD48&gt;0,AC48&gt;0),AD48+AC48,IF(AE48&gt;0,0,AC48)),Z48)</f>
        <v>0</v>
      </c>
      <c r="AB48" s="1338">
        <f>IF(AA48&gt;45,AA48-45,0)</f>
        <v>0</v>
      </c>
      <c r="AC48" s="1344">
        <f>+SUMIF(Aout!$BK$20:$BK$50,Aout!AT4,$D$18:$D$48)-SUMIF(Aout!$BK$20:$BK$50,Aout!AT4,$E$18:$E$48)</f>
        <v>0</v>
      </c>
      <c r="AD48" s="1344">
        <f>+SUMIF(Juillet!$BK$20:$BK$50,Aout!AT4,'Retenue Juil'!$D$18:$D$48)-SUMIF(Juillet!$BK$20:$BK$50,Aout!AT4,'Retenue Juil'!$E$18:$E$48)</f>
        <v>0</v>
      </c>
      <c r="AE48" s="1344">
        <f>+SUMIF(Septembre!$BK$20:$BK$50,Aout!AT4,'Retenue Sept'!$D$18:$D$48)-SUMIF(Septembre!$BK$20:$BK$50,Aout!AT4,'Retenue Sept'!$E$18:$E$48)</f>
        <v>0</v>
      </c>
      <c r="AF48" s="1338">
        <f>+AC48-AB48</f>
        <v>0</v>
      </c>
      <c r="AK48" s="1211"/>
      <c r="AL48" s="1224"/>
      <c r="AO48" s="1224">
        <f>+AN39*AL26</f>
        <v>0</v>
      </c>
      <c r="AP48" s="1224">
        <f>+AO48*(1-AX21)</f>
        <v>0</v>
      </c>
      <c r="AQ48" s="1224">
        <f>+AO48-AP48</f>
        <v>0</v>
      </c>
      <c r="BA48" s="349" t="str">
        <f t="shared" si="16"/>
        <v>Fiche infoA7</v>
      </c>
      <c r="BB48" s="110">
        <f t="shared" si="31"/>
        <v>45900</v>
      </c>
      <c r="BC48" s="192">
        <f>IF(BC$18+30&lt;DATE(YEAR(BH$13),MONTH(BH$13),DAY(BH$13)),BC$18+30,"")</f>
        <v>45900</v>
      </c>
      <c r="BD48" s="193" t="str">
        <f t="shared" si="32"/>
        <v/>
      </c>
      <c r="BE48" s="193" t="str">
        <f>+IF(OR(BF48=S.CAL!$BJ$3,BF48=S.CAL!$BJ$4),BD48,"")</f>
        <v/>
      </c>
      <c r="BF48" s="352">
        <f>IF($DY$5=S.CAL!$CU$2,Aout!AR50,IF($DY$5=S.CAL!$CU$3,VLOOKUP(BC48,planning_fp,7,FALSE),""))</f>
        <v>0</v>
      </c>
      <c r="BG48" s="364" t="str">
        <f>Aout!BL50</f>
        <v>A</v>
      </c>
      <c r="BH48" s="374"/>
      <c r="BI48" s="373"/>
      <c r="BJ48" s="373"/>
      <c r="BK48" s="373"/>
      <c r="BL48" s="35"/>
      <c r="BQ48" s="16" t="s">
        <v>846</v>
      </c>
      <c r="BV48" s="373"/>
      <c r="BW48" s="373"/>
      <c r="BX48" s="373" t="s">
        <v>846</v>
      </c>
      <c r="BZ48" s="373"/>
      <c r="CA48" s="373"/>
      <c r="CB48" s="373"/>
      <c r="CD48" s="346"/>
      <c r="CE48" s="110">
        <f t="shared" si="33"/>
        <v>45900</v>
      </c>
      <c r="CF48" s="192">
        <f>IF(CF$18+30&lt;DATE(YEAR(CQ$13),MONTH(CQ$13),DAY(CQ$13)),CF$18+30,"")</f>
        <v>45900</v>
      </c>
      <c r="CG48" s="193">
        <f t="shared" si="22"/>
        <v>0</v>
      </c>
      <c r="CH48" s="34"/>
      <c r="CI48" s="2491" t="str">
        <f t="shared" ref="CI48:CI53" si="56">W48</f>
        <v>Semaine numéro : 31</v>
      </c>
      <c r="CJ48" s="2492"/>
      <c r="CK48" s="2493"/>
      <c r="CL48" s="893" t="str">
        <f>+IF(CL34="","",CL34)</f>
        <v/>
      </c>
      <c r="CM48" s="674">
        <f>+IF(CL48="",IF(AND(CP48&gt;0,CO48&gt;0),CP48+CO48,IF(CQ48&gt;0,0,CO48)),CL48)</f>
        <v>0</v>
      </c>
      <c r="CN48" s="673">
        <f>IF(CM48&gt;45,CM48-45,0)</f>
        <v>0</v>
      </c>
      <c r="CO48" s="198">
        <f>+SUMIF(Aout!$BK$20:$BK$50,Aout!AT4,$CG$18:$CG$48)</f>
        <v>0</v>
      </c>
      <c r="CP48" s="198">
        <f>+SUMIF(Juillet!$BK$20:$BK$50,Aout!AT4,'Retenue Juil'!$CG$18:$CG$48)</f>
        <v>0</v>
      </c>
      <c r="CQ48" s="198">
        <f>+SUMIF(Septembre!$BK$20:$BK$50,Aout!AT4,'Retenue Sept'!$CG$18:$CG$48)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45900</v>
      </c>
      <c r="EM48" s="16" t="str">
        <f t="shared" si="29"/>
        <v>Fiche infoA745900</v>
      </c>
      <c r="EN48" s="16">
        <f t="shared" si="20"/>
        <v>0</v>
      </c>
      <c r="EQ48" s="16" t="str">
        <f>Aout!FS50</f>
        <v/>
      </c>
    </row>
    <row r="49" spans="2:139" ht="18" customHeight="1" thickBot="1" x14ac:dyDescent="0.25">
      <c r="N49" s="24"/>
      <c r="O49" s="24"/>
      <c r="P49" s="24"/>
      <c r="Q49" s="24"/>
      <c r="R49" s="24"/>
      <c r="S49" s="1347"/>
      <c r="U49" s="1323"/>
      <c r="V49" s="1323"/>
      <c r="W49" s="2482" t="str">
        <f t="shared" si="55"/>
        <v>Semaine numéro : 32</v>
      </c>
      <c r="X49" s="2482"/>
      <c r="Y49" s="2482"/>
      <c r="Z49" s="1345" t="str">
        <f t="shared" ref="Z49:Z53" si="57">+IF(Z35="","",Z35)</f>
        <v/>
      </c>
      <c r="AA49" s="1338">
        <f t="shared" ref="AA49:AA53" si="58">+IF(Z49="",IF(AND(AD49&gt;0,AC49&gt;0),AD49+AC49,IF(AE49&gt;0,0,AC49)),Z49)</f>
        <v>0</v>
      </c>
      <c r="AB49" s="1338">
        <f t="shared" ref="AB49:AB53" si="59">IF(AA49&gt;45,AA49-45,0)</f>
        <v>0</v>
      </c>
      <c r="AC49" s="1344">
        <f>+SUMIF(Aout!$BK$20:$BK$50,Aout!AT5,$D$18:$D$48)-SUMIF(Aout!$BK$20:$BK$50,Aout!AT5,$E$18:$E$48)</f>
        <v>0</v>
      </c>
      <c r="AD49" s="1344">
        <f>+SUMIF(Juillet!$BK$20:$BK$50,Aout!AT5,'Retenue Juil'!$D$18:$D$48)-SUMIF(Juillet!$BK$20:$BK$50,Aout!AT5,'Retenue Juil'!$E$18:$E$48)</f>
        <v>0</v>
      </c>
      <c r="AE49" s="1344">
        <f>+SUMIF(Septembre!$BK$20:$BK$50,Aout!AT5,'Retenue Sept'!$D$18:$D$48)-SUMIF(Septembre!$BK$20:$BK$50,Aout!AT5,'Retenue Sept'!$E$18:$E$48)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32</v>
      </c>
      <c r="CJ49" s="2492"/>
      <c r="CK49" s="2493"/>
      <c r="CL49" s="893" t="str">
        <f t="shared" ref="CL49:CL53" si="61">+IF(CL35="","",CL35)</f>
        <v/>
      </c>
      <c r="CM49" s="674">
        <f t="shared" ref="CM49:CM53" si="62">+IF(CL49="",IF(AND(CP49&gt;0,CO49&gt;0),CP49+CO49,IF(CQ49&gt;0,0,CO49)),CL49)</f>
        <v>0</v>
      </c>
      <c r="CN49" s="673">
        <f t="shared" ref="CN49:CN53" si="63">IF(CM49&gt;45,CM49-45,0)</f>
        <v>0</v>
      </c>
      <c r="CO49" s="198">
        <f>+SUMIF(Aout!$BK$20:$BK$50,Aout!AT5,$CG$18:$CG$48)</f>
        <v>0</v>
      </c>
      <c r="CP49" s="198">
        <f>+SUMIF(Juillet!$BK$20:$BK$50,Aout!AT5,'Retenue Juil'!$CG$18:$CG$48)</f>
        <v>0</v>
      </c>
      <c r="CQ49" s="198">
        <f>+SUMIF(Septembre!$BK$20:$BK$50,Aout!AT5,'Retenue Sept'!$CG$18:$CG$48)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33</v>
      </c>
      <c r="X50" s="2482"/>
      <c r="Y50" s="2482"/>
      <c r="Z50" s="1345" t="str">
        <f t="shared" si="57"/>
        <v/>
      </c>
      <c r="AA50" s="1338">
        <f t="shared" si="58"/>
        <v>0</v>
      </c>
      <c r="AB50" s="1338">
        <f t="shared" si="59"/>
        <v>0</v>
      </c>
      <c r="AC50" s="1344">
        <f>+SUMIF(Aout!$BK$20:$BK$50,Aout!AT6,$D$18:$D$48)-SUMIF(Aout!$BK$20:$BK$50,Aout!AT6,$E$18:$E$48)</f>
        <v>0</v>
      </c>
      <c r="AD50" s="1344">
        <f>+SUMIF(Juillet!$BK$20:$BK$50,Aout!AT6,'Retenue Juil'!$D$18:$D$48)-SUMIF(Juillet!$BK$20:$BK$50,Aout!AT6,'Retenue Juil'!$E$18:$E$48)</f>
        <v>0</v>
      </c>
      <c r="AE50" s="1344">
        <f>+SUMIF(Septembre!$BK$20:$BK$50,Aout!AT6,'Retenue Sept'!$D$18:$D$48)-SUMIF(Septembre!$BK$20:$BK$50,Aout!AT6,'Retenue Sept'!$E$18:$E$48)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33</v>
      </c>
      <c r="CJ50" s="2492"/>
      <c r="CK50" s="2493"/>
      <c r="CL50" s="893" t="str">
        <f t="shared" si="61"/>
        <v/>
      </c>
      <c r="CM50" s="674">
        <f t="shared" si="62"/>
        <v>0</v>
      </c>
      <c r="CN50" s="673">
        <f t="shared" si="63"/>
        <v>0</v>
      </c>
      <c r="CO50" s="198">
        <f>+SUMIF(Aout!$BK$20:$BK$50,Aout!AT6,$CG$18:$CG$48)</f>
        <v>0</v>
      </c>
      <c r="CP50" s="198">
        <f>+SUMIF(Juillet!$BK$20:$BK$50,Aout!AT6,'Retenue Juil'!$CG$18:$CG$48)</f>
        <v>0</v>
      </c>
      <c r="CQ50" s="198">
        <f>+SUMIF(Septembre!$BK$20:$BK$50,Aout!AT6,'Retenue Sept'!$CG$18:$CG$48)</f>
        <v>0</v>
      </c>
      <c r="CR50" s="674">
        <f t="shared" si="64"/>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5"/>
        <v>Semaine numéro : 34</v>
      </c>
      <c r="X51" s="2482"/>
      <c r="Y51" s="2482"/>
      <c r="Z51" s="1345" t="str">
        <f t="shared" si="57"/>
        <v/>
      </c>
      <c r="AA51" s="1338">
        <f t="shared" si="58"/>
        <v>0</v>
      </c>
      <c r="AB51" s="1338">
        <f t="shared" si="59"/>
        <v>0</v>
      </c>
      <c r="AC51" s="1344">
        <f>+SUMIF(Aout!$BK$20:$BK$50,Aout!AT7,$D$18:$D$48)-SUMIF(Aout!$BK$20:$BK$50,Aout!AT7,$E$18:$E$48)</f>
        <v>0</v>
      </c>
      <c r="AD51" s="1344">
        <f>+SUMIF(Juillet!$BK$20:$BK$50,Aout!AT7,'Retenue Juil'!$D$18:$D$48)-SUMIF(Juillet!$BK$20:$BK$50,Aout!AT7,'Retenue Juil'!$E$18:$E$48)</f>
        <v>0</v>
      </c>
      <c r="AE51" s="1344">
        <f>+SUMIF(Septembre!$BK$20:$BK$50,Aout!AT7,'Retenue Sept'!$D$18:$D$48)-SUMIF(Septembre!$BK$20:$BK$50,Aout!AT7,'Retenue Sept'!$E$18:$E$48)</f>
        <v>0</v>
      </c>
      <c r="AF51" s="1338">
        <f t="shared" si="60"/>
        <v>0</v>
      </c>
      <c r="AG51" s="1349"/>
      <c r="AJ51" s="1326"/>
      <c r="AK51" s="1327"/>
      <c r="AL51" s="1329"/>
      <c r="BA51" s="346"/>
      <c r="BD51" s="369" t="s">
        <v>758</v>
      </c>
      <c r="BE51" s="194">
        <f>+SUMIFS(BE18:BE48,BF18:BF48,S.CAL!BJ3)</f>
        <v>0</v>
      </c>
      <c r="BF51" s="370">
        <f>IF(Aout!AZ90="",+COUNTIF(BF18:BF48,S.CAL!BJ3),Aout!AZ90)</f>
        <v>0</v>
      </c>
      <c r="BL51" s="35"/>
      <c r="CD51" s="346"/>
      <c r="CI51" s="2491" t="str">
        <f t="shared" si="56"/>
        <v>Semaine numéro : 34</v>
      </c>
      <c r="CJ51" s="2492"/>
      <c r="CK51" s="2493"/>
      <c r="CL51" s="893" t="str">
        <f t="shared" si="61"/>
        <v/>
      </c>
      <c r="CM51" s="674">
        <f t="shared" si="62"/>
        <v>0</v>
      </c>
      <c r="CN51" s="673">
        <f t="shared" si="63"/>
        <v>0</v>
      </c>
      <c r="CO51" s="198">
        <f>+SUMIF(Aout!$BK$20:$BK$50,Aout!AT7,$CG$18:$CG$48)</f>
        <v>0</v>
      </c>
      <c r="CP51" s="198">
        <f>+SUMIF(Juillet!$BK$20:$BK$50,Aout!AT7,'Retenue Juil'!$CG$18:$CG$48)</f>
        <v>0</v>
      </c>
      <c r="CQ51" s="198">
        <f>+SUMIF(Septembre!$BK$20:$BK$50,Aout!AT7,'Retenue Sept'!$CG$18:$CG$48)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35</v>
      </c>
      <c r="X52" s="2482"/>
      <c r="Y52" s="2482"/>
      <c r="Z52" s="1345" t="str">
        <f t="shared" si="57"/>
        <v/>
      </c>
      <c r="AA52" s="1338">
        <f t="shared" si="58"/>
        <v>0</v>
      </c>
      <c r="AB52" s="1338">
        <f t="shared" si="59"/>
        <v>0</v>
      </c>
      <c r="AC52" s="1344">
        <f>+SUMIF(Aout!$BK$20:$BK$50,Aout!AT8,$D$18:$D$48)-SUMIF(Aout!$BK$20:$BK$50,Aout!AT8,$E$18:$E$48)</f>
        <v>0</v>
      </c>
      <c r="AD52" s="1344">
        <f>+SUMIF(Juillet!$BK$20:$BK$50,Aout!AT8,'Retenue Juil'!$D$18:$D$48)-SUMIF(Juillet!$BK$20:$BK$50,Aout!AT8,'Retenue Juil'!$E$18:$E$48)</f>
        <v>0</v>
      </c>
      <c r="AE52" s="1344">
        <f>+SUMIF(Septembre!$BK$20:$BK$50,Aout!AT8,'Retenue Sept'!$D$18:$D$48)-SUMIF(Septembre!$BK$20:$BK$50,Aout!AT8,'Retenue Sept'!$E$18:$E$48)</f>
        <v>0</v>
      </c>
      <c r="AF52" s="1338">
        <f t="shared" si="60"/>
        <v>0</v>
      </c>
      <c r="AO52" s="1211" t="s">
        <v>1126</v>
      </c>
      <c r="AP52" s="1348">
        <f>IF(AL22,+ROUND((AQ48+SUM(AQ39:AQ46))*AL34/AL22*Q11,2),0)</f>
        <v>0</v>
      </c>
      <c r="BA52" s="346"/>
      <c r="BD52" s="1363" t="s">
        <v>708</v>
      </c>
      <c r="BE52" s="1364">
        <f>+SUMIFS(BE18:BE48,BF18:BF48,S.CAL!BJ4)</f>
        <v>0</v>
      </c>
      <c r="BF52" s="1365">
        <f>IF(Aout!BA90="",+COUNTIF(BF18:BF48,S.CAL!BJ4),Aout!BA90)</f>
        <v>0</v>
      </c>
      <c r="BL52" s="35"/>
      <c r="BU52" s="16" t="s">
        <v>788</v>
      </c>
      <c r="BW52" s="357">
        <f>+BR46+BR49+BZ46+BZ49</f>
        <v>0</v>
      </c>
      <c r="CD52" s="346"/>
      <c r="CI52" s="2491" t="str">
        <f t="shared" si="56"/>
        <v>Semaine numéro : 35</v>
      </c>
      <c r="CJ52" s="2492"/>
      <c r="CK52" s="2493"/>
      <c r="CL52" s="893" t="str">
        <f t="shared" si="61"/>
        <v/>
      </c>
      <c r="CM52" s="674">
        <f t="shared" si="62"/>
        <v>0</v>
      </c>
      <c r="CN52" s="673">
        <f t="shared" si="63"/>
        <v>0</v>
      </c>
      <c r="CO52" s="198">
        <f>+SUMIF(Aout!$BK$20:$BK$50,Aout!AT8,$CG$18:$CG$48)</f>
        <v>0</v>
      </c>
      <c r="CP52" s="198">
        <f>+SUMIF(Juillet!$BK$20:$BK$50,Aout!AT8,'Retenue Juil'!$CG$18:$CG$48)</f>
        <v>0</v>
      </c>
      <c r="CQ52" s="198">
        <f>+SUMIF(Septembre!$BK$20:$BK$50,Aout!AT8,'Retenue Sept'!$CG$18:$CG$48)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+SUMIF(Aout!$BK$20:$BK$50,Aout!AT9,$D$18:$D$48)-SUMIF(Aout!$BK$20:$BK$50,Aout!AT9,$E$18:$E$48)</f>
        <v>0</v>
      </c>
      <c r="AD53" s="1344">
        <f>+SUMIF(Juillet!$BK$20:$BK$50,Aout!AT9,'Retenue Juil'!$D$18:$D$48)-SUMIF(Juillet!$BK$20:$BK$50,Aout!AT9,'Retenue Juil'!$E$18:$E$48)</f>
        <v>0</v>
      </c>
      <c r="AE53" s="1344">
        <f>+SUMIF(Septembre!$BK$20:$BK$50,Aout!AT9,'Retenue Sept'!$D$18:$D$48)-SUMIF(Septembre!$BK$20:$BK$50,Aout!AT9,'Retenue Sept'!$E$18:$E$48)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+SUMIF(Aout!$BK$20:$BK$50,Aout!AT9,$CG$18:$CG$48)</f>
        <v>0</v>
      </c>
      <c r="CP53" s="198">
        <f>+SUMIF(Juillet!$BK$20:$BK$50,Aout!AT9,'Retenue Juil'!$CG$18:$CG$48)</f>
        <v>0</v>
      </c>
      <c r="CQ53" s="198">
        <f>+SUMIF(Septembre!$BK$20:$BK$50,Aout!AT9,'Retenue Sept'!$CG$18:$CG$48)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45870</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45870</v>
      </c>
      <c r="C57" s="171">
        <f t="shared" si="65"/>
        <v>45870</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45871</v>
      </c>
      <c r="C58" s="172">
        <f t="shared" si="65"/>
        <v>45871</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45872</v>
      </c>
      <c r="C59" s="172">
        <f t="shared" si="65"/>
        <v>45872</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45873</v>
      </c>
      <c r="C60" s="172">
        <f t="shared" si="65"/>
        <v>45873</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45874</v>
      </c>
      <c r="C61" s="172">
        <f t="shared" si="65"/>
        <v>45874</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45875</v>
      </c>
      <c r="C62" s="172">
        <f t="shared" si="65"/>
        <v>45875</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45876</v>
      </c>
      <c r="C63" s="172">
        <f t="shared" si="65"/>
        <v>45876</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45877</v>
      </c>
      <c r="C64" s="172">
        <f t="shared" si="65"/>
        <v>45877</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45878</v>
      </c>
      <c r="C65" s="172">
        <f t="shared" si="65"/>
        <v>45878</v>
      </c>
      <c r="D65" s="173" t="str">
        <f t="shared" si="66"/>
        <v/>
      </c>
      <c r="E65" s="173" t="str">
        <f t="shared" si="69"/>
        <v/>
      </c>
      <c r="F65" s="1554" t="str">
        <f t="shared" si="67"/>
        <v/>
      </c>
      <c r="G65" s="1554" t="str">
        <f t="shared" si="68"/>
        <v/>
      </c>
      <c r="BA65" s="346"/>
      <c r="CD65" s="346"/>
    </row>
    <row r="66" spans="2:82" x14ac:dyDescent="0.2">
      <c r="B66" s="107">
        <f t="shared" si="65"/>
        <v>45879</v>
      </c>
      <c r="C66" s="172">
        <f t="shared" si="65"/>
        <v>45879</v>
      </c>
      <c r="D66" s="173" t="str">
        <f t="shared" si="66"/>
        <v/>
      </c>
      <c r="E66" s="173" t="str">
        <f t="shared" si="69"/>
        <v/>
      </c>
      <c r="F66" s="1554" t="str">
        <f t="shared" si="67"/>
        <v/>
      </c>
      <c r="G66" s="1554" t="str">
        <f t="shared" si="68"/>
        <v/>
      </c>
      <c r="BA66" s="346"/>
      <c r="CD66" s="346"/>
    </row>
    <row r="67" spans="2:82" x14ac:dyDescent="0.2">
      <c r="B67" s="107">
        <f t="shared" si="65"/>
        <v>45880</v>
      </c>
      <c r="C67" s="172">
        <f t="shared" si="65"/>
        <v>45880</v>
      </c>
      <c r="D67" s="173" t="str">
        <f t="shared" si="66"/>
        <v/>
      </c>
      <c r="E67" s="173" t="str">
        <f t="shared" si="69"/>
        <v/>
      </c>
      <c r="F67" s="1554" t="str">
        <f t="shared" si="67"/>
        <v/>
      </c>
      <c r="G67" s="1554" t="str">
        <f t="shared" si="68"/>
        <v/>
      </c>
      <c r="BA67" s="346"/>
      <c r="CD67" s="346"/>
    </row>
    <row r="68" spans="2:82" x14ac:dyDescent="0.2">
      <c r="B68" s="107">
        <f t="shared" si="65"/>
        <v>45881</v>
      </c>
      <c r="C68" s="172">
        <f t="shared" si="65"/>
        <v>45881</v>
      </c>
      <c r="D68" s="173" t="str">
        <f t="shared" si="66"/>
        <v/>
      </c>
      <c r="E68" s="173" t="str">
        <f t="shared" si="69"/>
        <v/>
      </c>
      <c r="F68" s="1554" t="str">
        <f t="shared" si="67"/>
        <v/>
      </c>
      <c r="G68" s="1554" t="str">
        <f t="shared" si="68"/>
        <v/>
      </c>
      <c r="AI68" s="1354" t="s">
        <v>338</v>
      </c>
      <c r="BA68" s="346"/>
      <c r="CD68" s="346"/>
    </row>
    <row r="69" spans="2:82" x14ac:dyDescent="0.2">
      <c r="B69" s="107">
        <f t="shared" si="65"/>
        <v>45882</v>
      </c>
      <c r="C69" s="172">
        <f t="shared" si="65"/>
        <v>45882</v>
      </c>
      <c r="D69" s="173" t="str">
        <f t="shared" si="66"/>
        <v/>
      </c>
      <c r="E69" s="173" t="str">
        <f t="shared" si="69"/>
        <v/>
      </c>
      <c r="F69" s="1554" t="str">
        <f t="shared" si="67"/>
        <v/>
      </c>
      <c r="G69" s="1554" t="str">
        <f t="shared" si="68"/>
        <v/>
      </c>
      <c r="BA69" s="346"/>
      <c r="CD69" s="346"/>
    </row>
    <row r="70" spans="2:82" x14ac:dyDescent="0.2">
      <c r="B70" s="107">
        <f t="shared" si="65"/>
        <v>45883</v>
      </c>
      <c r="C70" s="172">
        <f t="shared" si="65"/>
        <v>45883</v>
      </c>
      <c r="D70" s="173" t="str">
        <f t="shared" si="66"/>
        <v/>
      </c>
      <c r="E70" s="173" t="str">
        <f t="shared" si="69"/>
        <v/>
      </c>
      <c r="F70" s="1554" t="str">
        <f t="shared" si="67"/>
        <v/>
      </c>
      <c r="G70" s="1554" t="str">
        <f t="shared" si="68"/>
        <v/>
      </c>
      <c r="AI70" s="581" t="s">
        <v>339</v>
      </c>
      <c r="BA70" s="346"/>
      <c r="CD70" s="346"/>
    </row>
    <row r="71" spans="2:82" x14ac:dyDescent="0.2">
      <c r="B71" s="107">
        <f t="shared" si="65"/>
        <v>45884</v>
      </c>
      <c r="C71" s="172">
        <f t="shared" si="65"/>
        <v>45884</v>
      </c>
      <c r="D71" s="173" t="str">
        <f t="shared" si="66"/>
        <v/>
      </c>
      <c r="E71" s="173" t="str">
        <f t="shared" si="69"/>
        <v/>
      </c>
      <c r="F71" s="1554" t="str">
        <f t="shared" si="67"/>
        <v/>
      </c>
      <c r="G71" s="1554" t="str">
        <f t="shared" si="68"/>
        <v/>
      </c>
      <c r="AI71" s="1355" t="s">
        <v>340</v>
      </c>
      <c r="BA71" s="346"/>
      <c r="CD71" s="346"/>
    </row>
    <row r="72" spans="2:82" x14ac:dyDescent="0.2">
      <c r="B72" s="107">
        <f t="shared" si="65"/>
        <v>45885</v>
      </c>
      <c r="C72" s="172">
        <f t="shared" si="65"/>
        <v>45885</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45886</v>
      </c>
      <c r="C73" s="172">
        <f t="shared" si="70"/>
        <v>45886</v>
      </c>
      <c r="D73" s="173" t="str">
        <f t="shared" si="66"/>
        <v/>
      </c>
      <c r="E73" s="173" t="str">
        <f t="shared" si="69"/>
        <v/>
      </c>
      <c r="F73" s="1554" t="str">
        <f t="shared" si="67"/>
        <v/>
      </c>
      <c r="G73" s="1554" t="str">
        <f t="shared" si="68"/>
        <v/>
      </c>
      <c r="BA73" s="346"/>
      <c r="CD73" s="346"/>
    </row>
    <row r="74" spans="2:82" x14ac:dyDescent="0.2">
      <c r="B74" s="107">
        <f t="shared" si="70"/>
        <v>45887</v>
      </c>
      <c r="C74" s="172">
        <f t="shared" si="70"/>
        <v>45887</v>
      </c>
      <c r="D74" s="173" t="str">
        <f t="shared" si="66"/>
        <v/>
      </c>
      <c r="E74" s="173" t="str">
        <f t="shared" si="69"/>
        <v/>
      </c>
      <c r="F74" s="1554" t="str">
        <f t="shared" si="67"/>
        <v/>
      </c>
      <c r="G74" s="1554" t="str">
        <f t="shared" si="68"/>
        <v/>
      </c>
      <c r="AI74" s="581" t="s">
        <v>341</v>
      </c>
      <c r="BA74" s="346"/>
      <c r="CD74" s="346"/>
    </row>
    <row r="75" spans="2:82" x14ac:dyDescent="0.2">
      <c r="B75" s="107">
        <f t="shared" si="70"/>
        <v>45888</v>
      </c>
      <c r="C75" s="172">
        <f t="shared" si="70"/>
        <v>45888</v>
      </c>
      <c r="D75" s="173" t="str">
        <f t="shared" si="66"/>
        <v/>
      </c>
      <c r="E75" s="173" t="str">
        <f t="shared" si="69"/>
        <v/>
      </c>
      <c r="F75" s="1554" t="str">
        <f t="shared" si="67"/>
        <v/>
      </c>
      <c r="G75" s="1554" t="str">
        <f t="shared" si="68"/>
        <v/>
      </c>
      <c r="AI75" s="1355" t="s">
        <v>342</v>
      </c>
      <c r="BA75" s="346"/>
      <c r="CD75" s="346"/>
    </row>
    <row r="76" spans="2:82" x14ac:dyDescent="0.2">
      <c r="B76" s="107">
        <f t="shared" si="70"/>
        <v>45889</v>
      </c>
      <c r="C76" s="172">
        <f t="shared" si="70"/>
        <v>45889</v>
      </c>
      <c r="D76" s="173" t="str">
        <f t="shared" si="66"/>
        <v/>
      </c>
      <c r="E76" s="173" t="str">
        <f t="shared" si="69"/>
        <v/>
      </c>
      <c r="F76" s="1554" t="str">
        <f t="shared" si="67"/>
        <v/>
      </c>
      <c r="G76" s="1554" t="str">
        <f t="shared" si="68"/>
        <v/>
      </c>
      <c r="BA76" s="346"/>
      <c r="CD76" s="346"/>
    </row>
    <row r="77" spans="2:82" x14ac:dyDescent="0.2">
      <c r="B77" s="107">
        <f t="shared" si="70"/>
        <v>45890</v>
      </c>
      <c r="C77" s="172">
        <f t="shared" si="70"/>
        <v>45890</v>
      </c>
      <c r="D77" s="173" t="str">
        <f t="shared" si="66"/>
        <v/>
      </c>
      <c r="E77" s="173" t="str">
        <f t="shared" si="69"/>
        <v/>
      </c>
      <c r="F77" s="1554" t="str">
        <f t="shared" si="67"/>
        <v/>
      </c>
      <c r="G77" s="1554" t="str">
        <f t="shared" si="68"/>
        <v/>
      </c>
      <c r="AI77" s="581" t="s">
        <v>343</v>
      </c>
      <c r="BA77" s="346"/>
      <c r="CD77" s="346"/>
    </row>
    <row r="78" spans="2:82" x14ac:dyDescent="0.2">
      <c r="B78" s="107">
        <f t="shared" si="70"/>
        <v>45891</v>
      </c>
      <c r="C78" s="172">
        <f t="shared" si="70"/>
        <v>45891</v>
      </c>
      <c r="D78" s="173" t="str">
        <f t="shared" si="66"/>
        <v/>
      </c>
      <c r="E78" s="173" t="str">
        <f t="shared" si="69"/>
        <v/>
      </c>
      <c r="F78" s="1554" t="str">
        <f t="shared" si="67"/>
        <v/>
      </c>
      <c r="G78" s="1554" t="str">
        <f t="shared" si="68"/>
        <v/>
      </c>
      <c r="AI78" s="1355" t="s">
        <v>692</v>
      </c>
      <c r="BA78" s="346"/>
      <c r="CD78" s="346"/>
    </row>
    <row r="79" spans="2:82" x14ac:dyDescent="0.2">
      <c r="B79" s="107">
        <f t="shared" si="70"/>
        <v>45892</v>
      </c>
      <c r="C79" s="172">
        <f t="shared" si="70"/>
        <v>45892</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45893</v>
      </c>
      <c r="C80" s="172">
        <f t="shared" si="70"/>
        <v>45893</v>
      </c>
      <c r="D80" s="173" t="str">
        <f t="shared" si="66"/>
        <v/>
      </c>
      <c r="E80" s="173" t="str">
        <f t="shared" si="69"/>
        <v/>
      </c>
      <c r="F80" s="1554" t="str">
        <f t="shared" si="67"/>
        <v/>
      </c>
      <c r="G80" s="1554" t="str">
        <f t="shared" si="68"/>
        <v/>
      </c>
      <c r="BA80" s="346"/>
      <c r="CD80" s="346"/>
    </row>
    <row r="81" spans="2:82" x14ac:dyDescent="0.2">
      <c r="B81" s="107">
        <f t="shared" si="70"/>
        <v>45894</v>
      </c>
      <c r="C81" s="172">
        <f t="shared" si="70"/>
        <v>45894</v>
      </c>
      <c r="D81" s="173" t="str">
        <f t="shared" si="66"/>
        <v/>
      </c>
      <c r="E81" s="173" t="str">
        <f t="shared" si="69"/>
        <v/>
      </c>
      <c r="F81" s="1554" t="str">
        <f t="shared" si="67"/>
        <v/>
      </c>
      <c r="G81" s="1554" t="str">
        <f t="shared" si="68"/>
        <v/>
      </c>
      <c r="AI81" s="581" t="s">
        <v>529</v>
      </c>
      <c r="BA81" s="346"/>
      <c r="CD81" s="346"/>
    </row>
    <row r="82" spans="2:82" x14ac:dyDescent="0.2">
      <c r="B82" s="107">
        <f t="shared" si="70"/>
        <v>45895</v>
      </c>
      <c r="C82" s="172">
        <f t="shared" si="70"/>
        <v>45895</v>
      </c>
      <c r="D82" s="173" t="str">
        <f t="shared" si="66"/>
        <v/>
      </c>
      <c r="E82" s="173" t="str">
        <f t="shared" si="69"/>
        <v/>
      </c>
      <c r="F82" s="1554" t="str">
        <f t="shared" si="67"/>
        <v/>
      </c>
      <c r="G82" s="1554" t="str">
        <f t="shared" si="68"/>
        <v/>
      </c>
      <c r="AI82" s="1355" t="s">
        <v>693</v>
      </c>
      <c r="BA82" s="346"/>
      <c r="CD82" s="346"/>
    </row>
    <row r="83" spans="2:82" x14ac:dyDescent="0.2">
      <c r="B83" s="107">
        <f t="shared" si="70"/>
        <v>45896</v>
      </c>
      <c r="C83" s="172">
        <f t="shared" si="70"/>
        <v>45896</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45897</v>
      </c>
      <c r="C84" s="172">
        <f t="shared" si="70"/>
        <v>45897</v>
      </c>
      <c r="D84" s="173" t="str">
        <f t="shared" si="66"/>
        <v/>
      </c>
      <c r="E84" s="173" t="str">
        <f t="shared" si="69"/>
        <v/>
      </c>
      <c r="F84" s="1554" t="str">
        <f t="shared" si="67"/>
        <v/>
      </c>
      <c r="G84" s="1554" t="str">
        <f t="shared" si="68"/>
        <v/>
      </c>
      <c r="BA84" s="346"/>
      <c r="CD84" s="346"/>
    </row>
    <row r="85" spans="2:82" x14ac:dyDescent="0.2">
      <c r="B85" s="107">
        <f t="shared" si="70"/>
        <v>45898</v>
      </c>
      <c r="C85" s="172">
        <f t="shared" si="70"/>
        <v>45898</v>
      </c>
      <c r="D85" s="173" t="str">
        <f t="shared" si="66"/>
        <v/>
      </c>
      <c r="E85" s="173" t="str">
        <f t="shared" si="69"/>
        <v/>
      </c>
      <c r="F85" s="1554" t="str">
        <f t="shared" si="67"/>
        <v/>
      </c>
      <c r="G85" s="1554" t="str">
        <f t="shared" si="68"/>
        <v/>
      </c>
      <c r="AI85" s="1355" t="s">
        <v>344</v>
      </c>
      <c r="BA85" s="346"/>
      <c r="CD85" s="346"/>
    </row>
    <row r="86" spans="2:82" x14ac:dyDescent="0.2">
      <c r="B86" s="107">
        <f t="shared" si="70"/>
        <v>45899</v>
      </c>
      <c r="C86" s="172">
        <f t="shared" si="70"/>
        <v>45899</v>
      </c>
      <c r="D86" s="173" t="str">
        <f t="shared" si="66"/>
        <v/>
      </c>
      <c r="E86" s="173" t="str">
        <f t="shared" si="69"/>
        <v/>
      </c>
      <c r="F86" s="1554" t="str">
        <f t="shared" si="67"/>
        <v/>
      </c>
      <c r="G86" s="1554" t="str">
        <f t="shared" si="68"/>
        <v/>
      </c>
      <c r="AI86" s="1355" t="s">
        <v>345</v>
      </c>
      <c r="BA86" s="346"/>
      <c r="CD86" s="346"/>
    </row>
    <row r="87" spans="2:82" ht="13.5" thickBot="1" x14ac:dyDescent="0.25">
      <c r="B87" s="110">
        <f t="shared" si="70"/>
        <v>45900</v>
      </c>
      <c r="C87" s="192">
        <f t="shared" si="70"/>
        <v>45900</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7g2tKBCBEFw8E3e5MlYKviWqwdqWgs4Io0m0uO+dMYVHqr0ArzBoTYldZSOR10Y3l2cQZBaaLyEEbb1GZY92OA==" saltValue="7X/W73reLUdW4rbBn/jjcQ=="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AG7">
    <cfRule type="expression" dxfId="1858" priority="36">
      <formula>$R$3=$A$5</formula>
    </cfRule>
  </conditionalFormatting>
  <conditionalFormatting sqref="M19:Q23">
    <cfRule type="expression" dxfId="1857" priority="13">
      <formula>$E$11&gt;0</formula>
    </cfRule>
  </conditionalFormatting>
  <conditionalFormatting sqref="M26:R46">
    <cfRule type="expression" dxfId="1856" priority="3">
      <formula>$E$11=0</formula>
    </cfRule>
  </conditionalFormatting>
  <conditionalFormatting sqref="P17">
    <cfRule type="expression" dxfId="1855" priority="16">
      <formula>$E$11=0</formula>
    </cfRule>
  </conditionalFormatting>
  <conditionalFormatting sqref="P30">
    <cfRule type="expression" dxfId="1854" priority="7">
      <formula>AND($R$3="Méthode 1",$E$11&lt;0)</formula>
    </cfRule>
  </conditionalFormatting>
  <conditionalFormatting sqref="P33">
    <cfRule type="expression" dxfId="1853" priority="6">
      <formula>AND($R$3="Méthode 1",$E$11&lt;0)</formula>
    </cfRule>
  </conditionalFormatting>
  <conditionalFormatting sqref="Q17">
    <cfRule type="cellIs" dxfId="1852" priority="15" operator="equal">
      <formula>0</formula>
    </cfRule>
  </conditionalFormatting>
  <conditionalFormatting sqref="Q42">
    <cfRule type="expression" dxfId="1851" priority="5">
      <formula>AND($R$3="Méthode 1",$E$11&lt;0)</formula>
    </cfRule>
  </conditionalFormatting>
  <conditionalFormatting sqref="Q45">
    <cfRule type="expression" dxfId="1850" priority="4">
      <formula>AND($R$3="Méthode 1",$E$11&lt;0)</formula>
    </cfRule>
  </conditionalFormatting>
  <conditionalFormatting sqref="S7:AF7">
    <cfRule type="expression" dxfId="1849" priority="35">
      <formula>$R$3=$T$5</formula>
    </cfRule>
  </conditionalFormatting>
  <conditionalFormatting sqref="W19">
    <cfRule type="expression" dxfId="1848" priority="40">
      <formula>$EF$14=1</formula>
    </cfRule>
  </conditionalFormatting>
  <conditionalFormatting sqref="W21">
    <cfRule type="expression" dxfId="1847" priority="39">
      <formula>$EF$14=1</formula>
    </cfRule>
  </conditionalFormatting>
  <conditionalFormatting sqref="AC19">
    <cfRule type="expression" dxfId="1846" priority="38">
      <formula>$EF$14=1</formula>
    </cfRule>
  </conditionalFormatting>
  <conditionalFormatting sqref="AC21">
    <cfRule type="expression" dxfId="1845" priority="37">
      <formula>$EF$14=1</formula>
    </cfRule>
  </conditionalFormatting>
  <conditionalFormatting sqref="AH7:AZ7">
    <cfRule type="expression" dxfId="1844" priority="21">
      <formula>$R$3=$AI$5</formula>
    </cfRule>
  </conditionalFormatting>
  <conditionalFormatting sqref="AP50">
    <cfRule type="expression" dxfId="1843" priority="20">
      <formula>$R$3="Méthode 2"</formula>
    </cfRule>
  </conditionalFormatting>
  <conditionalFormatting sqref="AP52">
    <cfRule type="expression" dxfId="1842" priority="19">
      <formula>$R$3="Méthode 2"</formula>
    </cfRule>
  </conditionalFormatting>
  <conditionalFormatting sqref="AP61">
    <cfRule type="expression" dxfId="1841" priority="18">
      <formula>$R$3="Méthode 2"</formula>
    </cfRule>
  </conditionalFormatting>
  <conditionalFormatting sqref="AP64">
    <cfRule type="expression" dxfId="1840" priority="17">
      <formula>$R$3="Méthode 2"</formula>
    </cfRule>
  </conditionalFormatting>
  <conditionalFormatting sqref="BI50">
    <cfRule type="expression" dxfId="1839" priority="28">
      <formula>$BK$3="Méthode 1"</formula>
    </cfRule>
  </conditionalFormatting>
  <conditionalFormatting sqref="BJ29">
    <cfRule type="expression" dxfId="1838" priority="30">
      <formula>$BK$3="Méthode 1"</formula>
    </cfRule>
  </conditionalFormatting>
  <conditionalFormatting sqref="BJ45">
    <cfRule type="expression" dxfId="1837" priority="29">
      <formula>$BK$3="Méthode 1"</formula>
    </cfRule>
  </conditionalFormatting>
  <conditionalFormatting sqref="BR46">
    <cfRule type="expression" dxfId="1836" priority="27">
      <formula>$BK$3="Méthode 2"</formula>
    </cfRule>
  </conditionalFormatting>
  <conditionalFormatting sqref="BR49">
    <cfRule type="expression" dxfId="1835" priority="26">
      <formula>$BK$3="Méthode 2"</formula>
    </cfRule>
  </conditionalFormatting>
  <conditionalFormatting sqref="BW52">
    <cfRule type="expression" dxfId="1834" priority="23">
      <formula>$BK$3="Méthode 2"</formula>
    </cfRule>
  </conditionalFormatting>
  <conditionalFormatting sqref="BW54">
    <cfRule type="expression" dxfId="1833" priority="22">
      <formula>$BK$3="Méthode 2"</formula>
    </cfRule>
  </conditionalFormatting>
  <conditionalFormatting sqref="BZ46">
    <cfRule type="expression" dxfId="1832" priority="25">
      <formula>$BK$3="Méthode 2"</formula>
    </cfRule>
  </conditionalFormatting>
  <conditionalFormatting sqref="BZ49">
    <cfRule type="expression" dxfId="1831" priority="24">
      <formula>$BK$3="Méthode 2"</formula>
    </cfRule>
  </conditionalFormatting>
  <conditionalFormatting sqref="CG18:CG48">
    <cfRule type="cellIs" dxfId="183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+Septembre!DP4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+Septembre!AR13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+Septembre!AI3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+Septembre!I14</f>
        <v>0</v>
      </c>
      <c r="F10" s="151"/>
      <c r="G10" s="151"/>
      <c r="H10" s="151"/>
      <c r="I10" s="151"/>
      <c r="J10" s="151"/>
      <c r="K10" s="151"/>
      <c r="L10" s="151"/>
      <c r="P10" s="29" t="s">
        <v>1468</v>
      </c>
      <c r="Q10" s="356">
        <f>+Septembre!P18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+Septembre!T18+Septembre!T19</f>
        <v>0</v>
      </c>
      <c r="BI10" s="29" t="s">
        <v>1476</v>
      </c>
      <c r="BJ10" s="356">
        <f>+Septembre!AL14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+Septembre!U14</f>
        <v>0</v>
      </c>
      <c r="F11" s="151"/>
      <c r="G11" s="151"/>
      <c r="H11" s="151"/>
      <c r="I11" s="151"/>
      <c r="J11" s="151"/>
      <c r="K11" s="151"/>
      <c r="L11" s="151"/>
      <c r="M11" s="1201"/>
      <c r="N11" s="183"/>
      <c r="O11" s="1202"/>
      <c r="P11" s="183" t="s">
        <v>1120</v>
      </c>
      <c r="Q11" s="1203">
        <f>+Septembre!P19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+Septembre!X3</f>
        <v>45901</v>
      </c>
      <c r="M13" s="154"/>
      <c r="N13" s="155">
        <f>DATE(YEAR($D$13),MONTH($D$13)+1,DAY($D$13))</f>
        <v>45931</v>
      </c>
      <c r="O13" s="156">
        <f>N13</f>
        <v>45931</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45901</v>
      </c>
      <c r="BF13" s="154"/>
      <c r="BG13" s="155">
        <f>DATE(YEAR($D$13),MONTH($D$13)+1,DAY($D$13))</f>
        <v>45931</v>
      </c>
      <c r="BH13" s="156">
        <f>BG13</f>
        <v>45931</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45931</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45901</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45901</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45901</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+Septembre!BJ20</f>
        <v>Fiche infoA1</v>
      </c>
      <c r="B18" s="170">
        <f>+D13</f>
        <v>45901</v>
      </c>
      <c r="C18" s="171">
        <f>+$D$13</f>
        <v>45901</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Septembre!BC20</f>
        <v>0</v>
      </c>
      <c r="J18" s="34">
        <f>Septembre!BE20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infoA1</v>
      </c>
      <c r="BB18" s="170">
        <f>+BD13</f>
        <v>45901</v>
      </c>
      <c r="BC18" s="171">
        <f>+$D$13</f>
        <v>45901</v>
      </c>
      <c r="BD18" s="173" t="str">
        <f>+D18</f>
        <v/>
      </c>
      <c r="BE18" s="353" t="str">
        <f>+IF(OR(BF18=S.CAL!$BJ$3,BF18=S.CAL!$BJ$4),BD18,"")</f>
        <v/>
      </c>
      <c r="BF18" s="350">
        <f>IF($DY$5=S.CAL!$CU$2,Septembre!AR20,IF($DY$5=S.CAL!$CU$3,VLOOKUP(BC18,planning_fp,7,FALSE),""))</f>
        <v>0</v>
      </c>
      <c r="BG18" s="362" t="str">
        <f>Septembre!BL20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45901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45901</v>
      </c>
      <c r="EM18" s="16" t="str">
        <f>A18&amp;C18</f>
        <v>Fiche infoA145901</v>
      </c>
      <c r="EN18" s="16">
        <f t="shared" ref="EN18:EN48" si="20">+VLOOKUP(EM18,Base_feuille_présence_heure_potentiel,11,FALSE)</f>
        <v>0</v>
      </c>
      <c r="EQ18" s="16" t="str">
        <f>Septembre!FS20</f>
        <v/>
      </c>
    </row>
    <row r="19" spans="1:147" ht="18" customHeight="1" x14ac:dyDescent="0.2">
      <c r="A19" s="24" t="str">
        <f>+Septembre!BJ21</f>
        <v>Fiche infoA2</v>
      </c>
      <c r="B19" s="107">
        <f>C19</f>
        <v>45902</v>
      </c>
      <c r="C19" s="172">
        <f>+$D$13+1</f>
        <v>45902</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Septembre!BC21</f>
        <v>0</v>
      </c>
      <c r="J19" s="34">
        <f>Septembre!BE21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infoA2</v>
      </c>
      <c r="BB19" s="107">
        <f>BC19</f>
        <v>45902</v>
      </c>
      <c r="BC19" s="172">
        <f>+$D$13+1</f>
        <v>45902</v>
      </c>
      <c r="BD19" s="173" t="str">
        <f>+D19</f>
        <v/>
      </c>
      <c r="BE19" s="173" t="str">
        <f>+IF(OR(BF19=S.CAL!$BJ$3,BF19=S.CAL!$BJ$4),BD19,"")</f>
        <v/>
      </c>
      <c r="BF19" s="351">
        <f>IF($DY$5=S.CAL!$CU$2,Septembre!AR21,IF($DY$5=S.CAL!$CU$3,VLOOKUP(BC19,planning_fp,7,FALSE),""))</f>
        <v>0</v>
      </c>
      <c r="BG19" s="363" t="str">
        <f>Septembre!BL21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45902</v>
      </c>
      <c r="CF19" s="172">
        <f>+$D$13+1</f>
        <v>45902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45902</v>
      </c>
      <c r="EM19" s="16" t="str">
        <f t="shared" ref="EM19:EM48" si="29">A19&amp;C19</f>
        <v>Fiche infoA245902</v>
      </c>
      <c r="EN19" s="16">
        <f t="shared" si="20"/>
        <v>0</v>
      </c>
      <c r="EQ19" s="16" t="str">
        <f>Septembre!FS21</f>
        <v/>
      </c>
    </row>
    <row r="20" spans="1:147" ht="18" customHeight="1" x14ac:dyDescent="0.2">
      <c r="A20" s="24" t="str">
        <f>+Septembre!BJ22</f>
        <v>Fiche infoA3</v>
      </c>
      <c r="B20" s="107">
        <f t="shared" ref="B20:B48" si="30">C20</f>
        <v>45903</v>
      </c>
      <c r="C20" s="172">
        <f>+$D$13+2</f>
        <v>45903</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Septembre!BC22</f>
        <v>0</v>
      </c>
      <c r="J20" s="34">
        <f>Septembre!BE22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infoA3</v>
      </c>
      <c r="BB20" s="107">
        <f t="shared" ref="BB20:BB48" si="31">BC20</f>
        <v>45903</v>
      </c>
      <c r="BC20" s="172">
        <f>+$D$13+2</f>
        <v>45903</v>
      </c>
      <c r="BD20" s="173" t="str">
        <f t="shared" ref="BD20:BD48" si="32">+D20</f>
        <v/>
      </c>
      <c r="BE20" s="173" t="str">
        <f>+IF(OR(BF20=S.CAL!$BJ$3,BF20=S.CAL!$BJ$4),BD20,"")</f>
        <v/>
      </c>
      <c r="BF20" s="351">
        <f>IF($DY$5=S.CAL!$CU$2,Septembre!AR22,IF($DY$5=S.CAL!$CU$3,VLOOKUP(BC20,planning_fp,7,FALSE),""))</f>
        <v>0</v>
      </c>
      <c r="BG20" s="363" t="str">
        <f>Septembre!BL22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45903</v>
      </c>
      <c r="CF20" s="172">
        <f>+$D$13+2</f>
        <v>45903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45903</v>
      </c>
      <c r="EM20" s="16" t="str">
        <f t="shared" si="29"/>
        <v>Fiche infoA345903</v>
      </c>
      <c r="EN20" s="16">
        <f t="shared" si="20"/>
        <v>0</v>
      </c>
      <c r="EQ20" s="16" t="str">
        <f>Septembre!FS22</f>
        <v/>
      </c>
    </row>
    <row r="21" spans="1:147" ht="18" customHeight="1" x14ac:dyDescent="0.2">
      <c r="A21" s="24" t="str">
        <f>+Septembre!BJ23</f>
        <v>Fiche infoA4</v>
      </c>
      <c r="B21" s="107">
        <f t="shared" si="30"/>
        <v>45904</v>
      </c>
      <c r="C21" s="172">
        <f>+$D$13+3</f>
        <v>45904</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infoA4</v>
      </c>
      <c r="BB21" s="107">
        <f t="shared" si="31"/>
        <v>45904</v>
      </c>
      <c r="BC21" s="172">
        <f>+$D$13+3</f>
        <v>45904</v>
      </c>
      <c r="BD21" s="173" t="str">
        <f t="shared" si="32"/>
        <v/>
      </c>
      <c r="BE21" s="173" t="str">
        <f>+IF(OR(BF21=S.CAL!$BJ$3,BF21=S.CAL!$BJ$4),BD21,"")</f>
        <v/>
      </c>
      <c r="BF21" s="351">
        <f>IF($DY$5=S.CAL!$CU$2,Septembre!AR23,IF($DY$5=S.CAL!$CU$3,VLOOKUP(BC21,planning_fp,7,FALSE),""))</f>
        <v>0</v>
      </c>
      <c r="BG21" s="363" t="str">
        <f>Septembre!BL23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45904</v>
      </c>
      <c r="CF21" s="172">
        <f>+$D$13+3</f>
        <v>45904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45904</v>
      </c>
      <c r="EM21" s="16" t="str">
        <f t="shared" si="29"/>
        <v>Fiche infoA445904</v>
      </c>
      <c r="EN21" s="16">
        <f t="shared" si="20"/>
        <v>0</v>
      </c>
      <c r="EQ21" s="16" t="str">
        <f>Septembre!FS23</f>
        <v/>
      </c>
    </row>
    <row r="22" spans="1:147" ht="18" customHeight="1" x14ac:dyDescent="0.25">
      <c r="A22" s="24" t="str">
        <f>+Septembre!BJ24</f>
        <v>Fiche infoA5</v>
      </c>
      <c r="B22" s="107">
        <f t="shared" si="30"/>
        <v>45905</v>
      </c>
      <c r="C22" s="172">
        <f>+$D$13+4</f>
        <v>45905</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Septembre!BC24</f>
        <v>0</v>
      </c>
      <c r="J22" s="34">
        <f>Septembre!BE24</f>
        <v>0</v>
      </c>
      <c r="K22" s="34">
        <f t="shared" si="15"/>
        <v>0</v>
      </c>
      <c r="L22" s="34" t="str">
        <f t="shared" si="21"/>
        <v/>
      </c>
      <c r="O22" s="19"/>
      <c r="AK22" s="1211" t="s">
        <v>41</v>
      </c>
      <c r="AL22" s="1340">
        <f>+Septembre!AL14</f>
        <v>0</v>
      </c>
      <c r="BA22" s="349" t="str">
        <f t="shared" si="16"/>
        <v>Fiche infoA5</v>
      </c>
      <c r="BB22" s="107">
        <f t="shared" si="31"/>
        <v>45905</v>
      </c>
      <c r="BC22" s="172">
        <f>+$D$13+4</f>
        <v>45905</v>
      </c>
      <c r="BD22" s="173" t="str">
        <f t="shared" si="32"/>
        <v/>
      </c>
      <c r="BE22" s="173" t="str">
        <f>+IF(OR(BF22=S.CAL!$BJ$3,BF22=S.CAL!$BJ$4),BD22,"")</f>
        <v/>
      </c>
      <c r="BF22" s="351">
        <f>IF($DY$5=S.CAL!$CU$2,Septembre!AR24,IF($DY$5=S.CAL!$CU$3,VLOOKUP(BC22,planning_fp,7,FALSE),""))</f>
        <v>0</v>
      </c>
      <c r="BG22" s="363" t="str">
        <f>Septembre!BL24</f>
        <v>A</v>
      </c>
      <c r="BH22" s="150"/>
      <c r="BL22" s="146"/>
      <c r="BM22" s="197"/>
      <c r="CD22" s="346"/>
      <c r="CE22" s="107">
        <f t="shared" si="33"/>
        <v>45905</v>
      </c>
      <c r="CF22" s="172">
        <f>+$D$13+4</f>
        <v>45905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45905</v>
      </c>
      <c r="EM22" s="16" t="str">
        <f t="shared" si="29"/>
        <v>Fiche infoA545905</v>
      </c>
      <c r="EN22" s="16">
        <f t="shared" si="20"/>
        <v>0</v>
      </c>
      <c r="EQ22" s="16" t="str">
        <f>Septembre!FS24</f>
        <v/>
      </c>
    </row>
    <row r="23" spans="1:147" ht="18" customHeight="1" x14ac:dyDescent="0.2">
      <c r="A23" s="24" t="str">
        <f>+Septembre!BJ25</f>
        <v>Fiche infoA6</v>
      </c>
      <c r="B23" s="107">
        <f t="shared" si="30"/>
        <v>45906</v>
      </c>
      <c r="C23" s="172">
        <f>+$D$13+5</f>
        <v>45906</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Septembre!BC25</f>
        <v>0</v>
      </c>
      <c r="J23" s="34">
        <f>Septembre!BE25</f>
        <v>0</v>
      </c>
      <c r="K23" s="34">
        <f t="shared" si="15"/>
        <v>0</v>
      </c>
      <c r="L23" s="34" t="str">
        <f t="shared" si="21"/>
        <v/>
      </c>
      <c r="O23" s="39" t="str">
        <f>+O21</f>
        <v xml:space="preserve">Retenue sur salaire = </v>
      </c>
      <c r="P23" s="689">
        <f>+P30+P33</f>
        <v>0</v>
      </c>
      <c r="T23" s="581" t="s">
        <v>1123</v>
      </c>
      <c r="Z23" s="581" t="s">
        <v>1123</v>
      </c>
      <c r="BA23" s="349" t="str">
        <f t="shared" si="16"/>
        <v>Fiche infoA6</v>
      </c>
      <c r="BB23" s="107">
        <f t="shared" si="31"/>
        <v>45906</v>
      </c>
      <c r="BC23" s="172">
        <f>+$D$13+5</f>
        <v>45906</v>
      </c>
      <c r="BD23" s="173" t="str">
        <f t="shared" si="32"/>
        <v/>
      </c>
      <c r="BE23" s="173" t="str">
        <f>+IF(OR(BF23=S.CAL!$BJ$3,BF23=S.CAL!$BJ$4),BD23,"")</f>
        <v/>
      </c>
      <c r="BF23" s="351">
        <f>IF($DY$5=S.CAL!$CU$2,Septembre!AR25,IF($DY$5=S.CAL!$CU$3,VLOOKUP(BC23,planning_fp,7,FALSE),""))</f>
        <v>0</v>
      </c>
      <c r="BG23" s="363" t="str">
        <f>Septembre!BL25</f>
        <v>A</v>
      </c>
      <c r="BH23" s="29"/>
      <c r="BI23" s="354"/>
      <c r="BL23" s="149"/>
      <c r="CD23" s="346"/>
      <c r="CE23" s="107">
        <f t="shared" si="33"/>
        <v>45906</v>
      </c>
      <c r="CF23" s="172">
        <f>+$D$13+5</f>
        <v>45906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45906</v>
      </c>
      <c r="EM23" s="16" t="str">
        <f t="shared" si="29"/>
        <v>Fiche infoA645906</v>
      </c>
      <c r="EN23" s="16">
        <f t="shared" si="20"/>
        <v>0</v>
      </c>
      <c r="EQ23" s="16" t="str">
        <f>Septembre!FS25</f>
        <v/>
      </c>
    </row>
    <row r="24" spans="1:147" ht="18" customHeight="1" x14ac:dyDescent="0.2">
      <c r="A24" s="24" t="str">
        <f>+Septembre!BJ26</f>
        <v>Fiche infoA7</v>
      </c>
      <c r="B24" s="107">
        <f t="shared" si="30"/>
        <v>45907</v>
      </c>
      <c r="C24" s="172">
        <f>+$D$13+6</f>
        <v>45907</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Septembre!BC26</f>
        <v>0</v>
      </c>
      <c r="J24" s="34">
        <f>Septembre!BE26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infoA7</v>
      </c>
      <c r="BB24" s="107">
        <f t="shared" si="31"/>
        <v>45907</v>
      </c>
      <c r="BC24" s="172">
        <f>+$D$13+6</f>
        <v>45907</v>
      </c>
      <c r="BD24" s="173" t="str">
        <f t="shared" si="32"/>
        <v/>
      </c>
      <c r="BE24" s="173" t="str">
        <f>+IF(OR(BF24=S.CAL!$BJ$3,BF24=S.CAL!$BJ$4),BD24,"")</f>
        <v/>
      </c>
      <c r="BF24" s="351">
        <f>IF($DY$5=S.CAL!$CU$2,Septembre!AR26,IF($DY$5=S.CAL!$CU$3,VLOOKUP(BC24,planning_fp,7,FALSE),""))</f>
        <v>0</v>
      </c>
      <c r="BG24" s="363" t="str">
        <f>Septembre!BL26</f>
        <v>A</v>
      </c>
      <c r="BL24" s="35"/>
      <c r="BM24" s="197"/>
      <c r="BO24" s="29"/>
      <c r="BP24" s="184"/>
      <c r="BR24" s="16" t="s">
        <v>758</v>
      </c>
      <c r="BV24" s="373"/>
      <c r="BW24" s="373"/>
      <c r="BX24" s="373"/>
      <c r="BY24" s="373" t="s">
        <v>708</v>
      </c>
      <c r="BZ24" s="373"/>
      <c r="CA24" s="373"/>
      <c r="CB24" s="373"/>
      <c r="CD24" s="346"/>
      <c r="CE24" s="107">
        <f t="shared" si="33"/>
        <v>45907</v>
      </c>
      <c r="CF24" s="172">
        <f>+$D$13+6</f>
        <v>45907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45907</v>
      </c>
      <c r="EM24" s="16" t="str">
        <f t="shared" si="29"/>
        <v>Fiche infoA745907</v>
      </c>
      <c r="EN24" s="16">
        <f t="shared" si="20"/>
        <v>0</v>
      </c>
      <c r="EQ24" s="16" t="str">
        <f>Septembre!FS26</f>
        <v/>
      </c>
    </row>
    <row r="25" spans="1:147" ht="18" customHeight="1" x14ac:dyDescent="0.2">
      <c r="A25" s="24" t="str">
        <f>+Septembre!BJ27</f>
        <v>Fiche infoA1</v>
      </c>
      <c r="B25" s="107">
        <f t="shared" si="30"/>
        <v>45908</v>
      </c>
      <c r="C25" s="172">
        <f>+$D$13+7</f>
        <v>45908</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Septembre!BC27</f>
        <v>0</v>
      </c>
      <c r="J25" s="34">
        <f>Septembre!BE27</f>
        <v>0</v>
      </c>
      <c r="K25" s="34">
        <f t="shared" si="15"/>
        <v>0</v>
      </c>
      <c r="L25" s="34" t="str">
        <f t="shared" si="21"/>
        <v/>
      </c>
      <c r="AK25" s="1211" t="s">
        <v>329</v>
      </c>
      <c r="AL25" s="1335">
        <f>+IF(AL22,AL24/AL22,0)</f>
        <v>0</v>
      </c>
      <c r="BA25" s="349" t="str">
        <f t="shared" si="16"/>
        <v>Fiche infoA1</v>
      </c>
      <c r="BB25" s="107">
        <f t="shared" si="31"/>
        <v>45908</v>
      </c>
      <c r="BC25" s="172">
        <f>+$D$13+7</f>
        <v>45908</v>
      </c>
      <c r="BD25" s="173" t="str">
        <f t="shared" si="32"/>
        <v/>
      </c>
      <c r="BE25" s="173" t="str">
        <f>+IF(OR(BF25=S.CAL!$BJ$3,BF25=S.CAL!$BJ$4),BD25,"")</f>
        <v/>
      </c>
      <c r="BF25" s="351">
        <f>IF($DY$5=S.CAL!$CU$2,Septembre!AR27,IF($DY$5=S.CAL!$CU$3,VLOOKUP(BC25,planning_fp,7,FALSE),""))</f>
        <v>0</v>
      </c>
      <c r="BG25" s="363" t="str">
        <f>Septembre!BL27</f>
        <v>A</v>
      </c>
      <c r="BH25" s="150"/>
      <c r="BL25" s="35"/>
      <c r="BO25" s="29"/>
      <c r="BP25" s="184"/>
      <c r="BV25" s="373"/>
      <c r="BW25" s="373"/>
      <c r="BX25" s="373"/>
      <c r="BY25" s="373"/>
      <c r="BZ25" s="373"/>
      <c r="CA25" s="373"/>
      <c r="CB25" s="373"/>
      <c r="CD25" s="346"/>
      <c r="CE25" s="107">
        <f t="shared" si="33"/>
        <v>45908</v>
      </c>
      <c r="CF25" s="172">
        <f>+$D$13+7</f>
        <v>45908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45908</v>
      </c>
      <c r="EM25" s="16" t="str">
        <f t="shared" si="29"/>
        <v>Fiche infoA145908</v>
      </c>
      <c r="EN25" s="16">
        <f t="shared" si="20"/>
        <v>0</v>
      </c>
      <c r="EQ25" s="16" t="str">
        <f>Septembre!FS27</f>
        <v/>
      </c>
    </row>
    <row r="26" spans="1:147" ht="18" customHeight="1" x14ac:dyDescent="0.2">
      <c r="A26" s="24" t="str">
        <f>+Septembre!BJ28</f>
        <v>Fiche infoA2</v>
      </c>
      <c r="B26" s="107">
        <f t="shared" si="30"/>
        <v>45909</v>
      </c>
      <c r="C26" s="172">
        <f>+$D$13+8</f>
        <v>45909</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Septembre!BC28</f>
        <v>0</v>
      </c>
      <c r="J26" s="34">
        <f>Septembre!BE28</f>
        <v>0</v>
      </c>
      <c r="K26" s="34">
        <f t="shared" si="15"/>
        <v>0</v>
      </c>
      <c r="L26" s="34" t="str">
        <f t="shared" si="21"/>
        <v/>
      </c>
      <c r="O26" s="16" t="s">
        <v>1217</v>
      </c>
      <c r="AK26" s="1211" t="s">
        <v>330</v>
      </c>
      <c r="AL26" s="1335">
        <f>IF(AS21,SUM(AT13:AT20)/AS21,0)</f>
        <v>0</v>
      </c>
      <c r="BA26" s="349" t="str">
        <f t="shared" si="16"/>
        <v>Fiche infoA2</v>
      </c>
      <c r="BB26" s="107">
        <f t="shared" si="31"/>
        <v>45909</v>
      </c>
      <c r="BC26" s="172">
        <f>+$D$13+8</f>
        <v>45909</v>
      </c>
      <c r="BD26" s="173" t="str">
        <f t="shared" si="32"/>
        <v/>
      </c>
      <c r="BE26" s="173" t="str">
        <f>+IF(OR(BF26=S.CAL!$BJ$3,BF26=S.CAL!$BJ$4),BD26,"")</f>
        <v/>
      </c>
      <c r="BF26" s="351">
        <f>IF($DY$5=S.CAL!$CU$2,Septembre!AR28,IF($DY$5=S.CAL!$CU$3,VLOOKUP(BC26,planning_fp,7,FALSE),""))</f>
        <v>0</v>
      </c>
      <c r="BG26" s="363" t="str">
        <f>Septembre!BL28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45909</v>
      </c>
      <c r="CF26" s="172">
        <f>+$D$13+8</f>
        <v>45909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45909</v>
      </c>
      <c r="EM26" s="16" t="str">
        <f t="shared" si="29"/>
        <v>Fiche infoA245909</v>
      </c>
      <c r="EN26" s="16">
        <f t="shared" si="20"/>
        <v>0</v>
      </c>
      <c r="EQ26" s="16" t="str">
        <f>Septembre!FS28</f>
        <v/>
      </c>
    </row>
    <row r="27" spans="1:147" ht="18" customHeight="1" x14ac:dyDescent="0.2">
      <c r="A27" s="24" t="str">
        <f>+Septembre!BJ29</f>
        <v>Fiche infoA3</v>
      </c>
      <c r="B27" s="107">
        <f t="shared" si="30"/>
        <v>45910</v>
      </c>
      <c r="C27" s="172">
        <f>+$D$13+9</f>
        <v>45910</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Septembre!BC29</f>
        <v>0</v>
      </c>
      <c r="J27" s="34">
        <f>Septembre!BE29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infoA3</v>
      </c>
      <c r="BB27" s="107">
        <f t="shared" si="31"/>
        <v>45910</v>
      </c>
      <c r="BC27" s="172">
        <f>+$D$13+9</f>
        <v>45910</v>
      </c>
      <c r="BD27" s="173" t="str">
        <f t="shared" si="32"/>
        <v/>
      </c>
      <c r="BE27" s="173" t="str">
        <f>+IF(OR(BF27=S.CAL!$BJ$3,BF27=S.CAL!$BJ$4),BD27,"")</f>
        <v/>
      </c>
      <c r="BF27" s="351">
        <f>IF($DY$5=S.CAL!$CU$2,Septembre!AR29,IF($DY$5=S.CAL!$CU$3,VLOOKUP(BC27,planning_fp,7,FALSE),""))</f>
        <v>0</v>
      </c>
      <c r="BG27" s="363" t="str">
        <f>Septembre!BL29</f>
        <v>A</v>
      </c>
      <c r="BI27" s="16" t="s">
        <v>758</v>
      </c>
      <c r="BL27" s="35"/>
      <c r="BP27" s="2401"/>
      <c r="BQ27" s="2401"/>
      <c r="BR27" s="2401"/>
      <c r="BS27" s="2401"/>
      <c r="BT27" s="2400"/>
      <c r="BV27" s="373"/>
      <c r="BW27" s="373"/>
      <c r="BX27" s="2488"/>
      <c r="BY27" s="2488"/>
      <c r="BZ27" s="2488"/>
      <c r="CA27" s="2488"/>
      <c r="CB27" s="2487"/>
      <c r="CD27" s="346"/>
      <c r="CE27" s="107">
        <f t="shared" si="33"/>
        <v>45910</v>
      </c>
      <c r="CF27" s="172">
        <f>+$D$13+9</f>
        <v>45910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45910</v>
      </c>
      <c r="EM27" s="16" t="str">
        <f t="shared" si="29"/>
        <v>Fiche infoA345910</v>
      </c>
      <c r="EN27" s="16">
        <f t="shared" si="20"/>
        <v>0</v>
      </c>
      <c r="EQ27" s="16" t="str">
        <f>Septembre!FS29</f>
        <v/>
      </c>
    </row>
    <row r="28" spans="1:147" ht="18" customHeight="1" x14ac:dyDescent="0.2">
      <c r="A28" s="24" t="str">
        <f>+Septembre!BJ30</f>
        <v>Fiche infoA4</v>
      </c>
      <c r="B28" s="107">
        <f t="shared" si="30"/>
        <v>45911</v>
      </c>
      <c r="C28" s="172">
        <f>+$D$13+10</f>
        <v>45911</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Septembre!BC30</f>
        <v>0</v>
      </c>
      <c r="J28" s="34">
        <f>Septembre!BE30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infoA4</v>
      </c>
      <c r="BB28" s="107">
        <f t="shared" si="31"/>
        <v>45911</v>
      </c>
      <c r="BC28" s="172">
        <f>+$D$13+10</f>
        <v>45911</v>
      </c>
      <c r="BD28" s="173" t="str">
        <f t="shared" si="32"/>
        <v/>
      </c>
      <c r="BE28" s="173" t="str">
        <f>+IF(OR(BF28=S.CAL!$BJ$3,BF28=S.CAL!$BJ$4),BD28,"")</f>
        <v/>
      </c>
      <c r="BF28" s="351">
        <f>IF($DY$5=S.CAL!$CU$2,Septembre!AR30,IF($DY$5=S.CAL!$CU$3,VLOOKUP(BC28,planning_fp,7,FALSE),""))</f>
        <v>0</v>
      </c>
      <c r="BG28" s="363" t="str">
        <f>Septembre!BL30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45911</v>
      </c>
      <c r="CF28" s="172">
        <f>+$D$13+10</f>
        <v>45911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45911</v>
      </c>
      <c r="EM28" s="16" t="str">
        <f t="shared" si="29"/>
        <v>Fiche infoA445911</v>
      </c>
      <c r="EN28" s="16">
        <f t="shared" si="20"/>
        <v>0</v>
      </c>
      <c r="EQ28" s="16" t="str">
        <f>Septembre!FS30</f>
        <v/>
      </c>
    </row>
    <row r="29" spans="1:147" ht="18" customHeight="1" x14ac:dyDescent="0.2">
      <c r="A29" s="24" t="str">
        <f>+Septembre!BJ31</f>
        <v>Fiche infoA5</v>
      </c>
      <c r="B29" s="107">
        <f t="shared" si="30"/>
        <v>45912</v>
      </c>
      <c r="C29" s="172">
        <f>+$D$13+11</f>
        <v>45912</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Septembre!BC31</f>
        <v>0</v>
      </c>
      <c r="J29" s="34">
        <f>Septembre!BE31</f>
        <v>0</v>
      </c>
      <c r="K29" s="34">
        <f t="shared" si="15"/>
        <v>0</v>
      </c>
      <c r="L29" s="34" t="str">
        <f t="shared" si="21"/>
        <v/>
      </c>
      <c r="O29" s="877" t="s">
        <v>1471</v>
      </c>
      <c r="P29" s="877"/>
      <c r="Q29" s="877"/>
      <c r="R29" s="877"/>
      <c r="BA29" s="349" t="str">
        <f t="shared" si="16"/>
        <v>Fiche infoA5</v>
      </c>
      <c r="BB29" s="107">
        <f t="shared" si="31"/>
        <v>45912</v>
      </c>
      <c r="BC29" s="172">
        <f>+$D$13+11</f>
        <v>45912</v>
      </c>
      <c r="BD29" s="173" t="str">
        <f t="shared" si="32"/>
        <v/>
      </c>
      <c r="BE29" s="173" t="str">
        <f>+IF(OR(BF29=S.CAL!$BJ$3,BF29=S.CAL!$BJ$4),BD29,"")</f>
        <v/>
      </c>
      <c r="BF29" s="351">
        <f>IF($DY$5=S.CAL!$CU$2,Septembre!AR31,IF($DY$5=S.CAL!$CU$3,VLOOKUP(BC29,planning_fp,7,FALSE),""))</f>
        <v>0</v>
      </c>
      <c r="BG29" s="363" t="str">
        <f>Septembre!BL31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45912</v>
      </c>
      <c r="CF29" s="172">
        <f>+$D$13+11</f>
        <v>45912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45912</v>
      </c>
      <c r="EM29" s="16" t="str">
        <f t="shared" si="29"/>
        <v>Fiche infoA545912</v>
      </c>
      <c r="EN29" s="16">
        <f t="shared" si="20"/>
        <v>0</v>
      </c>
      <c r="EQ29" s="16" t="str">
        <f>Septembre!FS31</f>
        <v/>
      </c>
    </row>
    <row r="30" spans="1:147" ht="18" customHeight="1" x14ac:dyDescent="0.25">
      <c r="A30" s="24" t="str">
        <f>+Septembre!BJ32</f>
        <v>Fiche infoA6</v>
      </c>
      <c r="B30" s="107">
        <f t="shared" si="30"/>
        <v>45913</v>
      </c>
      <c r="C30" s="172">
        <f>+$D$13+12</f>
        <v>45913</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Septembre!BC32</f>
        <v>0</v>
      </c>
      <c r="J30" s="34">
        <f>Septembre!BE32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45901</v>
      </c>
      <c r="AP30" s="2496"/>
      <c r="AQ30" s="2496"/>
      <c r="BA30" s="349" t="str">
        <f t="shared" si="16"/>
        <v>Fiche infoA6</v>
      </c>
      <c r="BB30" s="107">
        <f t="shared" si="31"/>
        <v>45913</v>
      </c>
      <c r="BC30" s="172">
        <f>+$D$13+12</f>
        <v>45913</v>
      </c>
      <c r="BD30" s="173" t="str">
        <f t="shared" si="32"/>
        <v/>
      </c>
      <c r="BE30" s="173" t="str">
        <f>+IF(OR(BF30=S.CAL!$BJ$3,BF30=S.CAL!$BJ$4),BD30,"")</f>
        <v/>
      </c>
      <c r="BF30" s="351">
        <f>IF($DY$5=S.CAL!$CU$2,Septembre!AR32,IF($DY$5=S.CAL!$CU$3,VLOOKUP(BC30,planning_fp,7,FALSE),""))</f>
        <v>0</v>
      </c>
      <c r="BG30" s="363" t="str">
        <f>Septembre!BL32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45913</v>
      </c>
      <c r="CF30" s="172">
        <f>+$D$13+12</f>
        <v>45913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45913</v>
      </c>
      <c r="EM30" s="16" t="str">
        <f t="shared" si="29"/>
        <v>Fiche infoA645913</v>
      </c>
      <c r="EN30" s="16">
        <f t="shared" si="20"/>
        <v>0</v>
      </c>
      <c r="EQ30" s="16" t="str">
        <f>Septembre!FS32</f>
        <v/>
      </c>
    </row>
    <row r="31" spans="1:147" ht="18" customHeight="1" x14ac:dyDescent="0.2">
      <c r="A31" s="24" t="str">
        <f>+Septembre!BJ33</f>
        <v>Fiche infoA7</v>
      </c>
      <c r="B31" s="107">
        <f t="shared" si="30"/>
        <v>45914</v>
      </c>
      <c r="C31" s="172">
        <f>+$D$13+13</f>
        <v>45914</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Septembre!BC33</f>
        <v>0</v>
      </c>
      <c r="J31" s="34">
        <f>Septembre!BE33</f>
        <v>0</v>
      </c>
      <c r="K31" s="34">
        <f t="shared" si="15"/>
        <v>0</v>
      </c>
      <c r="L31" s="34" t="str">
        <f t="shared" si="21"/>
        <v/>
      </c>
      <c r="AL31" s="581" t="s">
        <v>351</v>
      </c>
      <c r="BA31" s="349" t="str">
        <f t="shared" si="16"/>
        <v>Fiche infoA7</v>
      </c>
      <c r="BB31" s="107">
        <f t="shared" si="31"/>
        <v>45914</v>
      </c>
      <c r="BC31" s="172">
        <f>+$D$13+13</f>
        <v>45914</v>
      </c>
      <c r="BD31" s="173" t="str">
        <f t="shared" si="32"/>
        <v/>
      </c>
      <c r="BE31" s="173" t="str">
        <f>+IF(OR(BF31=S.CAL!$BJ$3,BF31=S.CAL!$BJ$4),BD31,"")</f>
        <v/>
      </c>
      <c r="BF31" s="351">
        <f>IF($DY$5=S.CAL!$CU$2,Septembre!AR33,IF($DY$5=S.CAL!$CU$3,VLOOKUP(BC31,planning_fp,7,FALSE),""))</f>
        <v>0</v>
      </c>
      <c r="BG31" s="363" t="str">
        <f>Septembre!BL33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45914</v>
      </c>
      <c r="CF31" s="172">
        <f>+$D$13+13</f>
        <v>45914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45914</v>
      </c>
      <c r="EM31" s="16" t="str">
        <f t="shared" si="29"/>
        <v>Fiche infoA745914</v>
      </c>
      <c r="EN31" s="16">
        <f t="shared" si="20"/>
        <v>0</v>
      </c>
      <c r="EQ31" s="16" t="str">
        <f>Septembre!FS33</f>
        <v/>
      </c>
    </row>
    <row r="32" spans="1:147" ht="18" customHeight="1" x14ac:dyDescent="0.2">
      <c r="A32" s="24" t="str">
        <f>+Septembre!BJ34</f>
        <v>Fiche infoA1</v>
      </c>
      <c r="B32" s="107">
        <f t="shared" si="30"/>
        <v>45915</v>
      </c>
      <c r="C32" s="172">
        <f>+$D$13+14</f>
        <v>45915</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Septembre!BC34</f>
        <v>0</v>
      </c>
      <c r="J32" s="34">
        <f>Septembre!BE34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infoA1</v>
      </c>
      <c r="BB32" s="107">
        <f t="shared" si="31"/>
        <v>45915</v>
      </c>
      <c r="BC32" s="172">
        <f>+$D$13+14</f>
        <v>45915</v>
      </c>
      <c r="BD32" s="173" t="str">
        <f t="shared" si="32"/>
        <v/>
      </c>
      <c r="BE32" s="173" t="str">
        <f>+IF(OR(BF32=S.CAL!$BJ$3,BF32=S.CAL!$BJ$4),BD32,"")</f>
        <v/>
      </c>
      <c r="BF32" s="351">
        <f>IF($DY$5=S.CAL!$CU$2,Septembre!AR34,IF($DY$5=S.CAL!$CU$3,VLOOKUP(BC32,planning_fp,7,FALSE),""))</f>
        <v>0</v>
      </c>
      <c r="BG32" s="363" t="str">
        <f>Septembre!BL34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45915</v>
      </c>
      <c r="CF32" s="172">
        <f>+$D$13+14</f>
        <v>45915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45915</v>
      </c>
      <c r="EM32" s="16" t="str">
        <f t="shared" si="29"/>
        <v>Fiche infoA145915</v>
      </c>
      <c r="EN32" s="16">
        <f t="shared" si="20"/>
        <v>0</v>
      </c>
      <c r="EQ32" s="16" t="str">
        <f>Septembre!FS34</f>
        <v/>
      </c>
    </row>
    <row r="33" spans="1:147" ht="18" customHeight="1" x14ac:dyDescent="0.2">
      <c r="A33" s="24" t="str">
        <f>+Septembre!BJ35</f>
        <v>Fiche infoA2</v>
      </c>
      <c r="B33" s="107">
        <f t="shared" si="30"/>
        <v>45916</v>
      </c>
      <c r="C33" s="172">
        <f>+$D$13+15</f>
        <v>45916</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Septembre!BC35</f>
        <v>0</v>
      </c>
      <c r="J33" s="34">
        <f>Septembre!BE35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infoA2</v>
      </c>
      <c r="BB33" s="107">
        <f t="shared" si="31"/>
        <v>45916</v>
      </c>
      <c r="BC33" s="172">
        <f>+$D$13+15</f>
        <v>45916</v>
      </c>
      <c r="BD33" s="173" t="str">
        <f t="shared" si="32"/>
        <v/>
      </c>
      <c r="BE33" s="173" t="str">
        <f>+IF(OR(BF33=S.CAL!$BJ$3,BF33=S.CAL!$BJ$4),BD33,"")</f>
        <v/>
      </c>
      <c r="BF33" s="351">
        <f>IF($DY$5=S.CAL!$CU$2,Septembre!AR35,IF($DY$5=S.CAL!$CU$3,VLOOKUP(BC33,planning_fp,7,FALSE),""))</f>
        <v>0</v>
      </c>
      <c r="BG33" s="363" t="str">
        <f>Septembre!BL35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45916</v>
      </c>
      <c r="CF33" s="172">
        <f>+$D$13+15</f>
        <v>45916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45916</v>
      </c>
      <c r="EM33" s="16" t="str">
        <f t="shared" si="29"/>
        <v>Fiche infoA245916</v>
      </c>
      <c r="EN33" s="16">
        <f t="shared" si="20"/>
        <v>0</v>
      </c>
      <c r="EQ33" s="16" t="str">
        <f>Septembre!FS35</f>
        <v/>
      </c>
    </row>
    <row r="34" spans="1:147" ht="18" customHeight="1" x14ac:dyDescent="0.2">
      <c r="A34" s="24" t="str">
        <f>+Septembre!BJ36</f>
        <v>Fiche infoA3</v>
      </c>
      <c r="B34" s="107">
        <f t="shared" si="30"/>
        <v>45917</v>
      </c>
      <c r="C34" s="172">
        <f>+$D$13+16</f>
        <v>45917</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Septembre!BC36</f>
        <v>0</v>
      </c>
      <c r="J34" s="34">
        <f>Septembre!BE36</f>
        <v>0</v>
      </c>
      <c r="K34" s="34">
        <f t="shared" si="15"/>
        <v>0</v>
      </c>
      <c r="L34" s="34" t="str">
        <f t="shared" si="21"/>
        <v/>
      </c>
      <c r="N34" s="395"/>
      <c r="O34" s="395"/>
      <c r="P34" s="395"/>
      <c r="Q34" s="395"/>
      <c r="R34" s="395"/>
      <c r="T34" s="581">
        <f>+IF(AD34=0,V34,0)</f>
        <v>0</v>
      </c>
      <c r="U34" s="1323" t="str">
        <f>+Septembre!AU4</f>
        <v>A</v>
      </c>
      <c r="V34" s="1323">
        <f>IFERROR(+VLOOKUP(U34,U35:AB39,7,FALSE),"")</f>
        <v>0</v>
      </c>
      <c r="W34" s="2482" t="str">
        <f>Septembre!BS28</f>
        <v>Semaine numéro : 36</v>
      </c>
      <c r="X34" s="2482"/>
      <c r="Y34" s="2482"/>
      <c r="Z34" s="1345"/>
      <c r="AA34" s="1338">
        <f>+IF(Z34&lt;&gt;"",Z34,IF(T34&gt;0,T34,IF(AND(AD34&gt;0,AC34&gt;0),AD34+AC34,IF(AE34&gt;0,0,AC34))))</f>
        <v>0</v>
      </c>
      <c r="AB34" s="1338">
        <f>IF(AND(AA34&gt;45,AD34=AD48),AA34-45,0)</f>
        <v>0</v>
      </c>
      <c r="AC34" s="1344">
        <f>+SUMIF(Septembre!$BK$20:$BK$50,Septembre!AT4,$D$18:$D$48)</f>
        <v>0</v>
      </c>
      <c r="AD34" s="1344">
        <f>+SUMIF(Aout!$BK$20:$BK$50,Septembre!AT4,'Retenue Aout'!$D$18:$D$48)</f>
        <v>0</v>
      </c>
      <c r="AE34" s="1344">
        <f>+SUMIF(Octobre!$BK$20:$BK$50,Septembre!AT4,'Retenue Oct'!$D$18:$D$48)</f>
        <v>0</v>
      </c>
      <c r="AF34" s="1338">
        <f>+AC34-AB34</f>
        <v>0</v>
      </c>
      <c r="AK34" s="1211" t="s">
        <v>333</v>
      </c>
      <c r="AL34" s="1324" t="e">
        <f>IF(AL32,+AL24/AL32,0)</f>
        <v>#VALUE!</v>
      </c>
      <c r="BA34" s="349" t="str">
        <f t="shared" si="16"/>
        <v>Fiche infoA3</v>
      </c>
      <c r="BB34" s="107">
        <f t="shared" si="31"/>
        <v>45917</v>
      </c>
      <c r="BC34" s="172">
        <f>+$D$13+16</f>
        <v>45917</v>
      </c>
      <c r="BD34" s="173" t="str">
        <f t="shared" si="32"/>
        <v/>
      </c>
      <c r="BE34" s="173" t="str">
        <f>+IF(OR(BF34=S.CAL!$BJ$3,BF34=S.CAL!$BJ$4),BD34,"")</f>
        <v/>
      </c>
      <c r="BF34" s="351">
        <f>IF($DY$5=S.CAL!$CU$2,Septembre!AR36,IF($DY$5=S.CAL!$CU$3,VLOOKUP(BC34,planning_fp,7,FALSE),""))</f>
        <v>0</v>
      </c>
      <c r="BG34" s="363" t="str">
        <f>Septembre!BL36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45917</v>
      </c>
      <c r="CF34" s="172">
        <f>+$D$13+16</f>
        <v>45917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45917</v>
      </c>
      <c r="EM34" s="16" t="str">
        <f t="shared" si="29"/>
        <v>Fiche infoA345917</v>
      </c>
      <c r="EN34" s="16">
        <f t="shared" si="20"/>
        <v>0</v>
      </c>
      <c r="EQ34" s="16" t="str">
        <f>Septembre!FS36</f>
        <v/>
      </c>
    </row>
    <row r="35" spans="1:147" ht="18" customHeight="1" x14ac:dyDescent="0.2">
      <c r="A35" s="24" t="str">
        <f>+Septembre!BJ37</f>
        <v>Fiche infoA4</v>
      </c>
      <c r="B35" s="107">
        <f t="shared" si="30"/>
        <v>45918</v>
      </c>
      <c r="C35" s="172">
        <f>+$D$13+17</f>
        <v>45918</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Septembre!BC37</f>
        <v>0</v>
      </c>
      <c r="J35" s="34">
        <f>Septembre!BE37</f>
        <v>0</v>
      </c>
      <c r="K35" s="34">
        <f t="shared" si="15"/>
        <v>0</v>
      </c>
      <c r="L35" s="34" t="str">
        <f t="shared" si="21"/>
        <v/>
      </c>
      <c r="N35" s="395"/>
      <c r="O35" s="879" t="s">
        <v>1218</v>
      </c>
      <c r="P35" s="880"/>
      <c r="Q35" s="880"/>
      <c r="R35" s="876"/>
      <c r="T35" s="581">
        <f>+IF(AD35=0,V35,0)</f>
        <v>0</v>
      </c>
      <c r="U35" s="1323" t="str">
        <f>+Septembre!AU5</f>
        <v>A</v>
      </c>
      <c r="V35" s="1323">
        <f>IFERROR(+VLOOKUP(U35,U36:AB39,7,FALSE),"")</f>
        <v>0</v>
      </c>
      <c r="W35" s="2482" t="str">
        <f>Septembre!BS29</f>
        <v>Semaine numéro : 37</v>
      </c>
      <c r="X35" s="2482"/>
      <c r="Y35" s="2482"/>
      <c r="Z35" s="1345"/>
      <c r="AA35" s="1338">
        <f>+IF(Z35&lt;&gt;"",Z35,IF(T35&gt;0,T35,IF(AND(AD35&gt;0,AC35&gt;0),AD35+AC35,IF(AE35&gt;0,0,AC35))))</f>
        <v>0</v>
      </c>
      <c r="AB35" s="1338">
        <f t="shared" ref="AB35:AB39" si="44">IF(AND(AA35&gt;45,AD35=AD49),AA35-45,0)</f>
        <v>0</v>
      </c>
      <c r="AC35" s="1344">
        <f>+SUMIF(Septembre!$BK$20:$BK$50,Septembre!AT5,$D$18:$D$48)</f>
        <v>0</v>
      </c>
      <c r="AD35" s="1344">
        <f>+SUMIF(Aout!$BK$20:$BK$50,Septembre!AT5,'Retenue Aout'!$D$18:$D$48)</f>
        <v>0</v>
      </c>
      <c r="AE35" s="1344">
        <f>+SUMIF(Octobre!$BK$20:$BK$50,Septembre!AT5,'Retenue Oct'!$D$18:$D$48)</f>
        <v>0</v>
      </c>
      <c r="AF35" s="1338">
        <f t="shared" ref="AF35:AF39" si="45">+AC35-AB35</f>
        <v>0</v>
      </c>
      <c r="AK35" s="1211"/>
      <c r="AL35" s="1324"/>
      <c r="BA35" s="349" t="str">
        <f t="shared" si="16"/>
        <v>Fiche infoA4</v>
      </c>
      <c r="BB35" s="107">
        <f t="shared" si="31"/>
        <v>45918</v>
      </c>
      <c r="BC35" s="172">
        <f>+$D$13+17</f>
        <v>45918</v>
      </c>
      <c r="BD35" s="173" t="str">
        <f t="shared" si="32"/>
        <v/>
      </c>
      <c r="BE35" s="173" t="str">
        <f>+IF(OR(BF35=S.CAL!$BJ$3,BF35=S.CAL!$BJ$4),BD35,"")</f>
        <v/>
      </c>
      <c r="BF35" s="351">
        <f>IF($DY$5=S.CAL!$CU$2,Septembre!AR37,IF($DY$5=S.CAL!$CU$3,VLOOKUP(BC35,planning_fp,7,FALSE),""))</f>
        <v>0</v>
      </c>
      <c r="BG35" s="363" t="str">
        <f>Septembre!BL37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45918</v>
      </c>
      <c r="CF35" s="172">
        <f>+$D$13+17</f>
        <v>45918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45918</v>
      </c>
      <c r="EM35" s="16" t="str">
        <f t="shared" si="29"/>
        <v>Fiche infoA445918</v>
      </c>
      <c r="EN35" s="16">
        <f t="shared" si="20"/>
        <v>0</v>
      </c>
      <c r="EQ35" s="16" t="str">
        <f>Septembre!FS37</f>
        <v/>
      </c>
    </row>
    <row r="36" spans="1:147" ht="18" customHeight="1" x14ac:dyDescent="0.2">
      <c r="A36" s="24" t="str">
        <f>+Septembre!BJ38</f>
        <v>Fiche infoA5</v>
      </c>
      <c r="B36" s="107">
        <f t="shared" si="30"/>
        <v>45919</v>
      </c>
      <c r="C36" s="172">
        <f>+$D$13+18</f>
        <v>45919</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Septembre!BC38</f>
        <v>0</v>
      </c>
      <c r="J36" s="34">
        <f>Septembre!BE38</f>
        <v>0</v>
      </c>
      <c r="K36" s="34">
        <f t="shared" si="15"/>
        <v>0</v>
      </c>
      <c r="L36" s="34" t="str">
        <f t="shared" si="21"/>
        <v/>
      </c>
      <c r="N36" s="395"/>
      <c r="O36" s="486"/>
      <c r="P36" s="487" t="str">
        <f>+E11&amp;" / ( "&amp;E10&amp;" + "&amp;E11&amp;" ) ="</f>
        <v>0 / ( 0 + 0 ) =</v>
      </c>
      <c r="Q36" s="486" t="e">
        <f>+ROUND(E11/(E11+E10),6)</f>
        <v>#DIV/0!</v>
      </c>
      <c r="R36" s="395"/>
      <c r="U36" s="1323" t="str">
        <f>+Septembre!AU6</f>
        <v>A</v>
      </c>
      <c r="V36" s="1323"/>
      <c r="W36" s="2482" t="str">
        <f>Septembre!BS30</f>
        <v>Semaine numéro : 38</v>
      </c>
      <c r="X36" s="2482"/>
      <c r="Y36" s="2482"/>
      <c r="Z36" s="1345"/>
      <c r="AA36" s="1338">
        <f t="shared" ref="AA36:AA39" si="46">+IF(Z36="",IF(AND(AD36&gt;0,AC36&gt;0),AD36+AC36,IF(AE36&gt;0,0,AC36)),Z36)</f>
        <v>0</v>
      </c>
      <c r="AB36" s="1338">
        <f t="shared" si="44"/>
        <v>0</v>
      </c>
      <c r="AC36" s="1344">
        <f>+SUMIF(Septembre!$BK$20:$BK$50,Septembre!AT6,$D$18:$D$48)</f>
        <v>0</v>
      </c>
      <c r="AD36" s="1344">
        <f>+SUMIF(Aout!$BK$20:$BK$50,Septembre!AT6,'Retenue Aout'!$D$18:$D$48)</f>
        <v>0</v>
      </c>
      <c r="AE36" s="1344">
        <f>+SUMIF(Octobre!$BK$20:$BK$50,Septembre!AT6,'Retenue Oct'!$D$18:$D$48)</f>
        <v>0</v>
      </c>
      <c r="AF36" s="1338">
        <f t="shared" si="45"/>
        <v>0</v>
      </c>
      <c r="AK36" s="1211"/>
      <c r="AL36" s="1324"/>
      <c r="BA36" s="349" t="str">
        <f t="shared" si="16"/>
        <v>Fiche infoA5</v>
      </c>
      <c r="BB36" s="107">
        <f t="shared" si="31"/>
        <v>45919</v>
      </c>
      <c r="BC36" s="172">
        <f>+$D$13+18</f>
        <v>45919</v>
      </c>
      <c r="BD36" s="173" t="str">
        <f t="shared" si="32"/>
        <v/>
      </c>
      <c r="BE36" s="173" t="str">
        <f>+IF(OR(BF36=S.CAL!$BJ$3,BF36=S.CAL!$BJ$4),BD36,"")</f>
        <v/>
      </c>
      <c r="BF36" s="351">
        <f>IF($DY$5=S.CAL!$CU$2,Septembre!AR38,IF($DY$5=S.CAL!$CU$3,VLOOKUP(BC36,planning_fp,7,FALSE),""))</f>
        <v>0</v>
      </c>
      <c r="BG36" s="363" t="str">
        <f>Septembre!BL38</f>
        <v>A</v>
      </c>
      <c r="BH36" s="374"/>
      <c r="BI36" s="375"/>
      <c r="BJ36" s="373"/>
      <c r="BK36" s="373"/>
      <c r="BL36" s="35"/>
      <c r="BS36" s="191"/>
      <c r="BT36" s="360"/>
      <c r="BU36" s="360"/>
      <c r="BV36" s="373"/>
      <c r="BW36" s="373"/>
      <c r="BX36" s="373"/>
      <c r="BY36" s="373"/>
      <c r="BZ36" s="373"/>
      <c r="CA36" s="373"/>
      <c r="CB36" s="373"/>
      <c r="CD36" s="346"/>
      <c r="CE36" s="107">
        <f t="shared" si="33"/>
        <v>45919</v>
      </c>
      <c r="CF36" s="172">
        <f>+$D$13+18</f>
        <v>45919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45919</v>
      </c>
      <c r="EM36" s="16" t="str">
        <f t="shared" si="29"/>
        <v>Fiche infoA545919</v>
      </c>
      <c r="EN36" s="16">
        <f t="shared" si="20"/>
        <v>0</v>
      </c>
      <c r="EQ36" s="16" t="str">
        <f>Septembre!FS38</f>
        <v/>
      </c>
    </row>
    <row r="37" spans="1:147" ht="18" customHeight="1" x14ac:dyDescent="0.2">
      <c r="A37" s="24" t="str">
        <f>+Septembre!BJ39</f>
        <v>Fiche infoA6</v>
      </c>
      <c r="B37" s="107">
        <f t="shared" si="30"/>
        <v>45920</v>
      </c>
      <c r="C37" s="172">
        <f>+$D$13+19</f>
        <v>45920</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Septembre!BC39</f>
        <v>0</v>
      </c>
      <c r="J37" s="34">
        <f>Septembre!BE39</f>
        <v>0</v>
      </c>
      <c r="K37" s="34">
        <f t="shared" si="15"/>
        <v>0</v>
      </c>
      <c r="L37" s="34" t="str">
        <f t="shared" si="21"/>
        <v/>
      </c>
      <c r="N37" s="395"/>
      <c r="O37" s="881"/>
      <c r="P37" s="881"/>
      <c r="Q37" s="881"/>
      <c r="R37" s="395"/>
      <c r="U37" s="1323" t="str">
        <f>+Septembre!AU7</f>
        <v>A</v>
      </c>
      <c r="V37" s="1323"/>
      <c r="W37" s="2482" t="str">
        <f>Septembre!BS31</f>
        <v>Semaine numéro : 39</v>
      </c>
      <c r="X37" s="2482"/>
      <c r="Y37" s="2482"/>
      <c r="Z37" s="1345"/>
      <c r="AA37" s="1338">
        <f t="shared" si="46"/>
        <v>0</v>
      </c>
      <c r="AB37" s="1338">
        <f t="shared" si="44"/>
        <v>0</v>
      </c>
      <c r="AC37" s="1344">
        <f>+SUMIF(Septembre!$BK$20:$BK$50,Septembre!AT7,$D$18:$D$48)</f>
        <v>0</v>
      </c>
      <c r="AD37" s="1344">
        <f>+SUMIF(Aout!$BK$20:$BK$50,Septembre!AT7,'Retenue Aout'!$D$18:$D$48)</f>
        <v>0</v>
      </c>
      <c r="AE37" s="1344">
        <f>+SUMIF(Octobre!$BK$20:$BK$50,Septembre!AT7,'Retenue Oct'!$D$18:$D$48)</f>
        <v>0</v>
      </c>
      <c r="AF37" s="1338">
        <f t="shared" si="45"/>
        <v>0</v>
      </c>
      <c r="AK37" s="1211"/>
      <c r="AL37" s="2494" t="s">
        <v>334</v>
      </c>
      <c r="AM37" s="2494" t="s">
        <v>335</v>
      </c>
      <c r="AN37" s="2495" t="s">
        <v>336</v>
      </c>
      <c r="AO37" s="2494" t="s">
        <v>337</v>
      </c>
      <c r="AP37" s="2494" t="s">
        <v>357</v>
      </c>
      <c r="AQ37" s="2494" t="s">
        <v>358</v>
      </c>
      <c r="BA37" s="349" t="str">
        <f t="shared" si="16"/>
        <v>Fiche infoA6</v>
      </c>
      <c r="BB37" s="107">
        <f t="shared" si="31"/>
        <v>45920</v>
      </c>
      <c r="BC37" s="172">
        <f>+$D$13+19</f>
        <v>45920</v>
      </c>
      <c r="BD37" s="173" t="str">
        <f t="shared" si="32"/>
        <v/>
      </c>
      <c r="BE37" s="173" t="str">
        <f>+IF(OR(BF37=S.CAL!$BJ$3,BF37=S.CAL!$BJ$4),BD37,"")</f>
        <v/>
      </c>
      <c r="BF37" s="351">
        <f>IF($DY$5=S.CAL!$CU$2,Septembre!AR39,IF($DY$5=S.CAL!$CU$3,VLOOKUP(BC37,planning_fp,7,FALSE),""))</f>
        <v>0</v>
      </c>
      <c r="BG37" s="363" t="str">
        <f>Septembre!BL39</f>
        <v>A</v>
      </c>
      <c r="BH37" s="373"/>
      <c r="BI37" s="373"/>
      <c r="BJ37" s="373"/>
      <c r="BK37" s="373"/>
      <c r="BL37" s="35"/>
      <c r="BO37" s="29"/>
      <c r="BP37" s="34"/>
      <c r="BS37" s="191"/>
      <c r="BT37" s="191"/>
      <c r="BV37" s="373"/>
      <c r="BW37" s="373"/>
      <c r="BX37" s="373"/>
      <c r="BY37" s="373"/>
      <c r="BZ37" s="373"/>
      <c r="CA37" s="373"/>
      <c r="CB37" s="373"/>
      <c r="CD37" s="346"/>
      <c r="CE37" s="107">
        <f t="shared" si="33"/>
        <v>45920</v>
      </c>
      <c r="CF37" s="172">
        <f>+$D$13+19</f>
        <v>45920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45920</v>
      </c>
      <c r="EM37" s="16" t="str">
        <f t="shared" si="29"/>
        <v>Fiche infoA645920</v>
      </c>
      <c r="EN37" s="16">
        <f t="shared" si="20"/>
        <v>0</v>
      </c>
      <c r="EQ37" s="16" t="str">
        <f>Septembre!FS39</f>
        <v/>
      </c>
    </row>
    <row r="38" spans="1:147" ht="18" customHeight="1" x14ac:dyDescent="0.2">
      <c r="A38" s="24" t="str">
        <f>+Septembre!BJ40</f>
        <v>Fiche infoA7</v>
      </c>
      <c r="B38" s="107">
        <f t="shared" si="30"/>
        <v>45921</v>
      </c>
      <c r="C38" s="172">
        <f>+$D$13+20</f>
        <v>45921</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Septembre!BC40</f>
        <v>0</v>
      </c>
      <c r="J38" s="34">
        <f>Septembre!BE40</f>
        <v>0</v>
      </c>
      <c r="K38" s="34">
        <f t="shared" si="15"/>
        <v>0</v>
      </c>
      <c r="L38" s="34" t="str">
        <f t="shared" si="21"/>
        <v/>
      </c>
      <c r="N38" s="395"/>
      <c r="O38" s="882" t="s">
        <v>1472</v>
      </c>
      <c r="P38" s="882"/>
      <c r="Q38" s="882"/>
      <c r="R38" s="878"/>
      <c r="U38" s="1323" t="str">
        <f>+Septembre!AU8</f>
        <v>A</v>
      </c>
      <c r="V38" s="1323"/>
      <c r="W38" s="2482" t="str">
        <f>Septembre!BS32</f>
        <v>Semaine numéro : 40</v>
      </c>
      <c r="X38" s="2482"/>
      <c r="Y38" s="2482"/>
      <c r="Z38" s="1345"/>
      <c r="AA38" s="1338">
        <f t="shared" si="46"/>
        <v>0</v>
      </c>
      <c r="AB38" s="1338">
        <f t="shared" si="44"/>
        <v>0</v>
      </c>
      <c r="AC38" s="1344">
        <f>+SUMIF(Septembre!$BK$20:$BK$50,Septembre!AT8,$D$18:$D$48)</f>
        <v>0</v>
      </c>
      <c r="AD38" s="1344">
        <f>+SUMIF(Aout!$BK$20:$BK$50,Septembre!AT8,'Retenue Aout'!$D$18:$D$48)</f>
        <v>0</v>
      </c>
      <c r="AE38" s="1344">
        <f>+SUMIF(Octobre!$BK$20:$BK$50,Septembre!AT8,'Retenue Oct'!$D$18:$D$48)</f>
        <v>0</v>
      </c>
      <c r="AF38" s="1338">
        <f t="shared" si="45"/>
        <v>0</v>
      </c>
      <c r="AL38" s="2494"/>
      <c r="AM38" s="2494"/>
      <c r="AN38" s="2495"/>
      <c r="AO38" s="2494"/>
      <c r="AP38" s="2494"/>
      <c r="AQ38" s="2494"/>
      <c r="BA38" s="349" t="str">
        <f t="shared" si="16"/>
        <v>Fiche infoA7</v>
      </c>
      <c r="BB38" s="107">
        <f t="shared" si="31"/>
        <v>45921</v>
      </c>
      <c r="BC38" s="172">
        <f>+$D$13+20</f>
        <v>45921</v>
      </c>
      <c r="BD38" s="173" t="str">
        <f t="shared" si="32"/>
        <v/>
      </c>
      <c r="BE38" s="173" t="str">
        <f>+IF(OR(BF38=S.CAL!$BJ$3,BF38=S.CAL!$BJ$4),BD38,"")</f>
        <v/>
      </c>
      <c r="BF38" s="351">
        <f>IF($DY$5=S.CAL!$CU$2,Septembre!AR40,IF($DY$5=S.CAL!$CU$3,VLOOKUP(BC38,planning_fp,7,FALSE),""))</f>
        <v>0</v>
      </c>
      <c r="BG38" s="363" t="str">
        <f>Septembre!BL40</f>
        <v>A</v>
      </c>
      <c r="BH38" s="373"/>
      <c r="BI38" s="373"/>
      <c r="BJ38" s="373"/>
      <c r="BK38" s="373"/>
      <c r="BL38" s="35"/>
      <c r="BO38" s="29"/>
      <c r="BP38" s="34"/>
      <c r="BS38" s="191"/>
      <c r="BT38" s="191"/>
      <c r="BV38" s="373"/>
      <c r="BW38" s="373"/>
      <c r="BX38" s="373"/>
      <c r="BY38" s="373"/>
      <c r="BZ38" s="373"/>
      <c r="CA38" s="373"/>
      <c r="CB38" s="373"/>
      <c r="CD38" s="346"/>
      <c r="CE38" s="107">
        <f t="shared" si="33"/>
        <v>45921</v>
      </c>
      <c r="CF38" s="172">
        <f>+$D$13+20</f>
        <v>45921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45921</v>
      </c>
      <c r="EM38" s="16" t="str">
        <f t="shared" si="29"/>
        <v>Fiche infoA745921</v>
      </c>
      <c r="EN38" s="16">
        <f t="shared" si="20"/>
        <v>0</v>
      </c>
      <c r="EQ38" s="16" t="str">
        <f>Septembre!FS40</f>
        <v/>
      </c>
    </row>
    <row r="39" spans="1:147" ht="18" customHeight="1" x14ac:dyDescent="0.2">
      <c r="A39" s="24" t="str">
        <f>+Septembre!BJ41</f>
        <v>Fiche infoA1</v>
      </c>
      <c r="B39" s="107">
        <f t="shared" si="30"/>
        <v>45922</v>
      </c>
      <c r="C39" s="172">
        <f>+$D$13+21</f>
        <v>45922</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Septembre!BC41</f>
        <v>0</v>
      </c>
      <c r="J39" s="34">
        <f>Septembre!BE41</f>
        <v>0</v>
      </c>
      <c r="K39" s="34">
        <f t="shared" si="15"/>
        <v>0</v>
      </c>
      <c r="L39" s="34" t="str">
        <f t="shared" si="21"/>
        <v/>
      </c>
      <c r="N39" s="395"/>
      <c r="O39" s="486"/>
      <c r="P39" s="487" t="str">
        <f>+E10&amp;" / ( "&amp;E10&amp;" + "&amp;E11&amp;" ) ="</f>
        <v>0 / ( 0 + 0 ) =</v>
      </c>
      <c r="Q39" s="486" t="e">
        <f>ROUND(+E10/(E11+E10),6)</f>
        <v>#DIV/0!</v>
      </c>
      <c r="R39" s="395"/>
      <c r="U39" s="1323" t="str">
        <f>+Septembre!AU9</f>
        <v>A</v>
      </c>
      <c r="V39" s="1323"/>
      <c r="W39" s="2482" t="str">
        <f>Septembre!BS33</f>
        <v xml:space="preserve">Semaine numéro : </v>
      </c>
      <c r="X39" s="2482"/>
      <c r="Y39" s="2482"/>
      <c r="Z39" s="1345"/>
      <c r="AA39" s="1338">
        <f t="shared" si="46"/>
        <v>0</v>
      </c>
      <c r="AB39" s="1338">
        <f t="shared" si="44"/>
        <v>0</v>
      </c>
      <c r="AC39" s="1344">
        <f>+SUMIF(Septembre!$BK$20:$BK$50,Septembre!AT9,$D$18:$D$48)</f>
        <v>0</v>
      </c>
      <c r="AD39" s="1344">
        <f>+SUMIF(Aout!$BK$20:$BK$50,Septembre!AT9,'Retenue Aout'!$D$18:$D$48)</f>
        <v>0</v>
      </c>
      <c r="AE39" s="1344">
        <f>+SUMIF(Octobre!$BK$20:$BK$50,Septembre!AT9,'Retenue Oct'!$D$18:$D$48)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infoA1</v>
      </c>
      <c r="BB39" s="107">
        <f t="shared" si="31"/>
        <v>45922</v>
      </c>
      <c r="BC39" s="172">
        <f>+$D$13+21</f>
        <v>45922</v>
      </c>
      <c r="BD39" s="173" t="str">
        <f t="shared" si="32"/>
        <v/>
      </c>
      <c r="BE39" s="173" t="str">
        <f>+IF(OR(BF39=S.CAL!$BJ$3,BF39=S.CAL!$BJ$4),BD39,"")</f>
        <v/>
      </c>
      <c r="BF39" s="351">
        <f>IF($DY$5=S.CAL!$CU$2,Septembre!AR41,IF($DY$5=S.CAL!$CU$3,VLOOKUP(BC39,planning_fp,7,FALSE),""))</f>
        <v>0</v>
      </c>
      <c r="BG39" s="363" t="str">
        <f>Septembre!BL41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45922</v>
      </c>
      <c r="CF39" s="172">
        <f>+$D$13+21</f>
        <v>45922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45922</v>
      </c>
      <c r="EM39" s="16" t="str">
        <f t="shared" si="29"/>
        <v>Fiche infoA145922</v>
      </c>
      <c r="EN39" s="16">
        <f t="shared" si="20"/>
        <v>0</v>
      </c>
      <c r="EQ39" s="16" t="str">
        <f>Septembre!FS41</f>
        <v/>
      </c>
    </row>
    <row r="40" spans="1:147" ht="18" customHeight="1" x14ac:dyDescent="0.2">
      <c r="A40" s="24" t="str">
        <f>+Septembre!BJ42</f>
        <v>Fiche infoA2</v>
      </c>
      <c r="B40" s="107">
        <f t="shared" si="30"/>
        <v>45923</v>
      </c>
      <c r="C40" s="172">
        <f>+$D$13+22</f>
        <v>45923</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Septembre!BC42</f>
        <v>0</v>
      </c>
      <c r="J40" s="34">
        <f>Septembre!BE42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infoA2</v>
      </c>
      <c r="BB40" s="107">
        <f t="shared" si="31"/>
        <v>45923</v>
      </c>
      <c r="BC40" s="172">
        <f>+$D$13+22</f>
        <v>45923</v>
      </c>
      <c r="BD40" s="173" t="str">
        <f t="shared" si="32"/>
        <v/>
      </c>
      <c r="BE40" s="173" t="str">
        <f>+IF(OR(BF40=S.CAL!$BJ$3,BF40=S.CAL!$BJ$4),BD40,"")</f>
        <v/>
      </c>
      <c r="BF40" s="351">
        <f>IF($DY$5=S.CAL!$CU$2,Septembre!AR42,IF($DY$5=S.CAL!$CU$3,VLOOKUP(BC40,planning_fp,7,FALSE),""))</f>
        <v>0</v>
      </c>
      <c r="BG40" s="363" t="str">
        <f>Septembre!BL42</f>
        <v>A</v>
      </c>
      <c r="BH40" s="373"/>
      <c r="BI40" s="373"/>
      <c r="BJ40" s="373"/>
      <c r="BK40" s="373"/>
      <c r="BL40" s="35"/>
      <c r="BN40" s="19"/>
      <c r="BO40" s="39"/>
      <c r="BP40" s="196"/>
      <c r="BV40" s="373"/>
      <c r="BW40" s="373"/>
      <c r="BX40" s="390"/>
      <c r="BY40" s="373"/>
      <c r="BZ40" s="373"/>
      <c r="CA40" s="373"/>
      <c r="CB40" s="373"/>
      <c r="CD40" s="346"/>
      <c r="CE40" s="107">
        <f t="shared" si="33"/>
        <v>45923</v>
      </c>
      <c r="CF40" s="172">
        <f>+$D$13+22</f>
        <v>45923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45923</v>
      </c>
      <c r="EM40" s="16" t="str">
        <f t="shared" si="29"/>
        <v>Fiche infoA245923</v>
      </c>
      <c r="EN40" s="16">
        <f t="shared" si="20"/>
        <v>0</v>
      </c>
      <c r="EQ40" s="16" t="str">
        <f>Septembre!FS42</f>
        <v/>
      </c>
    </row>
    <row r="41" spans="1:147" ht="18" customHeight="1" x14ac:dyDescent="0.2">
      <c r="A41" s="24" t="str">
        <f>+Septembre!BJ43</f>
        <v>Fiche infoA3</v>
      </c>
      <c r="B41" s="107">
        <f t="shared" si="30"/>
        <v>45924</v>
      </c>
      <c r="C41" s="172">
        <f>+$D$13+23</f>
        <v>45924</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Septembre!BC43</f>
        <v>0</v>
      </c>
      <c r="J41" s="34">
        <f>Septembre!BE43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infoA3</v>
      </c>
      <c r="BB41" s="107">
        <f t="shared" si="31"/>
        <v>45924</v>
      </c>
      <c r="BC41" s="172">
        <f>+$D$13+23</f>
        <v>45924</v>
      </c>
      <c r="BD41" s="173" t="str">
        <f t="shared" si="32"/>
        <v/>
      </c>
      <c r="BE41" s="173" t="str">
        <f>+IF(OR(BF41=S.CAL!$BJ$3,BF41=S.CAL!$BJ$4),BD41,"")</f>
        <v/>
      </c>
      <c r="BF41" s="351">
        <f>IF($DY$5=S.CAL!$CU$2,Septembre!AR43,IF($DY$5=S.CAL!$CU$3,VLOOKUP(BC41,planning_fp,7,FALSE),""))</f>
        <v>0</v>
      </c>
      <c r="BG41" s="363" t="str">
        <f>Septembre!BL43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45924</v>
      </c>
      <c r="CF41" s="172">
        <f>+$D$13+23</f>
        <v>45924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45924</v>
      </c>
      <c r="EM41" s="16" t="str">
        <f t="shared" si="29"/>
        <v>Fiche infoA345924</v>
      </c>
      <c r="EN41" s="16">
        <f t="shared" si="20"/>
        <v>0</v>
      </c>
      <c r="EQ41" s="16" t="str">
        <f>Septembre!FS43</f>
        <v/>
      </c>
    </row>
    <row r="42" spans="1:147" ht="18" customHeight="1" x14ac:dyDescent="0.2">
      <c r="A42" s="24" t="str">
        <f>+Septembre!BJ44</f>
        <v>Fiche infoA4</v>
      </c>
      <c r="B42" s="107">
        <f t="shared" si="30"/>
        <v>45925</v>
      </c>
      <c r="C42" s="172">
        <f>+$D$13+24</f>
        <v>45925</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Septembre!BC44</f>
        <v>0</v>
      </c>
      <c r="J42" s="34">
        <f>Septembre!BE44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infoA4</v>
      </c>
      <c r="BB42" s="107">
        <f t="shared" si="31"/>
        <v>45925</v>
      </c>
      <c r="BC42" s="172">
        <f>+$D$13+24</f>
        <v>45925</v>
      </c>
      <c r="BD42" s="173" t="str">
        <f t="shared" si="32"/>
        <v/>
      </c>
      <c r="BE42" s="173" t="str">
        <f>+IF(OR(BF42=S.CAL!$BJ$3,BF42=S.CAL!$BJ$4),BD42,"")</f>
        <v/>
      </c>
      <c r="BF42" s="351">
        <f>IF($DY$5=S.CAL!$CU$2,Septembre!AR44,IF($DY$5=S.CAL!$CU$3,VLOOKUP(BC42,planning_fp,7,FALSE),""))</f>
        <v>0</v>
      </c>
      <c r="BG42" s="363" t="str">
        <f>Septembre!BL44</f>
        <v>A</v>
      </c>
      <c r="BH42" s="374"/>
      <c r="BI42" s="376"/>
      <c r="BJ42" s="373"/>
      <c r="BK42" s="373"/>
      <c r="BL42" s="35"/>
      <c r="BV42" s="373"/>
      <c r="BW42" s="373"/>
      <c r="BX42" s="373"/>
      <c r="BY42" s="373"/>
      <c r="BZ42" s="373"/>
      <c r="CA42" s="373"/>
      <c r="CB42" s="373"/>
      <c r="CD42" s="346"/>
      <c r="CE42" s="107">
        <f t="shared" si="33"/>
        <v>45925</v>
      </c>
      <c r="CF42" s="172">
        <f>+$D$13+24</f>
        <v>45925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45925</v>
      </c>
      <c r="EM42" s="16" t="str">
        <f t="shared" si="29"/>
        <v>Fiche infoA445925</v>
      </c>
      <c r="EN42" s="16">
        <f t="shared" si="20"/>
        <v>0</v>
      </c>
      <c r="EQ42" s="16" t="str">
        <f>Septembre!FS44</f>
        <v/>
      </c>
    </row>
    <row r="43" spans="1:147" ht="18" customHeight="1" x14ac:dyDescent="0.2">
      <c r="A43" s="24" t="str">
        <f>+Septembre!BJ45</f>
        <v>Fiche infoA5</v>
      </c>
      <c r="B43" s="107">
        <f t="shared" si="30"/>
        <v>45926</v>
      </c>
      <c r="C43" s="172">
        <f>+$D$13+25</f>
        <v>45926</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Septembre!BC45</f>
        <v>0</v>
      </c>
      <c r="J43" s="34">
        <f>Septembre!BE45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infoA5</v>
      </c>
      <c r="BB43" s="107">
        <f t="shared" si="31"/>
        <v>45926</v>
      </c>
      <c r="BC43" s="172">
        <f>+$D$13+25</f>
        <v>45926</v>
      </c>
      <c r="BD43" s="173" t="str">
        <f t="shared" si="32"/>
        <v/>
      </c>
      <c r="BE43" s="173" t="str">
        <f>+IF(OR(BF43=S.CAL!$BJ$3,BF43=S.CAL!$BJ$4),BD43,"")</f>
        <v/>
      </c>
      <c r="BF43" s="351">
        <f>IF($DY$5=S.CAL!$CU$2,Septembre!AR45,IF($DY$5=S.CAL!$CU$3,VLOOKUP(BC43,planning_fp,7,FALSE),""))</f>
        <v>0</v>
      </c>
      <c r="BG43" s="363" t="str">
        <f>Septembre!BL45</f>
        <v>A</v>
      </c>
      <c r="BH43" s="24"/>
      <c r="BI43" s="24" t="s">
        <v>708</v>
      </c>
      <c r="BJ43" s="24"/>
      <c r="BK43" s="373"/>
      <c r="BL43" s="35"/>
      <c r="BV43" s="373"/>
      <c r="BW43" s="373"/>
      <c r="BX43" s="373"/>
      <c r="BY43" s="373"/>
      <c r="BZ43" s="373"/>
      <c r="CA43" s="373"/>
      <c r="CB43" s="373"/>
      <c r="CD43" s="346"/>
      <c r="CE43" s="107">
        <f t="shared" si="33"/>
        <v>45926</v>
      </c>
      <c r="CF43" s="172">
        <f>+$D$13+25</f>
        <v>45926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45926</v>
      </c>
      <c r="EM43" s="16" t="str">
        <f t="shared" si="29"/>
        <v>Fiche infoA545926</v>
      </c>
      <c r="EN43" s="16">
        <f t="shared" si="20"/>
        <v>0</v>
      </c>
      <c r="EQ43" s="16" t="str">
        <f>Septembre!FS45</f>
        <v/>
      </c>
    </row>
    <row r="44" spans="1:147" ht="18" customHeight="1" x14ac:dyDescent="0.25">
      <c r="A44" s="24" t="str">
        <f>+Septembre!BJ46</f>
        <v>Fiche infoA6</v>
      </c>
      <c r="B44" s="107">
        <f t="shared" si="30"/>
        <v>45927</v>
      </c>
      <c r="C44" s="172">
        <f>+$D$13+26</f>
        <v>45927</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Septembre!BC46</f>
        <v>0</v>
      </c>
      <c r="J44" s="34">
        <f>Septembre!BE46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infoA6</v>
      </c>
      <c r="BB44" s="107">
        <f t="shared" si="31"/>
        <v>45927</v>
      </c>
      <c r="BC44" s="172">
        <f>+$D$13+26</f>
        <v>45927</v>
      </c>
      <c r="BD44" s="173" t="str">
        <f t="shared" si="32"/>
        <v/>
      </c>
      <c r="BE44" s="173" t="str">
        <f>+IF(OR(BF44=S.CAL!$BJ$3,BF44=S.CAL!$BJ$4),BD44,"")</f>
        <v/>
      </c>
      <c r="BF44" s="351">
        <f>IF($DY$5=S.CAL!$CU$2,Septembre!AR46,IF($DY$5=S.CAL!$CU$3,VLOOKUP(BC44,planning_fp,7,FALSE),""))</f>
        <v>0</v>
      </c>
      <c r="BG44" s="363" t="str">
        <f>Septembre!BL46</f>
        <v>A</v>
      </c>
      <c r="BH44" s="24" t="s">
        <v>800</v>
      </c>
      <c r="BI44" s="24"/>
      <c r="BJ44" s="24"/>
      <c r="BK44" s="373"/>
      <c r="BL44" s="35"/>
      <c r="BV44" s="373"/>
      <c r="BW44" s="373"/>
      <c r="BX44" s="373"/>
      <c r="BY44" s="373"/>
      <c r="BZ44" s="373"/>
      <c r="CA44" s="373"/>
      <c r="CB44" s="373"/>
      <c r="CD44" s="346"/>
      <c r="CE44" s="107">
        <f t="shared" si="33"/>
        <v>45927</v>
      </c>
      <c r="CF44" s="172">
        <f>+$D$13+26</f>
        <v>45927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45927</v>
      </c>
      <c r="EM44" s="16" t="str">
        <f t="shared" si="29"/>
        <v>Fiche infoA645927</v>
      </c>
      <c r="EN44" s="16">
        <f t="shared" si="20"/>
        <v>0</v>
      </c>
      <c r="EQ44" s="16" t="str">
        <f>Septembre!FS46</f>
        <v/>
      </c>
    </row>
    <row r="45" spans="1:147" ht="18" customHeight="1" x14ac:dyDescent="0.2">
      <c r="A45" s="24" t="str">
        <f>+Septembre!BJ47</f>
        <v>Fiche infoA7</v>
      </c>
      <c r="B45" s="107">
        <f t="shared" si="30"/>
        <v>45928</v>
      </c>
      <c r="C45" s="172">
        <f>IF(C$18+27&lt;DATE(YEAR(O$13),MONTH(O$13),DAY(O$13)),C$18+27,"")</f>
        <v>45928</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Septembre!BC47</f>
        <v>0</v>
      </c>
      <c r="J45" s="34">
        <f>Septembre!BE47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infoA7</v>
      </c>
      <c r="BB45" s="107">
        <f t="shared" si="31"/>
        <v>45928</v>
      </c>
      <c r="BC45" s="172">
        <f>IF(BC$18+27&lt;DATE(YEAR(BH$13),MONTH(BH$13),DAY(BH$13)),BC$18+27,"")</f>
        <v>45928</v>
      </c>
      <c r="BD45" s="173" t="str">
        <f t="shared" si="32"/>
        <v/>
      </c>
      <c r="BE45" s="173" t="str">
        <f>+IF(OR(BF45=S.CAL!$BJ$3,BF45=S.CAL!$BJ$4),BD45,"")</f>
        <v/>
      </c>
      <c r="BF45" s="351">
        <f>IF($DY$5=S.CAL!$CU$2,Septembre!AR47,IF($DY$5=S.CAL!$CU$3,VLOOKUP(BC45,planning_fp,7,FALSE),""))</f>
        <v>0</v>
      </c>
      <c r="BG45" s="363" t="str">
        <f>Septembre!BL47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45928</v>
      </c>
      <c r="CF45" s="172">
        <f>IF(CF$18+27&lt;DATE(YEAR(CQ$13),MONTH(CQ$13),DAY(CQ$13)),CF$18+27,"")</f>
        <v>45928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45928</v>
      </c>
      <c r="EM45" s="16" t="str">
        <f t="shared" si="29"/>
        <v>Fiche infoA745928</v>
      </c>
      <c r="EN45" s="16">
        <f t="shared" si="20"/>
        <v>0</v>
      </c>
      <c r="EQ45" s="16" t="str">
        <f>Septembre!FS47</f>
        <v/>
      </c>
    </row>
    <row r="46" spans="1:147" ht="18" customHeight="1" x14ac:dyDescent="0.2">
      <c r="A46" s="24" t="str">
        <f>+Septembre!BJ48</f>
        <v>Fiche infoA1</v>
      </c>
      <c r="B46" s="107">
        <f t="shared" si="30"/>
        <v>45929</v>
      </c>
      <c r="C46" s="172">
        <f>IF(C$18+28&lt;DATE(YEAR(O$13),MONTH(O$13),DAY(O$13)),C$18+28,"")</f>
        <v>45929</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Septembre!BC48</f>
        <v>0</v>
      </c>
      <c r="J46" s="34">
        <f>Septembre!BE48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infoA1</v>
      </c>
      <c r="BB46" s="107">
        <f t="shared" si="31"/>
        <v>45929</v>
      </c>
      <c r="BC46" s="172">
        <f>IF(BC$18+28&lt;DATE(YEAR(BH$13),MONTH(BH$13),DAY(BH$13)),BC$18+28,"")</f>
        <v>45929</v>
      </c>
      <c r="BD46" s="173" t="str">
        <f t="shared" si="32"/>
        <v/>
      </c>
      <c r="BE46" s="173" t="str">
        <f>+IF(OR(BF46=S.CAL!$BJ$3,BF46=S.CAL!$BJ$4),BD46,"")</f>
        <v/>
      </c>
      <c r="BF46" s="351">
        <f>IF($DY$5=S.CAL!$CU$2,Septembre!AR48,IF($DY$5=S.CAL!$CU$3,VLOOKUP(BC46,planning_fp,7,FALSE),""))</f>
        <v>0</v>
      </c>
      <c r="BG46" s="363" t="str">
        <f>Septembre!BL48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45929</v>
      </c>
      <c r="CF46" s="172">
        <f>IF(CF$18+28&lt;DATE(YEAR(CQ$13),MONTH(CQ$13),DAY(CQ$13)),CF$18+28,"")</f>
        <v>45929</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45929</v>
      </c>
      <c r="EM46" s="16" t="str">
        <f t="shared" si="29"/>
        <v>Fiche infoA145929</v>
      </c>
      <c r="EN46" s="16">
        <f t="shared" si="20"/>
        <v>0</v>
      </c>
      <c r="EQ46" s="16" t="str">
        <f>Septembre!FS48</f>
        <v/>
      </c>
    </row>
    <row r="47" spans="1:147" ht="18" customHeight="1" x14ac:dyDescent="0.2">
      <c r="A47" s="24" t="str">
        <f>+Septembre!BJ49</f>
        <v>Fiche infoA2</v>
      </c>
      <c r="B47" s="107">
        <f t="shared" si="30"/>
        <v>45930</v>
      </c>
      <c r="C47" s="172">
        <f>IF(C$18+29&lt;DATE(YEAR(O$13),MONTH(O$13),DAY(O$13)),C$18+29,"")</f>
        <v>45930</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Septembre!BC49</f>
        <v>0</v>
      </c>
      <c r="J47" s="34">
        <f>Septembre!BE49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infoA2</v>
      </c>
      <c r="BB47" s="107">
        <f t="shared" si="31"/>
        <v>45930</v>
      </c>
      <c r="BC47" s="172">
        <f>IF(BC$18+29&lt;DATE(YEAR(BH$13),MONTH(BH$13),DAY(BH$13)),BC$18+29,"")</f>
        <v>45930</v>
      </c>
      <c r="BD47" s="173" t="str">
        <f t="shared" si="32"/>
        <v/>
      </c>
      <c r="BE47" s="173" t="str">
        <f>+IF(OR(BF47=S.CAL!$BJ$3,BF47=S.CAL!$BJ$4),BD47,"")</f>
        <v/>
      </c>
      <c r="BF47" s="351">
        <f>IF($DY$5=S.CAL!$CU$2,Septembre!AR49,IF($DY$5=S.CAL!$CU$3,VLOOKUP(BC47,planning_fp,7,FALSE),""))</f>
        <v>0</v>
      </c>
      <c r="BG47" s="363" t="str">
        <f>Septembre!BL49</f>
        <v>A</v>
      </c>
      <c r="BH47" s="373"/>
      <c r="BI47" s="373"/>
      <c r="BJ47" s="373"/>
      <c r="BK47" s="373"/>
      <c r="BL47" s="35"/>
      <c r="BV47" s="373"/>
      <c r="BW47" s="373"/>
      <c r="BX47" s="373"/>
      <c r="BY47" s="373"/>
      <c r="BZ47" s="373"/>
      <c r="CA47" s="373"/>
      <c r="CB47" s="373"/>
      <c r="CD47" s="346"/>
      <c r="CE47" s="107">
        <f t="shared" si="33"/>
        <v>45930</v>
      </c>
      <c r="CF47" s="172">
        <f>IF(CF$18+29&lt;DATE(YEAR(CQ$13),MONTH(CQ$13),DAY(CQ$13)),CF$18+29,"")</f>
        <v>45930</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45930</v>
      </c>
      <c r="EM47" s="16" t="str">
        <f t="shared" si="29"/>
        <v>Fiche infoA245930</v>
      </c>
      <c r="EN47" s="16">
        <f t="shared" si="20"/>
        <v>0</v>
      </c>
      <c r="EQ47" s="16" t="str">
        <f>Septembre!FS49</f>
        <v/>
      </c>
    </row>
    <row r="48" spans="1:147" ht="18" customHeight="1" thickBot="1" x14ac:dyDescent="0.25">
      <c r="A48" s="24" t="str">
        <f>+Septembre!BJ50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f t="shared" si="14"/>
        <v>0</v>
      </c>
      <c r="I48" s="34">
        <f>Septembre!BC50</f>
        <v>0</v>
      </c>
      <c r="J48" s="34">
        <f>Septembre!BE50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36</v>
      </c>
      <c r="X48" s="2482"/>
      <c r="Y48" s="2482"/>
      <c r="Z48" s="1345" t="str">
        <f>+IF(Z34="","",Z34)</f>
        <v/>
      </c>
      <c r="AA48" s="1338">
        <f>+IF(Z48="",IF(AND(AD48&gt;0,AC48&gt;0),AD48+AC48,IF(AE48&gt;0,0,AC48)),Z48)</f>
        <v>0</v>
      </c>
      <c r="AB48" s="1338">
        <f>IF(AA48&gt;45,AA48-45,0)</f>
        <v>0</v>
      </c>
      <c r="AC48" s="1344">
        <f>+SUMIF(Septembre!$BK$20:$BK$50,Septembre!AT4,$D$18:$D$48)-SUMIF(Septembre!$BK$20:$BK$50,Septembre!AT4,$E$18:$E$48)</f>
        <v>0</v>
      </c>
      <c r="AD48" s="1344">
        <f>+SUMIF(Aout!$BK$20:$BK$50,Septembre!AT4,'Retenue Aout'!$D$18:$D$48)-SUMIF(Aout!$BK$20:$BK$50,Septembre!AT4,'Retenue Aout'!$E$18:$E$48)</f>
        <v>0</v>
      </c>
      <c r="AE48" s="1344">
        <f>+SUMIF(Octobre!$BK$20:$BK$50,Septembre!AT4,'Retenue Oct'!$D$18:$D$48)-SUMIF(Octobre!$BK$20:$BK$50,Septembre!AT4,'Retenue Oct'!$E$18:$E$48)</f>
        <v>0</v>
      </c>
      <c r="AF48" s="1338">
        <f>+AC48-AB48</f>
        <v>0</v>
      </c>
      <c r="AK48" s="1211"/>
      <c r="AL48" s="1224"/>
      <c r="AO48" s="1224">
        <f>+AN39*AL26</f>
        <v>0</v>
      </c>
      <c r="AP48" s="1224">
        <f>+AO48*(1-AX21)</f>
        <v>0</v>
      </c>
      <c r="AQ48" s="1224">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IF($DY$5=S.CAL!$CU$2,Septembre!AR50,IF($DY$5=S.CAL!$CU$3,VLOOKUP(BC48,planning_fp,7,FALSE),""))</f>
        <v>0</v>
      </c>
      <c r="BG48" s="364" t="str">
        <f>Septembre!BL50</f>
        <v>A</v>
      </c>
      <c r="BH48" s="374"/>
      <c r="BI48" s="373"/>
      <c r="BJ48" s="373"/>
      <c r="BK48" s="373"/>
      <c r="BL48" s="35"/>
      <c r="BQ48" s="16" t="s">
        <v>846</v>
      </c>
      <c r="BV48" s="373"/>
      <c r="BW48" s="373"/>
      <c r="BX48" s="373" t="s">
        <v>846</v>
      </c>
      <c r="BZ48" s="373"/>
      <c r="CA48" s="373"/>
      <c r="CB48" s="373"/>
      <c r="CD48" s="346"/>
      <c r="CE48" s="110" t="str">
        <f t="shared" si="33"/>
        <v/>
      </c>
      <c r="CF48" s="192" t="str">
        <f>IF(CF$18+30&lt;DATE(YEAR(CQ$13),MONTH(CQ$13),DAY(CQ$13)),CF$18+30,"")</f>
        <v/>
      </c>
      <c r="CG48" s="193">
        <f t="shared" si="22"/>
        <v>0</v>
      </c>
      <c r="CH48" s="34"/>
      <c r="CI48" s="2491" t="str">
        <f t="shared" ref="CI48:CI53" si="56">W48</f>
        <v>Semaine numéro : 36</v>
      </c>
      <c r="CJ48" s="2492"/>
      <c r="CK48" s="2493"/>
      <c r="CL48" s="893" t="str">
        <f>+IF(CL34="","",CL34)</f>
        <v/>
      </c>
      <c r="CM48" s="674">
        <f>+IF(CL48="",IF(AND(CP48&gt;0,CO48&gt;0),CP48+CO48,IF(CQ48&gt;0,0,CO48)),CL48)</f>
        <v>0</v>
      </c>
      <c r="CN48" s="673">
        <f>IF(CM48&gt;45,CM48-45,0)</f>
        <v>0</v>
      </c>
      <c r="CO48" s="198">
        <f>+SUMIF(Septembre!$BK$20:$BK$50,Septembre!AT4,$CG$18:$CG$48)</f>
        <v>0</v>
      </c>
      <c r="CP48" s="198">
        <f>+SUMIF(Aout!$BK$20:$BK$50,Septembre!AT4,'Retenue Aout'!$CG$18:$CG$48)</f>
        <v>0</v>
      </c>
      <c r="CQ48" s="198">
        <f>+SUMIF(Octobre!$BK$20:$BK$50,Septembre!AT4,'Retenue Oct'!$CG$18:$CG$48)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47"/>
      <c r="U49" s="1323"/>
      <c r="V49" s="1323"/>
      <c r="W49" s="2482" t="str">
        <f t="shared" si="55"/>
        <v>Semaine numéro : 37</v>
      </c>
      <c r="X49" s="2482"/>
      <c r="Y49" s="2482"/>
      <c r="Z49" s="1345" t="str">
        <f t="shared" ref="Z49:Z53" si="57">+IF(Z35="","",Z35)</f>
        <v/>
      </c>
      <c r="AA49" s="1338">
        <f t="shared" ref="AA49:AA53" si="58">+IF(Z49="",IF(AND(AD49&gt;0,AC49&gt;0),AD49+AC49,IF(AE49&gt;0,0,AC49)),Z49)</f>
        <v>0</v>
      </c>
      <c r="AB49" s="1338">
        <f t="shared" ref="AB49:AB53" si="59">IF(AA49&gt;45,AA49-45,0)</f>
        <v>0</v>
      </c>
      <c r="AC49" s="1344">
        <f>+SUMIF(Septembre!$BK$20:$BK$50,Septembre!AT5,$D$18:$D$48)-SUMIF(Septembre!$BK$20:$BK$50,Septembre!AT5,$E$18:$E$48)</f>
        <v>0</v>
      </c>
      <c r="AD49" s="1344">
        <f>+SUMIF(Aout!$BK$20:$BK$50,Septembre!AT5,'Retenue Aout'!$D$18:$D$48)-SUMIF(Aout!$BK$20:$BK$50,Septembre!AT5,'Retenue Aout'!$E$18:$E$48)</f>
        <v>0</v>
      </c>
      <c r="AE49" s="1344">
        <f>+SUMIF(Octobre!$BK$20:$BK$50,Septembre!AT5,'Retenue Oct'!$D$18:$D$48)-SUMIF(Octobre!$BK$20:$BK$50,Septembre!AT5,'Retenue Oct'!$E$18:$E$48)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37</v>
      </c>
      <c r="CJ49" s="2492"/>
      <c r="CK49" s="2493"/>
      <c r="CL49" s="893" t="str">
        <f t="shared" ref="CL49:CL53" si="61">+IF(CL35="","",CL35)</f>
        <v/>
      </c>
      <c r="CM49" s="674">
        <f t="shared" ref="CM49:CM53" si="62">+IF(CL49="",IF(AND(CP49&gt;0,CO49&gt;0),CP49+CO49,IF(CQ49&gt;0,0,CO49)),CL49)</f>
        <v>0</v>
      </c>
      <c r="CN49" s="673">
        <f t="shared" ref="CN49:CN53" si="63">IF(CM49&gt;45,CM49-45,0)</f>
        <v>0</v>
      </c>
      <c r="CO49" s="198">
        <f>+SUMIF(Septembre!$BK$20:$BK$50,Septembre!AT5,$CG$18:$CG$48)</f>
        <v>0</v>
      </c>
      <c r="CP49" s="198">
        <f>+SUMIF(Aout!$BK$20:$BK$50,Septembre!AT5,'Retenue Aout'!$CG$18:$CG$48)</f>
        <v>0</v>
      </c>
      <c r="CQ49" s="198">
        <f>+SUMIF(Octobre!$BK$20:$BK$50,Septembre!AT5,'Retenue Oct'!$CG$18:$CG$48)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38</v>
      </c>
      <c r="X50" s="2482"/>
      <c r="Y50" s="2482"/>
      <c r="Z50" s="1345" t="str">
        <f t="shared" si="57"/>
        <v/>
      </c>
      <c r="AA50" s="1338">
        <f t="shared" si="58"/>
        <v>0</v>
      </c>
      <c r="AB50" s="1338">
        <f t="shared" si="59"/>
        <v>0</v>
      </c>
      <c r="AC50" s="1344">
        <f>+SUMIF(Septembre!$BK$20:$BK$50,Septembre!AT6,$D$18:$D$48)-SUMIF(Septembre!$BK$20:$BK$50,Septembre!AT6,$E$18:$E$48)</f>
        <v>0</v>
      </c>
      <c r="AD50" s="1344">
        <f>+SUMIF(Aout!$BK$20:$BK$50,Septembre!AT6,'Retenue Aout'!$D$18:$D$48)-SUMIF(Aout!$BK$20:$BK$50,Septembre!AT6,'Retenue Aout'!$E$18:$E$48)</f>
        <v>0</v>
      </c>
      <c r="AE50" s="1344">
        <f>+SUMIF(Octobre!$BK$20:$BK$50,Septembre!AT6,'Retenue Oct'!$D$18:$D$48)-SUMIF(Octobre!$BK$20:$BK$50,Septembre!AT6,'Retenue Oct'!$E$18:$E$48)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38</v>
      </c>
      <c r="CJ50" s="2492"/>
      <c r="CK50" s="2493"/>
      <c r="CL50" s="893" t="str">
        <f t="shared" si="61"/>
        <v/>
      </c>
      <c r="CM50" s="674">
        <f t="shared" si="62"/>
        <v>0</v>
      </c>
      <c r="CN50" s="673">
        <f t="shared" si="63"/>
        <v>0</v>
      </c>
      <c r="CO50" s="198">
        <f>+SUMIF(Septembre!$BK$20:$BK$50,Septembre!AT6,$CG$18:$CG$48)</f>
        <v>0</v>
      </c>
      <c r="CP50" s="198">
        <f>+SUMIF(Aout!$BK$20:$BK$50,Septembre!AT6,'Retenue Aout'!$CG$18:$CG$48)</f>
        <v>0</v>
      </c>
      <c r="CQ50" s="198">
        <f>+SUMIF(Octobre!$BK$20:$BK$50,Septembre!AT6,'Retenue Oct'!$CG$18:$CG$48)</f>
        <v>0</v>
      </c>
      <c r="CR50" s="674">
        <f t="shared" si="64"/>
        <v>0</v>
      </c>
    </row>
    <row r="51" spans="2:139" ht="19.5" customHeight="1" thickBot="1" x14ac:dyDescent="0.25">
      <c r="B51" s="24"/>
      <c r="C51" s="24"/>
      <c r="D51" s="183" t="s">
        <v>1225</v>
      </c>
      <c r="E51" s="24">
        <f>+COUNTIF(C18:C48,"&gt;0")-E52</f>
        <v>30</v>
      </c>
      <c r="N51" s="24"/>
      <c r="O51" s="24"/>
      <c r="P51" s="24"/>
      <c r="Q51" s="24"/>
      <c r="R51" s="24"/>
      <c r="S51" s="1349"/>
      <c r="U51" s="1323"/>
      <c r="V51" s="1323"/>
      <c r="W51" s="2482" t="str">
        <f t="shared" si="55"/>
        <v>Semaine numéro : 39</v>
      </c>
      <c r="X51" s="2482"/>
      <c r="Y51" s="2482"/>
      <c r="Z51" s="1345" t="str">
        <f t="shared" si="57"/>
        <v/>
      </c>
      <c r="AA51" s="1338">
        <f t="shared" si="58"/>
        <v>0</v>
      </c>
      <c r="AB51" s="1338">
        <f t="shared" si="59"/>
        <v>0</v>
      </c>
      <c r="AC51" s="1344">
        <f>+SUMIF(Septembre!$BK$20:$BK$50,Septembre!AT7,$D$18:$D$48)-SUMIF(Septembre!$BK$20:$BK$50,Septembre!AT7,$E$18:$E$48)</f>
        <v>0</v>
      </c>
      <c r="AD51" s="1344">
        <f>+SUMIF(Aout!$BK$20:$BK$50,Septembre!AT7,'Retenue Aout'!$D$18:$D$48)-SUMIF(Aout!$BK$20:$BK$50,Septembre!AT7,'Retenue Aout'!$E$18:$E$48)</f>
        <v>0</v>
      </c>
      <c r="AE51" s="1344">
        <f>+SUMIF(Octobre!$BK$20:$BK$50,Septembre!AT7,'Retenue Oct'!$D$18:$D$48)-SUMIF(Octobre!$BK$20:$BK$50,Septembre!AT7,'Retenue Oct'!$E$18:$E$48)</f>
        <v>0</v>
      </c>
      <c r="AF51" s="1338">
        <f t="shared" si="60"/>
        <v>0</v>
      </c>
      <c r="AG51" s="1349"/>
      <c r="AJ51" s="1326"/>
      <c r="AK51" s="1327"/>
      <c r="AL51" s="1329"/>
      <c r="BA51" s="346"/>
      <c r="BD51" s="369" t="s">
        <v>758</v>
      </c>
      <c r="BE51" s="194">
        <f>+SUMIFS(BE18:BE48,BF18:BF48,S.CAL!BJ3)</f>
        <v>0</v>
      </c>
      <c r="BF51" s="370">
        <f>IF(Septembre!AZ90="",+COUNTIF(BF18:BF48,S.CAL!BJ3),Septembre!AZ90)</f>
        <v>0</v>
      </c>
      <c r="BL51" s="35"/>
      <c r="CD51" s="346"/>
      <c r="CI51" s="2491" t="str">
        <f t="shared" si="56"/>
        <v>Semaine numéro : 39</v>
      </c>
      <c r="CJ51" s="2492"/>
      <c r="CK51" s="2493"/>
      <c r="CL51" s="893" t="str">
        <f t="shared" si="61"/>
        <v/>
      </c>
      <c r="CM51" s="674">
        <f t="shared" si="62"/>
        <v>0</v>
      </c>
      <c r="CN51" s="673">
        <f t="shared" si="63"/>
        <v>0</v>
      </c>
      <c r="CO51" s="198">
        <f>+SUMIF(Septembre!$BK$20:$BK$50,Septembre!AT7,$CG$18:$CG$48)</f>
        <v>0</v>
      </c>
      <c r="CP51" s="198">
        <f>+SUMIF(Aout!$BK$20:$BK$50,Septembre!AT7,'Retenue Aout'!$CG$18:$CG$48)</f>
        <v>0</v>
      </c>
      <c r="CQ51" s="198">
        <f>+SUMIF(Octobre!$BK$20:$BK$50,Septembre!AT7,'Retenue Oct'!$CG$18:$CG$48)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40</v>
      </c>
      <c r="X52" s="2482"/>
      <c r="Y52" s="2482"/>
      <c r="Z52" s="1345" t="str">
        <f t="shared" si="57"/>
        <v/>
      </c>
      <c r="AA52" s="1338">
        <f t="shared" si="58"/>
        <v>0</v>
      </c>
      <c r="AB52" s="1338">
        <f t="shared" si="59"/>
        <v>0</v>
      </c>
      <c r="AC52" s="1344">
        <f>+SUMIF(Septembre!$BK$20:$BK$50,Septembre!AT8,$D$18:$D$48)-SUMIF(Septembre!$BK$20:$BK$50,Septembre!AT8,$E$18:$E$48)</f>
        <v>0</v>
      </c>
      <c r="AD52" s="1344">
        <f>+SUMIF(Aout!$BK$20:$BK$50,Septembre!AT8,'Retenue Aout'!$D$18:$D$48)-SUMIF(Aout!$BK$20:$BK$50,Septembre!AT8,'Retenue Aout'!$E$18:$E$48)</f>
        <v>0</v>
      </c>
      <c r="AE52" s="1344">
        <f>+SUMIF(Octobre!$BK$20:$BK$50,Septembre!AT8,'Retenue Oct'!$D$18:$D$48)-SUMIF(Octobre!$BK$20:$BK$50,Septembre!AT8,'Retenue Oct'!$E$18:$E$48)</f>
        <v>0</v>
      </c>
      <c r="AF52" s="1338">
        <f t="shared" si="60"/>
        <v>0</v>
      </c>
      <c r="AO52" s="1211" t="s">
        <v>1126</v>
      </c>
      <c r="AP52" s="1348">
        <f>IF(AL22,+ROUND((AQ48+SUM(AQ39:AQ46))*AL34/AL22*Q11,2),0)</f>
        <v>0</v>
      </c>
      <c r="BA52" s="346"/>
      <c r="BD52" s="1363" t="s">
        <v>708</v>
      </c>
      <c r="BE52" s="1364">
        <f>+SUMIFS(BE18:BE48,BF18:BF48,S.CAL!BJ4)</f>
        <v>0</v>
      </c>
      <c r="BF52" s="1365">
        <f>IF(Septembre!BA90="",+COUNTIF(BF18:BF48,S.CAL!BJ4),Septembre!BA90)</f>
        <v>0</v>
      </c>
      <c r="BL52" s="35"/>
      <c r="BU52" s="16" t="s">
        <v>788</v>
      </c>
      <c r="BW52" s="357">
        <f>+BR46+BR49+BZ46+BZ49</f>
        <v>0</v>
      </c>
      <c r="CD52" s="346"/>
      <c r="CI52" s="2491" t="str">
        <f t="shared" si="56"/>
        <v>Semaine numéro : 40</v>
      </c>
      <c r="CJ52" s="2492"/>
      <c r="CK52" s="2493"/>
      <c r="CL52" s="893" t="str">
        <f t="shared" si="61"/>
        <v/>
      </c>
      <c r="CM52" s="674">
        <f t="shared" si="62"/>
        <v>0</v>
      </c>
      <c r="CN52" s="673">
        <f t="shared" si="63"/>
        <v>0</v>
      </c>
      <c r="CO52" s="198">
        <f>+SUMIF(Septembre!$BK$20:$BK$50,Septembre!AT8,$CG$18:$CG$48)</f>
        <v>0</v>
      </c>
      <c r="CP52" s="198">
        <f>+SUMIF(Aout!$BK$20:$BK$50,Septembre!AT8,'Retenue Aout'!$CG$18:$CG$48)</f>
        <v>0</v>
      </c>
      <c r="CQ52" s="198">
        <f>+SUMIF(Octobre!$BK$20:$BK$50,Septembre!AT8,'Retenue Oct'!$CG$18:$CG$48)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+SUMIF(Septembre!$BK$20:$BK$50,Septembre!AT9,$D$18:$D$48)-SUMIF(Septembre!$BK$20:$BK$50,Septembre!AT9,$E$18:$E$48)</f>
        <v>0</v>
      </c>
      <c r="AD53" s="1344">
        <f>+SUMIF(Aout!$BK$20:$BK$50,Septembre!AT9,'Retenue Aout'!$D$18:$D$48)-SUMIF(Aout!$BK$20:$BK$50,Septembre!AT9,'Retenue Aout'!$E$18:$E$48)</f>
        <v>0</v>
      </c>
      <c r="AE53" s="1344">
        <f>+SUMIF(Octobre!$BK$20:$BK$50,Septembre!AT9,'Retenue Oct'!$D$18:$D$48)-SUMIF(Octobre!$BK$20:$BK$50,Septembre!AT9,'Retenue Oct'!$E$18:$E$48)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+SUMIF(Septembre!$BK$20:$BK$50,Septembre!AT9,$CG$18:$CG$48)</f>
        <v>0</v>
      </c>
      <c r="CP53" s="198">
        <f>+SUMIF(Aout!$BK$20:$BK$50,Septembre!AT9,'Retenue Aout'!$CG$18:$CG$48)</f>
        <v>0</v>
      </c>
      <c r="CQ53" s="198">
        <f>+SUMIF(Octobre!$BK$20:$BK$50,Septembre!AT9,'Retenue Oct'!$CG$18:$CG$48)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45901</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45901</v>
      </c>
      <c r="C57" s="171">
        <f t="shared" si="65"/>
        <v>45901</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45902</v>
      </c>
      <c r="C58" s="172">
        <f t="shared" si="65"/>
        <v>45902</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45903</v>
      </c>
      <c r="C59" s="172">
        <f t="shared" si="65"/>
        <v>45903</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45904</v>
      </c>
      <c r="C60" s="172">
        <f t="shared" si="65"/>
        <v>45904</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45905</v>
      </c>
      <c r="C61" s="172">
        <f t="shared" si="65"/>
        <v>45905</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45906</v>
      </c>
      <c r="C62" s="172">
        <f t="shared" si="65"/>
        <v>45906</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45907</v>
      </c>
      <c r="C63" s="172">
        <f t="shared" si="65"/>
        <v>45907</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45908</v>
      </c>
      <c r="C64" s="172">
        <f t="shared" si="65"/>
        <v>45908</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45909</v>
      </c>
      <c r="C65" s="172">
        <f t="shared" si="65"/>
        <v>45909</v>
      </c>
      <c r="D65" s="173" t="str">
        <f t="shared" si="66"/>
        <v/>
      </c>
      <c r="E65" s="173" t="str">
        <f t="shared" si="69"/>
        <v/>
      </c>
      <c r="F65" s="1554" t="str">
        <f t="shared" si="67"/>
        <v/>
      </c>
      <c r="G65" s="1554" t="str">
        <f t="shared" si="68"/>
        <v/>
      </c>
      <c r="BA65" s="346"/>
      <c r="CD65" s="346"/>
    </row>
    <row r="66" spans="2:82" x14ac:dyDescent="0.2">
      <c r="B66" s="107">
        <f t="shared" si="65"/>
        <v>45910</v>
      </c>
      <c r="C66" s="172">
        <f t="shared" si="65"/>
        <v>45910</v>
      </c>
      <c r="D66" s="173" t="str">
        <f t="shared" si="66"/>
        <v/>
      </c>
      <c r="E66" s="173" t="str">
        <f t="shared" si="69"/>
        <v/>
      </c>
      <c r="F66" s="1554" t="str">
        <f t="shared" si="67"/>
        <v/>
      </c>
      <c r="G66" s="1554" t="str">
        <f t="shared" si="68"/>
        <v/>
      </c>
      <c r="BA66" s="346"/>
      <c r="CD66" s="346"/>
    </row>
    <row r="67" spans="2:82" x14ac:dyDescent="0.2">
      <c r="B67" s="107">
        <f t="shared" si="65"/>
        <v>45911</v>
      </c>
      <c r="C67" s="172">
        <f t="shared" si="65"/>
        <v>45911</v>
      </c>
      <c r="D67" s="173" t="str">
        <f t="shared" si="66"/>
        <v/>
      </c>
      <c r="E67" s="173" t="str">
        <f t="shared" si="69"/>
        <v/>
      </c>
      <c r="F67" s="1554" t="str">
        <f t="shared" si="67"/>
        <v/>
      </c>
      <c r="G67" s="1554" t="str">
        <f t="shared" si="68"/>
        <v/>
      </c>
      <c r="BA67" s="346"/>
      <c r="CD67" s="346"/>
    </row>
    <row r="68" spans="2:82" x14ac:dyDescent="0.2">
      <c r="B68" s="107">
        <f t="shared" si="65"/>
        <v>45912</v>
      </c>
      <c r="C68" s="172">
        <f t="shared" si="65"/>
        <v>45912</v>
      </c>
      <c r="D68" s="173" t="str">
        <f t="shared" si="66"/>
        <v/>
      </c>
      <c r="E68" s="173" t="str">
        <f t="shared" si="69"/>
        <v/>
      </c>
      <c r="F68" s="1554" t="str">
        <f t="shared" si="67"/>
        <v/>
      </c>
      <c r="G68" s="1554" t="str">
        <f t="shared" si="68"/>
        <v/>
      </c>
      <c r="AI68" s="1354" t="s">
        <v>338</v>
      </c>
      <c r="BA68" s="346"/>
      <c r="CD68" s="346"/>
    </row>
    <row r="69" spans="2:82" x14ac:dyDescent="0.2">
      <c r="B69" s="107">
        <f t="shared" si="65"/>
        <v>45913</v>
      </c>
      <c r="C69" s="172">
        <f t="shared" si="65"/>
        <v>45913</v>
      </c>
      <c r="D69" s="173" t="str">
        <f t="shared" si="66"/>
        <v/>
      </c>
      <c r="E69" s="173" t="str">
        <f t="shared" si="69"/>
        <v/>
      </c>
      <c r="F69" s="1554" t="str">
        <f t="shared" si="67"/>
        <v/>
      </c>
      <c r="G69" s="1554" t="str">
        <f t="shared" si="68"/>
        <v/>
      </c>
      <c r="BA69" s="346"/>
      <c r="CD69" s="346"/>
    </row>
    <row r="70" spans="2:82" x14ac:dyDescent="0.2">
      <c r="B70" s="107">
        <f t="shared" si="65"/>
        <v>45914</v>
      </c>
      <c r="C70" s="172">
        <f t="shared" si="65"/>
        <v>45914</v>
      </c>
      <c r="D70" s="173" t="str">
        <f t="shared" si="66"/>
        <v/>
      </c>
      <c r="E70" s="173" t="str">
        <f t="shared" si="69"/>
        <v/>
      </c>
      <c r="F70" s="1554" t="str">
        <f t="shared" si="67"/>
        <v/>
      </c>
      <c r="G70" s="1554" t="str">
        <f t="shared" si="68"/>
        <v/>
      </c>
      <c r="AI70" s="581" t="s">
        <v>339</v>
      </c>
      <c r="BA70" s="346"/>
      <c r="CD70" s="346"/>
    </row>
    <row r="71" spans="2:82" x14ac:dyDescent="0.2">
      <c r="B71" s="107">
        <f t="shared" si="65"/>
        <v>45915</v>
      </c>
      <c r="C71" s="172">
        <f t="shared" si="65"/>
        <v>45915</v>
      </c>
      <c r="D71" s="173" t="str">
        <f t="shared" si="66"/>
        <v/>
      </c>
      <c r="E71" s="173" t="str">
        <f t="shared" si="69"/>
        <v/>
      </c>
      <c r="F71" s="1554" t="str">
        <f t="shared" si="67"/>
        <v/>
      </c>
      <c r="G71" s="1554" t="str">
        <f t="shared" si="68"/>
        <v/>
      </c>
      <c r="AI71" s="1355" t="s">
        <v>340</v>
      </c>
      <c r="BA71" s="346"/>
      <c r="CD71" s="346"/>
    </row>
    <row r="72" spans="2:82" x14ac:dyDescent="0.2">
      <c r="B72" s="107">
        <f t="shared" si="65"/>
        <v>45916</v>
      </c>
      <c r="C72" s="172">
        <f t="shared" si="65"/>
        <v>45916</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45917</v>
      </c>
      <c r="C73" s="172">
        <f t="shared" si="70"/>
        <v>45917</v>
      </c>
      <c r="D73" s="173" t="str">
        <f t="shared" si="66"/>
        <v/>
      </c>
      <c r="E73" s="173" t="str">
        <f t="shared" si="69"/>
        <v/>
      </c>
      <c r="F73" s="1554" t="str">
        <f t="shared" si="67"/>
        <v/>
      </c>
      <c r="G73" s="1554" t="str">
        <f t="shared" si="68"/>
        <v/>
      </c>
      <c r="BA73" s="346"/>
      <c r="CD73" s="346"/>
    </row>
    <row r="74" spans="2:82" x14ac:dyDescent="0.2">
      <c r="B74" s="107">
        <f t="shared" si="70"/>
        <v>45918</v>
      </c>
      <c r="C74" s="172">
        <f t="shared" si="70"/>
        <v>45918</v>
      </c>
      <c r="D74" s="173" t="str">
        <f t="shared" si="66"/>
        <v/>
      </c>
      <c r="E74" s="173" t="str">
        <f t="shared" si="69"/>
        <v/>
      </c>
      <c r="F74" s="1554" t="str">
        <f t="shared" si="67"/>
        <v/>
      </c>
      <c r="G74" s="1554" t="str">
        <f t="shared" si="68"/>
        <v/>
      </c>
      <c r="AI74" s="581" t="s">
        <v>341</v>
      </c>
      <c r="BA74" s="346"/>
      <c r="CD74" s="346"/>
    </row>
    <row r="75" spans="2:82" x14ac:dyDescent="0.2">
      <c r="B75" s="107">
        <f t="shared" si="70"/>
        <v>45919</v>
      </c>
      <c r="C75" s="172">
        <f t="shared" si="70"/>
        <v>45919</v>
      </c>
      <c r="D75" s="173" t="str">
        <f t="shared" si="66"/>
        <v/>
      </c>
      <c r="E75" s="173" t="str">
        <f t="shared" si="69"/>
        <v/>
      </c>
      <c r="F75" s="1554" t="str">
        <f t="shared" si="67"/>
        <v/>
      </c>
      <c r="G75" s="1554" t="str">
        <f t="shared" si="68"/>
        <v/>
      </c>
      <c r="AI75" s="1355" t="s">
        <v>342</v>
      </c>
      <c r="BA75" s="346"/>
      <c r="CD75" s="346"/>
    </row>
    <row r="76" spans="2:82" x14ac:dyDescent="0.2">
      <c r="B76" s="107">
        <f t="shared" si="70"/>
        <v>45920</v>
      </c>
      <c r="C76" s="172">
        <f t="shared" si="70"/>
        <v>45920</v>
      </c>
      <c r="D76" s="173" t="str">
        <f t="shared" si="66"/>
        <v/>
      </c>
      <c r="E76" s="173" t="str">
        <f t="shared" si="69"/>
        <v/>
      </c>
      <c r="F76" s="1554" t="str">
        <f t="shared" si="67"/>
        <v/>
      </c>
      <c r="G76" s="1554" t="str">
        <f t="shared" si="68"/>
        <v/>
      </c>
      <c r="BA76" s="346"/>
      <c r="CD76" s="346"/>
    </row>
    <row r="77" spans="2:82" x14ac:dyDescent="0.2">
      <c r="B77" s="107">
        <f t="shared" si="70"/>
        <v>45921</v>
      </c>
      <c r="C77" s="172">
        <f t="shared" si="70"/>
        <v>45921</v>
      </c>
      <c r="D77" s="173" t="str">
        <f t="shared" si="66"/>
        <v/>
      </c>
      <c r="E77" s="173" t="str">
        <f t="shared" si="69"/>
        <v/>
      </c>
      <c r="F77" s="1554" t="str">
        <f t="shared" si="67"/>
        <v/>
      </c>
      <c r="G77" s="1554" t="str">
        <f t="shared" si="68"/>
        <v/>
      </c>
      <c r="AI77" s="581" t="s">
        <v>343</v>
      </c>
      <c r="BA77" s="346"/>
      <c r="CD77" s="346"/>
    </row>
    <row r="78" spans="2:82" x14ac:dyDescent="0.2">
      <c r="B78" s="107">
        <f t="shared" si="70"/>
        <v>45922</v>
      </c>
      <c r="C78" s="172">
        <f t="shared" si="70"/>
        <v>45922</v>
      </c>
      <c r="D78" s="173" t="str">
        <f t="shared" si="66"/>
        <v/>
      </c>
      <c r="E78" s="173" t="str">
        <f t="shared" si="69"/>
        <v/>
      </c>
      <c r="F78" s="1554" t="str">
        <f t="shared" si="67"/>
        <v/>
      </c>
      <c r="G78" s="1554" t="str">
        <f t="shared" si="68"/>
        <v/>
      </c>
      <c r="AI78" s="1355" t="s">
        <v>692</v>
      </c>
      <c r="BA78" s="346"/>
      <c r="CD78" s="346"/>
    </row>
    <row r="79" spans="2:82" x14ac:dyDescent="0.2">
      <c r="B79" s="107">
        <f t="shared" si="70"/>
        <v>45923</v>
      </c>
      <c r="C79" s="172">
        <f t="shared" si="70"/>
        <v>45923</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45924</v>
      </c>
      <c r="C80" s="172">
        <f t="shared" si="70"/>
        <v>45924</v>
      </c>
      <c r="D80" s="173" t="str">
        <f t="shared" si="66"/>
        <v/>
      </c>
      <c r="E80" s="173" t="str">
        <f t="shared" si="69"/>
        <v/>
      </c>
      <c r="F80" s="1554" t="str">
        <f t="shared" si="67"/>
        <v/>
      </c>
      <c r="G80" s="1554" t="str">
        <f t="shared" si="68"/>
        <v/>
      </c>
      <c r="BA80" s="346"/>
      <c r="CD80" s="346"/>
    </row>
    <row r="81" spans="2:82" x14ac:dyDescent="0.2">
      <c r="B81" s="107">
        <f t="shared" si="70"/>
        <v>45925</v>
      </c>
      <c r="C81" s="172">
        <f t="shared" si="70"/>
        <v>45925</v>
      </c>
      <c r="D81" s="173" t="str">
        <f t="shared" si="66"/>
        <v/>
      </c>
      <c r="E81" s="173" t="str">
        <f t="shared" si="69"/>
        <v/>
      </c>
      <c r="F81" s="1554" t="str">
        <f t="shared" si="67"/>
        <v/>
      </c>
      <c r="G81" s="1554" t="str">
        <f t="shared" si="68"/>
        <v/>
      </c>
      <c r="AI81" s="581" t="s">
        <v>529</v>
      </c>
      <c r="BA81" s="346"/>
      <c r="CD81" s="346"/>
    </row>
    <row r="82" spans="2:82" x14ac:dyDescent="0.2">
      <c r="B82" s="107">
        <f t="shared" si="70"/>
        <v>45926</v>
      </c>
      <c r="C82" s="172">
        <f t="shared" si="70"/>
        <v>45926</v>
      </c>
      <c r="D82" s="173" t="str">
        <f t="shared" si="66"/>
        <v/>
      </c>
      <c r="E82" s="173" t="str">
        <f t="shared" si="69"/>
        <v/>
      </c>
      <c r="F82" s="1554" t="str">
        <f t="shared" si="67"/>
        <v/>
      </c>
      <c r="G82" s="1554" t="str">
        <f t="shared" si="68"/>
        <v/>
      </c>
      <c r="AI82" s="1355" t="s">
        <v>693</v>
      </c>
      <c r="BA82" s="346"/>
      <c r="CD82" s="346"/>
    </row>
    <row r="83" spans="2:82" x14ac:dyDescent="0.2">
      <c r="B83" s="107">
        <f t="shared" si="70"/>
        <v>45927</v>
      </c>
      <c r="C83" s="172">
        <f t="shared" si="70"/>
        <v>45927</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45928</v>
      </c>
      <c r="C84" s="172">
        <f t="shared" si="70"/>
        <v>45928</v>
      </c>
      <c r="D84" s="173" t="str">
        <f t="shared" si="66"/>
        <v/>
      </c>
      <c r="E84" s="173" t="str">
        <f t="shared" si="69"/>
        <v/>
      </c>
      <c r="F84" s="1554" t="str">
        <f t="shared" si="67"/>
        <v/>
      </c>
      <c r="G84" s="1554" t="str">
        <f t="shared" si="68"/>
        <v/>
      </c>
      <c r="BA84" s="346"/>
      <c r="CD84" s="346"/>
    </row>
    <row r="85" spans="2:82" x14ac:dyDescent="0.2">
      <c r="B85" s="107">
        <f t="shared" si="70"/>
        <v>45929</v>
      </c>
      <c r="C85" s="172">
        <f t="shared" si="70"/>
        <v>45929</v>
      </c>
      <c r="D85" s="173" t="str">
        <f t="shared" si="66"/>
        <v/>
      </c>
      <c r="E85" s="173" t="str">
        <f t="shared" si="69"/>
        <v/>
      </c>
      <c r="F85" s="1554" t="str">
        <f t="shared" si="67"/>
        <v/>
      </c>
      <c r="G85" s="1554" t="str">
        <f t="shared" si="68"/>
        <v/>
      </c>
      <c r="AI85" s="1355" t="s">
        <v>344</v>
      </c>
      <c r="BA85" s="346"/>
      <c r="CD85" s="346"/>
    </row>
    <row r="86" spans="2:82" x14ac:dyDescent="0.2">
      <c r="B86" s="107">
        <f t="shared" si="70"/>
        <v>45930</v>
      </c>
      <c r="C86" s="172">
        <f t="shared" si="70"/>
        <v>45930</v>
      </c>
      <c r="D86" s="173" t="str">
        <f t="shared" si="66"/>
        <v/>
      </c>
      <c r="E86" s="173" t="str">
        <f t="shared" si="69"/>
        <v/>
      </c>
      <c r="F86" s="1554" t="str">
        <f t="shared" si="67"/>
        <v/>
      </c>
      <c r="G86" s="1554" t="str">
        <f t="shared" si="68"/>
        <v/>
      </c>
      <c r="AI86" s="1355" t="s">
        <v>345</v>
      </c>
      <c r="BA86" s="346"/>
      <c r="CD86" s="346"/>
    </row>
    <row r="87" spans="2:82" ht="13.5" thickBot="1" x14ac:dyDescent="0.25">
      <c r="B87" s="110" t="str">
        <f t="shared" si="70"/>
        <v/>
      </c>
      <c r="C87" s="192" t="str">
        <f t="shared" si="70"/>
        <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jYObNQ93oAW7KtS+VbXQ1FsAd3Fo9EJx+XXV9D23pnfOtHSg31RCZID+0XdlcbBEFdarlxHghV4yNkbdV+VTHQ==" saltValue="Vbo5y5Be5x2+7lbzkRSwAA=="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829" priority="36">
      <formula>$R$3=$A$5</formula>
    </cfRule>
  </conditionalFormatting>
  <conditionalFormatting sqref="M19:Q23">
    <cfRule type="expression" dxfId="1828" priority="13">
      <formula>$E$11&gt;0</formula>
    </cfRule>
  </conditionalFormatting>
  <conditionalFormatting sqref="M26:R46">
    <cfRule type="expression" dxfId="1827" priority="3">
      <formula>$E$11=0</formula>
    </cfRule>
  </conditionalFormatting>
  <conditionalFormatting sqref="P17">
    <cfRule type="expression" dxfId="1826" priority="16">
      <formula>$E$11=0</formula>
    </cfRule>
  </conditionalFormatting>
  <conditionalFormatting sqref="P30">
    <cfRule type="expression" dxfId="1825" priority="7">
      <formula>AND($R$3="Méthode 1",$E$11&lt;0)</formula>
    </cfRule>
  </conditionalFormatting>
  <conditionalFormatting sqref="P33">
    <cfRule type="expression" dxfId="1824" priority="6">
      <formula>AND($R$3="Méthode 1",$E$11&lt;0)</formula>
    </cfRule>
  </conditionalFormatting>
  <conditionalFormatting sqref="Q17">
    <cfRule type="cellIs" dxfId="1823" priority="15" operator="equal">
      <formula>0</formula>
    </cfRule>
  </conditionalFormatting>
  <conditionalFormatting sqref="Q42">
    <cfRule type="expression" dxfId="1822" priority="5">
      <formula>AND($R$3="Méthode 1",$E$11&lt;0)</formula>
    </cfRule>
  </conditionalFormatting>
  <conditionalFormatting sqref="Q45">
    <cfRule type="expression" dxfId="1821" priority="4">
      <formula>AND($R$3="Méthode 1",$E$11&lt;0)</formula>
    </cfRule>
  </conditionalFormatting>
  <conditionalFormatting sqref="S7:AF7">
    <cfRule type="expression" dxfId="1820" priority="35">
      <formula>$R$3=$T$5</formula>
    </cfRule>
  </conditionalFormatting>
  <conditionalFormatting sqref="W19">
    <cfRule type="expression" dxfId="1819" priority="40">
      <formula>$EF$14=1</formula>
    </cfRule>
  </conditionalFormatting>
  <conditionalFormatting sqref="W21">
    <cfRule type="expression" dxfId="1818" priority="39">
      <formula>$EF$14=1</formula>
    </cfRule>
  </conditionalFormatting>
  <conditionalFormatting sqref="AC19">
    <cfRule type="expression" dxfId="1817" priority="38">
      <formula>$EF$14=1</formula>
    </cfRule>
  </conditionalFormatting>
  <conditionalFormatting sqref="AC21">
    <cfRule type="expression" dxfId="1816" priority="37">
      <formula>$EF$14=1</formula>
    </cfRule>
  </conditionalFormatting>
  <conditionalFormatting sqref="AH7:AZ7">
    <cfRule type="expression" dxfId="1815" priority="21">
      <formula>$R$3=$AI$5</formula>
    </cfRule>
  </conditionalFormatting>
  <conditionalFormatting sqref="AP50">
    <cfRule type="expression" dxfId="1814" priority="20">
      <formula>$R$3="Méthode 2"</formula>
    </cfRule>
  </conditionalFormatting>
  <conditionalFormatting sqref="AP52">
    <cfRule type="expression" dxfId="1813" priority="19">
      <formula>$R$3="Méthode 2"</formula>
    </cfRule>
  </conditionalFormatting>
  <conditionalFormatting sqref="AP61">
    <cfRule type="expression" dxfId="1812" priority="18">
      <formula>$R$3="Méthode 2"</formula>
    </cfRule>
  </conditionalFormatting>
  <conditionalFormatting sqref="AP64">
    <cfRule type="expression" dxfId="1811" priority="17">
      <formula>$R$3="Méthode 2"</formula>
    </cfRule>
  </conditionalFormatting>
  <conditionalFormatting sqref="BI50">
    <cfRule type="expression" dxfId="1810" priority="28">
      <formula>$BK$3="Méthode 1"</formula>
    </cfRule>
  </conditionalFormatting>
  <conditionalFormatting sqref="BJ29">
    <cfRule type="expression" dxfId="1809" priority="30">
      <formula>$BK$3="Méthode 1"</formula>
    </cfRule>
  </conditionalFormatting>
  <conditionalFormatting sqref="BJ45">
    <cfRule type="expression" dxfId="1808" priority="29">
      <formula>$BK$3="Méthode 1"</formula>
    </cfRule>
  </conditionalFormatting>
  <conditionalFormatting sqref="BR46">
    <cfRule type="expression" dxfId="1807" priority="27">
      <formula>$BK$3="Méthode 2"</formula>
    </cfRule>
  </conditionalFormatting>
  <conditionalFormatting sqref="BR49">
    <cfRule type="expression" dxfId="1806" priority="26">
      <formula>$BK$3="Méthode 2"</formula>
    </cfRule>
  </conditionalFormatting>
  <conditionalFormatting sqref="BW52">
    <cfRule type="expression" dxfId="1805" priority="23">
      <formula>$BK$3="Méthode 2"</formula>
    </cfRule>
  </conditionalFormatting>
  <conditionalFormatting sqref="BW54">
    <cfRule type="expression" dxfId="1804" priority="22">
      <formula>$BK$3="Méthode 2"</formula>
    </cfRule>
  </conditionalFormatting>
  <conditionalFormatting sqref="BZ46">
    <cfRule type="expression" dxfId="1803" priority="25">
      <formula>$BK$3="Méthode 2"</formula>
    </cfRule>
  </conditionalFormatting>
  <conditionalFormatting sqref="BZ49">
    <cfRule type="expression" dxfId="1802" priority="24">
      <formula>$BK$3="Méthode 2"</formula>
    </cfRule>
  </conditionalFormatting>
  <conditionalFormatting sqref="CG18:CG48">
    <cfRule type="cellIs" dxfId="1801"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+Octobre!DP4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+Octobre!AR13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+Octobre!AI3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+Octobre!I14</f>
        <v>0</v>
      </c>
      <c r="F10" s="151"/>
      <c r="G10" s="151"/>
      <c r="H10" s="151"/>
      <c r="I10" s="151"/>
      <c r="J10" s="151"/>
      <c r="K10" s="151"/>
      <c r="L10" s="151"/>
      <c r="P10" s="29" t="s">
        <v>1468</v>
      </c>
      <c r="Q10" s="356">
        <f>+Octobre!P18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+Octobre!T18+Octobre!T19</f>
        <v>0</v>
      </c>
      <c r="BI10" s="29" t="s">
        <v>1476</v>
      </c>
      <c r="BJ10" s="356">
        <f>+Octobre!AL14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+Octobre!U14</f>
        <v>0</v>
      </c>
      <c r="F11" s="151"/>
      <c r="G11" s="151"/>
      <c r="H11" s="151"/>
      <c r="I11" s="151"/>
      <c r="J11" s="151"/>
      <c r="K11" s="151"/>
      <c r="L11" s="151"/>
      <c r="M11" s="1201"/>
      <c r="N11" s="183"/>
      <c r="O11" s="1202"/>
      <c r="P11" s="183" t="s">
        <v>1120</v>
      </c>
      <c r="Q11" s="1203">
        <f>+Octobre!P19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+Octobre!X3</f>
        <v>45931</v>
      </c>
      <c r="M13" s="154"/>
      <c r="N13" s="155">
        <f>DATE(YEAR($D$13),MONTH($D$13)+1,DAY($D$13))</f>
        <v>45962</v>
      </c>
      <c r="O13" s="156">
        <f>N13</f>
        <v>45962</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45931</v>
      </c>
      <c r="BF13" s="154"/>
      <c r="BG13" s="155">
        <f>DATE(YEAR($D$13),MONTH($D$13)+1,DAY($D$13))</f>
        <v>45962</v>
      </c>
      <c r="BH13" s="156">
        <f>BG13</f>
        <v>45962</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45962</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45931</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45931</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45931</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+Octobre!BJ20</f>
        <v>Fiche infoA3</v>
      </c>
      <c r="B18" s="170">
        <f>+D13</f>
        <v>45931</v>
      </c>
      <c r="C18" s="171">
        <f>+$D$13</f>
        <v>45931</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Octobre!BC20</f>
        <v>0</v>
      </c>
      <c r="J18" s="34">
        <f>Octobre!BE20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infoA3</v>
      </c>
      <c r="BB18" s="170">
        <f>+BD13</f>
        <v>45931</v>
      </c>
      <c r="BC18" s="171">
        <f>+$D$13</f>
        <v>45931</v>
      </c>
      <c r="BD18" s="173" t="str">
        <f>+D18</f>
        <v/>
      </c>
      <c r="BE18" s="353" t="str">
        <f>+IF(OR(BF18=S.CAL!$BJ$3,BF18=S.CAL!$BJ$4),BD18,"")</f>
        <v/>
      </c>
      <c r="BF18" s="350">
        <f>IF($DY$5=S.CAL!$CU$2,Octobre!AR20,IF($DY$5=S.CAL!$CU$3,VLOOKUP(BC18,planning_fp,7,FALSE),""))</f>
        <v>0</v>
      </c>
      <c r="BG18" s="362" t="str">
        <f>Octobre!BL20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45931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45931</v>
      </c>
      <c r="EM18" s="16" t="str">
        <f>A18&amp;C18</f>
        <v>Fiche infoA345931</v>
      </c>
      <c r="EN18" s="16">
        <f t="shared" ref="EN18:EN48" si="20">+VLOOKUP(EM18,Base_feuille_présence_heure_potentiel,11,FALSE)</f>
        <v>0</v>
      </c>
      <c r="EQ18" s="16" t="str">
        <f>Octobre!FS20</f>
        <v/>
      </c>
    </row>
    <row r="19" spans="1:147" ht="18" customHeight="1" x14ac:dyDescent="0.2">
      <c r="A19" s="24" t="str">
        <f>+Octobre!BJ21</f>
        <v>Fiche infoA4</v>
      </c>
      <c r="B19" s="107">
        <f>C19</f>
        <v>45932</v>
      </c>
      <c r="C19" s="172">
        <f>+$D$13+1</f>
        <v>45932</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Octobre!BC21</f>
        <v>0</v>
      </c>
      <c r="J19" s="34">
        <f>Octobre!BE21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infoA4</v>
      </c>
      <c r="BB19" s="107">
        <f>BC19</f>
        <v>45932</v>
      </c>
      <c r="BC19" s="172">
        <f>+$D$13+1</f>
        <v>45932</v>
      </c>
      <c r="BD19" s="173" t="str">
        <f>+D19</f>
        <v/>
      </c>
      <c r="BE19" s="173" t="str">
        <f>+IF(OR(BF19=S.CAL!$BJ$3,BF19=S.CAL!$BJ$4),BD19,"")</f>
        <v/>
      </c>
      <c r="BF19" s="351">
        <f>IF($DY$5=S.CAL!$CU$2,Octobre!AR21,IF($DY$5=S.CAL!$CU$3,VLOOKUP(BC19,planning_fp,7,FALSE),""))</f>
        <v>0</v>
      </c>
      <c r="BG19" s="363" t="str">
        <f>Octobre!BL21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45932</v>
      </c>
      <c r="CF19" s="172">
        <f>+$D$13+1</f>
        <v>45932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45932</v>
      </c>
      <c r="EM19" s="16" t="str">
        <f t="shared" ref="EM19:EM48" si="29">A19&amp;C19</f>
        <v>Fiche infoA445932</v>
      </c>
      <c r="EN19" s="16">
        <f t="shared" si="20"/>
        <v>0</v>
      </c>
      <c r="EQ19" s="16" t="str">
        <f>Octobre!FS21</f>
        <v/>
      </c>
    </row>
    <row r="20" spans="1:147" ht="18" customHeight="1" x14ac:dyDescent="0.2">
      <c r="A20" s="24" t="str">
        <f>+Octobre!BJ22</f>
        <v>Fiche infoA5</v>
      </c>
      <c r="B20" s="107">
        <f t="shared" ref="B20:B48" si="30">C20</f>
        <v>45933</v>
      </c>
      <c r="C20" s="172">
        <f>+$D$13+2</f>
        <v>45933</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Octobre!BC22</f>
        <v>0</v>
      </c>
      <c r="J20" s="34">
        <f>Octobre!BE22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infoA5</v>
      </c>
      <c r="BB20" s="107">
        <f t="shared" ref="BB20:BB48" si="31">BC20</f>
        <v>45933</v>
      </c>
      <c r="BC20" s="172">
        <f>+$D$13+2</f>
        <v>45933</v>
      </c>
      <c r="BD20" s="173" t="str">
        <f t="shared" ref="BD20:BD48" si="32">+D20</f>
        <v/>
      </c>
      <c r="BE20" s="173" t="str">
        <f>+IF(OR(BF20=S.CAL!$BJ$3,BF20=S.CAL!$BJ$4),BD20,"")</f>
        <v/>
      </c>
      <c r="BF20" s="351">
        <f>IF($DY$5=S.CAL!$CU$2,Octobre!AR22,IF($DY$5=S.CAL!$CU$3,VLOOKUP(BC20,planning_fp,7,FALSE),""))</f>
        <v>0</v>
      </c>
      <c r="BG20" s="363" t="str">
        <f>Octobre!BL22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45933</v>
      </c>
      <c r="CF20" s="172">
        <f>+$D$13+2</f>
        <v>45933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45933</v>
      </c>
      <c r="EM20" s="16" t="str">
        <f t="shared" si="29"/>
        <v>Fiche infoA545933</v>
      </c>
      <c r="EN20" s="16">
        <f t="shared" si="20"/>
        <v>0</v>
      </c>
      <c r="EQ20" s="16" t="str">
        <f>Octobre!FS22</f>
        <v/>
      </c>
    </row>
    <row r="21" spans="1:147" ht="18" customHeight="1" x14ac:dyDescent="0.2">
      <c r="A21" s="24" t="str">
        <f>+Octobre!BJ23</f>
        <v>Fiche infoA6</v>
      </c>
      <c r="B21" s="107">
        <f t="shared" si="30"/>
        <v>45934</v>
      </c>
      <c r="C21" s="172">
        <f>+$D$13+3</f>
        <v>45934</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infoA6</v>
      </c>
      <c r="BB21" s="107">
        <f t="shared" si="31"/>
        <v>45934</v>
      </c>
      <c r="BC21" s="172">
        <f>+$D$13+3</f>
        <v>45934</v>
      </c>
      <c r="BD21" s="173" t="str">
        <f t="shared" si="32"/>
        <v/>
      </c>
      <c r="BE21" s="173" t="str">
        <f>+IF(OR(BF21=S.CAL!$BJ$3,BF21=S.CAL!$BJ$4),BD21,"")</f>
        <v/>
      </c>
      <c r="BF21" s="351">
        <f>IF($DY$5=S.CAL!$CU$2,Octobre!AR23,IF($DY$5=S.CAL!$CU$3,VLOOKUP(BC21,planning_fp,7,FALSE),""))</f>
        <v>0</v>
      </c>
      <c r="BG21" s="363" t="str">
        <f>Octobre!BL23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45934</v>
      </c>
      <c r="CF21" s="172">
        <f>+$D$13+3</f>
        <v>45934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45934</v>
      </c>
      <c r="EM21" s="16" t="str">
        <f t="shared" si="29"/>
        <v>Fiche infoA645934</v>
      </c>
      <c r="EN21" s="16">
        <f t="shared" si="20"/>
        <v>0</v>
      </c>
      <c r="EQ21" s="16" t="str">
        <f>Octobre!FS23</f>
        <v/>
      </c>
    </row>
    <row r="22" spans="1:147" ht="18" customHeight="1" x14ac:dyDescent="0.25">
      <c r="A22" s="24" t="str">
        <f>+Octobre!BJ24</f>
        <v>Fiche infoA7</v>
      </c>
      <c r="B22" s="107">
        <f t="shared" si="30"/>
        <v>45935</v>
      </c>
      <c r="C22" s="172">
        <f>+$D$13+4</f>
        <v>45935</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Octobre!BC24</f>
        <v>0</v>
      </c>
      <c r="J22" s="34">
        <f>Octobre!BE24</f>
        <v>0</v>
      </c>
      <c r="K22" s="34">
        <f t="shared" si="15"/>
        <v>0</v>
      </c>
      <c r="L22" s="34" t="str">
        <f t="shared" si="21"/>
        <v/>
      </c>
      <c r="O22" s="19"/>
      <c r="AK22" s="1211" t="s">
        <v>41</v>
      </c>
      <c r="AL22" s="1340">
        <f>+Octobre!AL14</f>
        <v>0</v>
      </c>
      <c r="BA22" s="349" t="str">
        <f t="shared" si="16"/>
        <v>Fiche infoA7</v>
      </c>
      <c r="BB22" s="107">
        <f t="shared" si="31"/>
        <v>45935</v>
      </c>
      <c r="BC22" s="172">
        <f>+$D$13+4</f>
        <v>45935</v>
      </c>
      <c r="BD22" s="173" t="str">
        <f t="shared" si="32"/>
        <v/>
      </c>
      <c r="BE22" s="173" t="str">
        <f>+IF(OR(BF22=S.CAL!$BJ$3,BF22=S.CAL!$BJ$4),BD22,"")</f>
        <v/>
      </c>
      <c r="BF22" s="351">
        <f>IF($DY$5=S.CAL!$CU$2,Octobre!AR24,IF($DY$5=S.CAL!$CU$3,VLOOKUP(BC22,planning_fp,7,FALSE),""))</f>
        <v>0</v>
      </c>
      <c r="BG22" s="363" t="str">
        <f>Octobre!BL24</f>
        <v>A</v>
      </c>
      <c r="BH22" s="150"/>
      <c r="BL22" s="146"/>
      <c r="BM22" s="197"/>
      <c r="CD22" s="346"/>
      <c r="CE22" s="107">
        <f t="shared" si="33"/>
        <v>45935</v>
      </c>
      <c r="CF22" s="172">
        <f>+$D$13+4</f>
        <v>45935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45935</v>
      </c>
      <c r="EM22" s="16" t="str">
        <f t="shared" si="29"/>
        <v>Fiche infoA745935</v>
      </c>
      <c r="EN22" s="16">
        <f t="shared" si="20"/>
        <v>0</v>
      </c>
      <c r="EQ22" s="16" t="str">
        <f>Octobre!FS24</f>
        <v/>
      </c>
    </row>
    <row r="23" spans="1:147" ht="18" customHeight="1" x14ac:dyDescent="0.2">
      <c r="A23" s="24" t="str">
        <f>+Octobre!BJ25</f>
        <v>Fiche infoA1</v>
      </c>
      <c r="B23" s="107">
        <f t="shared" si="30"/>
        <v>45936</v>
      </c>
      <c r="C23" s="172">
        <f>+$D$13+5</f>
        <v>45936</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Octobre!BC25</f>
        <v>0</v>
      </c>
      <c r="J23" s="34">
        <f>Octobre!BE25</f>
        <v>0</v>
      </c>
      <c r="K23" s="34">
        <f t="shared" si="15"/>
        <v>0</v>
      </c>
      <c r="L23" s="34" t="str">
        <f t="shared" si="21"/>
        <v/>
      </c>
      <c r="O23" s="39" t="str">
        <f>+O21</f>
        <v xml:space="preserve">Retenue sur salaire = </v>
      </c>
      <c r="P23" s="689">
        <f>+P30+P33</f>
        <v>0</v>
      </c>
      <c r="T23" s="581" t="s">
        <v>1123</v>
      </c>
      <c r="Z23" s="581" t="s">
        <v>1123</v>
      </c>
      <c r="BA23" s="349" t="str">
        <f t="shared" si="16"/>
        <v>Fiche infoA1</v>
      </c>
      <c r="BB23" s="107">
        <f t="shared" si="31"/>
        <v>45936</v>
      </c>
      <c r="BC23" s="172">
        <f>+$D$13+5</f>
        <v>45936</v>
      </c>
      <c r="BD23" s="173" t="str">
        <f t="shared" si="32"/>
        <v/>
      </c>
      <c r="BE23" s="173" t="str">
        <f>+IF(OR(BF23=S.CAL!$BJ$3,BF23=S.CAL!$BJ$4),BD23,"")</f>
        <v/>
      </c>
      <c r="BF23" s="351">
        <f>IF($DY$5=S.CAL!$CU$2,Octobre!AR25,IF($DY$5=S.CAL!$CU$3,VLOOKUP(BC23,planning_fp,7,FALSE),""))</f>
        <v>0</v>
      </c>
      <c r="BG23" s="363" t="str">
        <f>Octobre!BL25</f>
        <v>A</v>
      </c>
      <c r="BH23" s="29"/>
      <c r="BI23" s="354"/>
      <c r="BL23" s="149"/>
      <c r="CD23" s="346"/>
      <c r="CE23" s="107">
        <f t="shared" si="33"/>
        <v>45936</v>
      </c>
      <c r="CF23" s="172">
        <f>+$D$13+5</f>
        <v>45936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45936</v>
      </c>
      <c r="EM23" s="16" t="str">
        <f t="shared" si="29"/>
        <v>Fiche infoA145936</v>
      </c>
      <c r="EN23" s="16">
        <f t="shared" si="20"/>
        <v>0</v>
      </c>
      <c r="EQ23" s="16" t="str">
        <f>Octobre!FS25</f>
        <v/>
      </c>
    </row>
    <row r="24" spans="1:147" ht="18" customHeight="1" x14ac:dyDescent="0.2">
      <c r="A24" s="24" t="str">
        <f>+Octobre!BJ26</f>
        <v>Fiche infoA2</v>
      </c>
      <c r="B24" s="107">
        <f t="shared" si="30"/>
        <v>45937</v>
      </c>
      <c r="C24" s="172">
        <f>+$D$13+6</f>
        <v>45937</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Octobre!BC26</f>
        <v>0</v>
      </c>
      <c r="J24" s="34">
        <f>Octobre!BE26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infoA2</v>
      </c>
      <c r="BB24" s="107">
        <f t="shared" si="31"/>
        <v>45937</v>
      </c>
      <c r="BC24" s="172">
        <f>+$D$13+6</f>
        <v>45937</v>
      </c>
      <c r="BD24" s="173" t="str">
        <f t="shared" si="32"/>
        <v/>
      </c>
      <c r="BE24" s="173" t="str">
        <f>+IF(OR(BF24=S.CAL!$BJ$3,BF24=S.CAL!$BJ$4),BD24,"")</f>
        <v/>
      </c>
      <c r="BF24" s="351">
        <f>IF($DY$5=S.CAL!$CU$2,Octobre!AR26,IF($DY$5=S.CAL!$CU$3,VLOOKUP(BC24,planning_fp,7,FALSE),""))</f>
        <v>0</v>
      </c>
      <c r="BG24" s="363" t="str">
        <f>Octobre!BL26</f>
        <v>A</v>
      </c>
      <c r="BL24" s="35"/>
      <c r="BM24" s="197"/>
      <c r="BO24" s="29"/>
      <c r="BP24" s="184"/>
      <c r="BR24" s="16" t="s">
        <v>758</v>
      </c>
      <c r="BV24" s="373"/>
      <c r="BW24" s="373"/>
      <c r="BX24" s="373"/>
      <c r="BY24" s="373" t="s">
        <v>708</v>
      </c>
      <c r="BZ24" s="373"/>
      <c r="CA24" s="373"/>
      <c r="CB24" s="373"/>
      <c r="CD24" s="346"/>
      <c r="CE24" s="107">
        <f t="shared" si="33"/>
        <v>45937</v>
      </c>
      <c r="CF24" s="172">
        <f>+$D$13+6</f>
        <v>45937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45937</v>
      </c>
      <c r="EM24" s="16" t="str">
        <f t="shared" si="29"/>
        <v>Fiche infoA245937</v>
      </c>
      <c r="EN24" s="16">
        <f t="shared" si="20"/>
        <v>0</v>
      </c>
      <c r="EQ24" s="16" t="str">
        <f>Octobre!FS26</f>
        <v/>
      </c>
    </row>
    <row r="25" spans="1:147" ht="18" customHeight="1" x14ac:dyDescent="0.2">
      <c r="A25" s="24" t="str">
        <f>+Octobre!BJ27</f>
        <v>Fiche infoA3</v>
      </c>
      <c r="B25" s="107">
        <f t="shared" si="30"/>
        <v>45938</v>
      </c>
      <c r="C25" s="172">
        <f>+$D$13+7</f>
        <v>45938</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Octobre!BC27</f>
        <v>0</v>
      </c>
      <c r="J25" s="34">
        <f>Octobre!BE27</f>
        <v>0</v>
      </c>
      <c r="K25" s="34">
        <f t="shared" si="15"/>
        <v>0</v>
      </c>
      <c r="L25" s="34" t="str">
        <f t="shared" si="21"/>
        <v/>
      </c>
      <c r="AK25" s="1211" t="s">
        <v>329</v>
      </c>
      <c r="AL25" s="1335">
        <f>+IF(AL22,AL24/AL22,0)</f>
        <v>0</v>
      </c>
      <c r="BA25" s="349" t="str">
        <f t="shared" si="16"/>
        <v>Fiche infoA3</v>
      </c>
      <c r="BB25" s="107">
        <f t="shared" si="31"/>
        <v>45938</v>
      </c>
      <c r="BC25" s="172">
        <f>+$D$13+7</f>
        <v>45938</v>
      </c>
      <c r="BD25" s="173" t="str">
        <f t="shared" si="32"/>
        <v/>
      </c>
      <c r="BE25" s="173" t="str">
        <f>+IF(OR(BF25=S.CAL!$BJ$3,BF25=S.CAL!$BJ$4),BD25,"")</f>
        <v/>
      </c>
      <c r="BF25" s="351">
        <f>IF($DY$5=S.CAL!$CU$2,Octobre!AR27,IF($DY$5=S.CAL!$CU$3,VLOOKUP(BC25,planning_fp,7,FALSE),""))</f>
        <v>0</v>
      </c>
      <c r="BG25" s="363" t="str">
        <f>Octobre!BL27</f>
        <v>A</v>
      </c>
      <c r="BH25" s="150"/>
      <c r="BL25" s="35"/>
      <c r="BO25" s="29"/>
      <c r="BP25" s="184"/>
      <c r="BV25" s="373"/>
      <c r="BW25" s="373"/>
      <c r="BX25" s="373"/>
      <c r="BY25" s="373"/>
      <c r="BZ25" s="373"/>
      <c r="CA25" s="373"/>
      <c r="CB25" s="373"/>
      <c r="CD25" s="346"/>
      <c r="CE25" s="107">
        <f t="shared" si="33"/>
        <v>45938</v>
      </c>
      <c r="CF25" s="172">
        <f>+$D$13+7</f>
        <v>45938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45938</v>
      </c>
      <c r="EM25" s="16" t="str">
        <f t="shared" si="29"/>
        <v>Fiche infoA345938</v>
      </c>
      <c r="EN25" s="16">
        <f t="shared" si="20"/>
        <v>0</v>
      </c>
      <c r="EQ25" s="16" t="str">
        <f>Octobre!FS27</f>
        <v/>
      </c>
    </row>
    <row r="26" spans="1:147" ht="18" customHeight="1" x14ac:dyDescent="0.2">
      <c r="A26" s="24" t="str">
        <f>+Octobre!BJ28</f>
        <v>Fiche infoA4</v>
      </c>
      <c r="B26" s="107">
        <f t="shared" si="30"/>
        <v>45939</v>
      </c>
      <c r="C26" s="172">
        <f>+$D$13+8</f>
        <v>45939</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Octobre!BC28</f>
        <v>0</v>
      </c>
      <c r="J26" s="34">
        <f>Octobre!BE28</f>
        <v>0</v>
      </c>
      <c r="K26" s="34">
        <f t="shared" si="15"/>
        <v>0</v>
      </c>
      <c r="L26" s="34" t="str">
        <f t="shared" si="21"/>
        <v/>
      </c>
      <c r="O26" s="16" t="s">
        <v>1217</v>
      </c>
      <c r="AK26" s="1211" t="s">
        <v>330</v>
      </c>
      <c r="AL26" s="1335">
        <f>IF(AS21,SUM(AT13:AT20)/AS21,0)</f>
        <v>0</v>
      </c>
      <c r="BA26" s="349" t="str">
        <f t="shared" si="16"/>
        <v>Fiche infoA4</v>
      </c>
      <c r="BB26" s="107">
        <f t="shared" si="31"/>
        <v>45939</v>
      </c>
      <c r="BC26" s="172">
        <f>+$D$13+8</f>
        <v>45939</v>
      </c>
      <c r="BD26" s="173" t="str">
        <f t="shared" si="32"/>
        <v/>
      </c>
      <c r="BE26" s="173" t="str">
        <f>+IF(OR(BF26=S.CAL!$BJ$3,BF26=S.CAL!$BJ$4),BD26,"")</f>
        <v/>
      </c>
      <c r="BF26" s="351">
        <f>IF($DY$5=S.CAL!$CU$2,Octobre!AR28,IF($DY$5=S.CAL!$CU$3,VLOOKUP(BC26,planning_fp,7,FALSE),""))</f>
        <v>0</v>
      </c>
      <c r="BG26" s="363" t="str">
        <f>Octobre!BL28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45939</v>
      </c>
      <c r="CF26" s="172">
        <f>+$D$13+8</f>
        <v>45939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45939</v>
      </c>
      <c r="EM26" s="16" t="str">
        <f t="shared" si="29"/>
        <v>Fiche infoA445939</v>
      </c>
      <c r="EN26" s="16">
        <f t="shared" si="20"/>
        <v>0</v>
      </c>
      <c r="EQ26" s="16" t="str">
        <f>Octobre!FS28</f>
        <v/>
      </c>
    </row>
    <row r="27" spans="1:147" ht="18" customHeight="1" x14ac:dyDescent="0.2">
      <c r="A27" s="24" t="str">
        <f>+Octobre!BJ29</f>
        <v>Fiche infoA5</v>
      </c>
      <c r="B27" s="107">
        <f t="shared" si="30"/>
        <v>45940</v>
      </c>
      <c r="C27" s="172">
        <f>+$D$13+9</f>
        <v>45940</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Octobre!BC29</f>
        <v>0</v>
      </c>
      <c r="J27" s="34">
        <f>Octobre!BE29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infoA5</v>
      </c>
      <c r="BB27" s="107">
        <f t="shared" si="31"/>
        <v>45940</v>
      </c>
      <c r="BC27" s="172">
        <f>+$D$13+9</f>
        <v>45940</v>
      </c>
      <c r="BD27" s="173" t="str">
        <f t="shared" si="32"/>
        <v/>
      </c>
      <c r="BE27" s="173" t="str">
        <f>+IF(OR(BF27=S.CAL!$BJ$3,BF27=S.CAL!$BJ$4),BD27,"")</f>
        <v/>
      </c>
      <c r="BF27" s="351">
        <f>IF($DY$5=S.CAL!$CU$2,Octobre!AR29,IF($DY$5=S.CAL!$CU$3,VLOOKUP(BC27,planning_fp,7,FALSE),""))</f>
        <v>0</v>
      </c>
      <c r="BG27" s="363" t="str">
        <f>Octobre!BL29</f>
        <v>A</v>
      </c>
      <c r="BI27" s="16" t="s">
        <v>758</v>
      </c>
      <c r="BL27" s="35"/>
      <c r="BP27" s="2401"/>
      <c r="BQ27" s="2401"/>
      <c r="BR27" s="2401"/>
      <c r="BS27" s="2401"/>
      <c r="BT27" s="2400"/>
      <c r="BV27" s="373"/>
      <c r="BW27" s="373"/>
      <c r="BX27" s="2488"/>
      <c r="BY27" s="2488"/>
      <c r="BZ27" s="2488"/>
      <c r="CA27" s="2488"/>
      <c r="CB27" s="2487"/>
      <c r="CD27" s="346"/>
      <c r="CE27" s="107">
        <f t="shared" si="33"/>
        <v>45940</v>
      </c>
      <c r="CF27" s="172">
        <f>+$D$13+9</f>
        <v>45940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45940</v>
      </c>
      <c r="EM27" s="16" t="str">
        <f t="shared" si="29"/>
        <v>Fiche infoA545940</v>
      </c>
      <c r="EN27" s="16">
        <f t="shared" si="20"/>
        <v>0</v>
      </c>
      <c r="EQ27" s="16" t="str">
        <f>Octobre!FS29</f>
        <v/>
      </c>
    </row>
    <row r="28" spans="1:147" ht="18" customHeight="1" x14ac:dyDescent="0.2">
      <c r="A28" s="24" t="str">
        <f>+Octobre!BJ30</f>
        <v>Fiche infoA6</v>
      </c>
      <c r="B28" s="107">
        <f t="shared" si="30"/>
        <v>45941</v>
      </c>
      <c r="C28" s="172">
        <f>+$D$13+10</f>
        <v>45941</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Octobre!BC30</f>
        <v>0</v>
      </c>
      <c r="J28" s="34">
        <f>Octobre!BE30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infoA6</v>
      </c>
      <c r="BB28" s="107">
        <f t="shared" si="31"/>
        <v>45941</v>
      </c>
      <c r="BC28" s="172">
        <f>+$D$13+10</f>
        <v>45941</v>
      </c>
      <c r="BD28" s="173" t="str">
        <f t="shared" si="32"/>
        <v/>
      </c>
      <c r="BE28" s="173" t="str">
        <f>+IF(OR(BF28=S.CAL!$BJ$3,BF28=S.CAL!$BJ$4),BD28,"")</f>
        <v/>
      </c>
      <c r="BF28" s="351">
        <f>IF($DY$5=S.CAL!$CU$2,Octobre!AR30,IF($DY$5=S.CAL!$CU$3,VLOOKUP(BC28,planning_fp,7,FALSE),""))</f>
        <v>0</v>
      </c>
      <c r="BG28" s="363" t="str">
        <f>Octobre!BL30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45941</v>
      </c>
      <c r="CF28" s="172">
        <f>+$D$13+10</f>
        <v>45941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45941</v>
      </c>
      <c r="EM28" s="16" t="str">
        <f t="shared" si="29"/>
        <v>Fiche infoA645941</v>
      </c>
      <c r="EN28" s="16">
        <f t="shared" si="20"/>
        <v>0</v>
      </c>
      <c r="EQ28" s="16" t="str">
        <f>Octobre!FS30</f>
        <v/>
      </c>
    </row>
    <row r="29" spans="1:147" ht="18" customHeight="1" x14ac:dyDescent="0.2">
      <c r="A29" s="24" t="str">
        <f>+Octobre!BJ31</f>
        <v>Fiche infoA7</v>
      </c>
      <c r="B29" s="107">
        <f t="shared" si="30"/>
        <v>45942</v>
      </c>
      <c r="C29" s="172">
        <f>+$D$13+11</f>
        <v>45942</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Octobre!BC31</f>
        <v>0</v>
      </c>
      <c r="J29" s="34">
        <f>Octobre!BE31</f>
        <v>0</v>
      </c>
      <c r="K29" s="34">
        <f t="shared" si="15"/>
        <v>0</v>
      </c>
      <c r="L29" s="34" t="str">
        <f t="shared" si="21"/>
        <v/>
      </c>
      <c r="O29" s="877" t="s">
        <v>1471</v>
      </c>
      <c r="P29" s="877"/>
      <c r="Q29" s="877"/>
      <c r="R29" s="877"/>
      <c r="BA29" s="349" t="str">
        <f t="shared" si="16"/>
        <v>Fiche infoA7</v>
      </c>
      <c r="BB29" s="107">
        <f t="shared" si="31"/>
        <v>45942</v>
      </c>
      <c r="BC29" s="172">
        <f>+$D$13+11</f>
        <v>45942</v>
      </c>
      <c r="BD29" s="173" t="str">
        <f t="shared" si="32"/>
        <v/>
      </c>
      <c r="BE29" s="173" t="str">
        <f>+IF(OR(BF29=S.CAL!$BJ$3,BF29=S.CAL!$BJ$4),BD29,"")</f>
        <v/>
      </c>
      <c r="BF29" s="351">
        <f>IF($DY$5=S.CAL!$CU$2,Octobre!AR31,IF($DY$5=S.CAL!$CU$3,VLOOKUP(BC29,planning_fp,7,FALSE),""))</f>
        <v>0</v>
      </c>
      <c r="BG29" s="363" t="str">
        <f>Octobre!BL31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45942</v>
      </c>
      <c r="CF29" s="172">
        <f>+$D$13+11</f>
        <v>45942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45942</v>
      </c>
      <c r="EM29" s="16" t="str">
        <f t="shared" si="29"/>
        <v>Fiche infoA745942</v>
      </c>
      <c r="EN29" s="16">
        <f t="shared" si="20"/>
        <v>0</v>
      </c>
      <c r="EQ29" s="16" t="str">
        <f>Octobre!FS31</f>
        <v/>
      </c>
    </row>
    <row r="30" spans="1:147" ht="18" customHeight="1" x14ac:dyDescent="0.25">
      <c r="A30" s="24" t="str">
        <f>+Octobre!BJ32</f>
        <v>Fiche infoA1</v>
      </c>
      <c r="B30" s="107">
        <f t="shared" si="30"/>
        <v>45943</v>
      </c>
      <c r="C30" s="172">
        <f>+$D$13+12</f>
        <v>45943</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Octobre!BC32</f>
        <v>0</v>
      </c>
      <c r="J30" s="34">
        <f>Octobre!BE32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45931</v>
      </c>
      <c r="AP30" s="2496"/>
      <c r="AQ30" s="2496"/>
      <c r="BA30" s="349" t="str">
        <f t="shared" si="16"/>
        <v>Fiche infoA1</v>
      </c>
      <c r="BB30" s="107">
        <f t="shared" si="31"/>
        <v>45943</v>
      </c>
      <c r="BC30" s="172">
        <f>+$D$13+12</f>
        <v>45943</v>
      </c>
      <c r="BD30" s="173" t="str">
        <f t="shared" si="32"/>
        <v/>
      </c>
      <c r="BE30" s="173" t="str">
        <f>+IF(OR(BF30=S.CAL!$BJ$3,BF30=S.CAL!$BJ$4),BD30,"")</f>
        <v/>
      </c>
      <c r="BF30" s="351">
        <f>IF($DY$5=S.CAL!$CU$2,Octobre!AR32,IF($DY$5=S.CAL!$CU$3,VLOOKUP(BC30,planning_fp,7,FALSE),""))</f>
        <v>0</v>
      </c>
      <c r="BG30" s="363" t="str">
        <f>Octobre!BL32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45943</v>
      </c>
      <c r="CF30" s="172">
        <f>+$D$13+12</f>
        <v>45943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45943</v>
      </c>
      <c r="EM30" s="16" t="str">
        <f t="shared" si="29"/>
        <v>Fiche infoA145943</v>
      </c>
      <c r="EN30" s="16">
        <f t="shared" si="20"/>
        <v>0</v>
      </c>
      <c r="EQ30" s="16" t="str">
        <f>Octobre!FS32</f>
        <v/>
      </c>
    </row>
    <row r="31" spans="1:147" ht="18" customHeight="1" x14ac:dyDescent="0.2">
      <c r="A31" s="24" t="str">
        <f>+Octobre!BJ33</f>
        <v>Fiche infoA2</v>
      </c>
      <c r="B31" s="107">
        <f t="shared" si="30"/>
        <v>45944</v>
      </c>
      <c r="C31" s="172">
        <f>+$D$13+13</f>
        <v>45944</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Octobre!BC33</f>
        <v>0</v>
      </c>
      <c r="J31" s="34">
        <f>Octobre!BE33</f>
        <v>0</v>
      </c>
      <c r="K31" s="34">
        <f t="shared" si="15"/>
        <v>0</v>
      </c>
      <c r="L31" s="34" t="str">
        <f t="shared" si="21"/>
        <v/>
      </c>
      <c r="AL31" s="581" t="s">
        <v>351</v>
      </c>
      <c r="BA31" s="349" t="str">
        <f t="shared" si="16"/>
        <v>Fiche infoA2</v>
      </c>
      <c r="BB31" s="107">
        <f t="shared" si="31"/>
        <v>45944</v>
      </c>
      <c r="BC31" s="172">
        <f>+$D$13+13</f>
        <v>45944</v>
      </c>
      <c r="BD31" s="173" t="str">
        <f t="shared" si="32"/>
        <v/>
      </c>
      <c r="BE31" s="173" t="str">
        <f>+IF(OR(BF31=S.CAL!$BJ$3,BF31=S.CAL!$BJ$4),BD31,"")</f>
        <v/>
      </c>
      <c r="BF31" s="351">
        <f>IF($DY$5=S.CAL!$CU$2,Octobre!AR33,IF($DY$5=S.CAL!$CU$3,VLOOKUP(BC31,planning_fp,7,FALSE),""))</f>
        <v>0</v>
      </c>
      <c r="BG31" s="363" t="str">
        <f>Octobre!BL33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45944</v>
      </c>
      <c r="CF31" s="172">
        <f>+$D$13+13</f>
        <v>45944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45944</v>
      </c>
      <c r="EM31" s="16" t="str">
        <f t="shared" si="29"/>
        <v>Fiche infoA245944</v>
      </c>
      <c r="EN31" s="16">
        <f t="shared" si="20"/>
        <v>0</v>
      </c>
      <c r="EQ31" s="16" t="str">
        <f>Octobre!FS33</f>
        <v/>
      </c>
    </row>
    <row r="32" spans="1:147" ht="18" customHeight="1" x14ac:dyDescent="0.2">
      <c r="A32" s="24" t="str">
        <f>+Octobre!BJ34</f>
        <v>Fiche infoA3</v>
      </c>
      <c r="B32" s="107">
        <f t="shared" si="30"/>
        <v>45945</v>
      </c>
      <c r="C32" s="172">
        <f>+$D$13+14</f>
        <v>45945</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Octobre!BC34</f>
        <v>0</v>
      </c>
      <c r="J32" s="34">
        <f>Octobre!BE34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infoA3</v>
      </c>
      <c r="BB32" s="107">
        <f t="shared" si="31"/>
        <v>45945</v>
      </c>
      <c r="BC32" s="172">
        <f>+$D$13+14</f>
        <v>45945</v>
      </c>
      <c r="BD32" s="173" t="str">
        <f t="shared" si="32"/>
        <v/>
      </c>
      <c r="BE32" s="173" t="str">
        <f>+IF(OR(BF32=S.CAL!$BJ$3,BF32=S.CAL!$BJ$4),BD32,"")</f>
        <v/>
      </c>
      <c r="BF32" s="351">
        <f>IF($DY$5=S.CAL!$CU$2,Octobre!AR34,IF($DY$5=S.CAL!$CU$3,VLOOKUP(BC32,planning_fp,7,FALSE),""))</f>
        <v>0</v>
      </c>
      <c r="BG32" s="363" t="str">
        <f>Octobre!BL34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45945</v>
      </c>
      <c r="CF32" s="172">
        <f>+$D$13+14</f>
        <v>45945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45945</v>
      </c>
      <c r="EM32" s="16" t="str">
        <f t="shared" si="29"/>
        <v>Fiche infoA345945</v>
      </c>
      <c r="EN32" s="16">
        <f t="shared" si="20"/>
        <v>0</v>
      </c>
      <c r="EQ32" s="16" t="str">
        <f>Octobre!FS34</f>
        <v/>
      </c>
    </row>
    <row r="33" spans="1:147" ht="18" customHeight="1" x14ac:dyDescent="0.2">
      <c r="A33" s="24" t="str">
        <f>+Octobre!BJ35</f>
        <v>Fiche infoA4</v>
      </c>
      <c r="B33" s="107">
        <f t="shared" si="30"/>
        <v>45946</v>
      </c>
      <c r="C33" s="172">
        <f>+$D$13+15</f>
        <v>45946</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Octobre!BC35</f>
        <v>0</v>
      </c>
      <c r="J33" s="34">
        <f>Octobre!BE35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infoA4</v>
      </c>
      <c r="BB33" s="107">
        <f t="shared" si="31"/>
        <v>45946</v>
      </c>
      <c r="BC33" s="172">
        <f>+$D$13+15</f>
        <v>45946</v>
      </c>
      <c r="BD33" s="173" t="str">
        <f t="shared" si="32"/>
        <v/>
      </c>
      <c r="BE33" s="173" t="str">
        <f>+IF(OR(BF33=S.CAL!$BJ$3,BF33=S.CAL!$BJ$4),BD33,"")</f>
        <v/>
      </c>
      <c r="BF33" s="351">
        <f>IF($DY$5=S.CAL!$CU$2,Octobre!AR35,IF($DY$5=S.CAL!$CU$3,VLOOKUP(BC33,planning_fp,7,FALSE),""))</f>
        <v>0</v>
      </c>
      <c r="BG33" s="363" t="str">
        <f>Octobre!BL35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45946</v>
      </c>
      <c r="CF33" s="172">
        <f>+$D$13+15</f>
        <v>45946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45946</v>
      </c>
      <c r="EM33" s="16" t="str">
        <f t="shared" si="29"/>
        <v>Fiche infoA445946</v>
      </c>
      <c r="EN33" s="16">
        <f t="shared" si="20"/>
        <v>0</v>
      </c>
      <c r="EQ33" s="16" t="str">
        <f>Octobre!FS35</f>
        <v/>
      </c>
    </row>
    <row r="34" spans="1:147" ht="18" customHeight="1" x14ac:dyDescent="0.2">
      <c r="A34" s="24" t="str">
        <f>+Octobre!BJ36</f>
        <v>Fiche infoA5</v>
      </c>
      <c r="B34" s="107">
        <f t="shared" si="30"/>
        <v>45947</v>
      </c>
      <c r="C34" s="172">
        <f>+$D$13+16</f>
        <v>45947</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Octobre!BC36</f>
        <v>0</v>
      </c>
      <c r="J34" s="34">
        <f>Octobre!BE36</f>
        <v>0</v>
      </c>
      <c r="K34" s="34">
        <f t="shared" si="15"/>
        <v>0</v>
      </c>
      <c r="L34" s="34" t="str">
        <f t="shared" si="21"/>
        <v/>
      </c>
      <c r="N34" s="395"/>
      <c r="O34" s="395"/>
      <c r="P34" s="395"/>
      <c r="Q34" s="395"/>
      <c r="R34" s="395"/>
      <c r="T34" s="581">
        <f>+IF(AD34=0,V34,0)</f>
        <v>0</v>
      </c>
      <c r="U34" s="1323" t="str">
        <f>+Octobre!AU4</f>
        <v>A</v>
      </c>
      <c r="V34" s="1323">
        <f>IFERROR(+VLOOKUP(U34,U35:AB39,7,FALSE),"")</f>
        <v>0</v>
      </c>
      <c r="W34" s="2482" t="str">
        <f>Octobre!BS28</f>
        <v>Semaine numéro : 40</v>
      </c>
      <c r="X34" s="2482"/>
      <c r="Y34" s="2482"/>
      <c r="Z34" s="1345"/>
      <c r="AA34" s="1338">
        <f>+IF(Z34&lt;&gt;"",Z34,IF(T34&gt;0,T34,IF(AND(AD34&gt;0,AC34&gt;0),AD34+AC34,IF(AE34&gt;0,0,AC34))))</f>
        <v>0</v>
      </c>
      <c r="AB34" s="1338">
        <f>IF(AND(AA34&gt;45,AD34=AD48),AA34-45,0)</f>
        <v>0</v>
      </c>
      <c r="AC34" s="1344">
        <f>+SUMIF(Octobre!$BK$20:$BK$50,Octobre!AT4,$D$18:$D$48)</f>
        <v>0</v>
      </c>
      <c r="AD34" s="1344">
        <f>+SUMIF(Septembre!$BK$20:$BK$50,Octobre!AT4,'Retenue Sept'!$D$18:$D$48)</f>
        <v>0</v>
      </c>
      <c r="AE34" s="1344">
        <f>+SUMIF(Novembre!$BK$20:$BK$50,Octobre!AT4,'Retenue Nov'!$D$18:$D$48)</f>
        <v>0</v>
      </c>
      <c r="AF34" s="1338">
        <f>+AC34-AB34</f>
        <v>0</v>
      </c>
      <c r="AK34" s="1211" t="s">
        <v>333</v>
      </c>
      <c r="AL34" s="1324" t="e">
        <f>IF(AL32,+AL24/AL32,0)</f>
        <v>#VALUE!</v>
      </c>
      <c r="BA34" s="349" t="str">
        <f t="shared" si="16"/>
        <v>Fiche infoA5</v>
      </c>
      <c r="BB34" s="107">
        <f t="shared" si="31"/>
        <v>45947</v>
      </c>
      <c r="BC34" s="172">
        <f>+$D$13+16</f>
        <v>45947</v>
      </c>
      <c r="BD34" s="173" t="str">
        <f t="shared" si="32"/>
        <v/>
      </c>
      <c r="BE34" s="173" t="str">
        <f>+IF(OR(BF34=S.CAL!$BJ$3,BF34=S.CAL!$BJ$4),BD34,"")</f>
        <v/>
      </c>
      <c r="BF34" s="351">
        <f>IF($DY$5=S.CAL!$CU$2,Octobre!AR36,IF($DY$5=S.CAL!$CU$3,VLOOKUP(BC34,planning_fp,7,FALSE),""))</f>
        <v>0</v>
      </c>
      <c r="BG34" s="363" t="str">
        <f>Octobre!BL36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45947</v>
      </c>
      <c r="CF34" s="172">
        <f>+$D$13+16</f>
        <v>45947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45947</v>
      </c>
      <c r="EM34" s="16" t="str">
        <f t="shared" si="29"/>
        <v>Fiche infoA545947</v>
      </c>
      <c r="EN34" s="16">
        <f t="shared" si="20"/>
        <v>0</v>
      </c>
      <c r="EQ34" s="16" t="str">
        <f>Octobre!FS36</f>
        <v/>
      </c>
    </row>
    <row r="35" spans="1:147" ht="18" customHeight="1" x14ac:dyDescent="0.2">
      <c r="A35" s="24" t="str">
        <f>+Octobre!BJ37</f>
        <v>Fiche infoA6</v>
      </c>
      <c r="B35" s="107">
        <f t="shared" si="30"/>
        <v>45948</v>
      </c>
      <c r="C35" s="172">
        <f>+$D$13+17</f>
        <v>45948</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Octobre!BC37</f>
        <v>0</v>
      </c>
      <c r="J35" s="34">
        <f>Octobre!BE37</f>
        <v>0</v>
      </c>
      <c r="K35" s="34">
        <f t="shared" si="15"/>
        <v>0</v>
      </c>
      <c r="L35" s="34" t="str">
        <f t="shared" si="21"/>
        <v/>
      </c>
      <c r="N35" s="395"/>
      <c r="O35" s="879" t="s">
        <v>1218</v>
      </c>
      <c r="P35" s="880"/>
      <c r="Q35" s="880"/>
      <c r="R35" s="876"/>
      <c r="T35" s="581">
        <f>+IF(AD35=0,V35,0)</f>
        <v>0</v>
      </c>
      <c r="U35" s="1323" t="str">
        <f>+Octobre!AU5</f>
        <v>A</v>
      </c>
      <c r="V35" s="1323">
        <f>IFERROR(+VLOOKUP(U35,U36:AB39,7,FALSE),"")</f>
        <v>0</v>
      </c>
      <c r="W35" s="2482" t="str">
        <f>Octobre!BS29</f>
        <v>Semaine numéro : 41</v>
      </c>
      <c r="X35" s="2482"/>
      <c r="Y35" s="2482"/>
      <c r="Z35" s="1345"/>
      <c r="AA35" s="1338">
        <f>+IF(Z35&lt;&gt;"",Z35,IF(T35&gt;0,T35,IF(AND(AD35&gt;0,AC35&gt;0),AD35+AC35,IF(AE35&gt;0,0,AC35))))</f>
        <v>0</v>
      </c>
      <c r="AB35" s="1338">
        <f t="shared" ref="AB35:AB39" si="44">IF(AND(AA35&gt;45,AD35=AD49),AA35-45,0)</f>
        <v>0</v>
      </c>
      <c r="AC35" s="1344">
        <f>+SUMIF(Octobre!$BK$20:$BK$50,Octobre!AT5,$D$18:$D$48)</f>
        <v>0</v>
      </c>
      <c r="AD35" s="1344">
        <f>+SUMIF(Septembre!$BK$20:$BK$50,Octobre!AT5,'Retenue Sept'!$D$18:$D$48)</f>
        <v>0</v>
      </c>
      <c r="AE35" s="1344">
        <f>+SUMIF(Novembre!$BK$20:$BK$50,Octobre!AT5,'Retenue Nov'!$D$18:$D$48)</f>
        <v>0</v>
      </c>
      <c r="AF35" s="1338">
        <f t="shared" ref="AF35:AF39" si="45">+AC35-AB35</f>
        <v>0</v>
      </c>
      <c r="AK35" s="1211"/>
      <c r="AL35" s="1324"/>
      <c r="BA35" s="349" t="str">
        <f t="shared" si="16"/>
        <v>Fiche infoA6</v>
      </c>
      <c r="BB35" s="107">
        <f t="shared" si="31"/>
        <v>45948</v>
      </c>
      <c r="BC35" s="172">
        <f>+$D$13+17</f>
        <v>45948</v>
      </c>
      <c r="BD35" s="173" t="str">
        <f t="shared" si="32"/>
        <v/>
      </c>
      <c r="BE35" s="173" t="str">
        <f>+IF(OR(BF35=S.CAL!$BJ$3,BF35=S.CAL!$BJ$4),BD35,"")</f>
        <v/>
      </c>
      <c r="BF35" s="351">
        <f>IF($DY$5=S.CAL!$CU$2,Octobre!AR37,IF($DY$5=S.CAL!$CU$3,VLOOKUP(BC35,planning_fp,7,FALSE),""))</f>
        <v>0</v>
      </c>
      <c r="BG35" s="363" t="str">
        <f>Octobre!BL37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45948</v>
      </c>
      <c r="CF35" s="172">
        <f>+$D$13+17</f>
        <v>45948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45948</v>
      </c>
      <c r="EM35" s="16" t="str">
        <f t="shared" si="29"/>
        <v>Fiche infoA645948</v>
      </c>
      <c r="EN35" s="16">
        <f t="shared" si="20"/>
        <v>0</v>
      </c>
      <c r="EQ35" s="16" t="str">
        <f>Octobre!FS37</f>
        <v/>
      </c>
    </row>
    <row r="36" spans="1:147" ht="18" customHeight="1" x14ac:dyDescent="0.2">
      <c r="A36" s="24" t="str">
        <f>+Octobre!BJ38</f>
        <v>Fiche infoA7</v>
      </c>
      <c r="B36" s="107">
        <f t="shared" si="30"/>
        <v>45949</v>
      </c>
      <c r="C36" s="172">
        <f>+$D$13+18</f>
        <v>45949</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Octobre!BC38</f>
        <v>0</v>
      </c>
      <c r="J36" s="34">
        <f>Octobre!BE38</f>
        <v>0</v>
      </c>
      <c r="K36" s="34">
        <f t="shared" si="15"/>
        <v>0</v>
      </c>
      <c r="L36" s="34" t="str">
        <f t="shared" si="21"/>
        <v/>
      </c>
      <c r="N36" s="395"/>
      <c r="O36" s="486"/>
      <c r="P36" s="487" t="str">
        <f>+E11&amp;" / ( "&amp;E10&amp;" + "&amp;E11&amp;" ) ="</f>
        <v>0 / ( 0 + 0 ) =</v>
      </c>
      <c r="Q36" s="486" t="e">
        <f>+ROUND(E11/(E11+E10),6)</f>
        <v>#DIV/0!</v>
      </c>
      <c r="R36" s="395"/>
      <c r="U36" s="1323" t="str">
        <f>+Octobre!AU6</f>
        <v>A</v>
      </c>
      <c r="V36" s="1323"/>
      <c r="W36" s="2482" t="str">
        <f>Octobre!BS30</f>
        <v>Semaine numéro : 42</v>
      </c>
      <c r="X36" s="2482"/>
      <c r="Y36" s="2482"/>
      <c r="Z36" s="1345"/>
      <c r="AA36" s="1338">
        <f t="shared" ref="AA36:AA39" si="46">+IF(Z36="",IF(AND(AD36&gt;0,AC36&gt;0),AD36+AC36,IF(AE36&gt;0,0,AC36)),Z36)</f>
        <v>0</v>
      </c>
      <c r="AB36" s="1338">
        <f t="shared" si="44"/>
        <v>0</v>
      </c>
      <c r="AC36" s="1344">
        <f>+SUMIF(Octobre!$BK$20:$BK$50,Octobre!AT6,$D$18:$D$48)</f>
        <v>0</v>
      </c>
      <c r="AD36" s="1344">
        <f>+SUMIF(Septembre!$BK$20:$BK$50,Octobre!AT6,'Retenue Sept'!$D$18:$D$48)</f>
        <v>0</v>
      </c>
      <c r="AE36" s="1344">
        <f>+SUMIF(Novembre!$BK$20:$BK$50,Octobre!AT6,'Retenue Nov'!$D$18:$D$48)</f>
        <v>0</v>
      </c>
      <c r="AF36" s="1338">
        <f t="shared" si="45"/>
        <v>0</v>
      </c>
      <c r="AK36" s="1211"/>
      <c r="AL36" s="1324"/>
      <c r="BA36" s="349" t="str">
        <f t="shared" si="16"/>
        <v>Fiche infoA7</v>
      </c>
      <c r="BB36" s="107">
        <f t="shared" si="31"/>
        <v>45949</v>
      </c>
      <c r="BC36" s="172">
        <f>+$D$13+18</f>
        <v>45949</v>
      </c>
      <c r="BD36" s="173" t="str">
        <f t="shared" si="32"/>
        <v/>
      </c>
      <c r="BE36" s="173" t="str">
        <f>+IF(OR(BF36=S.CAL!$BJ$3,BF36=S.CAL!$BJ$4),BD36,"")</f>
        <v/>
      </c>
      <c r="BF36" s="351">
        <f>IF($DY$5=S.CAL!$CU$2,Octobre!AR38,IF($DY$5=S.CAL!$CU$3,VLOOKUP(BC36,planning_fp,7,FALSE),""))</f>
        <v>0</v>
      </c>
      <c r="BG36" s="363" t="str">
        <f>Octobre!BL38</f>
        <v>A</v>
      </c>
      <c r="BH36" s="374"/>
      <c r="BI36" s="375"/>
      <c r="BJ36" s="373"/>
      <c r="BK36" s="373"/>
      <c r="BL36" s="35"/>
      <c r="BS36" s="191"/>
      <c r="BT36" s="360"/>
      <c r="BU36" s="360"/>
      <c r="BV36" s="373"/>
      <c r="BW36" s="373"/>
      <c r="BX36" s="373"/>
      <c r="BY36" s="373"/>
      <c r="BZ36" s="373"/>
      <c r="CA36" s="373"/>
      <c r="CB36" s="373"/>
      <c r="CD36" s="346"/>
      <c r="CE36" s="107">
        <f t="shared" si="33"/>
        <v>45949</v>
      </c>
      <c r="CF36" s="172">
        <f>+$D$13+18</f>
        <v>45949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45949</v>
      </c>
      <c r="EM36" s="16" t="str">
        <f t="shared" si="29"/>
        <v>Fiche infoA745949</v>
      </c>
      <c r="EN36" s="16">
        <f t="shared" si="20"/>
        <v>0</v>
      </c>
      <c r="EQ36" s="16" t="str">
        <f>Octobre!FS38</f>
        <v/>
      </c>
    </row>
    <row r="37" spans="1:147" ht="18" customHeight="1" x14ac:dyDescent="0.2">
      <c r="A37" s="24" t="str">
        <f>+Octobre!BJ39</f>
        <v>Fiche infoA1</v>
      </c>
      <c r="B37" s="107">
        <f t="shared" si="30"/>
        <v>45950</v>
      </c>
      <c r="C37" s="172">
        <f>+$D$13+19</f>
        <v>45950</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Octobre!BC39</f>
        <v>0</v>
      </c>
      <c r="J37" s="34">
        <f>Octobre!BE39</f>
        <v>0</v>
      </c>
      <c r="K37" s="34">
        <f t="shared" si="15"/>
        <v>0</v>
      </c>
      <c r="L37" s="34" t="str">
        <f t="shared" si="21"/>
        <v/>
      </c>
      <c r="N37" s="395"/>
      <c r="O37" s="881"/>
      <c r="P37" s="881"/>
      <c r="Q37" s="881"/>
      <c r="R37" s="395"/>
      <c r="U37" s="1323" t="str">
        <f>+Octobre!AU7</f>
        <v>A</v>
      </c>
      <c r="V37" s="1323"/>
      <c r="W37" s="2482" t="str">
        <f>Octobre!BS31</f>
        <v>Semaine numéro : 43</v>
      </c>
      <c r="X37" s="2482"/>
      <c r="Y37" s="2482"/>
      <c r="Z37" s="1345"/>
      <c r="AA37" s="1338">
        <f t="shared" si="46"/>
        <v>0</v>
      </c>
      <c r="AB37" s="1338">
        <f t="shared" si="44"/>
        <v>0</v>
      </c>
      <c r="AC37" s="1344">
        <f>+SUMIF(Octobre!$BK$20:$BK$50,Octobre!AT7,$D$18:$D$48)</f>
        <v>0</v>
      </c>
      <c r="AD37" s="1344">
        <f>+SUMIF(Septembre!$BK$20:$BK$50,Octobre!AT7,'Retenue Sept'!$D$18:$D$48)</f>
        <v>0</v>
      </c>
      <c r="AE37" s="1344">
        <f>+SUMIF(Novembre!$BK$20:$BK$50,Octobre!AT7,'Retenue Nov'!$D$18:$D$48)</f>
        <v>0</v>
      </c>
      <c r="AF37" s="1338">
        <f t="shared" si="45"/>
        <v>0</v>
      </c>
      <c r="AK37" s="1211"/>
      <c r="AL37" s="2494" t="s">
        <v>334</v>
      </c>
      <c r="AM37" s="2494" t="s">
        <v>335</v>
      </c>
      <c r="AN37" s="2495" t="s">
        <v>336</v>
      </c>
      <c r="AO37" s="2494" t="s">
        <v>337</v>
      </c>
      <c r="AP37" s="2494" t="s">
        <v>357</v>
      </c>
      <c r="AQ37" s="2494" t="s">
        <v>358</v>
      </c>
      <c r="BA37" s="349" t="str">
        <f t="shared" si="16"/>
        <v>Fiche infoA1</v>
      </c>
      <c r="BB37" s="107">
        <f t="shared" si="31"/>
        <v>45950</v>
      </c>
      <c r="BC37" s="172">
        <f>+$D$13+19</f>
        <v>45950</v>
      </c>
      <c r="BD37" s="173" t="str">
        <f t="shared" si="32"/>
        <v/>
      </c>
      <c r="BE37" s="173" t="str">
        <f>+IF(OR(BF37=S.CAL!$BJ$3,BF37=S.CAL!$BJ$4),BD37,"")</f>
        <v/>
      </c>
      <c r="BF37" s="351">
        <f>IF($DY$5=S.CAL!$CU$2,Octobre!AR39,IF($DY$5=S.CAL!$CU$3,VLOOKUP(BC37,planning_fp,7,FALSE),""))</f>
        <v>0</v>
      </c>
      <c r="BG37" s="363" t="str">
        <f>Octobre!BL39</f>
        <v>A</v>
      </c>
      <c r="BH37" s="373"/>
      <c r="BI37" s="373"/>
      <c r="BJ37" s="373"/>
      <c r="BK37" s="373"/>
      <c r="BL37" s="35"/>
      <c r="BO37" s="29"/>
      <c r="BP37" s="34"/>
      <c r="BS37" s="191"/>
      <c r="BT37" s="191"/>
      <c r="BV37" s="373"/>
      <c r="BW37" s="373"/>
      <c r="BX37" s="373"/>
      <c r="BY37" s="373"/>
      <c r="BZ37" s="373"/>
      <c r="CA37" s="373"/>
      <c r="CB37" s="373"/>
      <c r="CD37" s="346"/>
      <c r="CE37" s="107">
        <f t="shared" si="33"/>
        <v>45950</v>
      </c>
      <c r="CF37" s="172">
        <f>+$D$13+19</f>
        <v>45950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45950</v>
      </c>
      <c r="EM37" s="16" t="str">
        <f t="shared" si="29"/>
        <v>Fiche infoA145950</v>
      </c>
      <c r="EN37" s="16">
        <f t="shared" si="20"/>
        <v>0</v>
      </c>
      <c r="EQ37" s="16" t="str">
        <f>Octobre!FS39</f>
        <v/>
      </c>
    </row>
    <row r="38" spans="1:147" ht="18" customHeight="1" x14ac:dyDescent="0.2">
      <c r="A38" s="24" t="str">
        <f>+Octobre!BJ40</f>
        <v>Fiche infoA2</v>
      </c>
      <c r="B38" s="107">
        <f t="shared" si="30"/>
        <v>45951</v>
      </c>
      <c r="C38" s="172">
        <f>+$D$13+20</f>
        <v>45951</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Octobre!BC40</f>
        <v>0</v>
      </c>
      <c r="J38" s="34">
        <f>Octobre!BE40</f>
        <v>0</v>
      </c>
      <c r="K38" s="34">
        <f t="shared" si="15"/>
        <v>0</v>
      </c>
      <c r="L38" s="34" t="str">
        <f t="shared" si="21"/>
        <v/>
      </c>
      <c r="N38" s="395"/>
      <c r="O38" s="882" t="s">
        <v>1472</v>
      </c>
      <c r="P38" s="882"/>
      <c r="Q38" s="882"/>
      <c r="R38" s="878"/>
      <c r="U38" s="1323" t="str">
        <f>+Octobre!AU8</f>
        <v>A</v>
      </c>
      <c r="V38" s="1323"/>
      <c r="W38" s="2482" t="str">
        <f>Octobre!BS32</f>
        <v>Semaine numéro : 44</v>
      </c>
      <c r="X38" s="2482"/>
      <c r="Y38" s="2482"/>
      <c r="Z38" s="1345"/>
      <c r="AA38" s="1338">
        <f t="shared" si="46"/>
        <v>0</v>
      </c>
      <c r="AB38" s="1338">
        <f t="shared" si="44"/>
        <v>0</v>
      </c>
      <c r="AC38" s="1344">
        <f>+SUMIF(Octobre!$BK$20:$BK$50,Octobre!AT8,$D$18:$D$48)</f>
        <v>0</v>
      </c>
      <c r="AD38" s="1344">
        <f>+SUMIF(Septembre!$BK$20:$BK$50,Octobre!AT8,'Retenue Sept'!$D$18:$D$48)</f>
        <v>0</v>
      </c>
      <c r="AE38" s="1344">
        <f>+SUMIF(Novembre!$BK$20:$BK$50,Octobre!AT8,'Retenue Nov'!$D$18:$D$48)</f>
        <v>0</v>
      </c>
      <c r="AF38" s="1338">
        <f t="shared" si="45"/>
        <v>0</v>
      </c>
      <c r="AL38" s="2494"/>
      <c r="AM38" s="2494"/>
      <c r="AN38" s="2495"/>
      <c r="AO38" s="2494"/>
      <c r="AP38" s="2494"/>
      <c r="AQ38" s="2494"/>
      <c r="BA38" s="349" t="str">
        <f t="shared" si="16"/>
        <v>Fiche infoA2</v>
      </c>
      <c r="BB38" s="107">
        <f t="shared" si="31"/>
        <v>45951</v>
      </c>
      <c r="BC38" s="172">
        <f>+$D$13+20</f>
        <v>45951</v>
      </c>
      <c r="BD38" s="173" t="str">
        <f t="shared" si="32"/>
        <v/>
      </c>
      <c r="BE38" s="173" t="str">
        <f>+IF(OR(BF38=S.CAL!$BJ$3,BF38=S.CAL!$BJ$4),BD38,"")</f>
        <v/>
      </c>
      <c r="BF38" s="351">
        <f>IF($DY$5=S.CAL!$CU$2,Octobre!AR40,IF($DY$5=S.CAL!$CU$3,VLOOKUP(BC38,planning_fp,7,FALSE),""))</f>
        <v>0</v>
      </c>
      <c r="BG38" s="363" t="str">
        <f>Octobre!BL40</f>
        <v>A</v>
      </c>
      <c r="BH38" s="373"/>
      <c r="BI38" s="373"/>
      <c r="BJ38" s="373"/>
      <c r="BK38" s="373"/>
      <c r="BL38" s="35"/>
      <c r="BO38" s="29"/>
      <c r="BP38" s="34"/>
      <c r="BS38" s="191"/>
      <c r="BT38" s="191"/>
      <c r="BV38" s="373"/>
      <c r="BW38" s="373"/>
      <c r="BX38" s="373"/>
      <c r="BY38" s="373"/>
      <c r="BZ38" s="373"/>
      <c r="CA38" s="373"/>
      <c r="CB38" s="373"/>
      <c r="CD38" s="346"/>
      <c r="CE38" s="107">
        <f t="shared" si="33"/>
        <v>45951</v>
      </c>
      <c r="CF38" s="172">
        <f>+$D$13+20</f>
        <v>45951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45951</v>
      </c>
      <c r="EM38" s="16" t="str">
        <f t="shared" si="29"/>
        <v>Fiche infoA245951</v>
      </c>
      <c r="EN38" s="16">
        <f t="shared" si="20"/>
        <v>0</v>
      </c>
      <c r="EQ38" s="16" t="str">
        <f>Octobre!FS40</f>
        <v/>
      </c>
    </row>
    <row r="39" spans="1:147" ht="18" customHeight="1" x14ac:dyDescent="0.2">
      <c r="A39" s="24" t="str">
        <f>+Octobre!BJ41</f>
        <v>Fiche infoA3</v>
      </c>
      <c r="B39" s="107">
        <f t="shared" si="30"/>
        <v>45952</v>
      </c>
      <c r="C39" s="172">
        <f>+$D$13+21</f>
        <v>45952</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Octobre!BC41</f>
        <v>0</v>
      </c>
      <c r="J39" s="34">
        <f>Octobre!BE41</f>
        <v>0</v>
      </c>
      <c r="K39" s="34">
        <f t="shared" si="15"/>
        <v>0</v>
      </c>
      <c r="L39" s="34" t="str">
        <f t="shared" si="21"/>
        <v/>
      </c>
      <c r="N39" s="395"/>
      <c r="O39" s="486"/>
      <c r="P39" s="487" t="str">
        <f>+E10&amp;" / ( "&amp;E10&amp;" + "&amp;E11&amp;" ) ="</f>
        <v>0 / ( 0 + 0 ) =</v>
      </c>
      <c r="Q39" s="486" t="e">
        <f>ROUND(+E10/(E11+E10),6)</f>
        <v>#DIV/0!</v>
      </c>
      <c r="R39" s="395"/>
      <c r="U39" s="1323" t="str">
        <f>+Octobre!AU9</f>
        <v>A</v>
      </c>
      <c r="V39" s="1323"/>
      <c r="W39" s="2482" t="str">
        <f>Octobre!BS33</f>
        <v xml:space="preserve">Semaine numéro : </v>
      </c>
      <c r="X39" s="2482"/>
      <c r="Y39" s="2482"/>
      <c r="Z39" s="1345"/>
      <c r="AA39" s="1338">
        <f t="shared" si="46"/>
        <v>0</v>
      </c>
      <c r="AB39" s="1338">
        <f t="shared" si="44"/>
        <v>0</v>
      </c>
      <c r="AC39" s="1344">
        <f>+SUMIF(Octobre!$BK$20:$BK$50,Octobre!AT9,$D$18:$D$48)</f>
        <v>0</v>
      </c>
      <c r="AD39" s="1344">
        <f>+SUMIF(Septembre!$BK$20:$BK$50,Octobre!AT9,'Retenue Sept'!$D$18:$D$48)</f>
        <v>0</v>
      </c>
      <c r="AE39" s="1344">
        <f>+SUMIF(Novembre!$BK$20:$BK$50,Octobre!AT9,'Retenue Nov'!$D$18:$D$48)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infoA3</v>
      </c>
      <c r="BB39" s="107">
        <f t="shared" si="31"/>
        <v>45952</v>
      </c>
      <c r="BC39" s="172">
        <f>+$D$13+21</f>
        <v>45952</v>
      </c>
      <c r="BD39" s="173" t="str">
        <f t="shared" si="32"/>
        <v/>
      </c>
      <c r="BE39" s="173" t="str">
        <f>+IF(OR(BF39=S.CAL!$BJ$3,BF39=S.CAL!$BJ$4),BD39,"")</f>
        <v/>
      </c>
      <c r="BF39" s="351">
        <f>IF($DY$5=S.CAL!$CU$2,Octobre!AR41,IF($DY$5=S.CAL!$CU$3,VLOOKUP(BC39,planning_fp,7,FALSE),""))</f>
        <v>0</v>
      </c>
      <c r="BG39" s="363" t="str">
        <f>Octobre!BL41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45952</v>
      </c>
      <c r="CF39" s="172">
        <f>+$D$13+21</f>
        <v>45952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45952</v>
      </c>
      <c r="EM39" s="16" t="str">
        <f t="shared" si="29"/>
        <v>Fiche infoA345952</v>
      </c>
      <c r="EN39" s="16">
        <f t="shared" si="20"/>
        <v>0</v>
      </c>
      <c r="EQ39" s="16" t="str">
        <f>Octobre!FS41</f>
        <v/>
      </c>
    </row>
    <row r="40" spans="1:147" ht="18" customHeight="1" x14ac:dyDescent="0.2">
      <c r="A40" s="24" t="str">
        <f>+Octobre!BJ42</f>
        <v>Fiche infoA4</v>
      </c>
      <c r="B40" s="107">
        <f t="shared" si="30"/>
        <v>45953</v>
      </c>
      <c r="C40" s="172">
        <f>+$D$13+22</f>
        <v>45953</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Octobre!BC42</f>
        <v>0</v>
      </c>
      <c r="J40" s="34">
        <f>Octobre!BE42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infoA4</v>
      </c>
      <c r="BB40" s="107">
        <f t="shared" si="31"/>
        <v>45953</v>
      </c>
      <c r="BC40" s="172">
        <f>+$D$13+22</f>
        <v>45953</v>
      </c>
      <c r="BD40" s="173" t="str">
        <f t="shared" si="32"/>
        <v/>
      </c>
      <c r="BE40" s="173" t="str">
        <f>+IF(OR(BF40=S.CAL!$BJ$3,BF40=S.CAL!$BJ$4),BD40,"")</f>
        <v/>
      </c>
      <c r="BF40" s="351">
        <f>IF($DY$5=S.CAL!$CU$2,Octobre!AR42,IF($DY$5=S.CAL!$CU$3,VLOOKUP(BC40,planning_fp,7,FALSE),""))</f>
        <v>0</v>
      </c>
      <c r="BG40" s="363" t="str">
        <f>Octobre!BL42</f>
        <v>A</v>
      </c>
      <c r="BH40" s="373"/>
      <c r="BI40" s="373"/>
      <c r="BJ40" s="373"/>
      <c r="BK40" s="373"/>
      <c r="BL40" s="35"/>
      <c r="BN40" s="19"/>
      <c r="BO40" s="39"/>
      <c r="BP40" s="196"/>
      <c r="BV40" s="373"/>
      <c r="BW40" s="373"/>
      <c r="BX40" s="390"/>
      <c r="BY40" s="373"/>
      <c r="BZ40" s="373"/>
      <c r="CA40" s="373"/>
      <c r="CB40" s="373"/>
      <c r="CD40" s="346"/>
      <c r="CE40" s="107">
        <f t="shared" si="33"/>
        <v>45953</v>
      </c>
      <c r="CF40" s="172">
        <f>+$D$13+22</f>
        <v>45953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45953</v>
      </c>
      <c r="EM40" s="16" t="str">
        <f t="shared" si="29"/>
        <v>Fiche infoA445953</v>
      </c>
      <c r="EN40" s="16">
        <f t="shared" si="20"/>
        <v>0</v>
      </c>
      <c r="EQ40" s="16" t="str">
        <f>Octobre!FS42</f>
        <v/>
      </c>
    </row>
    <row r="41" spans="1:147" ht="18" customHeight="1" x14ac:dyDescent="0.2">
      <c r="A41" s="24" t="str">
        <f>+Octobre!BJ43</f>
        <v>Fiche infoA5</v>
      </c>
      <c r="B41" s="107">
        <f t="shared" si="30"/>
        <v>45954</v>
      </c>
      <c r="C41" s="172">
        <f>+$D$13+23</f>
        <v>45954</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Octobre!BC43</f>
        <v>0</v>
      </c>
      <c r="J41" s="34">
        <f>Octobre!BE43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infoA5</v>
      </c>
      <c r="BB41" s="107">
        <f t="shared" si="31"/>
        <v>45954</v>
      </c>
      <c r="BC41" s="172">
        <f>+$D$13+23</f>
        <v>45954</v>
      </c>
      <c r="BD41" s="173" t="str">
        <f t="shared" si="32"/>
        <v/>
      </c>
      <c r="BE41" s="173" t="str">
        <f>+IF(OR(BF41=S.CAL!$BJ$3,BF41=S.CAL!$BJ$4),BD41,"")</f>
        <v/>
      </c>
      <c r="BF41" s="351">
        <f>IF($DY$5=S.CAL!$CU$2,Octobre!AR43,IF($DY$5=S.CAL!$CU$3,VLOOKUP(BC41,planning_fp,7,FALSE),""))</f>
        <v>0</v>
      </c>
      <c r="BG41" s="363" t="str">
        <f>Octobre!BL43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45954</v>
      </c>
      <c r="CF41" s="172">
        <f>+$D$13+23</f>
        <v>45954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45954</v>
      </c>
      <c r="EM41" s="16" t="str">
        <f t="shared" si="29"/>
        <v>Fiche infoA545954</v>
      </c>
      <c r="EN41" s="16">
        <f t="shared" si="20"/>
        <v>0</v>
      </c>
      <c r="EQ41" s="16" t="str">
        <f>Octobre!FS43</f>
        <v/>
      </c>
    </row>
    <row r="42" spans="1:147" ht="18" customHeight="1" x14ac:dyDescent="0.2">
      <c r="A42" s="24" t="str">
        <f>+Octobre!BJ44</f>
        <v>Fiche infoA6</v>
      </c>
      <c r="B42" s="107">
        <f t="shared" si="30"/>
        <v>45955</v>
      </c>
      <c r="C42" s="172">
        <f>+$D$13+24</f>
        <v>45955</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Octobre!BC44</f>
        <v>0</v>
      </c>
      <c r="J42" s="34">
        <f>Octobre!BE44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infoA6</v>
      </c>
      <c r="BB42" s="107">
        <f t="shared" si="31"/>
        <v>45955</v>
      </c>
      <c r="BC42" s="172">
        <f>+$D$13+24</f>
        <v>45955</v>
      </c>
      <c r="BD42" s="173" t="str">
        <f t="shared" si="32"/>
        <v/>
      </c>
      <c r="BE42" s="173" t="str">
        <f>+IF(OR(BF42=S.CAL!$BJ$3,BF42=S.CAL!$BJ$4),BD42,"")</f>
        <v/>
      </c>
      <c r="BF42" s="351">
        <f>IF($DY$5=S.CAL!$CU$2,Octobre!AR44,IF($DY$5=S.CAL!$CU$3,VLOOKUP(BC42,planning_fp,7,FALSE),""))</f>
        <v>0</v>
      </c>
      <c r="BG42" s="363" t="str">
        <f>Octobre!BL44</f>
        <v>A</v>
      </c>
      <c r="BH42" s="374"/>
      <c r="BI42" s="376"/>
      <c r="BJ42" s="373"/>
      <c r="BK42" s="373"/>
      <c r="BL42" s="35"/>
      <c r="BV42" s="373"/>
      <c r="BW42" s="373"/>
      <c r="BX42" s="373"/>
      <c r="BY42" s="373"/>
      <c r="BZ42" s="373"/>
      <c r="CA42" s="373"/>
      <c r="CB42" s="373"/>
      <c r="CD42" s="346"/>
      <c r="CE42" s="107">
        <f t="shared" si="33"/>
        <v>45955</v>
      </c>
      <c r="CF42" s="172">
        <f>+$D$13+24</f>
        <v>45955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45955</v>
      </c>
      <c r="EM42" s="16" t="str">
        <f t="shared" si="29"/>
        <v>Fiche infoA645955</v>
      </c>
      <c r="EN42" s="16">
        <f t="shared" si="20"/>
        <v>0</v>
      </c>
      <c r="EQ42" s="16" t="str">
        <f>Octobre!FS44</f>
        <v/>
      </c>
    </row>
    <row r="43" spans="1:147" ht="18" customHeight="1" x14ac:dyDescent="0.2">
      <c r="A43" s="24" t="str">
        <f>+Octobre!BJ45</f>
        <v>Fiche infoA7</v>
      </c>
      <c r="B43" s="107">
        <f t="shared" si="30"/>
        <v>45956</v>
      </c>
      <c r="C43" s="172">
        <f>+$D$13+25</f>
        <v>45956</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Octobre!BC45</f>
        <v>0</v>
      </c>
      <c r="J43" s="34">
        <f>Octobre!BE45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infoA7</v>
      </c>
      <c r="BB43" s="107">
        <f t="shared" si="31"/>
        <v>45956</v>
      </c>
      <c r="BC43" s="172">
        <f>+$D$13+25</f>
        <v>45956</v>
      </c>
      <c r="BD43" s="173" t="str">
        <f t="shared" si="32"/>
        <v/>
      </c>
      <c r="BE43" s="173" t="str">
        <f>+IF(OR(BF43=S.CAL!$BJ$3,BF43=S.CAL!$BJ$4),BD43,"")</f>
        <v/>
      </c>
      <c r="BF43" s="351">
        <f>IF($DY$5=S.CAL!$CU$2,Octobre!AR45,IF($DY$5=S.CAL!$CU$3,VLOOKUP(BC43,planning_fp,7,FALSE),""))</f>
        <v>0</v>
      </c>
      <c r="BG43" s="363" t="str">
        <f>Octobre!BL45</f>
        <v>A</v>
      </c>
      <c r="BH43" s="24"/>
      <c r="BI43" s="24" t="s">
        <v>708</v>
      </c>
      <c r="BJ43" s="24"/>
      <c r="BK43" s="373"/>
      <c r="BL43" s="35"/>
      <c r="BV43" s="373"/>
      <c r="BW43" s="373"/>
      <c r="BX43" s="373"/>
      <c r="BY43" s="373"/>
      <c r="BZ43" s="373"/>
      <c r="CA43" s="373"/>
      <c r="CB43" s="373"/>
      <c r="CD43" s="346"/>
      <c r="CE43" s="107">
        <f t="shared" si="33"/>
        <v>45956</v>
      </c>
      <c r="CF43" s="172">
        <f>+$D$13+25</f>
        <v>45956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45956</v>
      </c>
      <c r="EM43" s="16" t="str">
        <f t="shared" si="29"/>
        <v>Fiche infoA745956</v>
      </c>
      <c r="EN43" s="16">
        <f t="shared" si="20"/>
        <v>0</v>
      </c>
      <c r="EQ43" s="16" t="str">
        <f>Octobre!FS45</f>
        <v/>
      </c>
    </row>
    <row r="44" spans="1:147" ht="18" customHeight="1" x14ac:dyDescent="0.25">
      <c r="A44" s="24" t="str">
        <f>+Octobre!BJ46</f>
        <v>Fiche infoA1</v>
      </c>
      <c r="B44" s="107">
        <f t="shared" si="30"/>
        <v>45957</v>
      </c>
      <c r="C44" s="172">
        <f>+$D$13+26</f>
        <v>45957</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Octobre!BC46</f>
        <v>0</v>
      </c>
      <c r="J44" s="34">
        <f>Octobre!BE46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infoA1</v>
      </c>
      <c r="BB44" s="107">
        <f t="shared" si="31"/>
        <v>45957</v>
      </c>
      <c r="BC44" s="172">
        <f>+$D$13+26</f>
        <v>45957</v>
      </c>
      <c r="BD44" s="173" t="str">
        <f t="shared" si="32"/>
        <v/>
      </c>
      <c r="BE44" s="173" t="str">
        <f>+IF(OR(BF44=S.CAL!$BJ$3,BF44=S.CAL!$BJ$4),BD44,"")</f>
        <v/>
      </c>
      <c r="BF44" s="351">
        <f>IF($DY$5=S.CAL!$CU$2,Octobre!AR46,IF($DY$5=S.CAL!$CU$3,VLOOKUP(BC44,planning_fp,7,FALSE),""))</f>
        <v>0</v>
      </c>
      <c r="BG44" s="363" t="str">
        <f>Octobre!BL46</f>
        <v>A</v>
      </c>
      <c r="BH44" s="24" t="s">
        <v>800</v>
      </c>
      <c r="BI44" s="24"/>
      <c r="BJ44" s="24"/>
      <c r="BK44" s="373"/>
      <c r="BL44" s="35"/>
      <c r="BV44" s="373"/>
      <c r="BW44" s="373"/>
      <c r="BX44" s="373"/>
      <c r="BY44" s="373"/>
      <c r="BZ44" s="373"/>
      <c r="CA44" s="373"/>
      <c r="CB44" s="373"/>
      <c r="CD44" s="346"/>
      <c r="CE44" s="107">
        <f t="shared" si="33"/>
        <v>45957</v>
      </c>
      <c r="CF44" s="172">
        <f>+$D$13+26</f>
        <v>45957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45957</v>
      </c>
      <c r="EM44" s="16" t="str">
        <f t="shared" si="29"/>
        <v>Fiche infoA145957</v>
      </c>
      <c r="EN44" s="16">
        <f t="shared" si="20"/>
        <v>0</v>
      </c>
      <c r="EQ44" s="16" t="str">
        <f>Octobre!FS46</f>
        <v/>
      </c>
    </row>
    <row r="45" spans="1:147" ht="18" customHeight="1" x14ac:dyDescent="0.2">
      <c r="A45" s="24" t="str">
        <f>+Octobre!BJ47</f>
        <v>Fiche infoA2</v>
      </c>
      <c r="B45" s="107">
        <f t="shared" si="30"/>
        <v>45958</v>
      </c>
      <c r="C45" s="172">
        <f>IF(C$18+27&lt;DATE(YEAR(O$13),MONTH(O$13),DAY(O$13)),C$18+27,"")</f>
        <v>45958</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Octobre!BC47</f>
        <v>0</v>
      </c>
      <c r="J45" s="34">
        <f>Octobre!BE47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infoA2</v>
      </c>
      <c r="BB45" s="107">
        <f t="shared" si="31"/>
        <v>45958</v>
      </c>
      <c r="BC45" s="172">
        <f>IF(BC$18+27&lt;DATE(YEAR(BH$13),MONTH(BH$13),DAY(BH$13)),BC$18+27,"")</f>
        <v>45958</v>
      </c>
      <c r="BD45" s="173" t="str">
        <f t="shared" si="32"/>
        <v/>
      </c>
      <c r="BE45" s="173" t="str">
        <f>+IF(OR(BF45=S.CAL!$BJ$3,BF45=S.CAL!$BJ$4),BD45,"")</f>
        <v/>
      </c>
      <c r="BF45" s="351">
        <f>IF($DY$5=S.CAL!$CU$2,Octobre!AR47,IF($DY$5=S.CAL!$CU$3,VLOOKUP(BC45,planning_fp,7,FALSE),""))</f>
        <v>0</v>
      </c>
      <c r="BG45" s="363" t="str">
        <f>Octobre!BL47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45958</v>
      </c>
      <c r="CF45" s="172">
        <f>IF(CF$18+27&lt;DATE(YEAR(CQ$13),MONTH(CQ$13),DAY(CQ$13)),CF$18+27,"")</f>
        <v>45958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45958</v>
      </c>
      <c r="EM45" s="16" t="str">
        <f t="shared" si="29"/>
        <v>Fiche infoA245958</v>
      </c>
      <c r="EN45" s="16">
        <f t="shared" si="20"/>
        <v>0</v>
      </c>
      <c r="EQ45" s="16" t="str">
        <f>Octobre!FS47</f>
        <v/>
      </c>
    </row>
    <row r="46" spans="1:147" ht="18" customHeight="1" x14ac:dyDescent="0.2">
      <c r="A46" s="24" t="str">
        <f>+Octobre!BJ48</f>
        <v>Fiche infoA3</v>
      </c>
      <c r="B46" s="107">
        <f t="shared" si="30"/>
        <v>45959</v>
      </c>
      <c r="C46" s="172">
        <f>IF(C$18+28&lt;DATE(YEAR(O$13),MONTH(O$13),DAY(O$13)),C$18+28,"")</f>
        <v>45959</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Octobre!BC48</f>
        <v>0</v>
      </c>
      <c r="J46" s="34">
        <f>Octobre!BE48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infoA3</v>
      </c>
      <c r="BB46" s="107">
        <f t="shared" si="31"/>
        <v>45959</v>
      </c>
      <c r="BC46" s="172">
        <f>IF(BC$18+28&lt;DATE(YEAR(BH$13),MONTH(BH$13),DAY(BH$13)),BC$18+28,"")</f>
        <v>45959</v>
      </c>
      <c r="BD46" s="173" t="str">
        <f t="shared" si="32"/>
        <v/>
      </c>
      <c r="BE46" s="173" t="str">
        <f>+IF(OR(BF46=S.CAL!$BJ$3,BF46=S.CAL!$BJ$4),BD46,"")</f>
        <v/>
      </c>
      <c r="BF46" s="351">
        <f>IF($DY$5=S.CAL!$CU$2,Octobre!AR48,IF($DY$5=S.CAL!$CU$3,VLOOKUP(BC46,planning_fp,7,FALSE),""))</f>
        <v>0</v>
      </c>
      <c r="BG46" s="363" t="str">
        <f>Octobre!BL48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45959</v>
      </c>
      <c r="CF46" s="172">
        <f>IF(CF$18+28&lt;DATE(YEAR(CQ$13),MONTH(CQ$13),DAY(CQ$13)),CF$18+28,"")</f>
        <v>45959</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45959</v>
      </c>
      <c r="EM46" s="16" t="str">
        <f t="shared" si="29"/>
        <v>Fiche infoA345959</v>
      </c>
      <c r="EN46" s="16">
        <f t="shared" si="20"/>
        <v>0</v>
      </c>
      <c r="EQ46" s="16" t="str">
        <f>Octobre!FS48</f>
        <v/>
      </c>
    </row>
    <row r="47" spans="1:147" ht="18" customHeight="1" x14ac:dyDescent="0.2">
      <c r="A47" s="24" t="str">
        <f>+Octobre!BJ49</f>
        <v>Fiche infoA4</v>
      </c>
      <c r="B47" s="107">
        <f t="shared" si="30"/>
        <v>45960</v>
      </c>
      <c r="C47" s="172">
        <f>IF(C$18+29&lt;DATE(YEAR(O$13),MONTH(O$13),DAY(O$13)),C$18+29,"")</f>
        <v>45960</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Octobre!BC49</f>
        <v>0</v>
      </c>
      <c r="J47" s="34">
        <f>Octobre!BE49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infoA4</v>
      </c>
      <c r="BB47" s="107">
        <f t="shared" si="31"/>
        <v>45960</v>
      </c>
      <c r="BC47" s="172">
        <f>IF(BC$18+29&lt;DATE(YEAR(BH$13),MONTH(BH$13),DAY(BH$13)),BC$18+29,"")</f>
        <v>45960</v>
      </c>
      <c r="BD47" s="173" t="str">
        <f t="shared" si="32"/>
        <v/>
      </c>
      <c r="BE47" s="173" t="str">
        <f>+IF(OR(BF47=S.CAL!$BJ$3,BF47=S.CAL!$BJ$4),BD47,"")</f>
        <v/>
      </c>
      <c r="BF47" s="351">
        <f>IF($DY$5=S.CAL!$CU$2,Octobre!AR49,IF($DY$5=S.CAL!$CU$3,VLOOKUP(BC47,planning_fp,7,FALSE),""))</f>
        <v>0</v>
      </c>
      <c r="BG47" s="363" t="str">
        <f>Octobre!BL49</f>
        <v>A</v>
      </c>
      <c r="BH47" s="373"/>
      <c r="BI47" s="373"/>
      <c r="BJ47" s="373"/>
      <c r="BK47" s="373"/>
      <c r="BL47" s="35"/>
      <c r="BV47" s="373"/>
      <c r="BW47" s="373"/>
      <c r="BX47" s="373"/>
      <c r="BY47" s="373"/>
      <c r="BZ47" s="373"/>
      <c r="CA47" s="373"/>
      <c r="CB47" s="373"/>
      <c r="CD47" s="346"/>
      <c r="CE47" s="107">
        <f t="shared" si="33"/>
        <v>45960</v>
      </c>
      <c r="CF47" s="172">
        <f>IF(CF$18+29&lt;DATE(YEAR(CQ$13),MONTH(CQ$13),DAY(CQ$13)),CF$18+29,"")</f>
        <v>45960</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45960</v>
      </c>
      <c r="EM47" s="16" t="str">
        <f t="shared" si="29"/>
        <v>Fiche infoA445960</v>
      </c>
      <c r="EN47" s="16">
        <f t="shared" si="20"/>
        <v>0</v>
      </c>
      <c r="EQ47" s="16" t="str">
        <f>Octobre!FS49</f>
        <v/>
      </c>
    </row>
    <row r="48" spans="1:147" ht="18" customHeight="1" thickBot="1" x14ac:dyDescent="0.25">
      <c r="A48" s="24" t="str">
        <f>+Octobre!BJ50</f>
        <v>Fiche infoA5</v>
      </c>
      <c r="B48" s="110">
        <f t="shared" si="30"/>
        <v>45961</v>
      </c>
      <c r="C48" s="192">
        <f>IF(C$18+30&lt;DATE(YEAR(O$13),MONTH(O$13),DAY(O$13)),C$18+30,"")</f>
        <v>45961</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Octobre!BC50</f>
        <v>0</v>
      </c>
      <c r="J48" s="34">
        <f>Octobre!BE50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40</v>
      </c>
      <c r="X48" s="2482"/>
      <c r="Y48" s="2482"/>
      <c r="Z48" s="1345" t="str">
        <f>+IF(Z34="","",Z34)</f>
        <v/>
      </c>
      <c r="AA48" s="1338">
        <f>+IF(Z48="",IF(AND(AD48&gt;0,AC48&gt;0),AD48+AC48,IF(AE48&gt;0,0,AC48)),Z48)</f>
        <v>0</v>
      </c>
      <c r="AB48" s="1338">
        <f>IF(AA48&gt;45,AA48-45,0)</f>
        <v>0</v>
      </c>
      <c r="AC48" s="1344">
        <f>+SUMIF(Octobre!$BK$20:$BK$50,Octobre!AT4,$D$18:$D$48)-SUMIF(Octobre!$BK$20:$BK$50,Octobre!AT4,$E$18:$E$48)</f>
        <v>0</v>
      </c>
      <c r="AD48" s="1344">
        <f>+SUMIF(Septembre!$BK$20:$BK$50,Octobre!AT4,'Retenue Sept'!$D$18:$D$48)-SUMIF(Septembre!$BK$20:$BK$50,Octobre!AT4,'Retenue Sept'!$E$18:$E$48)</f>
        <v>0</v>
      </c>
      <c r="AE48" s="1344">
        <f>+SUMIF(Novembre!$BK$20:$BK$50,Octobre!AT4,'Retenue Nov'!$D$18:$D$48)-SUMIF(Novembre!$BK$20:$BK$50,Octobre!AT4,'Retenue Nov'!$E$18:$E$48)</f>
        <v>0</v>
      </c>
      <c r="AF48" s="1338">
        <f>+AC48-AB48</f>
        <v>0</v>
      </c>
      <c r="AK48" s="1211"/>
      <c r="AL48" s="1224"/>
      <c r="AO48" s="1224">
        <f>+AN39*AL26</f>
        <v>0</v>
      </c>
      <c r="AP48" s="1224">
        <f>+AO48*(1-AX21)</f>
        <v>0</v>
      </c>
      <c r="AQ48" s="1224">
        <f>+AO48-AP48</f>
        <v>0</v>
      </c>
      <c r="BA48" s="349" t="str">
        <f t="shared" si="16"/>
        <v>Fiche infoA5</v>
      </c>
      <c r="BB48" s="110">
        <f t="shared" si="31"/>
        <v>45961</v>
      </c>
      <c r="BC48" s="192">
        <f>IF(BC$18+30&lt;DATE(YEAR(BH$13),MONTH(BH$13),DAY(BH$13)),BC$18+30,"")</f>
        <v>45961</v>
      </c>
      <c r="BD48" s="193" t="str">
        <f t="shared" si="32"/>
        <v/>
      </c>
      <c r="BE48" s="193" t="str">
        <f>+IF(OR(BF48=S.CAL!$BJ$3,BF48=S.CAL!$BJ$4),BD48,"")</f>
        <v/>
      </c>
      <c r="BF48" s="352">
        <f>IF($DY$5=S.CAL!$CU$2,Octobre!AR50,IF($DY$5=S.CAL!$CU$3,VLOOKUP(BC48,planning_fp,7,FALSE),""))</f>
        <v>0</v>
      </c>
      <c r="BG48" s="364" t="str">
        <f>Octobre!BL50</f>
        <v>A</v>
      </c>
      <c r="BH48" s="374"/>
      <c r="BI48" s="373"/>
      <c r="BJ48" s="373"/>
      <c r="BK48" s="373"/>
      <c r="BL48" s="35"/>
      <c r="BQ48" s="16" t="s">
        <v>846</v>
      </c>
      <c r="BV48" s="373"/>
      <c r="BW48" s="373"/>
      <c r="BX48" s="373" t="s">
        <v>846</v>
      </c>
      <c r="BZ48" s="373"/>
      <c r="CA48" s="373"/>
      <c r="CB48" s="373"/>
      <c r="CD48" s="346"/>
      <c r="CE48" s="110">
        <f t="shared" si="33"/>
        <v>45961</v>
      </c>
      <c r="CF48" s="192">
        <f>IF(CF$18+30&lt;DATE(YEAR(CQ$13),MONTH(CQ$13),DAY(CQ$13)),CF$18+30,"")</f>
        <v>45961</v>
      </c>
      <c r="CG48" s="193">
        <f t="shared" si="22"/>
        <v>0</v>
      </c>
      <c r="CH48" s="34"/>
      <c r="CI48" s="2491" t="str">
        <f t="shared" ref="CI48:CI53" si="56">W48</f>
        <v>Semaine numéro : 40</v>
      </c>
      <c r="CJ48" s="2492"/>
      <c r="CK48" s="2493"/>
      <c r="CL48" s="893" t="str">
        <f>+IF(CL34="","",CL34)</f>
        <v/>
      </c>
      <c r="CM48" s="674">
        <f>+IF(CL48="",IF(AND(CP48&gt;0,CO48&gt;0),CP48+CO48,IF(CQ48&gt;0,0,CO48)),CL48)</f>
        <v>0</v>
      </c>
      <c r="CN48" s="673">
        <f>IF(CM48&gt;45,CM48-45,0)</f>
        <v>0</v>
      </c>
      <c r="CO48" s="198">
        <f>+SUMIF(Octobre!$BK$20:$BK$50,Octobre!AT4,$CG$18:$CG$48)</f>
        <v>0</v>
      </c>
      <c r="CP48" s="198">
        <f>+SUMIF(Septembre!$BK$20:$BK$50,Octobre!AT4,'Retenue Sept'!$CG$18:$CG$48)</f>
        <v>0</v>
      </c>
      <c r="CQ48" s="198">
        <f>+SUMIF(Novembre!$BK$20:$BK$50,Octobre!AT4,'Retenue Nov'!$CG$18:$CG$48)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45961</v>
      </c>
      <c r="EM48" s="16" t="str">
        <f t="shared" si="29"/>
        <v>Fiche infoA545961</v>
      </c>
      <c r="EN48" s="16">
        <f t="shared" si="20"/>
        <v>0</v>
      </c>
      <c r="EQ48" s="16" t="str">
        <f>Octobre!FS50</f>
        <v/>
      </c>
    </row>
    <row r="49" spans="2:139" ht="18" customHeight="1" thickBot="1" x14ac:dyDescent="0.25">
      <c r="N49" s="24"/>
      <c r="O49" s="24"/>
      <c r="P49" s="24"/>
      <c r="Q49" s="24"/>
      <c r="R49" s="24"/>
      <c r="S49" s="1347"/>
      <c r="U49" s="1323"/>
      <c r="V49" s="1323"/>
      <c r="W49" s="2482" t="str">
        <f t="shared" si="55"/>
        <v>Semaine numéro : 41</v>
      </c>
      <c r="X49" s="2482"/>
      <c r="Y49" s="2482"/>
      <c r="Z49" s="1345" t="str">
        <f t="shared" ref="Z49:Z53" si="57">+IF(Z35="","",Z35)</f>
        <v/>
      </c>
      <c r="AA49" s="1338">
        <f t="shared" ref="AA49:AA53" si="58">+IF(Z49="",IF(AND(AD49&gt;0,AC49&gt;0),AD49+AC49,IF(AE49&gt;0,0,AC49)),Z49)</f>
        <v>0</v>
      </c>
      <c r="AB49" s="1338">
        <f t="shared" ref="AB49:AB53" si="59">IF(AA49&gt;45,AA49-45,0)</f>
        <v>0</v>
      </c>
      <c r="AC49" s="1344">
        <f>+SUMIF(Octobre!$BK$20:$BK$50,Octobre!AT5,$D$18:$D$48)-SUMIF(Octobre!$BK$20:$BK$50,Octobre!AT5,$E$18:$E$48)</f>
        <v>0</v>
      </c>
      <c r="AD49" s="1344">
        <f>+SUMIF(Septembre!$BK$20:$BK$50,Octobre!AT5,'Retenue Sept'!$D$18:$D$48)-SUMIF(Septembre!$BK$20:$BK$50,Octobre!AT5,'Retenue Sept'!$E$18:$E$48)</f>
        <v>0</v>
      </c>
      <c r="AE49" s="1344">
        <f>+SUMIF(Novembre!$BK$20:$BK$50,Octobre!AT5,'Retenue Nov'!$D$18:$D$48)-SUMIF(Novembre!$BK$20:$BK$50,Octobre!AT5,'Retenue Nov'!$E$18:$E$48)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41</v>
      </c>
      <c r="CJ49" s="2492"/>
      <c r="CK49" s="2493"/>
      <c r="CL49" s="893" t="str">
        <f t="shared" ref="CL49:CL53" si="61">+IF(CL35="","",CL35)</f>
        <v/>
      </c>
      <c r="CM49" s="674">
        <f t="shared" ref="CM49:CM53" si="62">+IF(CL49="",IF(AND(CP49&gt;0,CO49&gt;0),CP49+CO49,IF(CQ49&gt;0,0,CO49)),CL49)</f>
        <v>0</v>
      </c>
      <c r="CN49" s="673">
        <f t="shared" ref="CN49:CN53" si="63">IF(CM49&gt;45,CM49-45,0)</f>
        <v>0</v>
      </c>
      <c r="CO49" s="198">
        <f>+SUMIF(Octobre!$BK$20:$BK$50,Octobre!AT5,$CG$18:$CG$48)</f>
        <v>0</v>
      </c>
      <c r="CP49" s="198">
        <f>+SUMIF(Septembre!$BK$20:$BK$50,Octobre!AT5,'Retenue Sept'!$CG$18:$CG$48)</f>
        <v>0</v>
      </c>
      <c r="CQ49" s="198">
        <f>+SUMIF(Novembre!$BK$20:$BK$50,Octobre!AT5,'Retenue Nov'!$CG$18:$CG$48)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42</v>
      </c>
      <c r="X50" s="2482"/>
      <c r="Y50" s="2482"/>
      <c r="Z50" s="1345" t="str">
        <f t="shared" si="57"/>
        <v/>
      </c>
      <c r="AA50" s="1338">
        <f t="shared" si="58"/>
        <v>0</v>
      </c>
      <c r="AB50" s="1338">
        <f t="shared" si="59"/>
        <v>0</v>
      </c>
      <c r="AC50" s="1344">
        <f>+SUMIF(Octobre!$BK$20:$BK$50,Octobre!AT6,$D$18:$D$48)-SUMIF(Octobre!$BK$20:$BK$50,Octobre!AT6,$E$18:$E$48)</f>
        <v>0</v>
      </c>
      <c r="AD50" s="1344">
        <f>+SUMIF(Septembre!$BK$20:$BK$50,Octobre!AT6,'Retenue Sept'!$D$18:$D$48)-SUMIF(Septembre!$BK$20:$BK$50,Octobre!AT6,'Retenue Sept'!$E$18:$E$48)</f>
        <v>0</v>
      </c>
      <c r="AE50" s="1344">
        <f>+SUMIF(Novembre!$BK$20:$BK$50,Octobre!AT6,'Retenue Nov'!$D$18:$D$48)-SUMIF(Novembre!$BK$20:$BK$50,Octobre!AT6,'Retenue Nov'!$E$18:$E$48)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42</v>
      </c>
      <c r="CJ50" s="2492"/>
      <c r="CK50" s="2493"/>
      <c r="CL50" s="893" t="str">
        <f t="shared" si="61"/>
        <v/>
      </c>
      <c r="CM50" s="674">
        <f t="shared" si="62"/>
        <v>0</v>
      </c>
      <c r="CN50" s="673">
        <f t="shared" si="63"/>
        <v>0</v>
      </c>
      <c r="CO50" s="198">
        <f>+SUMIF(Octobre!$BK$20:$BK$50,Octobre!AT6,$CG$18:$CG$48)</f>
        <v>0</v>
      </c>
      <c r="CP50" s="198">
        <f>+SUMIF(Septembre!$BK$20:$BK$50,Octobre!AT6,'Retenue Sept'!$CG$18:$CG$48)</f>
        <v>0</v>
      </c>
      <c r="CQ50" s="198">
        <f>+SUMIF(Novembre!$BK$20:$BK$50,Octobre!AT6,'Retenue Nov'!$CG$18:$CG$48)</f>
        <v>0</v>
      </c>
      <c r="CR50" s="674">
        <f t="shared" si="64"/>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5"/>
        <v>Semaine numéro : 43</v>
      </c>
      <c r="X51" s="2482"/>
      <c r="Y51" s="2482"/>
      <c r="Z51" s="1345" t="str">
        <f t="shared" si="57"/>
        <v/>
      </c>
      <c r="AA51" s="1338">
        <f t="shared" si="58"/>
        <v>0</v>
      </c>
      <c r="AB51" s="1338">
        <f t="shared" si="59"/>
        <v>0</v>
      </c>
      <c r="AC51" s="1344">
        <f>+SUMIF(Octobre!$BK$20:$BK$50,Octobre!AT7,$D$18:$D$48)-SUMIF(Octobre!$BK$20:$BK$50,Octobre!AT7,$E$18:$E$48)</f>
        <v>0</v>
      </c>
      <c r="AD51" s="1344">
        <f>+SUMIF(Septembre!$BK$20:$BK$50,Octobre!AT7,'Retenue Sept'!$D$18:$D$48)-SUMIF(Septembre!$BK$20:$BK$50,Octobre!AT7,'Retenue Sept'!$E$18:$E$48)</f>
        <v>0</v>
      </c>
      <c r="AE51" s="1344">
        <f>+SUMIF(Novembre!$BK$20:$BK$50,Octobre!AT7,'Retenue Nov'!$D$18:$D$48)-SUMIF(Novembre!$BK$20:$BK$50,Octobre!AT7,'Retenue Nov'!$E$18:$E$48)</f>
        <v>0</v>
      </c>
      <c r="AF51" s="1338">
        <f t="shared" si="60"/>
        <v>0</v>
      </c>
      <c r="AG51" s="1349"/>
      <c r="AJ51" s="1326"/>
      <c r="AK51" s="1327"/>
      <c r="AL51" s="1329"/>
      <c r="BA51" s="346"/>
      <c r="BD51" s="369" t="s">
        <v>758</v>
      </c>
      <c r="BE51" s="194">
        <f>+SUMIFS(BE18:BE48,BF18:BF48,S.CAL!BJ3)</f>
        <v>0</v>
      </c>
      <c r="BF51" s="370">
        <f>IF(Octobre!AZ90="",+COUNTIF(BF18:BF48,S.CAL!BJ3),Octobre!AZ90)</f>
        <v>0</v>
      </c>
      <c r="BL51" s="35"/>
      <c r="CD51" s="346"/>
      <c r="CI51" s="2491" t="str">
        <f t="shared" si="56"/>
        <v>Semaine numéro : 43</v>
      </c>
      <c r="CJ51" s="2492"/>
      <c r="CK51" s="2493"/>
      <c r="CL51" s="893" t="str">
        <f t="shared" si="61"/>
        <v/>
      </c>
      <c r="CM51" s="674">
        <f t="shared" si="62"/>
        <v>0</v>
      </c>
      <c r="CN51" s="673">
        <f t="shared" si="63"/>
        <v>0</v>
      </c>
      <c r="CO51" s="198">
        <f>+SUMIF(Octobre!$BK$20:$BK$50,Octobre!AT7,$CG$18:$CG$48)</f>
        <v>0</v>
      </c>
      <c r="CP51" s="198">
        <f>+SUMIF(Septembre!$BK$20:$BK$50,Octobre!AT7,'Retenue Sept'!$CG$18:$CG$48)</f>
        <v>0</v>
      </c>
      <c r="CQ51" s="198">
        <f>+SUMIF(Novembre!$BK$20:$BK$50,Octobre!AT7,'Retenue Nov'!$CG$18:$CG$48)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44</v>
      </c>
      <c r="X52" s="2482"/>
      <c r="Y52" s="2482"/>
      <c r="Z52" s="1345" t="str">
        <f t="shared" si="57"/>
        <v/>
      </c>
      <c r="AA52" s="1338">
        <f t="shared" si="58"/>
        <v>0</v>
      </c>
      <c r="AB52" s="1338">
        <f t="shared" si="59"/>
        <v>0</v>
      </c>
      <c r="AC52" s="1344">
        <f>+SUMIF(Octobre!$BK$20:$BK$50,Octobre!AT8,$D$18:$D$48)-SUMIF(Octobre!$BK$20:$BK$50,Octobre!AT8,$E$18:$E$48)</f>
        <v>0</v>
      </c>
      <c r="AD52" s="1344">
        <f>+SUMIF(Septembre!$BK$20:$BK$50,Octobre!AT8,'Retenue Sept'!$D$18:$D$48)-SUMIF(Septembre!$BK$20:$BK$50,Octobre!AT8,'Retenue Sept'!$E$18:$E$48)</f>
        <v>0</v>
      </c>
      <c r="AE52" s="1344">
        <f>+SUMIF(Novembre!$BK$20:$BK$50,Octobre!AT8,'Retenue Nov'!$D$18:$D$48)-SUMIF(Novembre!$BK$20:$BK$50,Octobre!AT8,'Retenue Nov'!$E$18:$E$48)</f>
        <v>0</v>
      </c>
      <c r="AF52" s="1338">
        <f t="shared" si="60"/>
        <v>0</v>
      </c>
      <c r="AO52" s="1211" t="s">
        <v>1126</v>
      </c>
      <c r="AP52" s="1348">
        <f>IF(AL22,+ROUND((AQ48+SUM(AQ39:AQ46))*AL34/AL22*Q11,2),0)</f>
        <v>0</v>
      </c>
      <c r="BA52" s="346"/>
      <c r="BD52" s="1363" t="s">
        <v>708</v>
      </c>
      <c r="BE52" s="1364">
        <f>+SUMIFS(BE18:BE48,BF18:BF48,S.CAL!BJ4)</f>
        <v>0</v>
      </c>
      <c r="BF52" s="1365">
        <f>IF(Octobre!BA90="",+COUNTIF(BF18:BF48,S.CAL!BJ4),Octobre!BA90)</f>
        <v>0</v>
      </c>
      <c r="BL52" s="35"/>
      <c r="BU52" s="16" t="s">
        <v>788</v>
      </c>
      <c r="BW52" s="357">
        <f>+BR46+BR49+BZ46+BZ49</f>
        <v>0</v>
      </c>
      <c r="CD52" s="346"/>
      <c r="CI52" s="2491" t="str">
        <f t="shared" si="56"/>
        <v>Semaine numéro : 44</v>
      </c>
      <c r="CJ52" s="2492"/>
      <c r="CK52" s="2493"/>
      <c r="CL52" s="893" t="str">
        <f t="shared" si="61"/>
        <v/>
      </c>
      <c r="CM52" s="674">
        <f t="shared" si="62"/>
        <v>0</v>
      </c>
      <c r="CN52" s="673">
        <f t="shared" si="63"/>
        <v>0</v>
      </c>
      <c r="CO52" s="198">
        <f>+SUMIF(Octobre!$BK$20:$BK$50,Octobre!AT8,$CG$18:$CG$48)</f>
        <v>0</v>
      </c>
      <c r="CP52" s="198">
        <f>+SUMIF(Septembre!$BK$20:$BK$50,Octobre!AT8,'Retenue Sept'!$CG$18:$CG$48)</f>
        <v>0</v>
      </c>
      <c r="CQ52" s="198">
        <f>+SUMIF(Novembre!$BK$20:$BK$50,Octobre!AT8,'Retenue Nov'!$CG$18:$CG$48)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+SUMIF(Octobre!$BK$20:$BK$50,Octobre!AT9,$D$18:$D$48)-SUMIF(Octobre!$BK$20:$BK$50,Octobre!AT9,$E$18:$E$48)</f>
        <v>0</v>
      </c>
      <c r="AD53" s="1344">
        <f>+SUMIF(Septembre!$BK$20:$BK$50,Octobre!AT9,'Retenue Sept'!$D$18:$D$48)-SUMIF(Septembre!$BK$20:$BK$50,Octobre!AT9,'Retenue Sept'!$E$18:$E$48)</f>
        <v>0</v>
      </c>
      <c r="AE53" s="1344">
        <f>+SUMIF(Novembre!$BK$20:$BK$50,Octobre!AT9,'Retenue Nov'!$D$18:$D$48)-SUMIF(Novembre!$BK$20:$BK$50,Octobre!AT9,'Retenue Nov'!$E$18:$E$48)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+SUMIF(Octobre!$BK$20:$BK$50,Octobre!AT9,$CG$18:$CG$48)</f>
        <v>0</v>
      </c>
      <c r="CP53" s="198">
        <f>+SUMIF(Septembre!$BK$20:$BK$50,Octobre!AT9,'Retenue Sept'!$CG$18:$CG$48)</f>
        <v>0</v>
      </c>
      <c r="CQ53" s="198">
        <f>+SUMIF(Novembre!$BK$20:$BK$50,Octobre!AT9,'Retenue Nov'!$CG$18:$CG$48)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45931</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45931</v>
      </c>
      <c r="C57" s="171">
        <f t="shared" si="65"/>
        <v>45931</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45932</v>
      </c>
      <c r="C58" s="172">
        <f t="shared" si="65"/>
        <v>45932</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45933</v>
      </c>
      <c r="C59" s="172">
        <f t="shared" si="65"/>
        <v>45933</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45934</v>
      </c>
      <c r="C60" s="172">
        <f t="shared" si="65"/>
        <v>45934</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45935</v>
      </c>
      <c r="C61" s="172">
        <f t="shared" si="65"/>
        <v>45935</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45936</v>
      </c>
      <c r="C62" s="172">
        <f t="shared" si="65"/>
        <v>45936</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45937</v>
      </c>
      <c r="C63" s="172">
        <f t="shared" si="65"/>
        <v>45937</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45938</v>
      </c>
      <c r="C64" s="172">
        <f t="shared" si="65"/>
        <v>45938</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45939</v>
      </c>
      <c r="C65" s="172">
        <f t="shared" si="65"/>
        <v>45939</v>
      </c>
      <c r="D65" s="173" t="str">
        <f t="shared" si="66"/>
        <v/>
      </c>
      <c r="E65" s="173" t="str">
        <f t="shared" si="69"/>
        <v/>
      </c>
      <c r="F65" s="1554" t="str">
        <f t="shared" si="67"/>
        <v/>
      </c>
      <c r="G65" s="1554" t="str">
        <f t="shared" si="68"/>
        <v/>
      </c>
      <c r="BA65" s="346"/>
      <c r="CD65" s="346"/>
    </row>
    <row r="66" spans="2:82" x14ac:dyDescent="0.2">
      <c r="B66" s="107">
        <f t="shared" si="65"/>
        <v>45940</v>
      </c>
      <c r="C66" s="172">
        <f t="shared" si="65"/>
        <v>45940</v>
      </c>
      <c r="D66" s="173" t="str">
        <f t="shared" si="66"/>
        <v/>
      </c>
      <c r="E66" s="173" t="str">
        <f t="shared" si="69"/>
        <v/>
      </c>
      <c r="F66" s="1554" t="str">
        <f t="shared" si="67"/>
        <v/>
      </c>
      <c r="G66" s="1554" t="str">
        <f t="shared" si="68"/>
        <v/>
      </c>
      <c r="BA66" s="346"/>
      <c r="CD66" s="346"/>
    </row>
    <row r="67" spans="2:82" x14ac:dyDescent="0.2">
      <c r="B67" s="107">
        <f t="shared" si="65"/>
        <v>45941</v>
      </c>
      <c r="C67" s="172">
        <f t="shared" si="65"/>
        <v>45941</v>
      </c>
      <c r="D67" s="173" t="str">
        <f t="shared" si="66"/>
        <v/>
      </c>
      <c r="E67" s="173" t="str">
        <f t="shared" si="69"/>
        <v/>
      </c>
      <c r="F67" s="1554" t="str">
        <f t="shared" si="67"/>
        <v/>
      </c>
      <c r="G67" s="1554" t="str">
        <f t="shared" si="68"/>
        <v/>
      </c>
      <c r="BA67" s="346"/>
      <c r="CD67" s="346"/>
    </row>
    <row r="68" spans="2:82" x14ac:dyDescent="0.2">
      <c r="B68" s="107">
        <f t="shared" si="65"/>
        <v>45942</v>
      </c>
      <c r="C68" s="172">
        <f t="shared" si="65"/>
        <v>45942</v>
      </c>
      <c r="D68" s="173" t="str">
        <f t="shared" si="66"/>
        <v/>
      </c>
      <c r="E68" s="173" t="str">
        <f t="shared" si="69"/>
        <v/>
      </c>
      <c r="F68" s="1554" t="str">
        <f t="shared" si="67"/>
        <v/>
      </c>
      <c r="G68" s="1554" t="str">
        <f t="shared" si="68"/>
        <v/>
      </c>
      <c r="AI68" s="1354" t="s">
        <v>338</v>
      </c>
      <c r="BA68" s="346"/>
      <c r="CD68" s="346"/>
    </row>
    <row r="69" spans="2:82" x14ac:dyDescent="0.2">
      <c r="B69" s="107">
        <f t="shared" si="65"/>
        <v>45943</v>
      </c>
      <c r="C69" s="172">
        <f t="shared" si="65"/>
        <v>45943</v>
      </c>
      <c r="D69" s="173" t="str">
        <f t="shared" si="66"/>
        <v/>
      </c>
      <c r="E69" s="173" t="str">
        <f t="shared" si="69"/>
        <v/>
      </c>
      <c r="F69" s="1554" t="str">
        <f t="shared" si="67"/>
        <v/>
      </c>
      <c r="G69" s="1554" t="str">
        <f t="shared" si="68"/>
        <v/>
      </c>
      <c r="BA69" s="346"/>
      <c r="CD69" s="346"/>
    </row>
    <row r="70" spans="2:82" x14ac:dyDescent="0.2">
      <c r="B70" s="107">
        <f t="shared" si="65"/>
        <v>45944</v>
      </c>
      <c r="C70" s="172">
        <f t="shared" si="65"/>
        <v>45944</v>
      </c>
      <c r="D70" s="173" t="str">
        <f t="shared" si="66"/>
        <v/>
      </c>
      <c r="E70" s="173" t="str">
        <f t="shared" si="69"/>
        <v/>
      </c>
      <c r="F70" s="1554" t="str">
        <f t="shared" si="67"/>
        <v/>
      </c>
      <c r="G70" s="1554" t="str">
        <f t="shared" si="68"/>
        <v/>
      </c>
      <c r="AI70" s="581" t="s">
        <v>339</v>
      </c>
      <c r="BA70" s="346"/>
      <c r="CD70" s="346"/>
    </row>
    <row r="71" spans="2:82" x14ac:dyDescent="0.2">
      <c r="B71" s="107">
        <f t="shared" si="65"/>
        <v>45945</v>
      </c>
      <c r="C71" s="172">
        <f t="shared" si="65"/>
        <v>45945</v>
      </c>
      <c r="D71" s="173" t="str">
        <f t="shared" si="66"/>
        <v/>
      </c>
      <c r="E71" s="173" t="str">
        <f t="shared" si="69"/>
        <v/>
      </c>
      <c r="F71" s="1554" t="str">
        <f t="shared" si="67"/>
        <v/>
      </c>
      <c r="G71" s="1554" t="str">
        <f t="shared" si="68"/>
        <v/>
      </c>
      <c r="AI71" s="1355" t="s">
        <v>340</v>
      </c>
      <c r="BA71" s="346"/>
      <c r="CD71" s="346"/>
    </row>
    <row r="72" spans="2:82" x14ac:dyDescent="0.2">
      <c r="B72" s="107">
        <f t="shared" si="65"/>
        <v>45946</v>
      </c>
      <c r="C72" s="172">
        <f t="shared" si="65"/>
        <v>45946</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45947</v>
      </c>
      <c r="C73" s="172">
        <f t="shared" si="70"/>
        <v>45947</v>
      </c>
      <c r="D73" s="173" t="str">
        <f t="shared" si="66"/>
        <v/>
      </c>
      <c r="E73" s="173" t="str">
        <f t="shared" si="69"/>
        <v/>
      </c>
      <c r="F73" s="1554" t="str">
        <f t="shared" si="67"/>
        <v/>
      </c>
      <c r="G73" s="1554" t="str">
        <f t="shared" si="68"/>
        <v/>
      </c>
      <c r="BA73" s="346"/>
      <c r="CD73" s="346"/>
    </row>
    <row r="74" spans="2:82" x14ac:dyDescent="0.2">
      <c r="B74" s="107">
        <f t="shared" si="70"/>
        <v>45948</v>
      </c>
      <c r="C74" s="172">
        <f t="shared" si="70"/>
        <v>45948</v>
      </c>
      <c r="D74" s="173" t="str">
        <f t="shared" si="66"/>
        <v/>
      </c>
      <c r="E74" s="173" t="str">
        <f t="shared" si="69"/>
        <v/>
      </c>
      <c r="F74" s="1554" t="str">
        <f t="shared" si="67"/>
        <v/>
      </c>
      <c r="G74" s="1554" t="str">
        <f t="shared" si="68"/>
        <v/>
      </c>
      <c r="AI74" s="581" t="s">
        <v>341</v>
      </c>
      <c r="BA74" s="346"/>
      <c r="CD74" s="346"/>
    </row>
    <row r="75" spans="2:82" x14ac:dyDescent="0.2">
      <c r="B75" s="107">
        <f t="shared" si="70"/>
        <v>45949</v>
      </c>
      <c r="C75" s="172">
        <f t="shared" si="70"/>
        <v>45949</v>
      </c>
      <c r="D75" s="173" t="str">
        <f t="shared" si="66"/>
        <v/>
      </c>
      <c r="E75" s="173" t="str">
        <f t="shared" si="69"/>
        <v/>
      </c>
      <c r="F75" s="1554" t="str">
        <f t="shared" si="67"/>
        <v/>
      </c>
      <c r="G75" s="1554" t="str">
        <f t="shared" si="68"/>
        <v/>
      </c>
      <c r="AI75" s="1355" t="s">
        <v>342</v>
      </c>
      <c r="BA75" s="346"/>
      <c r="CD75" s="346"/>
    </row>
    <row r="76" spans="2:82" x14ac:dyDescent="0.2">
      <c r="B76" s="107">
        <f t="shared" si="70"/>
        <v>45950</v>
      </c>
      <c r="C76" s="172">
        <f t="shared" si="70"/>
        <v>45950</v>
      </c>
      <c r="D76" s="173" t="str">
        <f t="shared" si="66"/>
        <v/>
      </c>
      <c r="E76" s="173" t="str">
        <f t="shared" si="69"/>
        <v/>
      </c>
      <c r="F76" s="1554" t="str">
        <f t="shared" si="67"/>
        <v/>
      </c>
      <c r="G76" s="1554" t="str">
        <f t="shared" si="68"/>
        <v/>
      </c>
      <c r="BA76" s="346"/>
      <c r="CD76" s="346"/>
    </row>
    <row r="77" spans="2:82" x14ac:dyDescent="0.2">
      <c r="B77" s="107">
        <f t="shared" si="70"/>
        <v>45951</v>
      </c>
      <c r="C77" s="172">
        <f t="shared" si="70"/>
        <v>45951</v>
      </c>
      <c r="D77" s="173" t="str">
        <f t="shared" si="66"/>
        <v/>
      </c>
      <c r="E77" s="173" t="str">
        <f t="shared" si="69"/>
        <v/>
      </c>
      <c r="F77" s="1554" t="str">
        <f t="shared" si="67"/>
        <v/>
      </c>
      <c r="G77" s="1554" t="str">
        <f t="shared" si="68"/>
        <v/>
      </c>
      <c r="AI77" s="581" t="s">
        <v>343</v>
      </c>
      <c r="BA77" s="346"/>
      <c r="CD77" s="346"/>
    </row>
    <row r="78" spans="2:82" x14ac:dyDescent="0.2">
      <c r="B78" s="107">
        <f t="shared" si="70"/>
        <v>45952</v>
      </c>
      <c r="C78" s="172">
        <f t="shared" si="70"/>
        <v>45952</v>
      </c>
      <c r="D78" s="173" t="str">
        <f t="shared" si="66"/>
        <v/>
      </c>
      <c r="E78" s="173" t="str">
        <f t="shared" si="69"/>
        <v/>
      </c>
      <c r="F78" s="1554" t="str">
        <f t="shared" si="67"/>
        <v/>
      </c>
      <c r="G78" s="1554" t="str">
        <f t="shared" si="68"/>
        <v/>
      </c>
      <c r="AI78" s="1355" t="s">
        <v>692</v>
      </c>
      <c r="BA78" s="346"/>
      <c r="CD78" s="346"/>
    </row>
    <row r="79" spans="2:82" x14ac:dyDescent="0.2">
      <c r="B79" s="107">
        <f t="shared" si="70"/>
        <v>45953</v>
      </c>
      <c r="C79" s="172">
        <f t="shared" si="70"/>
        <v>45953</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45954</v>
      </c>
      <c r="C80" s="172">
        <f t="shared" si="70"/>
        <v>45954</v>
      </c>
      <c r="D80" s="173" t="str">
        <f t="shared" si="66"/>
        <v/>
      </c>
      <c r="E80" s="173" t="str">
        <f t="shared" si="69"/>
        <v/>
      </c>
      <c r="F80" s="1554" t="str">
        <f t="shared" si="67"/>
        <v/>
      </c>
      <c r="G80" s="1554" t="str">
        <f t="shared" si="68"/>
        <v/>
      </c>
      <c r="BA80" s="346"/>
      <c r="CD80" s="346"/>
    </row>
    <row r="81" spans="2:82" x14ac:dyDescent="0.2">
      <c r="B81" s="107">
        <f t="shared" si="70"/>
        <v>45955</v>
      </c>
      <c r="C81" s="172">
        <f t="shared" si="70"/>
        <v>45955</v>
      </c>
      <c r="D81" s="173" t="str">
        <f t="shared" si="66"/>
        <v/>
      </c>
      <c r="E81" s="173" t="str">
        <f t="shared" si="69"/>
        <v/>
      </c>
      <c r="F81" s="1554" t="str">
        <f t="shared" si="67"/>
        <v/>
      </c>
      <c r="G81" s="1554" t="str">
        <f t="shared" si="68"/>
        <v/>
      </c>
      <c r="AI81" s="581" t="s">
        <v>529</v>
      </c>
      <c r="BA81" s="346"/>
      <c r="CD81" s="346"/>
    </row>
    <row r="82" spans="2:82" x14ac:dyDescent="0.2">
      <c r="B82" s="107">
        <f t="shared" si="70"/>
        <v>45956</v>
      </c>
      <c r="C82" s="172">
        <f t="shared" si="70"/>
        <v>45956</v>
      </c>
      <c r="D82" s="173" t="str">
        <f t="shared" si="66"/>
        <v/>
      </c>
      <c r="E82" s="173" t="str">
        <f t="shared" si="69"/>
        <v/>
      </c>
      <c r="F82" s="1554" t="str">
        <f t="shared" si="67"/>
        <v/>
      </c>
      <c r="G82" s="1554" t="str">
        <f t="shared" si="68"/>
        <v/>
      </c>
      <c r="AI82" s="1355" t="s">
        <v>693</v>
      </c>
      <c r="BA82" s="346"/>
      <c r="CD82" s="346"/>
    </row>
    <row r="83" spans="2:82" x14ac:dyDescent="0.2">
      <c r="B83" s="107">
        <f t="shared" si="70"/>
        <v>45957</v>
      </c>
      <c r="C83" s="172">
        <f t="shared" si="70"/>
        <v>45957</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45958</v>
      </c>
      <c r="C84" s="172">
        <f t="shared" si="70"/>
        <v>45958</v>
      </c>
      <c r="D84" s="173" t="str">
        <f t="shared" si="66"/>
        <v/>
      </c>
      <c r="E84" s="173" t="str">
        <f t="shared" si="69"/>
        <v/>
      </c>
      <c r="F84" s="1554" t="str">
        <f t="shared" si="67"/>
        <v/>
      </c>
      <c r="G84" s="1554" t="str">
        <f t="shared" si="68"/>
        <v/>
      </c>
      <c r="BA84" s="346"/>
      <c r="CD84" s="346"/>
    </row>
    <row r="85" spans="2:82" x14ac:dyDescent="0.2">
      <c r="B85" s="107">
        <f t="shared" si="70"/>
        <v>45959</v>
      </c>
      <c r="C85" s="172">
        <f t="shared" si="70"/>
        <v>45959</v>
      </c>
      <c r="D85" s="173" t="str">
        <f t="shared" si="66"/>
        <v/>
      </c>
      <c r="E85" s="173" t="str">
        <f t="shared" si="69"/>
        <v/>
      </c>
      <c r="F85" s="1554" t="str">
        <f t="shared" si="67"/>
        <v/>
      </c>
      <c r="G85" s="1554" t="str">
        <f t="shared" si="68"/>
        <v/>
      </c>
      <c r="AI85" s="1355" t="s">
        <v>344</v>
      </c>
      <c r="BA85" s="346"/>
      <c r="CD85" s="346"/>
    </row>
    <row r="86" spans="2:82" x14ac:dyDescent="0.2">
      <c r="B86" s="107">
        <f t="shared" si="70"/>
        <v>45960</v>
      </c>
      <c r="C86" s="172">
        <f t="shared" si="70"/>
        <v>45960</v>
      </c>
      <c r="D86" s="173" t="str">
        <f t="shared" si="66"/>
        <v/>
      </c>
      <c r="E86" s="173" t="str">
        <f t="shared" si="69"/>
        <v/>
      </c>
      <c r="F86" s="1554" t="str">
        <f t="shared" si="67"/>
        <v/>
      </c>
      <c r="G86" s="1554" t="str">
        <f t="shared" si="68"/>
        <v/>
      </c>
      <c r="AI86" s="1355" t="s">
        <v>345</v>
      </c>
      <c r="BA86" s="346"/>
      <c r="CD86" s="346"/>
    </row>
    <row r="87" spans="2:82" ht="13.5" thickBot="1" x14ac:dyDescent="0.25">
      <c r="B87" s="110">
        <f t="shared" si="70"/>
        <v>45961</v>
      </c>
      <c r="C87" s="192">
        <f t="shared" si="70"/>
        <v>45961</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18UyDvhPouftIBWcge6MmLnkTEIIauuLhuuL3EV1NmsDk1rvhtwRz4Hjt3Z+4HFscnFOUVPiMfDJZf/gBK9pug==" saltValue="Ssvl7GB24wULao93Kxh+qw=="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800" priority="36">
      <formula>$R$3=$A$5</formula>
    </cfRule>
  </conditionalFormatting>
  <conditionalFormatting sqref="M19:Q23">
    <cfRule type="expression" dxfId="1799" priority="13">
      <formula>$E$11&gt;0</formula>
    </cfRule>
  </conditionalFormatting>
  <conditionalFormatting sqref="M26:R46">
    <cfRule type="expression" dxfId="1798" priority="3">
      <formula>$E$11=0</formula>
    </cfRule>
  </conditionalFormatting>
  <conditionalFormatting sqref="P17">
    <cfRule type="expression" dxfId="1797" priority="16">
      <formula>$E$11=0</formula>
    </cfRule>
  </conditionalFormatting>
  <conditionalFormatting sqref="P30">
    <cfRule type="expression" dxfId="1796" priority="7">
      <formula>AND($R$3="Méthode 1",$E$11&lt;0)</formula>
    </cfRule>
  </conditionalFormatting>
  <conditionalFormatting sqref="P33">
    <cfRule type="expression" dxfId="1795" priority="6">
      <formula>AND($R$3="Méthode 1",$E$11&lt;0)</formula>
    </cfRule>
  </conditionalFormatting>
  <conditionalFormatting sqref="Q17">
    <cfRule type="cellIs" dxfId="1794" priority="15" operator="equal">
      <formula>0</formula>
    </cfRule>
  </conditionalFormatting>
  <conditionalFormatting sqref="Q42">
    <cfRule type="expression" dxfId="1793" priority="5">
      <formula>AND($R$3="Méthode 1",$E$11&lt;0)</formula>
    </cfRule>
  </conditionalFormatting>
  <conditionalFormatting sqref="Q45">
    <cfRule type="expression" dxfId="1792" priority="4">
      <formula>AND($R$3="Méthode 1",$E$11&lt;0)</formula>
    </cfRule>
  </conditionalFormatting>
  <conditionalFormatting sqref="S7:AF7">
    <cfRule type="expression" dxfId="1791" priority="35">
      <formula>$R$3=$T$5</formula>
    </cfRule>
  </conditionalFormatting>
  <conditionalFormatting sqref="W19">
    <cfRule type="expression" dxfId="1790" priority="40">
      <formula>$EF$14=1</formula>
    </cfRule>
  </conditionalFormatting>
  <conditionalFormatting sqref="W21">
    <cfRule type="expression" dxfId="1789" priority="39">
      <formula>$EF$14=1</formula>
    </cfRule>
  </conditionalFormatting>
  <conditionalFormatting sqref="AC19">
    <cfRule type="expression" dxfId="1788" priority="38">
      <formula>$EF$14=1</formula>
    </cfRule>
  </conditionalFormatting>
  <conditionalFormatting sqref="AC21">
    <cfRule type="expression" dxfId="1787" priority="37">
      <formula>$EF$14=1</formula>
    </cfRule>
  </conditionalFormatting>
  <conditionalFormatting sqref="AH7:AZ7">
    <cfRule type="expression" dxfId="1786" priority="21">
      <formula>$R$3=$AI$5</formula>
    </cfRule>
  </conditionalFormatting>
  <conditionalFormatting sqref="AP50">
    <cfRule type="expression" dxfId="1785" priority="20">
      <formula>$R$3="Méthode 2"</formula>
    </cfRule>
  </conditionalFormatting>
  <conditionalFormatting sqref="AP52">
    <cfRule type="expression" dxfId="1784" priority="19">
      <formula>$R$3="Méthode 2"</formula>
    </cfRule>
  </conditionalFormatting>
  <conditionalFormatting sqref="AP61">
    <cfRule type="expression" dxfId="1783" priority="18">
      <formula>$R$3="Méthode 2"</formula>
    </cfRule>
  </conditionalFormatting>
  <conditionalFormatting sqref="AP64">
    <cfRule type="expression" dxfId="1782" priority="17">
      <formula>$R$3="Méthode 2"</formula>
    </cfRule>
  </conditionalFormatting>
  <conditionalFormatting sqref="BI50">
    <cfRule type="expression" dxfId="1781" priority="28">
      <formula>$BK$3="Méthode 1"</formula>
    </cfRule>
  </conditionalFormatting>
  <conditionalFormatting sqref="BJ29">
    <cfRule type="expression" dxfId="1780" priority="30">
      <formula>$BK$3="Méthode 1"</formula>
    </cfRule>
  </conditionalFormatting>
  <conditionalFormatting sqref="BJ45">
    <cfRule type="expression" dxfId="1779" priority="29">
      <formula>$BK$3="Méthode 1"</formula>
    </cfRule>
  </conditionalFormatting>
  <conditionalFormatting sqref="BR46">
    <cfRule type="expression" dxfId="1778" priority="27">
      <formula>$BK$3="Méthode 2"</formula>
    </cfRule>
  </conditionalFormatting>
  <conditionalFormatting sqref="BR49">
    <cfRule type="expression" dxfId="1777" priority="26">
      <formula>$BK$3="Méthode 2"</formula>
    </cfRule>
  </conditionalFormatting>
  <conditionalFormatting sqref="BW52">
    <cfRule type="expression" dxfId="1776" priority="23">
      <formula>$BK$3="Méthode 2"</formula>
    </cfRule>
  </conditionalFormatting>
  <conditionalFormatting sqref="BW54">
    <cfRule type="expression" dxfId="1775" priority="22">
      <formula>$BK$3="Méthode 2"</formula>
    </cfRule>
  </conditionalFormatting>
  <conditionalFormatting sqref="BZ46">
    <cfRule type="expression" dxfId="1774" priority="25">
      <formula>$BK$3="Méthode 2"</formula>
    </cfRule>
  </conditionalFormatting>
  <conditionalFormatting sqref="BZ49">
    <cfRule type="expression" dxfId="1773" priority="24">
      <formula>$BK$3="Méthode 2"</formula>
    </cfRule>
  </conditionalFormatting>
  <conditionalFormatting sqref="CG18:CG48">
    <cfRule type="cellIs" dxfId="1772"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+Novembre!DP4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+Novembre!AR13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+Novembre!AI3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+Novembre!I14</f>
        <v>0</v>
      </c>
      <c r="F10" s="151"/>
      <c r="G10" s="151"/>
      <c r="H10" s="151"/>
      <c r="I10" s="151"/>
      <c r="J10" s="151"/>
      <c r="K10" s="151"/>
      <c r="L10" s="151"/>
      <c r="P10" s="29" t="s">
        <v>1468</v>
      </c>
      <c r="Q10" s="356">
        <f>+Novembre!P18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+Novembre!T18+Novembre!T19</f>
        <v>0</v>
      </c>
      <c r="BI10" s="29" t="s">
        <v>1476</v>
      </c>
      <c r="BJ10" s="356">
        <f>+Novembre!AL14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847</v>
      </c>
      <c r="E11" s="151">
        <f>+Novembre!U14</f>
        <v>0</v>
      </c>
      <c r="F11" s="151"/>
      <c r="G11" s="151"/>
      <c r="H11" s="151"/>
      <c r="I11" s="151"/>
      <c r="J11" s="151"/>
      <c r="K11" s="151"/>
      <c r="L11" s="151"/>
      <c r="M11" s="1201"/>
      <c r="N11" s="183"/>
      <c r="O11" s="1202"/>
      <c r="P11" s="183" t="s">
        <v>1120</v>
      </c>
      <c r="Q11" s="1203">
        <f>+Novembre!P19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+Novembre!X3</f>
        <v>45962</v>
      </c>
      <c r="M13" s="154"/>
      <c r="N13" s="155">
        <f>DATE(YEAR($D$13),MONTH($D$13)+1,DAY($D$13))</f>
        <v>45992</v>
      </c>
      <c r="O13" s="156">
        <f>N13</f>
        <v>45992</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45962</v>
      </c>
      <c r="BF13" s="154"/>
      <c r="BG13" s="155">
        <f>DATE(YEAR($D$13),MONTH($D$13)+1,DAY($D$13))</f>
        <v>45992</v>
      </c>
      <c r="BH13" s="156">
        <f>BG13</f>
        <v>45992</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45992</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45962</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45962</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45962</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+Novembre!BJ20</f>
        <v>Fiche infoA6</v>
      </c>
      <c r="B18" s="170">
        <f>+D13</f>
        <v>45962</v>
      </c>
      <c r="C18" s="171">
        <f>+$D$13</f>
        <v>45962</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Novembre!BC20</f>
        <v>0</v>
      </c>
      <c r="J18" s="34">
        <f>Novembre!BE20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infoA6</v>
      </c>
      <c r="BB18" s="170">
        <f>+BD13</f>
        <v>45962</v>
      </c>
      <c r="BC18" s="171">
        <f>+$D$13</f>
        <v>45962</v>
      </c>
      <c r="BD18" s="173" t="str">
        <f>+D18</f>
        <v/>
      </c>
      <c r="BE18" s="353" t="str">
        <f>+IF(OR(BF18=S.CAL!$BJ$3,BF18=S.CAL!$BJ$4),BD18,"")</f>
        <v/>
      </c>
      <c r="BF18" s="350">
        <f>IF($DY$5=S.CAL!$CU$2,Novembre!AR20,IF($DY$5=S.CAL!$CU$3,VLOOKUP(BC18,planning_fp,7,FALSE),""))</f>
        <v>0</v>
      </c>
      <c r="BG18" s="362" t="str">
        <f>Novembre!BL20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45962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45962</v>
      </c>
      <c r="EM18" s="16" t="str">
        <f>A18&amp;C18</f>
        <v>Fiche infoA645962</v>
      </c>
      <c r="EN18" s="16">
        <f t="shared" ref="EN18:EN48" si="20">+VLOOKUP(EM18,Base_feuille_présence_heure_potentiel,11,FALSE)</f>
        <v>0</v>
      </c>
      <c r="EQ18" s="16" t="str">
        <f>Novembre!FS20</f>
        <v/>
      </c>
    </row>
    <row r="19" spans="1:147" ht="18" customHeight="1" x14ac:dyDescent="0.2">
      <c r="A19" s="24" t="str">
        <f>+Novembre!BJ21</f>
        <v>Fiche infoA7</v>
      </c>
      <c r="B19" s="107">
        <f>C19</f>
        <v>45963</v>
      </c>
      <c r="C19" s="172">
        <f>+$D$13+1</f>
        <v>45963</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Novembre!BC21</f>
        <v>0</v>
      </c>
      <c r="J19" s="34">
        <f>Novembre!BE21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infoA7</v>
      </c>
      <c r="BB19" s="107">
        <f>BC19</f>
        <v>45963</v>
      </c>
      <c r="BC19" s="172">
        <f>+$D$13+1</f>
        <v>45963</v>
      </c>
      <c r="BD19" s="173" t="str">
        <f>+D19</f>
        <v/>
      </c>
      <c r="BE19" s="173" t="str">
        <f>+IF(OR(BF19=S.CAL!$BJ$3,BF19=S.CAL!$BJ$4),BD19,"")</f>
        <v/>
      </c>
      <c r="BF19" s="351">
        <f>IF($DY$5=S.CAL!$CU$2,Novembre!AR21,IF($DY$5=S.CAL!$CU$3,VLOOKUP(BC19,planning_fp,7,FALSE),""))</f>
        <v>0</v>
      </c>
      <c r="BG19" s="363" t="str">
        <f>Novembre!BL21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45963</v>
      </c>
      <c r="CF19" s="172">
        <f>+$D$13+1</f>
        <v>45963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45963</v>
      </c>
      <c r="EM19" s="16" t="str">
        <f t="shared" ref="EM19:EM48" si="29">A19&amp;C19</f>
        <v>Fiche infoA745963</v>
      </c>
      <c r="EN19" s="16">
        <f t="shared" si="20"/>
        <v>0</v>
      </c>
      <c r="EQ19" s="16" t="str">
        <f>Novembre!FS21</f>
        <v/>
      </c>
    </row>
    <row r="20" spans="1:147" ht="18" customHeight="1" x14ac:dyDescent="0.2">
      <c r="A20" s="24" t="str">
        <f>+Novembre!BJ22</f>
        <v>Fiche infoA1</v>
      </c>
      <c r="B20" s="107">
        <f t="shared" ref="B20:B48" si="30">C20</f>
        <v>45964</v>
      </c>
      <c r="C20" s="172">
        <f>+$D$13+2</f>
        <v>45964</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Novembre!BC22</f>
        <v>0</v>
      </c>
      <c r="J20" s="34">
        <f>Novembre!BE22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infoA1</v>
      </c>
      <c r="BB20" s="107">
        <f t="shared" ref="BB20:BB48" si="31">BC20</f>
        <v>45964</v>
      </c>
      <c r="BC20" s="172">
        <f>+$D$13+2</f>
        <v>45964</v>
      </c>
      <c r="BD20" s="173" t="str">
        <f t="shared" ref="BD20:BD48" si="32">+D20</f>
        <v/>
      </c>
      <c r="BE20" s="173" t="str">
        <f>+IF(OR(BF20=S.CAL!$BJ$3,BF20=S.CAL!$BJ$4),BD20,"")</f>
        <v/>
      </c>
      <c r="BF20" s="351">
        <f>IF($DY$5=S.CAL!$CU$2,Novembre!AR22,IF($DY$5=S.CAL!$CU$3,VLOOKUP(BC20,planning_fp,7,FALSE),""))</f>
        <v>0</v>
      </c>
      <c r="BG20" s="363" t="str">
        <f>Novembre!BL22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45964</v>
      </c>
      <c r="CF20" s="172">
        <f>+$D$13+2</f>
        <v>45964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45964</v>
      </c>
      <c r="EM20" s="16" t="str">
        <f t="shared" si="29"/>
        <v>Fiche infoA145964</v>
      </c>
      <c r="EN20" s="16">
        <f t="shared" si="20"/>
        <v>0</v>
      </c>
      <c r="EQ20" s="16" t="str">
        <f>Novembre!FS22</f>
        <v/>
      </c>
    </row>
    <row r="21" spans="1:147" ht="18" customHeight="1" x14ac:dyDescent="0.2">
      <c r="A21" s="24" t="str">
        <f>+Novembre!BJ23</f>
        <v>Fiche infoA2</v>
      </c>
      <c r="B21" s="107">
        <f t="shared" si="30"/>
        <v>45965</v>
      </c>
      <c r="C21" s="172">
        <f>+$D$13+3</f>
        <v>45965</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infoA2</v>
      </c>
      <c r="BB21" s="107">
        <f t="shared" si="31"/>
        <v>45965</v>
      </c>
      <c r="BC21" s="172">
        <f>+$D$13+3</f>
        <v>45965</v>
      </c>
      <c r="BD21" s="173" t="str">
        <f t="shared" si="32"/>
        <v/>
      </c>
      <c r="BE21" s="173" t="str">
        <f>+IF(OR(BF21=S.CAL!$BJ$3,BF21=S.CAL!$BJ$4),BD21,"")</f>
        <v/>
      </c>
      <c r="BF21" s="351">
        <f>IF($DY$5=S.CAL!$CU$2,Novembre!AR23,IF($DY$5=S.CAL!$CU$3,VLOOKUP(BC21,planning_fp,7,FALSE),""))</f>
        <v>0</v>
      </c>
      <c r="BG21" s="363" t="str">
        <f>Novembre!BL23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45965</v>
      </c>
      <c r="CF21" s="172">
        <f>+$D$13+3</f>
        <v>45965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45965</v>
      </c>
      <c r="EM21" s="16" t="str">
        <f t="shared" si="29"/>
        <v>Fiche infoA245965</v>
      </c>
      <c r="EN21" s="16">
        <f t="shared" si="20"/>
        <v>0</v>
      </c>
      <c r="EQ21" s="16" t="str">
        <f>Novembre!FS23</f>
        <v/>
      </c>
    </row>
    <row r="22" spans="1:147" ht="18" customHeight="1" x14ac:dyDescent="0.25">
      <c r="A22" s="24" t="str">
        <f>+Novembre!BJ24</f>
        <v>Fiche infoA3</v>
      </c>
      <c r="B22" s="107">
        <f t="shared" si="30"/>
        <v>45966</v>
      </c>
      <c r="C22" s="172">
        <f>+$D$13+4</f>
        <v>45966</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Novembre!BC24</f>
        <v>0</v>
      </c>
      <c r="J22" s="34">
        <f>Novembre!BE24</f>
        <v>0</v>
      </c>
      <c r="K22" s="34">
        <f t="shared" si="15"/>
        <v>0</v>
      </c>
      <c r="L22" s="34" t="str">
        <f t="shared" si="21"/>
        <v/>
      </c>
      <c r="O22" s="19"/>
      <c r="AK22" s="1211" t="s">
        <v>41</v>
      </c>
      <c r="AL22" s="1340">
        <f>+Novembre!AL14</f>
        <v>0</v>
      </c>
      <c r="BA22" s="349" t="str">
        <f t="shared" si="16"/>
        <v>Fiche infoA3</v>
      </c>
      <c r="BB22" s="107">
        <f t="shared" si="31"/>
        <v>45966</v>
      </c>
      <c r="BC22" s="172">
        <f>+$D$13+4</f>
        <v>45966</v>
      </c>
      <c r="BD22" s="173" t="str">
        <f t="shared" si="32"/>
        <v/>
      </c>
      <c r="BE22" s="173" t="str">
        <f>+IF(OR(BF22=S.CAL!$BJ$3,BF22=S.CAL!$BJ$4),BD22,"")</f>
        <v/>
      </c>
      <c r="BF22" s="351">
        <f>IF($DY$5=S.CAL!$CU$2,Novembre!AR24,IF($DY$5=S.CAL!$CU$3,VLOOKUP(BC22,planning_fp,7,FALSE),""))</f>
        <v>0</v>
      </c>
      <c r="BG22" s="363" t="str">
        <f>Novembre!BL24</f>
        <v>A</v>
      </c>
      <c r="BH22" s="150"/>
      <c r="BL22" s="146"/>
      <c r="BM22" s="197"/>
      <c r="CD22" s="346"/>
      <c r="CE22" s="107">
        <f t="shared" si="33"/>
        <v>45966</v>
      </c>
      <c r="CF22" s="172">
        <f>+$D$13+4</f>
        <v>45966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45966</v>
      </c>
      <c r="EM22" s="16" t="str">
        <f t="shared" si="29"/>
        <v>Fiche infoA345966</v>
      </c>
      <c r="EN22" s="16">
        <f t="shared" si="20"/>
        <v>0</v>
      </c>
      <c r="EQ22" s="16" t="str">
        <f>Novembre!FS24</f>
        <v/>
      </c>
    </row>
    <row r="23" spans="1:147" ht="18" customHeight="1" x14ac:dyDescent="0.2">
      <c r="A23" s="24" t="str">
        <f>+Novembre!BJ25</f>
        <v>Fiche infoA4</v>
      </c>
      <c r="B23" s="107">
        <f t="shared" si="30"/>
        <v>45967</v>
      </c>
      <c r="C23" s="172">
        <f>+$D$13+5</f>
        <v>45967</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Novembre!BC25</f>
        <v>0</v>
      </c>
      <c r="J23" s="34">
        <f>Novembre!BE25</f>
        <v>0</v>
      </c>
      <c r="K23" s="34">
        <f t="shared" si="15"/>
        <v>0</v>
      </c>
      <c r="L23" s="34" t="str">
        <f t="shared" si="21"/>
        <v/>
      </c>
      <c r="O23" s="39" t="str">
        <f>+O21</f>
        <v xml:space="preserve">Retenue sur salaire = </v>
      </c>
      <c r="P23" s="689">
        <f>+P30+P33</f>
        <v>0</v>
      </c>
      <c r="T23" s="581" t="s">
        <v>1123</v>
      </c>
      <c r="Z23" s="581" t="s">
        <v>1123</v>
      </c>
      <c r="BA23" s="349" t="str">
        <f t="shared" si="16"/>
        <v>Fiche infoA4</v>
      </c>
      <c r="BB23" s="107">
        <f t="shared" si="31"/>
        <v>45967</v>
      </c>
      <c r="BC23" s="172">
        <f>+$D$13+5</f>
        <v>45967</v>
      </c>
      <c r="BD23" s="173" t="str">
        <f t="shared" si="32"/>
        <v/>
      </c>
      <c r="BE23" s="173" t="str">
        <f>+IF(OR(BF23=S.CAL!$BJ$3,BF23=S.CAL!$BJ$4),BD23,"")</f>
        <v/>
      </c>
      <c r="BF23" s="351">
        <f>IF($DY$5=S.CAL!$CU$2,Novembre!AR25,IF($DY$5=S.CAL!$CU$3,VLOOKUP(BC23,planning_fp,7,FALSE),""))</f>
        <v>0</v>
      </c>
      <c r="BG23" s="363" t="str">
        <f>Novembre!BL25</f>
        <v>A</v>
      </c>
      <c r="BH23" s="29"/>
      <c r="BI23" s="354"/>
      <c r="BL23" s="149"/>
      <c r="CD23" s="346"/>
      <c r="CE23" s="107">
        <f t="shared" si="33"/>
        <v>45967</v>
      </c>
      <c r="CF23" s="172">
        <f>+$D$13+5</f>
        <v>45967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45967</v>
      </c>
      <c r="EM23" s="16" t="str">
        <f t="shared" si="29"/>
        <v>Fiche infoA445967</v>
      </c>
      <c r="EN23" s="16">
        <f t="shared" si="20"/>
        <v>0</v>
      </c>
      <c r="EQ23" s="16" t="str">
        <f>Novembre!FS25</f>
        <v/>
      </c>
    </row>
    <row r="24" spans="1:147" ht="18" customHeight="1" x14ac:dyDescent="0.2">
      <c r="A24" s="24" t="str">
        <f>+Novembre!BJ26</f>
        <v>Fiche infoA5</v>
      </c>
      <c r="B24" s="107">
        <f t="shared" si="30"/>
        <v>45968</v>
      </c>
      <c r="C24" s="172">
        <f>+$D$13+6</f>
        <v>45968</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Novembre!BC26</f>
        <v>0</v>
      </c>
      <c r="J24" s="34">
        <f>Novembre!BE26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infoA5</v>
      </c>
      <c r="BB24" s="107">
        <f t="shared" si="31"/>
        <v>45968</v>
      </c>
      <c r="BC24" s="172">
        <f>+$D$13+6</f>
        <v>45968</v>
      </c>
      <c r="BD24" s="173" t="str">
        <f t="shared" si="32"/>
        <v/>
      </c>
      <c r="BE24" s="173" t="str">
        <f>+IF(OR(BF24=S.CAL!$BJ$3,BF24=S.CAL!$BJ$4),BD24,"")</f>
        <v/>
      </c>
      <c r="BF24" s="351">
        <f>IF($DY$5=S.CAL!$CU$2,Novembre!AR26,IF($DY$5=S.CAL!$CU$3,VLOOKUP(BC24,planning_fp,7,FALSE),""))</f>
        <v>0</v>
      </c>
      <c r="BG24" s="363" t="str">
        <f>Novembre!BL26</f>
        <v>A</v>
      </c>
      <c r="BL24" s="35"/>
      <c r="BM24" s="197"/>
      <c r="BO24" s="29"/>
      <c r="BP24" s="184"/>
      <c r="BR24" s="16" t="s">
        <v>758</v>
      </c>
      <c r="BV24" s="373"/>
      <c r="BW24" s="373"/>
      <c r="BX24" s="373"/>
      <c r="BY24" s="373" t="s">
        <v>708</v>
      </c>
      <c r="BZ24" s="373"/>
      <c r="CA24" s="373"/>
      <c r="CB24" s="373"/>
      <c r="CD24" s="346"/>
      <c r="CE24" s="107">
        <f t="shared" si="33"/>
        <v>45968</v>
      </c>
      <c r="CF24" s="172">
        <f>+$D$13+6</f>
        <v>45968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45968</v>
      </c>
      <c r="EM24" s="16" t="str">
        <f t="shared" si="29"/>
        <v>Fiche infoA545968</v>
      </c>
      <c r="EN24" s="16">
        <f t="shared" si="20"/>
        <v>0</v>
      </c>
      <c r="EQ24" s="16" t="str">
        <f>Novembre!FS26</f>
        <v/>
      </c>
    </row>
    <row r="25" spans="1:147" ht="18" customHeight="1" x14ac:dyDescent="0.2">
      <c r="A25" s="24" t="str">
        <f>+Novembre!BJ27</f>
        <v>Fiche infoA6</v>
      </c>
      <c r="B25" s="107">
        <f t="shared" si="30"/>
        <v>45969</v>
      </c>
      <c r="C25" s="172">
        <f>+$D$13+7</f>
        <v>45969</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Novembre!BC27</f>
        <v>0</v>
      </c>
      <c r="J25" s="34">
        <f>Novembre!BE27</f>
        <v>0</v>
      </c>
      <c r="K25" s="34">
        <f t="shared" si="15"/>
        <v>0</v>
      </c>
      <c r="L25" s="34" t="str">
        <f t="shared" si="21"/>
        <v/>
      </c>
      <c r="AK25" s="1211" t="s">
        <v>329</v>
      </c>
      <c r="AL25" s="1335">
        <f>+IF(AL22,AL24/AL22,0)</f>
        <v>0</v>
      </c>
      <c r="BA25" s="349" t="str">
        <f t="shared" si="16"/>
        <v>Fiche infoA6</v>
      </c>
      <c r="BB25" s="107">
        <f t="shared" si="31"/>
        <v>45969</v>
      </c>
      <c r="BC25" s="172">
        <f>+$D$13+7</f>
        <v>45969</v>
      </c>
      <c r="BD25" s="173" t="str">
        <f t="shared" si="32"/>
        <v/>
      </c>
      <c r="BE25" s="173" t="str">
        <f>+IF(OR(BF25=S.CAL!$BJ$3,BF25=S.CAL!$BJ$4),BD25,"")</f>
        <v/>
      </c>
      <c r="BF25" s="351">
        <f>IF($DY$5=S.CAL!$CU$2,Novembre!AR27,IF($DY$5=S.CAL!$CU$3,VLOOKUP(BC25,planning_fp,7,FALSE),""))</f>
        <v>0</v>
      </c>
      <c r="BG25" s="363" t="str">
        <f>Novembre!BL27</f>
        <v>A</v>
      </c>
      <c r="BH25" s="150"/>
      <c r="BL25" s="35"/>
      <c r="BO25" s="29"/>
      <c r="BP25" s="184"/>
      <c r="BV25" s="373"/>
      <c r="BW25" s="373"/>
      <c r="BX25" s="373"/>
      <c r="BY25" s="373"/>
      <c r="BZ25" s="373"/>
      <c r="CA25" s="373"/>
      <c r="CB25" s="373"/>
      <c r="CD25" s="346"/>
      <c r="CE25" s="107">
        <f t="shared" si="33"/>
        <v>45969</v>
      </c>
      <c r="CF25" s="172">
        <f>+$D$13+7</f>
        <v>45969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45969</v>
      </c>
      <c r="EM25" s="16" t="str">
        <f t="shared" si="29"/>
        <v>Fiche infoA645969</v>
      </c>
      <c r="EN25" s="16">
        <f t="shared" si="20"/>
        <v>0</v>
      </c>
      <c r="EQ25" s="16" t="str">
        <f>Novembre!FS27</f>
        <v/>
      </c>
    </row>
    <row r="26" spans="1:147" ht="18" customHeight="1" x14ac:dyDescent="0.2">
      <c r="A26" s="24" t="str">
        <f>+Novembre!BJ28</f>
        <v>Fiche infoA7</v>
      </c>
      <c r="B26" s="107">
        <f t="shared" si="30"/>
        <v>45970</v>
      </c>
      <c r="C26" s="172">
        <f>+$D$13+8</f>
        <v>45970</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Novembre!BC28</f>
        <v>0</v>
      </c>
      <c r="J26" s="34">
        <f>Novembre!BE28</f>
        <v>0</v>
      </c>
      <c r="K26" s="34">
        <f t="shared" si="15"/>
        <v>0</v>
      </c>
      <c r="L26" s="34" t="str">
        <f t="shared" si="21"/>
        <v/>
      </c>
      <c r="O26" s="16" t="s">
        <v>1217</v>
      </c>
      <c r="AK26" s="1211" t="s">
        <v>330</v>
      </c>
      <c r="AL26" s="1335">
        <f>IF(AS21,SUM(AT13:AT20)/AS21,0)</f>
        <v>0</v>
      </c>
      <c r="BA26" s="349" t="str">
        <f t="shared" si="16"/>
        <v>Fiche infoA7</v>
      </c>
      <c r="BB26" s="107">
        <f t="shared" si="31"/>
        <v>45970</v>
      </c>
      <c r="BC26" s="172">
        <f>+$D$13+8</f>
        <v>45970</v>
      </c>
      <c r="BD26" s="173" t="str">
        <f t="shared" si="32"/>
        <v/>
      </c>
      <c r="BE26" s="173" t="str">
        <f>+IF(OR(BF26=S.CAL!$BJ$3,BF26=S.CAL!$BJ$4),BD26,"")</f>
        <v/>
      </c>
      <c r="BF26" s="351">
        <f>IF($DY$5=S.CAL!$CU$2,Novembre!AR28,IF($DY$5=S.CAL!$CU$3,VLOOKUP(BC26,planning_fp,7,FALSE),""))</f>
        <v>0</v>
      </c>
      <c r="BG26" s="363" t="str">
        <f>Novembre!BL28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45970</v>
      </c>
      <c r="CF26" s="172">
        <f>+$D$13+8</f>
        <v>45970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45970</v>
      </c>
      <c r="EM26" s="16" t="str">
        <f t="shared" si="29"/>
        <v>Fiche infoA745970</v>
      </c>
      <c r="EN26" s="16">
        <f t="shared" si="20"/>
        <v>0</v>
      </c>
      <c r="EQ26" s="16" t="str">
        <f>Novembre!FS28</f>
        <v/>
      </c>
    </row>
    <row r="27" spans="1:147" ht="18" customHeight="1" x14ac:dyDescent="0.2">
      <c r="A27" s="24" t="str">
        <f>+Novembre!BJ29</f>
        <v>Fiche infoA1</v>
      </c>
      <c r="B27" s="107">
        <f t="shared" si="30"/>
        <v>45971</v>
      </c>
      <c r="C27" s="172">
        <f>+$D$13+9</f>
        <v>45971</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Novembre!BC29</f>
        <v>0</v>
      </c>
      <c r="J27" s="34">
        <f>Novembre!BE29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infoA1</v>
      </c>
      <c r="BB27" s="107">
        <f t="shared" si="31"/>
        <v>45971</v>
      </c>
      <c r="BC27" s="172">
        <f>+$D$13+9</f>
        <v>45971</v>
      </c>
      <c r="BD27" s="173" t="str">
        <f t="shared" si="32"/>
        <v/>
      </c>
      <c r="BE27" s="173" t="str">
        <f>+IF(OR(BF27=S.CAL!$BJ$3,BF27=S.CAL!$BJ$4),BD27,"")</f>
        <v/>
      </c>
      <c r="BF27" s="351">
        <f>IF($DY$5=S.CAL!$CU$2,Novembre!AR29,IF($DY$5=S.CAL!$CU$3,VLOOKUP(BC27,planning_fp,7,FALSE),""))</f>
        <v>0</v>
      </c>
      <c r="BG27" s="363" t="str">
        <f>Novembre!BL29</f>
        <v>A</v>
      </c>
      <c r="BI27" s="16" t="s">
        <v>758</v>
      </c>
      <c r="BL27" s="35"/>
      <c r="BP27" s="2401"/>
      <c r="BQ27" s="2401"/>
      <c r="BR27" s="2401"/>
      <c r="BS27" s="2401"/>
      <c r="BT27" s="2400"/>
      <c r="BV27" s="373"/>
      <c r="BW27" s="373"/>
      <c r="BX27" s="2488"/>
      <c r="BY27" s="2488"/>
      <c r="BZ27" s="2488"/>
      <c r="CA27" s="2488"/>
      <c r="CB27" s="2487"/>
      <c r="CD27" s="346"/>
      <c r="CE27" s="107">
        <f t="shared" si="33"/>
        <v>45971</v>
      </c>
      <c r="CF27" s="172">
        <f>+$D$13+9</f>
        <v>45971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45971</v>
      </c>
      <c r="EM27" s="16" t="str">
        <f t="shared" si="29"/>
        <v>Fiche infoA145971</v>
      </c>
      <c r="EN27" s="16">
        <f t="shared" si="20"/>
        <v>0</v>
      </c>
      <c r="EQ27" s="16" t="str">
        <f>Novembre!FS29</f>
        <v/>
      </c>
    </row>
    <row r="28" spans="1:147" ht="18" customHeight="1" x14ac:dyDescent="0.2">
      <c r="A28" s="24" t="str">
        <f>+Novembre!BJ30</f>
        <v>Fiche infoA2</v>
      </c>
      <c r="B28" s="107">
        <f t="shared" si="30"/>
        <v>45972</v>
      </c>
      <c r="C28" s="172">
        <f>+$D$13+10</f>
        <v>45972</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Novembre!BC30</f>
        <v>0</v>
      </c>
      <c r="J28" s="34">
        <f>Novembre!BE30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infoA2</v>
      </c>
      <c r="BB28" s="107">
        <f t="shared" si="31"/>
        <v>45972</v>
      </c>
      <c r="BC28" s="172">
        <f>+$D$13+10</f>
        <v>45972</v>
      </c>
      <c r="BD28" s="173" t="str">
        <f t="shared" si="32"/>
        <v/>
      </c>
      <c r="BE28" s="173" t="str">
        <f>+IF(OR(BF28=S.CAL!$BJ$3,BF28=S.CAL!$BJ$4),BD28,"")</f>
        <v/>
      </c>
      <c r="BF28" s="351">
        <f>IF($DY$5=S.CAL!$CU$2,Novembre!AR30,IF($DY$5=S.CAL!$CU$3,VLOOKUP(BC28,planning_fp,7,FALSE),""))</f>
        <v>0</v>
      </c>
      <c r="BG28" s="363" t="str">
        <f>Novembre!BL30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45972</v>
      </c>
      <c r="CF28" s="172">
        <f>+$D$13+10</f>
        <v>45972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45972</v>
      </c>
      <c r="EM28" s="16" t="str">
        <f t="shared" si="29"/>
        <v>Fiche infoA245972</v>
      </c>
      <c r="EN28" s="16">
        <f t="shared" si="20"/>
        <v>0</v>
      </c>
      <c r="EQ28" s="16" t="str">
        <f>Novembre!FS30</f>
        <v/>
      </c>
    </row>
    <row r="29" spans="1:147" ht="18" customHeight="1" x14ac:dyDescent="0.2">
      <c r="A29" s="24" t="str">
        <f>+Novembre!BJ31</f>
        <v>Fiche infoA3</v>
      </c>
      <c r="B29" s="107">
        <f t="shared" si="30"/>
        <v>45973</v>
      </c>
      <c r="C29" s="172">
        <f>+$D$13+11</f>
        <v>45973</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Novembre!BC31</f>
        <v>0</v>
      </c>
      <c r="J29" s="34">
        <f>Novembre!BE31</f>
        <v>0</v>
      </c>
      <c r="K29" s="34">
        <f t="shared" si="15"/>
        <v>0</v>
      </c>
      <c r="L29" s="34" t="str">
        <f t="shared" si="21"/>
        <v/>
      </c>
      <c r="O29" s="877" t="s">
        <v>1471</v>
      </c>
      <c r="P29" s="877"/>
      <c r="Q29" s="877"/>
      <c r="R29" s="877"/>
      <c r="BA29" s="349" t="str">
        <f t="shared" si="16"/>
        <v>Fiche infoA3</v>
      </c>
      <c r="BB29" s="107">
        <f t="shared" si="31"/>
        <v>45973</v>
      </c>
      <c r="BC29" s="172">
        <f>+$D$13+11</f>
        <v>45973</v>
      </c>
      <c r="BD29" s="173" t="str">
        <f t="shared" si="32"/>
        <v/>
      </c>
      <c r="BE29" s="173" t="str">
        <f>+IF(OR(BF29=S.CAL!$BJ$3,BF29=S.CAL!$BJ$4),BD29,"")</f>
        <v/>
      </c>
      <c r="BF29" s="351">
        <f>IF($DY$5=S.CAL!$CU$2,Novembre!AR31,IF($DY$5=S.CAL!$CU$3,VLOOKUP(BC29,planning_fp,7,FALSE),""))</f>
        <v>0</v>
      </c>
      <c r="BG29" s="363" t="str">
        <f>Novembre!BL31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45973</v>
      </c>
      <c r="CF29" s="172">
        <f>+$D$13+11</f>
        <v>45973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45973</v>
      </c>
      <c r="EM29" s="16" t="str">
        <f t="shared" si="29"/>
        <v>Fiche infoA345973</v>
      </c>
      <c r="EN29" s="16">
        <f t="shared" si="20"/>
        <v>0</v>
      </c>
      <c r="EQ29" s="16" t="str">
        <f>Novembre!FS31</f>
        <v/>
      </c>
    </row>
    <row r="30" spans="1:147" ht="18" customHeight="1" x14ac:dyDescent="0.25">
      <c r="A30" s="24" t="str">
        <f>+Novembre!BJ32</f>
        <v>Fiche infoA4</v>
      </c>
      <c r="B30" s="107">
        <f t="shared" si="30"/>
        <v>45974</v>
      </c>
      <c r="C30" s="172">
        <f>+$D$13+12</f>
        <v>45974</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Novembre!BC32</f>
        <v>0</v>
      </c>
      <c r="J30" s="34">
        <f>Novembre!BE32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45962</v>
      </c>
      <c r="AP30" s="2496"/>
      <c r="AQ30" s="2496"/>
      <c r="BA30" s="349" t="str">
        <f t="shared" si="16"/>
        <v>Fiche infoA4</v>
      </c>
      <c r="BB30" s="107">
        <f t="shared" si="31"/>
        <v>45974</v>
      </c>
      <c r="BC30" s="172">
        <f>+$D$13+12</f>
        <v>45974</v>
      </c>
      <c r="BD30" s="173" t="str">
        <f t="shared" si="32"/>
        <v/>
      </c>
      <c r="BE30" s="173" t="str">
        <f>+IF(OR(BF30=S.CAL!$BJ$3,BF30=S.CAL!$BJ$4),BD30,"")</f>
        <v/>
      </c>
      <c r="BF30" s="351">
        <f>IF($DY$5=S.CAL!$CU$2,Novembre!AR32,IF($DY$5=S.CAL!$CU$3,VLOOKUP(BC30,planning_fp,7,FALSE),""))</f>
        <v>0</v>
      </c>
      <c r="BG30" s="363" t="str">
        <f>Novembre!BL32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45974</v>
      </c>
      <c r="CF30" s="172">
        <f>+$D$13+12</f>
        <v>45974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45974</v>
      </c>
      <c r="EM30" s="16" t="str">
        <f t="shared" si="29"/>
        <v>Fiche infoA445974</v>
      </c>
      <c r="EN30" s="16">
        <f t="shared" si="20"/>
        <v>0</v>
      </c>
      <c r="EQ30" s="16" t="str">
        <f>Novembre!FS32</f>
        <v/>
      </c>
    </row>
    <row r="31" spans="1:147" ht="18" customHeight="1" x14ac:dyDescent="0.2">
      <c r="A31" s="24" t="str">
        <f>+Novembre!BJ33</f>
        <v>Fiche infoA5</v>
      </c>
      <c r="B31" s="107">
        <f t="shared" si="30"/>
        <v>45975</v>
      </c>
      <c r="C31" s="172">
        <f>+$D$13+13</f>
        <v>45975</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Novembre!BC33</f>
        <v>0</v>
      </c>
      <c r="J31" s="34">
        <f>Novembre!BE33</f>
        <v>0</v>
      </c>
      <c r="K31" s="34">
        <f t="shared" si="15"/>
        <v>0</v>
      </c>
      <c r="L31" s="34" t="str">
        <f t="shared" si="21"/>
        <v/>
      </c>
      <c r="AL31" s="581" t="s">
        <v>351</v>
      </c>
      <c r="BA31" s="349" t="str">
        <f t="shared" si="16"/>
        <v>Fiche infoA5</v>
      </c>
      <c r="BB31" s="107">
        <f t="shared" si="31"/>
        <v>45975</v>
      </c>
      <c r="BC31" s="172">
        <f>+$D$13+13</f>
        <v>45975</v>
      </c>
      <c r="BD31" s="173" t="str">
        <f t="shared" si="32"/>
        <v/>
      </c>
      <c r="BE31" s="173" t="str">
        <f>+IF(OR(BF31=S.CAL!$BJ$3,BF31=S.CAL!$BJ$4),BD31,"")</f>
        <v/>
      </c>
      <c r="BF31" s="351">
        <f>IF($DY$5=S.CAL!$CU$2,Novembre!AR33,IF($DY$5=S.CAL!$CU$3,VLOOKUP(BC31,planning_fp,7,FALSE),""))</f>
        <v>0</v>
      </c>
      <c r="BG31" s="363" t="str">
        <f>Novembre!BL33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45975</v>
      </c>
      <c r="CF31" s="172">
        <f>+$D$13+13</f>
        <v>45975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45975</v>
      </c>
      <c r="EM31" s="16" t="str">
        <f t="shared" si="29"/>
        <v>Fiche infoA545975</v>
      </c>
      <c r="EN31" s="16">
        <f t="shared" si="20"/>
        <v>0</v>
      </c>
      <c r="EQ31" s="16" t="str">
        <f>Novembre!FS33</f>
        <v/>
      </c>
    </row>
    <row r="32" spans="1:147" ht="18" customHeight="1" x14ac:dyDescent="0.2">
      <c r="A32" s="24" t="str">
        <f>+Novembre!BJ34</f>
        <v>Fiche infoA6</v>
      </c>
      <c r="B32" s="107">
        <f t="shared" si="30"/>
        <v>45976</v>
      </c>
      <c r="C32" s="172">
        <f>+$D$13+14</f>
        <v>45976</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Novembre!BC34</f>
        <v>0</v>
      </c>
      <c r="J32" s="34">
        <f>Novembre!BE34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infoA6</v>
      </c>
      <c r="BB32" s="107">
        <f t="shared" si="31"/>
        <v>45976</v>
      </c>
      <c r="BC32" s="172">
        <f>+$D$13+14</f>
        <v>45976</v>
      </c>
      <c r="BD32" s="173" t="str">
        <f t="shared" si="32"/>
        <v/>
      </c>
      <c r="BE32" s="173" t="str">
        <f>+IF(OR(BF32=S.CAL!$BJ$3,BF32=S.CAL!$BJ$4),BD32,"")</f>
        <v/>
      </c>
      <c r="BF32" s="351">
        <f>IF($DY$5=S.CAL!$CU$2,Novembre!AR34,IF($DY$5=S.CAL!$CU$3,VLOOKUP(BC32,planning_fp,7,FALSE),""))</f>
        <v>0</v>
      </c>
      <c r="BG32" s="363" t="str">
        <f>Novembre!BL34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45976</v>
      </c>
      <c r="CF32" s="172">
        <f>+$D$13+14</f>
        <v>45976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45976</v>
      </c>
      <c r="EM32" s="16" t="str">
        <f t="shared" si="29"/>
        <v>Fiche infoA645976</v>
      </c>
      <c r="EN32" s="16">
        <f t="shared" si="20"/>
        <v>0</v>
      </c>
      <c r="EQ32" s="16" t="str">
        <f>Novembre!FS34</f>
        <v/>
      </c>
    </row>
    <row r="33" spans="1:147" ht="18" customHeight="1" x14ac:dyDescent="0.2">
      <c r="A33" s="24" t="str">
        <f>+Novembre!BJ35</f>
        <v>Fiche infoA7</v>
      </c>
      <c r="B33" s="107">
        <f t="shared" si="30"/>
        <v>45977</v>
      </c>
      <c r="C33" s="172">
        <f>+$D$13+15</f>
        <v>45977</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Novembre!BC35</f>
        <v>0</v>
      </c>
      <c r="J33" s="34">
        <f>Novembre!BE35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BA33" s="349" t="str">
        <f t="shared" si="16"/>
        <v>Fiche infoA7</v>
      </c>
      <c r="BB33" s="107">
        <f t="shared" si="31"/>
        <v>45977</v>
      </c>
      <c r="BC33" s="172">
        <f>+$D$13+15</f>
        <v>45977</v>
      </c>
      <c r="BD33" s="173" t="str">
        <f t="shared" si="32"/>
        <v/>
      </c>
      <c r="BE33" s="173" t="str">
        <f>+IF(OR(BF33=S.CAL!$BJ$3,BF33=S.CAL!$BJ$4),BD33,"")</f>
        <v/>
      </c>
      <c r="BF33" s="351">
        <f>IF($DY$5=S.CAL!$CU$2,Novembre!AR35,IF($DY$5=S.CAL!$CU$3,VLOOKUP(BC33,planning_fp,7,FALSE),""))</f>
        <v>0</v>
      </c>
      <c r="BG33" s="363" t="str">
        <f>Novembre!BL35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45977</v>
      </c>
      <c r="CF33" s="172">
        <f>+$D$13+15</f>
        <v>45977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45977</v>
      </c>
      <c r="EM33" s="16" t="str">
        <f t="shared" si="29"/>
        <v>Fiche infoA745977</v>
      </c>
      <c r="EN33" s="16">
        <f t="shared" si="20"/>
        <v>0</v>
      </c>
      <c r="EQ33" s="16" t="str">
        <f>Novembre!FS35</f>
        <v/>
      </c>
    </row>
    <row r="34" spans="1:147" ht="18" customHeight="1" x14ac:dyDescent="0.2">
      <c r="A34" s="24" t="str">
        <f>+Novembre!BJ36</f>
        <v>Fiche infoA1</v>
      </c>
      <c r="B34" s="107">
        <f t="shared" si="30"/>
        <v>45978</v>
      </c>
      <c r="C34" s="172">
        <f>+$D$13+16</f>
        <v>45978</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Novembre!BC36</f>
        <v>0</v>
      </c>
      <c r="J34" s="34">
        <f>Novembre!BE36</f>
        <v>0</v>
      </c>
      <c r="K34" s="34">
        <f t="shared" si="15"/>
        <v>0</v>
      </c>
      <c r="L34" s="34" t="str">
        <f t="shared" si="21"/>
        <v/>
      </c>
      <c r="N34" s="395"/>
      <c r="O34" s="395"/>
      <c r="P34" s="395"/>
      <c r="Q34" s="395"/>
      <c r="R34" s="395"/>
      <c r="T34" s="581">
        <f>+IF(AD34=0,V34,0)</f>
        <v>0</v>
      </c>
      <c r="U34" s="1323" t="str">
        <f>+Novembre!AU4</f>
        <v>A</v>
      </c>
      <c r="V34" s="1323">
        <f>IFERROR(+VLOOKUP(U34,U35:AB39,7,FALSE),"")</f>
        <v>0</v>
      </c>
      <c r="W34" s="2482" t="str">
        <f>Novembre!BS28</f>
        <v>Semaine numéro : 44</v>
      </c>
      <c r="X34" s="2482"/>
      <c r="Y34" s="2482"/>
      <c r="Z34" s="1345"/>
      <c r="AA34" s="1338">
        <f>+IF(Z34&lt;&gt;"",Z34,IF(T34&gt;0,T34,IF(AND(AD34&gt;0,AC34&gt;0),AD34+AC34,IF(AE34&gt;0,0,AC34))))</f>
        <v>0</v>
      </c>
      <c r="AB34" s="1338">
        <f>IF(AND(AA34&gt;45,AD34=AD48),AA34-45,0)</f>
        <v>0</v>
      </c>
      <c r="AC34" s="1344">
        <f>+SUMIF(Novembre!$BK$20:$BK$50,Novembre!AT4,$D$18:$D$48)</f>
        <v>0</v>
      </c>
      <c r="AD34" s="1344">
        <f>+SUMIF(Octobre!$BK$20:$BK$50,Novembre!AT4,'Retenue Oct'!$D$18:$D$48)</f>
        <v>0</v>
      </c>
      <c r="AE34" s="1344">
        <f>+SUMIF(Décembre!$BK$20:$BK$50,Novembre!AT4,'Retenue Déc'!$D$18:$D$48)</f>
        <v>0</v>
      </c>
      <c r="AF34" s="1338">
        <f>+AC34-AB34</f>
        <v>0</v>
      </c>
      <c r="AK34" s="1211" t="s">
        <v>333</v>
      </c>
      <c r="AL34" s="1324" t="e">
        <f>IF(AL32,+AL24/AL32,0)</f>
        <v>#VALUE!</v>
      </c>
      <c r="BA34" s="349" t="str">
        <f t="shared" si="16"/>
        <v>Fiche infoA1</v>
      </c>
      <c r="BB34" s="107">
        <f t="shared" si="31"/>
        <v>45978</v>
      </c>
      <c r="BC34" s="172">
        <f>+$D$13+16</f>
        <v>45978</v>
      </c>
      <c r="BD34" s="173" t="str">
        <f t="shared" si="32"/>
        <v/>
      </c>
      <c r="BE34" s="173" t="str">
        <f>+IF(OR(BF34=S.CAL!$BJ$3,BF34=S.CAL!$BJ$4),BD34,"")</f>
        <v/>
      </c>
      <c r="BF34" s="351">
        <f>IF($DY$5=S.CAL!$CU$2,Novembre!AR36,IF($DY$5=S.CAL!$CU$3,VLOOKUP(BC34,planning_fp,7,FALSE),""))</f>
        <v>0</v>
      </c>
      <c r="BG34" s="363" t="str">
        <f>Novembre!BL36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45978</v>
      </c>
      <c r="CF34" s="172">
        <f>+$D$13+16</f>
        <v>45978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45978</v>
      </c>
      <c r="EM34" s="16" t="str">
        <f t="shared" si="29"/>
        <v>Fiche infoA145978</v>
      </c>
      <c r="EN34" s="16">
        <f t="shared" si="20"/>
        <v>0</v>
      </c>
      <c r="EQ34" s="16" t="str">
        <f>Novembre!FS36</f>
        <v/>
      </c>
    </row>
    <row r="35" spans="1:147" ht="18" customHeight="1" x14ac:dyDescent="0.2">
      <c r="A35" s="24" t="str">
        <f>+Novembre!BJ37</f>
        <v>Fiche infoA2</v>
      </c>
      <c r="B35" s="107">
        <f t="shared" si="30"/>
        <v>45979</v>
      </c>
      <c r="C35" s="172">
        <f>+$D$13+17</f>
        <v>45979</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Novembre!BC37</f>
        <v>0</v>
      </c>
      <c r="J35" s="34">
        <f>Novembre!BE37</f>
        <v>0</v>
      </c>
      <c r="K35" s="34">
        <f t="shared" si="15"/>
        <v>0</v>
      </c>
      <c r="L35" s="34" t="str">
        <f t="shared" si="21"/>
        <v/>
      </c>
      <c r="N35" s="395"/>
      <c r="O35" s="879" t="s">
        <v>1218</v>
      </c>
      <c r="P35" s="880"/>
      <c r="Q35" s="880"/>
      <c r="R35" s="876"/>
      <c r="T35" s="581">
        <f>+IF(AD35=0,V35,0)</f>
        <v>0</v>
      </c>
      <c r="U35" s="1323" t="str">
        <f>+Novembre!AU5</f>
        <v>A</v>
      </c>
      <c r="V35" s="1323">
        <f>IFERROR(+VLOOKUP(U35,U36:AB39,7,FALSE),"")</f>
        <v>0</v>
      </c>
      <c r="W35" s="2482" t="str">
        <f>Novembre!BS29</f>
        <v>Semaine numéro : 45</v>
      </c>
      <c r="X35" s="2482"/>
      <c r="Y35" s="2482"/>
      <c r="Z35" s="1345"/>
      <c r="AA35" s="1338">
        <f>+IF(Z35&lt;&gt;"",Z35,IF(T35&gt;0,T35,IF(AND(AD35&gt;0,AC35&gt;0),AD35+AC35,IF(AE35&gt;0,0,AC35))))</f>
        <v>0</v>
      </c>
      <c r="AB35" s="1338">
        <f t="shared" ref="AB35:AB39" si="44">IF(AND(AA35&gt;45,AD35=AD49),AA35-45,0)</f>
        <v>0</v>
      </c>
      <c r="AC35" s="1344">
        <f>+SUMIF(Novembre!$BK$20:$BK$50,Novembre!AT5,$D$18:$D$48)</f>
        <v>0</v>
      </c>
      <c r="AD35" s="1344">
        <f>+SUMIF(Octobre!$BK$20:$BK$50,Novembre!AT5,'Retenue Oct'!$D$18:$D$48)</f>
        <v>0</v>
      </c>
      <c r="AE35" s="1344">
        <f>+SUMIF(Décembre!$BK$20:$BK$50,Novembre!AT5,'Retenue Déc'!$D$18:$D$48)</f>
        <v>0</v>
      </c>
      <c r="AF35" s="1338">
        <f t="shared" ref="AF35:AF39" si="45">+AC35-AB35</f>
        <v>0</v>
      </c>
      <c r="AK35" s="1211"/>
      <c r="AL35" s="1324"/>
      <c r="BA35" s="349" t="str">
        <f t="shared" si="16"/>
        <v>Fiche infoA2</v>
      </c>
      <c r="BB35" s="107">
        <f t="shared" si="31"/>
        <v>45979</v>
      </c>
      <c r="BC35" s="172">
        <f>+$D$13+17</f>
        <v>45979</v>
      </c>
      <c r="BD35" s="173" t="str">
        <f t="shared" si="32"/>
        <v/>
      </c>
      <c r="BE35" s="173" t="str">
        <f>+IF(OR(BF35=S.CAL!$BJ$3,BF35=S.CAL!$BJ$4),BD35,"")</f>
        <v/>
      </c>
      <c r="BF35" s="351">
        <f>IF($DY$5=S.CAL!$CU$2,Novembre!AR37,IF($DY$5=S.CAL!$CU$3,VLOOKUP(BC35,planning_fp,7,FALSE),""))</f>
        <v>0</v>
      </c>
      <c r="BG35" s="363" t="str">
        <f>Novembre!BL37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45979</v>
      </c>
      <c r="CF35" s="172">
        <f>+$D$13+17</f>
        <v>45979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45979</v>
      </c>
      <c r="EM35" s="16" t="str">
        <f t="shared" si="29"/>
        <v>Fiche infoA245979</v>
      </c>
      <c r="EN35" s="16">
        <f t="shared" si="20"/>
        <v>0</v>
      </c>
      <c r="EQ35" s="16" t="str">
        <f>Novembre!FS37</f>
        <v/>
      </c>
    </row>
    <row r="36" spans="1:147" ht="18" customHeight="1" x14ac:dyDescent="0.2">
      <c r="A36" s="24" t="str">
        <f>+Novembre!BJ38</f>
        <v>Fiche infoA3</v>
      </c>
      <c r="B36" s="107">
        <f t="shared" si="30"/>
        <v>45980</v>
      </c>
      <c r="C36" s="172">
        <f>+$D$13+18</f>
        <v>45980</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Novembre!BC38</f>
        <v>0</v>
      </c>
      <c r="J36" s="34">
        <f>Novembre!BE38</f>
        <v>0</v>
      </c>
      <c r="K36" s="34">
        <f t="shared" si="15"/>
        <v>0</v>
      </c>
      <c r="L36" s="34" t="str">
        <f t="shared" si="21"/>
        <v/>
      </c>
      <c r="N36" s="395"/>
      <c r="O36" s="486"/>
      <c r="P36" s="487" t="str">
        <f>+E11&amp;" / ( "&amp;E10&amp;" + "&amp;E11&amp;" ) ="</f>
        <v>0 / ( 0 + 0 ) =</v>
      </c>
      <c r="Q36" s="486" t="e">
        <f>+ROUND(E11/(E11+E10),6)</f>
        <v>#DIV/0!</v>
      </c>
      <c r="R36" s="395"/>
      <c r="U36" s="1323" t="str">
        <f>+Novembre!AU6</f>
        <v>A</v>
      </c>
      <c r="V36" s="1323"/>
      <c r="W36" s="2482" t="str">
        <f>Novembre!BS30</f>
        <v>Semaine numéro : 46</v>
      </c>
      <c r="X36" s="2482"/>
      <c r="Y36" s="2482"/>
      <c r="Z36" s="1345"/>
      <c r="AA36" s="1338">
        <f t="shared" ref="AA36:AA39" si="46">+IF(Z36="",IF(AND(AD36&gt;0,AC36&gt;0),AD36+AC36,IF(AE36&gt;0,0,AC36)),Z36)</f>
        <v>0</v>
      </c>
      <c r="AB36" s="1338">
        <f t="shared" si="44"/>
        <v>0</v>
      </c>
      <c r="AC36" s="1344">
        <f>+SUMIF(Novembre!$BK$20:$BK$50,Novembre!AT6,$D$18:$D$48)</f>
        <v>0</v>
      </c>
      <c r="AD36" s="1344">
        <f>+SUMIF(Octobre!$BK$20:$BK$50,Novembre!AT6,'Retenue Oct'!$D$18:$D$48)</f>
        <v>0</v>
      </c>
      <c r="AE36" s="1344">
        <f>+SUMIF(Décembre!$BK$20:$BK$50,Novembre!AT6,'Retenue Déc'!$D$18:$D$48)</f>
        <v>0</v>
      </c>
      <c r="AF36" s="1338">
        <f t="shared" si="45"/>
        <v>0</v>
      </c>
      <c r="AK36" s="1211"/>
      <c r="AL36" s="1324"/>
      <c r="BA36" s="349" t="str">
        <f t="shared" si="16"/>
        <v>Fiche infoA3</v>
      </c>
      <c r="BB36" s="107">
        <f t="shared" si="31"/>
        <v>45980</v>
      </c>
      <c r="BC36" s="172">
        <f>+$D$13+18</f>
        <v>45980</v>
      </c>
      <c r="BD36" s="173" t="str">
        <f t="shared" si="32"/>
        <v/>
      </c>
      <c r="BE36" s="173" t="str">
        <f>+IF(OR(BF36=S.CAL!$BJ$3,BF36=S.CAL!$BJ$4),BD36,"")</f>
        <v/>
      </c>
      <c r="BF36" s="351">
        <f>IF($DY$5=S.CAL!$CU$2,Novembre!AR38,IF($DY$5=S.CAL!$CU$3,VLOOKUP(BC36,planning_fp,7,FALSE),""))</f>
        <v>0</v>
      </c>
      <c r="BG36" s="363" t="str">
        <f>Novembre!BL38</f>
        <v>A</v>
      </c>
      <c r="BH36" s="374"/>
      <c r="BI36" s="375"/>
      <c r="BJ36" s="373"/>
      <c r="BK36" s="373"/>
      <c r="BL36" s="35"/>
      <c r="BS36" s="191"/>
      <c r="BT36" s="360"/>
      <c r="BU36" s="360"/>
      <c r="BV36" s="373"/>
      <c r="BW36" s="373"/>
      <c r="BX36" s="373"/>
      <c r="BY36" s="373"/>
      <c r="BZ36" s="373"/>
      <c r="CA36" s="373"/>
      <c r="CB36" s="373"/>
      <c r="CD36" s="346"/>
      <c r="CE36" s="107">
        <f t="shared" si="33"/>
        <v>45980</v>
      </c>
      <c r="CF36" s="172">
        <f>+$D$13+18</f>
        <v>45980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45980</v>
      </c>
      <c r="EM36" s="16" t="str">
        <f t="shared" si="29"/>
        <v>Fiche infoA345980</v>
      </c>
      <c r="EN36" s="16">
        <f t="shared" si="20"/>
        <v>0</v>
      </c>
      <c r="EQ36" s="16" t="str">
        <f>Novembre!FS38</f>
        <v/>
      </c>
    </row>
    <row r="37" spans="1:147" ht="18" customHeight="1" x14ac:dyDescent="0.2">
      <c r="A37" s="24" t="str">
        <f>+Novembre!BJ39</f>
        <v>Fiche infoA4</v>
      </c>
      <c r="B37" s="107">
        <f t="shared" si="30"/>
        <v>45981</v>
      </c>
      <c r="C37" s="172">
        <f>+$D$13+19</f>
        <v>45981</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Novembre!BC39</f>
        <v>0</v>
      </c>
      <c r="J37" s="34">
        <f>Novembre!BE39</f>
        <v>0</v>
      </c>
      <c r="K37" s="34">
        <f t="shared" si="15"/>
        <v>0</v>
      </c>
      <c r="L37" s="34" t="str">
        <f t="shared" si="21"/>
        <v/>
      </c>
      <c r="N37" s="395"/>
      <c r="O37" s="881"/>
      <c r="P37" s="881"/>
      <c r="Q37" s="881"/>
      <c r="R37" s="395"/>
      <c r="U37" s="1323" t="str">
        <f>+Novembre!AU7</f>
        <v>A</v>
      </c>
      <c r="V37" s="1323"/>
      <c r="W37" s="2482" t="str">
        <f>Novembre!BS31</f>
        <v>Semaine numéro : 47</v>
      </c>
      <c r="X37" s="2482"/>
      <c r="Y37" s="2482"/>
      <c r="Z37" s="1345"/>
      <c r="AA37" s="1338">
        <f t="shared" si="46"/>
        <v>0</v>
      </c>
      <c r="AB37" s="1338">
        <f t="shared" si="44"/>
        <v>0</v>
      </c>
      <c r="AC37" s="1344">
        <f>+SUMIF(Novembre!$BK$20:$BK$50,Novembre!AT7,$D$18:$D$48)</f>
        <v>0</v>
      </c>
      <c r="AD37" s="1344">
        <f>+SUMIF(Octobre!$BK$20:$BK$50,Novembre!AT7,'Retenue Oct'!$D$18:$D$48)</f>
        <v>0</v>
      </c>
      <c r="AE37" s="1344">
        <f>+SUMIF(Décembre!$BK$20:$BK$50,Novembre!AT7,'Retenue Déc'!$D$18:$D$48)</f>
        <v>0</v>
      </c>
      <c r="AF37" s="1338">
        <f t="shared" si="45"/>
        <v>0</v>
      </c>
      <c r="AK37" s="1211"/>
      <c r="AL37" s="2494" t="s">
        <v>334</v>
      </c>
      <c r="AM37" s="2494" t="s">
        <v>335</v>
      </c>
      <c r="AN37" s="2495" t="s">
        <v>336</v>
      </c>
      <c r="AO37" s="2494" t="s">
        <v>337</v>
      </c>
      <c r="AP37" s="2494" t="s">
        <v>357</v>
      </c>
      <c r="AQ37" s="2494" t="s">
        <v>358</v>
      </c>
      <c r="BA37" s="349" t="str">
        <f t="shared" si="16"/>
        <v>Fiche infoA4</v>
      </c>
      <c r="BB37" s="107">
        <f t="shared" si="31"/>
        <v>45981</v>
      </c>
      <c r="BC37" s="172">
        <f>+$D$13+19</f>
        <v>45981</v>
      </c>
      <c r="BD37" s="173" t="str">
        <f t="shared" si="32"/>
        <v/>
      </c>
      <c r="BE37" s="173" t="str">
        <f>+IF(OR(BF37=S.CAL!$BJ$3,BF37=S.CAL!$BJ$4),BD37,"")</f>
        <v/>
      </c>
      <c r="BF37" s="351">
        <f>IF($DY$5=S.CAL!$CU$2,Novembre!AR39,IF($DY$5=S.CAL!$CU$3,VLOOKUP(BC37,planning_fp,7,FALSE),""))</f>
        <v>0</v>
      </c>
      <c r="BG37" s="363" t="str">
        <f>Novembre!BL39</f>
        <v>A</v>
      </c>
      <c r="BH37" s="373"/>
      <c r="BI37" s="373"/>
      <c r="BJ37" s="373"/>
      <c r="BK37" s="373"/>
      <c r="BL37" s="35"/>
      <c r="BO37" s="29"/>
      <c r="BP37" s="34"/>
      <c r="BS37" s="191"/>
      <c r="BT37" s="191"/>
      <c r="BV37" s="373"/>
      <c r="BW37" s="373"/>
      <c r="BX37" s="373"/>
      <c r="BY37" s="373"/>
      <c r="BZ37" s="373"/>
      <c r="CA37" s="373"/>
      <c r="CB37" s="373"/>
      <c r="CD37" s="346"/>
      <c r="CE37" s="107">
        <f t="shared" si="33"/>
        <v>45981</v>
      </c>
      <c r="CF37" s="172">
        <f>+$D$13+19</f>
        <v>45981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45981</v>
      </c>
      <c r="EM37" s="16" t="str">
        <f t="shared" si="29"/>
        <v>Fiche infoA445981</v>
      </c>
      <c r="EN37" s="16">
        <f t="shared" si="20"/>
        <v>0</v>
      </c>
      <c r="EQ37" s="16" t="str">
        <f>Novembre!FS39</f>
        <v/>
      </c>
    </row>
    <row r="38" spans="1:147" ht="18" customHeight="1" x14ac:dyDescent="0.2">
      <c r="A38" s="24" t="str">
        <f>+Novembre!BJ40</f>
        <v>Fiche infoA5</v>
      </c>
      <c r="B38" s="107">
        <f t="shared" si="30"/>
        <v>45982</v>
      </c>
      <c r="C38" s="172">
        <f>+$D$13+20</f>
        <v>45982</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Novembre!BC40</f>
        <v>0</v>
      </c>
      <c r="J38" s="34">
        <f>Novembre!BE40</f>
        <v>0</v>
      </c>
      <c r="K38" s="34">
        <f t="shared" si="15"/>
        <v>0</v>
      </c>
      <c r="L38" s="34" t="str">
        <f t="shared" si="21"/>
        <v/>
      </c>
      <c r="N38" s="395"/>
      <c r="O38" s="882" t="s">
        <v>1472</v>
      </c>
      <c r="P38" s="882"/>
      <c r="Q38" s="882"/>
      <c r="R38" s="878"/>
      <c r="U38" s="1323" t="str">
        <f>+Novembre!AU8</f>
        <v>A</v>
      </c>
      <c r="V38" s="1323"/>
      <c r="W38" s="2482" t="str">
        <f>Novembre!BS32</f>
        <v>Semaine numéro : 48</v>
      </c>
      <c r="X38" s="2482"/>
      <c r="Y38" s="2482"/>
      <c r="Z38" s="1345"/>
      <c r="AA38" s="1338">
        <f t="shared" si="46"/>
        <v>0</v>
      </c>
      <c r="AB38" s="1338">
        <f t="shared" si="44"/>
        <v>0</v>
      </c>
      <c r="AC38" s="1344">
        <f>+SUMIF(Novembre!$BK$20:$BK$50,Novembre!AT8,$D$18:$D$48)</f>
        <v>0</v>
      </c>
      <c r="AD38" s="1344">
        <f>+SUMIF(Octobre!$BK$20:$BK$50,Novembre!AT8,'Retenue Oct'!$D$18:$D$48)</f>
        <v>0</v>
      </c>
      <c r="AE38" s="1344">
        <f>+SUMIF(Décembre!$BK$20:$BK$50,Novembre!AT8,'Retenue Déc'!$D$18:$D$48)</f>
        <v>0</v>
      </c>
      <c r="AF38" s="1338">
        <f t="shared" si="45"/>
        <v>0</v>
      </c>
      <c r="AL38" s="2494"/>
      <c r="AM38" s="2494"/>
      <c r="AN38" s="2495"/>
      <c r="AO38" s="2494"/>
      <c r="AP38" s="2494"/>
      <c r="AQ38" s="2494"/>
      <c r="BA38" s="349" t="str">
        <f t="shared" si="16"/>
        <v>Fiche infoA5</v>
      </c>
      <c r="BB38" s="107">
        <f t="shared" si="31"/>
        <v>45982</v>
      </c>
      <c r="BC38" s="172">
        <f>+$D$13+20</f>
        <v>45982</v>
      </c>
      <c r="BD38" s="173" t="str">
        <f t="shared" si="32"/>
        <v/>
      </c>
      <c r="BE38" s="173" t="str">
        <f>+IF(OR(BF38=S.CAL!$BJ$3,BF38=S.CAL!$BJ$4),BD38,"")</f>
        <v/>
      </c>
      <c r="BF38" s="351">
        <f>IF($DY$5=S.CAL!$CU$2,Novembre!AR40,IF($DY$5=S.CAL!$CU$3,VLOOKUP(BC38,planning_fp,7,FALSE),""))</f>
        <v>0</v>
      </c>
      <c r="BG38" s="363" t="str">
        <f>Novembre!BL40</f>
        <v>A</v>
      </c>
      <c r="BH38" s="373"/>
      <c r="BI38" s="373"/>
      <c r="BJ38" s="373"/>
      <c r="BK38" s="373"/>
      <c r="BL38" s="35"/>
      <c r="BO38" s="29"/>
      <c r="BP38" s="34"/>
      <c r="BS38" s="191"/>
      <c r="BT38" s="191"/>
      <c r="BV38" s="373"/>
      <c r="BW38" s="373"/>
      <c r="BX38" s="373"/>
      <c r="BY38" s="373"/>
      <c r="BZ38" s="373"/>
      <c r="CA38" s="373"/>
      <c r="CB38" s="373"/>
      <c r="CD38" s="346"/>
      <c r="CE38" s="107">
        <f t="shared" si="33"/>
        <v>45982</v>
      </c>
      <c r="CF38" s="172">
        <f>+$D$13+20</f>
        <v>45982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45982</v>
      </c>
      <c r="EM38" s="16" t="str">
        <f t="shared" si="29"/>
        <v>Fiche infoA545982</v>
      </c>
      <c r="EN38" s="16">
        <f t="shared" si="20"/>
        <v>0</v>
      </c>
      <c r="EQ38" s="16" t="str">
        <f>Novembre!FS40</f>
        <v/>
      </c>
    </row>
    <row r="39" spans="1:147" ht="18" customHeight="1" x14ac:dyDescent="0.2">
      <c r="A39" s="24" t="str">
        <f>+Novembre!BJ41</f>
        <v>Fiche infoA6</v>
      </c>
      <c r="B39" s="107">
        <f t="shared" si="30"/>
        <v>45983</v>
      </c>
      <c r="C39" s="172">
        <f>+$D$13+21</f>
        <v>45983</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Novembre!BC41</f>
        <v>0</v>
      </c>
      <c r="J39" s="34">
        <f>Novembre!BE41</f>
        <v>0</v>
      </c>
      <c r="K39" s="34">
        <f t="shared" si="15"/>
        <v>0</v>
      </c>
      <c r="L39" s="34" t="str">
        <f t="shared" si="21"/>
        <v/>
      </c>
      <c r="N39" s="395"/>
      <c r="O39" s="486"/>
      <c r="P39" s="487" t="str">
        <f>+E10&amp;" / ( "&amp;E10&amp;" + "&amp;E11&amp;" ) ="</f>
        <v>0 / ( 0 + 0 ) =</v>
      </c>
      <c r="Q39" s="486" t="e">
        <f>ROUND(+E10/(E11+E10),6)</f>
        <v>#DIV/0!</v>
      </c>
      <c r="R39" s="395"/>
      <c r="U39" s="1323" t="str">
        <f>+Novembre!AU9</f>
        <v>A</v>
      </c>
      <c r="V39" s="1323"/>
      <c r="W39" s="2482" t="str">
        <f>Novembre!BS33</f>
        <v xml:space="preserve">Semaine numéro : </v>
      </c>
      <c r="X39" s="2482"/>
      <c r="Y39" s="2482"/>
      <c r="Z39" s="1345"/>
      <c r="AA39" s="1338">
        <f t="shared" si="46"/>
        <v>0</v>
      </c>
      <c r="AB39" s="1338">
        <f t="shared" si="44"/>
        <v>0</v>
      </c>
      <c r="AC39" s="1344">
        <f>+SUMIF(Novembre!$BK$20:$BK$50,Novembre!AT9,$D$18:$D$48)</f>
        <v>0</v>
      </c>
      <c r="AD39" s="1344">
        <f>+SUMIF(Octobre!$BK$20:$BK$50,Novembre!AT9,'Retenue Oct'!$D$18:$D$48)</f>
        <v>0</v>
      </c>
      <c r="AE39" s="1344">
        <f>+SUMIF(Décembre!$BK$20:$BK$50,Novembre!AT9,'Retenue Déc'!$D$18:$D$48)</f>
        <v>0</v>
      </c>
      <c r="AF39" s="1338">
        <f t="shared" si="45"/>
        <v>0</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infoA6</v>
      </c>
      <c r="BB39" s="107">
        <f t="shared" si="31"/>
        <v>45983</v>
      </c>
      <c r="BC39" s="172">
        <f>+$D$13+21</f>
        <v>45983</v>
      </c>
      <c r="BD39" s="173" t="str">
        <f t="shared" si="32"/>
        <v/>
      </c>
      <c r="BE39" s="173" t="str">
        <f>+IF(OR(BF39=S.CAL!$BJ$3,BF39=S.CAL!$BJ$4),BD39,"")</f>
        <v/>
      </c>
      <c r="BF39" s="351">
        <f>IF($DY$5=S.CAL!$CU$2,Novembre!AR41,IF($DY$5=S.CAL!$CU$3,VLOOKUP(BC39,planning_fp,7,FALSE),""))</f>
        <v>0</v>
      </c>
      <c r="BG39" s="363" t="str">
        <f>Novembre!BL41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45983</v>
      </c>
      <c r="CF39" s="172">
        <f>+$D$13+21</f>
        <v>45983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45983</v>
      </c>
      <c r="EM39" s="16" t="str">
        <f t="shared" si="29"/>
        <v>Fiche infoA645983</v>
      </c>
      <c r="EN39" s="16">
        <f t="shared" si="20"/>
        <v>0</v>
      </c>
      <c r="EQ39" s="16" t="str">
        <f>Novembre!FS41</f>
        <v/>
      </c>
    </row>
    <row r="40" spans="1:147" ht="18" customHeight="1" x14ac:dyDescent="0.2">
      <c r="A40" s="24" t="str">
        <f>+Novembre!BJ42</f>
        <v>Fiche infoA7</v>
      </c>
      <c r="B40" s="107">
        <f t="shared" si="30"/>
        <v>45984</v>
      </c>
      <c r="C40" s="172">
        <f>+$D$13+22</f>
        <v>45984</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Novembre!BC42</f>
        <v>0</v>
      </c>
      <c r="J40" s="34">
        <f>Novembre!BE42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infoA7</v>
      </c>
      <c r="BB40" s="107">
        <f t="shared" si="31"/>
        <v>45984</v>
      </c>
      <c r="BC40" s="172">
        <f>+$D$13+22</f>
        <v>45984</v>
      </c>
      <c r="BD40" s="173" t="str">
        <f t="shared" si="32"/>
        <v/>
      </c>
      <c r="BE40" s="173" t="str">
        <f>+IF(OR(BF40=S.CAL!$BJ$3,BF40=S.CAL!$BJ$4),BD40,"")</f>
        <v/>
      </c>
      <c r="BF40" s="351">
        <f>IF($DY$5=S.CAL!$CU$2,Novembre!AR42,IF($DY$5=S.CAL!$CU$3,VLOOKUP(BC40,planning_fp,7,FALSE),""))</f>
        <v>0</v>
      </c>
      <c r="BG40" s="363" t="str">
        <f>Novembre!BL42</f>
        <v>A</v>
      </c>
      <c r="BH40" s="373"/>
      <c r="BI40" s="373"/>
      <c r="BJ40" s="373"/>
      <c r="BK40" s="373"/>
      <c r="BL40" s="35"/>
      <c r="BN40" s="19"/>
      <c r="BO40" s="39"/>
      <c r="BP40" s="196"/>
      <c r="BV40" s="373"/>
      <c r="BW40" s="373"/>
      <c r="BX40" s="390"/>
      <c r="BY40" s="373"/>
      <c r="BZ40" s="373"/>
      <c r="CA40" s="373"/>
      <c r="CB40" s="373"/>
      <c r="CD40" s="346"/>
      <c r="CE40" s="107">
        <f t="shared" si="33"/>
        <v>45984</v>
      </c>
      <c r="CF40" s="172">
        <f>+$D$13+22</f>
        <v>45984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45984</v>
      </c>
      <c r="EM40" s="16" t="str">
        <f t="shared" si="29"/>
        <v>Fiche infoA745984</v>
      </c>
      <c r="EN40" s="16">
        <f t="shared" si="20"/>
        <v>0</v>
      </c>
      <c r="EQ40" s="16" t="str">
        <f>Novembre!FS42</f>
        <v/>
      </c>
    </row>
    <row r="41" spans="1:147" ht="18" customHeight="1" x14ac:dyDescent="0.2">
      <c r="A41" s="24" t="str">
        <f>+Novembre!BJ43</f>
        <v>Fiche infoA1</v>
      </c>
      <c r="B41" s="107">
        <f t="shared" si="30"/>
        <v>45985</v>
      </c>
      <c r="C41" s="172">
        <f>+$D$13+23</f>
        <v>45985</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Novembre!BC43</f>
        <v>0</v>
      </c>
      <c r="J41" s="34">
        <f>Novembre!BE43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infoA1</v>
      </c>
      <c r="BB41" s="107">
        <f t="shared" si="31"/>
        <v>45985</v>
      </c>
      <c r="BC41" s="172">
        <f>+$D$13+23</f>
        <v>45985</v>
      </c>
      <c r="BD41" s="173" t="str">
        <f t="shared" si="32"/>
        <v/>
      </c>
      <c r="BE41" s="173" t="str">
        <f>+IF(OR(BF41=S.CAL!$BJ$3,BF41=S.CAL!$BJ$4),BD41,"")</f>
        <v/>
      </c>
      <c r="BF41" s="351">
        <f>IF($DY$5=S.CAL!$CU$2,Novembre!AR43,IF($DY$5=S.CAL!$CU$3,VLOOKUP(BC41,planning_fp,7,FALSE),""))</f>
        <v>0</v>
      </c>
      <c r="BG41" s="363" t="str">
        <f>Novembre!BL43</f>
        <v>A</v>
      </c>
      <c r="BH41" s="373"/>
      <c r="BI41" s="373"/>
      <c r="BJ41" s="373"/>
      <c r="BK41" s="373"/>
      <c r="BL41" s="35"/>
      <c r="BS41" s="95" t="s">
        <v>845</v>
      </c>
      <c r="BT41" s="196">
        <f>ROUND(SUM(BT28:BT35),2)</f>
        <v>0</v>
      </c>
      <c r="BV41" s="373"/>
      <c r="BW41" s="373"/>
      <c r="BX41" s="373"/>
      <c r="BY41" s="373"/>
      <c r="BZ41" s="373"/>
      <c r="CA41" s="374" t="s">
        <v>845</v>
      </c>
      <c r="CB41" s="390">
        <f>ROUND(SUM(CB28:CB35),2)</f>
        <v>0</v>
      </c>
      <c r="CD41" s="346"/>
      <c r="CE41" s="107">
        <f t="shared" si="33"/>
        <v>45985</v>
      </c>
      <c r="CF41" s="172">
        <f>+$D$13+23</f>
        <v>45985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45985</v>
      </c>
      <c r="EM41" s="16" t="str">
        <f t="shared" si="29"/>
        <v>Fiche infoA145985</v>
      </c>
      <c r="EN41" s="16">
        <f t="shared" si="20"/>
        <v>0</v>
      </c>
      <c r="EQ41" s="16" t="str">
        <f>Novembre!FS43</f>
        <v/>
      </c>
    </row>
    <row r="42" spans="1:147" ht="18" customHeight="1" x14ac:dyDescent="0.2">
      <c r="A42" s="24" t="str">
        <f>+Novembre!BJ44</f>
        <v>Fiche infoA2</v>
      </c>
      <c r="B42" s="107">
        <f t="shared" si="30"/>
        <v>45986</v>
      </c>
      <c r="C42" s="172">
        <f>+$D$13+24</f>
        <v>45986</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Novembre!BC44</f>
        <v>0</v>
      </c>
      <c r="J42" s="34">
        <f>Novembre!BE44</f>
        <v>0</v>
      </c>
      <c r="K42" s="34">
        <f t="shared" si="15"/>
        <v>0</v>
      </c>
      <c r="L42" s="34" t="str">
        <f t="shared" si="21"/>
        <v/>
      </c>
      <c r="N42" s="395"/>
      <c r="P42" s="29" t="e">
        <f>+IF(ED1=S.CAL!EP1,+E50&amp;" hrs x "&amp;Q39&amp;" =",E10&amp;" hrs X "&amp;E50&amp;" hrs / "&amp;D50&amp;" hrs =")</f>
        <v>#DIV/0!</v>
      </c>
      <c r="Q42" s="691" t="e">
        <f>+IF(ED1=S.CAL!EP1,+ROUND(E50*Q39,2),ROUND(E10*E50/D50,3))</f>
        <v>#DIV/0!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infoA2</v>
      </c>
      <c r="BB42" s="107">
        <f t="shared" si="31"/>
        <v>45986</v>
      </c>
      <c r="BC42" s="172">
        <f>+$D$13+24</f>
        <v>45986</v>
      </c>
      <c r="BD42" s="173" t="str">
        <f t="shared" si="32"/>
        <v/>
      </c>
      <c r="BE42" s="173" t="str">
        <f>+IF(OR(BF42=S.CAL!$BJ$3,BF42=S.CAL!$BJ$4),BD42,"")</f>
        <v/>
      </c>
      <c r="BF42" s="351">
        <f>IF($DY$5=S.CAL!$CU$2,Novembre!AR44,IF($DY$5=S.CAL!$CU$3,VLOOKUP(BC42,planning_fp,7,FALSE),""))</f>
        <v>0</v>
      </c>
      <c r="BG42" s="363" t="str">
        <f>Novembre!BL44</f>
        <v>A</v>
      </c>
      <c r="BH42" s="374"/>
      <c r="BI42" s="376"/>
      <c r="BJ42" s="373"/>
      <c r="BK42" s="373"/>
      <c r="BL42" s="35"/>
      <c r="BV42" s="373"/>
      <c r="BW42" s="373"/>
      <c r="BX42" s="373"/>
      <c r="BY42" s="373"/>
      <c r="BZ42" s="373"/>
      <c r="CA42" s="373"/>
      <c r="CB42" s="373"/>
      <c r="CD42" s="346"/>
      <c r="CE42" s="107">
        <f t="shared" si="33"/>
        <v>45986</v>
      </c>
      <c r="CF42" s="172">
        <f>+$D$13+24</f>
        <v>45986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45986</v>
      </c>
      <c r="EM42" s="16" t="str">
        <f t="shared" si="29"/>
        <v>Fiche infoA245986</v>
      </c>
      <c r="EN42" s="16">
        <f t="shared" si="20"/>
        <v>0</v>
      </c>
      <c r="EQ42" s="16" t="str">
        <f>Novembre!FS44</f>
        <v/>
      </c>
    </row>
    <row r="43" spans="1:147" ht="18" customHeight="1" x14ac:dyDescent="0.2">
      <c r="A43" s="24" t="str">
        <f>+Novembre!BJ45</f>
        <v>Fiche infoA3</v>
      </c>
      <c r="B43" s="107">
        <f t="shared" si="30"/>
        <v>45987</v>
      </c>
      <c r="C43" s="172">
        <f>+$D$13+25</f>
        <v>45987</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Novembre!BC45</f>
        <v>0</v>
      </c>
      <c r="J43" s="34">
        <f>Novembre!BE45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infoA3</v>
      </c>
      <c r="BB43" s="107">
        <f t="shared" si="31"/>
        <v>45987</v>
      </c>
      <c r="BC43" s="172">
        <f>+$D$13+25</f>
        <v>45987</v>
      </c>
      <c r="BD43" s="173" t="str">
        <f t="shared" si="32"/>
        <v/>
      </c>
      <c r="BE43" s="173" t="str">
        <f>+IF(OR(BF43=S.CAL!$BJ$3,BF43=S.CAL!$BJ$4),BD43,"")</f>
        <v/>
      </c>
      <c r="BF43" s="351">
        <f>IF($DY$5=S.CAL!$CU$2,Novembre!AR45,IF($DY$5=S.CAL!$CU$3,VLOOKUP(BC43,planning_fp,7,FALSE),""))</f>
        <v>0</v>
      </c>
      <c r="BG43" s="363" t="str">
        <f>Novembre!BL45</f>
        <v>A</v>
      </c>
      <c r="BH43" s="24"/>
      <c r="BI43" s="24" t="s">
        <v>708</v>
      </c>
      <c r="BJ43" s="24"/>
      <c r="BK43" s="373"/>
      <c r="BL43" s="35"/>
      <c r="BV43" s="373"/>
      <c r="BW43" s="373"/>
      <c r="BX43" s="373"/>
      <c r="BY43" s="373"/>
      <c r="BZ43" s="373"/>
      <c r="CA43" s="373"/>
      <c r="CB43" s="373"/>
      <c r="CD43" s="346"/>
      <c r="CE43" s="107">
        <f t="shared" si="33"/>
        <v>45987</v>
      </c>
      <c r="CF43" s="172">
        <f>+$D$13+25</f>
        <v>45987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45987</v>
      </c>
      <c r="EM43" s="16" t="str">
        <f t="shared" si="29"/>
        <v>Fiche infoA345987</v>
      </c>
      <c r="EN43" s="16">
        <f t="shared" si="20"/>
        <v>0</v>
      </c>
      <c r="EQ43" s="16" t="str">
        <f>Novembre!FS45</f>
        <v/>
      </c>
    </row>
    <row r="44" spans="1:147" ht="18" customHeight="1" x14ac:dyDescent="0.25">
      <c r="A44" s="24" t="str">
        <f>+Novembre!BJ46</f>
        <v>Fiche infoA4</v>
      </c>
      <c r="B44" s="107">
        <f t="shared" si="30"/>
        <v>45988</v>
      </c>
      <c r="C44" s="172">
        <f>+$D$13+26</f>
        <v>45988</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Novembre!BC46</f>
        <v>0</v>
      </c>
      <c r="J44" s="34">
        <f>Novembre!BE46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infoA4</v>
      </c>
      <c r="BB44" s="107">
        <f t="shared" si="31"/>
        <v>45988</v>
      </c>
      <c r="BC44" s="172">
        <f>+$D$13+26</f>
        <v>45988</v>
      </c>
      <c r="BD44" s="173" t="str">
        <f t="shared" si="32"/>
        <v/>
      </c>
      <c r="BE44" s="173" t="str">
        <f>+IF(OR(BF44=S.CAL!$BJ$3,BF44=S.CAL!$BJ$4),BD44,"")</f>
        <v/>
      </c>
      <c r="BF44" s="351">
        <f>IF($DY$5=S.CAL!$CU$2,Novembre!AR46,IF($DY$5=S.CAL!$CU$3,VLOOKUP(BC44,planning_fp,7,FALSE),""))</f>
        <v>0</v>
      </c>
      <c r="BG44" s="363" t="str">
        <f>Novembre!BL46</f>
        <v>A</v>
      </c>
      <c r="BH44" s="24" t="s">
        <v>800</v>
      </c>
      <c r="BI44" s="24"/>
      <c r="BJ44" s="24"/>
      <c r="BK44" s="373"/>
      <c r="BL44" s="35"/>
      <c r="BV44" s="373"/>
      <c r="BW44" s="373"/>
      <c r="BX44" s="373"/>
      <c r="BY44" s="373"/>
      <c r="BZ44" s="373"/>
      <c r="CA44" s="373"/>
      <c r="CB44" s="373"/>
      <c r="CD44" s="346"/>
      <c r="CE44" s="107">
        <f t="shared" si="33"/>
        <v>45988</v>
      </c>
      <c r="CF44" s="172">
        <f>+$D$13+26</f>
        <v>45988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45988</v>
      </c>
      <c r="EM44" s="16" t="str">
        <f t="shared" si="29"/>
        <v>Fiche infoA445988</v>
      </c>
      <c r="EN44" s="16">
        <f t="shared" si="20"/>
        <v>0</v>
      </c>
      <c r="EQ44" s="16" t="str">
        <f>Novembre!FS46</f>
        <v/>
      </c>
    </row>
    <row r="45" spans="1:147" ht="18" customHeight="1" x14ac:dyDescent="0.2">
      <c r="A45" s="24" t="str">
        <f>+Novembre!BJ47</f>
        <v>Fiche infoA5</v>
      </c>
      <c r="B45" s="107">
        <f t="shared" si="30"/>
        <v>45989</v>
      </c>
      <c r="C45" s="172">
        <f>IF(C$18+27&lt;DATE(YEAR(O$13),MONTH(O$13),DAY(O$13)),C$18+27,"")</f>
        <v>45989</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Novembre!BC47</f>
        <v>0</v>
      </c>
      <c r="J45" s="34">
        <f>Novembre!BE47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infoA5</v>
      </c>
      <c r="BB45" s="107">
        <f t="shared" si="31"/>
        <v>45989</v>
      </c>
      <c r="BC45" s="172">
        <f>IF(BC$18+27&lt;DATE(YEAR(BH$13),MONTH(BH$13),DAY(BH$13)),BC$18+27,"")</f>
        <v>45989</v>
      </c>
      <c r="BD45" s="173" t="str">
        <f t="shared" si="32"/>
        <v/>
      </c>
      <c r="BE45" s="173" t="str">
        <f>+IF(OR(BF45=S.CAL!$BJ$3,BF45=S.CAL!$BJ$4),BD45,"")</f>
        <v/>
      </c>
      <c r="BF45" s="351">
        <f>IF($DY$5=S.CAL!$CU$2,Novembre!AR47,IF($DY$5=S.CAL!$CU$3,VLOOKUP(BC45,planning_fp,7,FALSE),""))</f>
        <v>0</v>
      </c>
      <c r="BG45" s="363" t="str">
        <f>Novembre!BL47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45989</v>
      </c>
      <c r="CF45" s="172">
        <f>IF(CF$18+27&lt;DATE(YEAR(CQ$13),MONTH(CQ$13),DAY(CQ$13)),CF$18+27,"")</f>
        <v>45989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45989</v>
      </c>
      <c r="EM45" s="16" t="str">
        <f t="shared" si="29"/>
        <v>Fiche infoA545989</v>
      </c>
      <c r="EN45" s="16">
        <f t="shared" si="20"/>
        <v>0</v>
      </c>
      <c r="EQ45" s="16" t="str">
        <f>Novembre!FS47</f>
        <v/>
      </c>
    </row>
    <row r="46" spans="1:147" ht="18" customHeight="1" x14ac:dyDescent="0.2">
      <c r="A46" s="24" t="str">
        <f>+Novembre!BJ48</f>
        <v>Fiche infoA6</v>
      </c>
      <c r="B46" s="107">
        <f t="shared" si="30"/>
        <v>45990</v>
      </c>
      <c r="C46" s="172">
        <f>IF(C$18+28&lt;DATE(YEAR(O$13),MONTH(O$13),DAY(O$13)),C$18+28,"")</f>
        <v>45990</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Novembre!BC48</f>
        <v>0</v>
      </c>
      <c r="J46" s="34">
        <f>Novembre!BE48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infoA6</v>
      </c>
      <c r="BB46" s="107">
        <f t="shared" si="31"/>
        <v>45990</v>
      </c>
      <c r="BC46" s="172">
        <f>IF(BC$18+28&lt;DATE(YEAR(BH$13),MONTH(BH$13),DAY(BH$13)),BC$18+28,"")</f>
        <v>45990</v>
      </c>
      <c r="BD46" s="173" t="str">
        <f t="shared" si="32"/>
        <v/>
      </c>
      <c r="BE46" s="173" t="str">
        <f>+IF(OR(BF46=S.CAL!$BJ$3,BF46=S.CAL!$BJ$4),BD46,"")</f>
        <v/>
      </c>
      <c r="BF46" s="351">
        <f>IF($DY$5=S.CAL!$CU$2,Novembre!AR48,IF($DY$5=S.CAL!$CU$3,VLOOKUP(BC46,planning_fp,7,FALSE),""))</f>
        <v>0</v>
      </c>
      <c r="BG46" s="363" t="str">
        <f>Novembre!BL48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45990</v>
      </c>
      <c r="CF46" s="172">
        <f>IF(CF$18+28&lt;DATE(YEAR(CQ$13),MONTH(CQ$13),DAY(CQ$13)),CF$18+28,"")</f>
        <v>45990</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45990</v>
      </c>
      <c r="EM46" s="16" t="str">
        <f t="shared" si="29"/>
        <v>Fiche infoA645990</v>
      </c>
      <c r="EN46" s="16">
        <f t="shared" si="20"/>
        <v>0</v>
      </c>
      <c r="EQ46" s="16" t="str">
        <f>Novembre!FS48</f>
        <v/>
      </c>
    </row>
    <row r="47" spans="1:147" ht="18" customHeight="1" x14ac:dyDescent="0.2">
      <c r="A47" s="24" t="str">
        <f>+Novembre!BJ49</f>
        <v>Fiche infoA7</v>
      </c>
      <c r="B47" s="107">
        <f t="shared" si="30"/>
        <v>45991</v>
      </c>
      <c r="C47" s="172">
        <f>IF(C$18+29&lt;DATE(YEAR(O$13),MONTH(O$13),DAY(O$13)),C$18+29,"")</f>
        <v>45991</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Novembre!BC49</f>
        <v>0</v>
      </c>
      <c r="J47" s="34">
        <f>Novembre!BE49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1347"/>
      <c r="AO47" s="1224">
        <f>SUM(AO39:AO46)</f>
        <v>0</v>
      </c>
      <c r="AP47" s="1224">
        <f t="shared" ref="AP47:AQ47" si="51">SUM(AP39:AP46)</f>
        <v>0</v>
      </c>
      <c r="AQ47" s="1224">
        <f t="shared" si="51"/>
        <v>0</v>
      </c>
      <c r="BA47" s="349" t="str">
        <f t="shared" si="16"/>
        <v>Fiche infoA7</v>
      </c>
      <c r="BB47" s="107">
        <f t="shared" si="31"/>
        <v>45991</v>
      </c>
      <c r="BC47" s="172">
        <f>IF(BC$18+29&lt;DATE(YEAR(BH$13),MONTH(BH$13),DAY(BH$13)),BC$18+29,"")</f>
        <v>45991</v>
      </c>
      <c r="BD47" s="173" t="str">
        <f t="shared" si="32"/>
        <v/>
      </c>
      <c r="BE47" s="173" t="str">
        <f>+IF(OR(BF47=S.CAL!$BJ$3,BF47=S.CAL!$BJ$4),BD47,"")</f>
        <v/>
      </c>
      <c r="BF47" s="351">
        <f>IF($DY$5=S.CAL!$CU$2,Novembre!AR49,IF($DY$5=S.CAL!$CU$3,VLOOKUP(BC47,planning_fp,7,FALSE),""))</f>
        <v>0</v>
      </c>
      <c r="BG47" s="363" t="str">
        <f>Novembre!BL49</f>
        <v>A</v>
      </c>
      <c r="BH47" s="373"/>
      <c r="BI47" s="373"/>
      <c r="BJ47" s="373"/>
      <c r="BK47" s="373"/>
      <c r="BL47" s="35"/>
      <c r="BV47" s="373"/>
      <c r="BW47" s="373"/>
      <c r="BX47" s="373"/>
      <c r="BY47" s="373"/>
      <c r="BZ47" s="373"/>
      <c r="CA47" s="373"/>
      <c r="CB47" s="373"/>
      <c r="CD47" s="346"/>
      <c r="CE47" s="107">
        <f t="shared" si="33"/>
        <v>45991</v>
      </c>
      <c r="CF47" s="172">
        <f>IF(CF$18+29&lt;DATE(YEAR(CQ$13),MONTH(CQ$13),DAY(CQ$13)),CF$18+29,"")</f>
        <v>45991</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45991</v>
      </c>
      <c r="EM47" s="16" t="str">
        <f t="shared" si="29"/>
        <v>Fiche infoA745991</v>
      </c>
      <c r="EN47" s="16">
        <f t="shared" si="20"/>
        <v>0</v>
      </c>
      <c r="EQ47" s="16" t="str">
        <f>Novembre!FS49</f>
        <v/>
      </c>
    </row>
    <row r="48" spans="1:147" ht="18" customHeight="1" thickBot="1" x14ac:dyDescent="0.25">
      <c r="A48" s="24" t="str">
        <f>+Novembre!BJ50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f t="shared" si="14"/>
        <v>0</v>
      </c>
      <c r="I48" s="34">
        <f>Novembre!BC50</f>
        <v>0</v>
      </c>
      <c r="J48" s="34">
        <f>Novembre!BE50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44</v>
      </c>
      <c r="X48" s="2482"/>
      <c r="Y48" s="2482"/>
      <c r="Z48" s="1345" t="str">
        <f>+IF(Z34="","",Z34)</f>
        <v/>
      </c>
      <c r="AA48" s="1338">
        <f>+IF(Z48="",IF(AND(AD48&gt;0,AC48&gt;0),AD48+AC48,IF(AE48&gt;0,0,AC48)),Z48)</f>
        <v>0</v>
      </c>
      <c r="AB48" s="1338">
        <f>IF(AA48&gt;45,AA48-45,0)</f>
        <v>0</v>
      </c>
      <c r="AC48" s="1344">
        <f>+SUMIF(Novembre!$BK$20:$BK$50,Novembre!AT4,$D$18:$D$48)-SUMIF(Novembre!$BK$20:$BK$50,Novembre!AT4,$E$18:$E$48)</f>
        <v>0</v>
      </c>
      <c r="AD48" s="1344">
        <f>+SUMIF(Octobre!$BK$20:$BK$50,Novembre!AT4,'Retenue Oct'!$D$18:$D$48)-SUMIF(Octobre!$BK$20:$BK$50,Novembre!AT4,'Retenue Oct'!$E$18:$E$48)</f>
        <v>0</v>
      </c>
      <c r="AE48" s="1344">
        <f>+SUMIF(Décembre!$BK$20:$BK$50,Novembre!AT4,'Retenue Déc'!$D$18:$D$48)-SUMIF(Décembre!$BK$20:$BK$50,Novembre!AT4,'Retenue Déc'!$E$18:$E$48)</f>
        <v>0</v>
      </c>
      <c r="AF48" s="1338">
        <f>+AC48-AB48</f>
        <v>0</v>
      </c>
      <c r="AK48" s="1211"/>
      <c r="AL48" s="1224"/>
      <c r="AO48" s="1224">
        <f>+AN39*AL26</f>
        <v>0</v>
      </c>
      <c r="AP48" s="1224">
        <f>+AO48*(1-AX21)</f>
        <v>0</v>
      </c>
      <c r="AQ48" s="1224">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IF($DY$5=S.CAL!$CU$2,Novembre!AR50,IF($DY$5=S.CAL!$CU$3,VLOOKUP(BC48,planning_fp,7,FALSE),""))</f>
        <v>0</v>
      </c>
      <c r="BG48" s="364" t="str">
        <f>Novembre!BL50</f>
        <v>A</v>
      </c>
      <c r="BH48" s="374"/>
      <c r="BI48" s="373"/>
      <c r="BJ48" s="373"/>
      <c r="BK48" s="373"/>
      <c r="BL48" s="35"/>
      <c r="BQ48" s="16" t="s">
        <v>846</v>
      </c>
      <c r="BV48" s="373"/>
      <c r="BW48" s="373"/>
      <c r="BX48" s="373" t="s">
        <v>846</v>
      </c>
      <c r="BZ48" s="373"/>
      <c r="CA48" s="373"/>
      <c r="CB48" s="373"/>
      <c r="CD48" s="346"/>
      <c r="CE48" s="110" t="str">
        <f t="shared" si="33"/>
        <v/>
      </c>
      <c r="CF48" s="192" t="str">
        <f>IF(CF$18+30&lt;DATE(YEAR(CQ$13),MONTH(CQ$13),DAY(CQ$13)),CF$18+30,"")</f>
        <v/>
      </c>
      <c r="CG48" s="193">
        <f t="shared" si="22"/>
        <v>0</v>
      </c>
      <c r="CH48" s="34"/>
      <c r="CI48" s="2491" t="str">
        <f t="shared" ref="CI48:CI53" si="56">W48</f>
        <v>Semaine numéro : 44</v>
      </c>
      <c r="CJ48" s="2492"/>
      <c r="CK48" s="2509"/>
      <c r="CL48" s="893" t="str">
        <f>+IF(CL34="","",CL34)</f>
        <v/>
      </c>
      <c r="CM48" s="674">
        <f>+IF(CL48="",IF(AND(CP48&gt;0,CO48&gt;0),CP48+CO48,IF(CQ48&gt;0,0,CO48)),CL48)</f>
        <v>0</v>
      </c>
      <c r="CN48" s="673">
        <f>IF(CM48&gt;45,CM48-45,0)</f>
        <v>0</v>
      </c>
      <c r="CO48" s="198">
        <f>+SUMIF(Novembre!$BK$20:$BK$50,Novembre!AT4,$CG$18:$CG$48)</f>
        <v>0</v>
      </c>
      <c r="CP48" s="198">
        <f>+SUMIF(Octobre!$BK$20:$BK$50,Novembre!AT4,'Retenue Oct'!$CG$18:$CG$48)</f>
        <v>0</v>
      </c>
      <c r="CQ48" s="198">
        <f>+SUMIF(Décembre!$BK$20:$BK$50,Novembre!AT4,'Retenue Déc'!$CG$18:$CG$48)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47"/>
      <c r="U49" s="1323"/>
      <c r="V49" s="1323"/>
      <c r="W49" s="2482" t="str">
        <f t="shared" si="55"/>
        <v>Semaine numéro : 45</v>
      </c>
      <c r="X49" s="2482"/>
      <c r="Y49" s="2482"/>
      <c r="Z49" s="1345" t="str">
        <f t="shared" ref="Z49:Z53" si="57">+IF(Z35="","",Z35)</f>
        <v/>
      </c>
      <c r="AA49" s="1338">
        <f t="shared" ref="AA49:AA53" si="58">+IF(Z49="",IF(AND(AD49&gt;0,AC49&gt;0),AD49+AC49,IF(AE49&gt;0,0,AC49)),Z49)</f>
        <v>0</v>
      </c>
      <c r="AB49" s="1338">
        <f t="shared" ref="AB49:AB53" si="59">IF(AA49&gt;45,AA49-45,0)</f>
        <v>0</v>
      </c>
      <c r="AC49" s="1344">
        <f>+SUMIF(Novembre!$BK$20:$BK$50,Novembre!AT5,$D$18:$D$48)-SUMIF(Novembre!$BK$20:$BK$50,Novembre!AT5,$E$18:$E$48)</f>
        <v>0</v>
      </c>
      <c r="AD49" s="1344">
        <f>+SUMIF(Octobre!$BK$20:$BK$50,Novembre!AT5,'Retenue Oct'!$D$18:$D$48)-SUMIF(Octobre!$BK$20:$BK$50,Novembre!AT5,'Retenue Oct'!$E$18:$E$48)</f>
        <v>0</v>
      </c>
      <c r="AE49" s="1344">
        <f>+SUMIF(Décembre!$BK$20:$BK$50,Novembre!AT5,'Retenue Déc'!$D$18:$D$48)-SUMIF(Décembre!$BK$20:$BK$50,Novembre!AT5,'Retenue Déc'!$E$18:$E$48)</f>
        <v>0</v>
      </c>
      <c r="AF49" s="1338">
        <f t="shared" ref="AF49:AF53" si="60">+AC49-AB49</f>
        <v>0</v>
      </c>
      <c r="AG49" s="1347"/>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45</v>
      </c>
      <c r="CJ49" s="2492"/>
      <c r="CK49" s="2509"/>
      <c r="CL49" s="893" t="str">
        <f t="shared" ref="CL49:CL53" si="61">+IF(CL35="","",CL35)</f>
        <v/>
      </c>
      <c r="CM49" s="674">
        <f t="shared" ref="CM49:CM53" si="62">+IF(CL49="",IF(AND(CP49&gt;0,CO49&gt;0),CP49+CO49,IF(CQ49&gt;0,0,CO49)),CL49)</f>
        <v>0</v>
      </c>
      <c r="CN49" s="673">
        <f t="shared" ref="CN49:CN53" si="63">IF(CM49&gt;45,CM49-45,0)</f>
        <v>0</v>
      </c>
      <c r="CO49" s="198">
        <f>+SUMIF(Novembre!$BK$20:$BK$50,Novembre!AT5,$CG$18:$CG$48)</f>
        <v>0</v>
      </c>
      <c r="CP49" s="198">
        <f>+SUMIF(Octobre!$BK$20:$BK$50,Novembre!AT5,'Retenue Oct'!$CG$18:$CG$48)</f>
        <v>0</v>
      </c>
      <c r="CQ49" s="198">
        <f>+SUMIF(Décembre!$BK$20:$BK$50,Novembre!AT5,'Retenue Déc'!$CG$18:$CG$48)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46</v>
      </c>
      <c r="X50" s="2482"/>
      <c r="Y50" s="2482"/>
      <c r="Z50" s="1345" t="str">
        <f t="shared" si="57"/>
        <v/>
      </c>
      <c r="AA50" s="1338">
        <f t="shared" si="58"/>
        <v>0</v>
      </c>
      <c r="AB50" s="1338">
        <f t="shared" si="59"/>
        <v>0</v>
      </c>
      <c r="AC50" s="1344">
        <f>+SUMIF(Novembre!$BK$20:$BK$50,Novembre!AT6,$D$18:$D$48)-SUMIF(Novembre!$BK$20:$BK$50,Novembre!AT6,$E$18:$E$48)</f>
        <v>0</v>
      </c>
      <c r="AD50" s="1344">
        <f>+SUMIF(Octobre!$BK$20:$BK$50,Novembre!AT6,'Retenue Oct'!$D$18:$D$48)-SUMIF(Octobre!$BK$20:$BK$50,Novembre!AT6,'Retenue Oct'!$E$18:$E$48)</f>
        <v>0</v>
      </c>
      <c r="AE50" s="1344">
        <f>+SUMIF(Décembre!$BK$20:$BK$50,Novembre!AT6,'Retenue Déc'!$D$18:$D$48)-SUMIF(Décembre!$BK$20:$BK$50,Novembre!AT6,'Retenue Déc'!$E$18:$E$48)</f>
        <v>0</v>
      </c>
      <c r="AF50" s="1338">
        <f t="shared" si="60"/>
        <v>0</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46</v>
      </c>
      <c r="CJ50" s="2492"/>
      <c r="CK50" s="2509"/>
      <c r="CL50" s="893" t="str">
        <f t="shared" si="61"/>
        <v/>
      </c>
      <c r="CM50" s="674">
        <f t="shared" si="62"/>
        <v>0</v>
      </c>
      <c r="CN50" s="673">
        <f t="shared" si="63"/>
        <v>0</v>
      </c>
      <c r="CO50" s="198">
        <f>+SUMIF(Novembre!$BK$20:$BK$50,Novembre!AT6,$CG$18:$CG$48)</f>
        <v>0</v>
      </c>
      <c r="CP50" s="198">
        <f>+SUMIF(Octobre!$BK$20:$BK$50,Novembre!AT6,'Retenue Oct'!$CG$18:$CG$48)</f>
        <v>0</v>
      </c>
      <c r="CQ50" s="198">
        <f>+SUMIF(Décembre!$BK$20:$BK$50,Novembre!AT6,'Retenue Déc'!$CG$18:$CG$48)</f>
        <v>0</v>
      </c>
      <c r="CR50" s="674">
        <f t="shared" si="64"/>
        <v>0</v>
      </c>
    </row>
    <row r="51" spans="2:139" ht="19.5" customHeight="1" thickBot="1" x14ac:dyDescent="0.25">
      <c r="B51" s="24"/>
      <c r="C51" s="24"/>
      <c r="D51" s="183" t="s">
        <v>1225</v>
      </c>
      <c r="E51" s="24">
        <f>+COUNTIF(C18:C48,"&gt;0")-E52</f>
        <v>30</v>
      </c>
      <c r="N51" s="24"/>
      <c r="O51" s="24"/>
      <c r="P51" s="24"/>
      <c r="Q51" s="24"/>
      <c r="R51" s="24"/>
      <c r="S51" s="1349"/>
      <c r="U51" s="1323"/>
      <c r="V51" s="1323"/>
      <c r="W51" s="2482" t="str">
        <f t="shared" si="55"/>
        <v>Semaine numéro : 47</v>
      </c>
      <c r="X51" s="2482"/>
      <c r="Y51" s="2482"/>
      <c r="Z51" s="1345" t="str">
        <f t="shared" si="57"/>
        <v/>
      </c>
      <c r="AA51" s="1338">
        <f t="shared" si="58"/>
        <v>0</v>
      </c>
      <c r="AB51" s="1338">
        <f t="shared" si="59"/>
        <v>0</v>
      </c>
      <c r="AC51" s="1344">
        <f>+SUMIF(Novembre!$BK$20:$BK$50,Novembre!AT7,$D$18:$D$48)-SUMIF(Novembre!$BK$20:$BK$50,Novembre!AT7,$E$18:$E$48)</f>
        <v>0</v>
      </c>
      <c r="AD51" s="1344">
        <f>+SUMIF(Octobre!$BK$20:$BK$50,Novembre!AT7,'Retenue Oct'!$D$18:$D$48)-SUMIF(Octobre!$BK$20:$BK$50,Novembre!AT7,'Retenue Oct'!$E$18:$E$48)</f>
        <v>0</v>
      </c>
      <c r="AE51" s="1344">
        <f>+SUMIF(Décembre!$BK$20:$BK$50,Novembre!AT7,'Retenue Déc'!$D$18:$D$48)-SUMIF(Décembre!$BK$20:$BK$50,Novembre!AT7,'Retenue Déc'!$E$18:$E$48)</f>
        <v>0</v>
      </c>
      <c r="AF51" s="1338">
        <f t="shared" si="60"/>
        <v>0</v>
      </c>
      <c r="AG51" s="1349"/>
      <c r="AJ51" s="1326"/>
      <c r="AK51" s="1327"/>
      <c r="AL51" s="1329"/>
      <c r="BA51" s="346"/>
      <c r="BD51" s="369" t="s">
        <v>758</v>
      </c>
      <c r="BE51" s="194">
        <f>+SUMIFS(BE18:BE48,BF18:BF48,S.CAL!BJ3)</f>
        <v>0</v>
      </c>
      <c r="BF51" s="370">
        <f>IF(Novembre!AZ90="",+COUNTIF(BF18:BF48,S.CAL!BJ3),Novembre!AZ90)</f>
        <v>0</v>
      </c>
      <c r="BL51" s="35"/>
      <c r="CD51" s="346"/>
      <c r="CI51" s="2491" t="str">
        <f t="shared" si="56"/>
        <v>Semaine numéro : 47</v>
      </c>
      <c r="CJ51" s="2492"/>
      <c r="CK51" s="2509"/>
      <c r="CL51" s="893" t="str">
        <f t="shared" si="61"/>
        <v/>
      </c>
      <c r="CM51" s="674">
        <f t="shared" si="62"/>
        <v>0</v>
      </c>
      <c r="CN51" s="673">
        <f t="shared" si="63"/>
        <v>0</v>
      </c>
      <c r="CO51" s="198">
        <f>+SUMIF(Novembre!$BK$20:$BK$50,Novembre!AT7,$CG$18:$CG$48)</f>
        <v>0</v>
      </c>
      <c r="CP51" s="198">
        <f>+SUMIF(Octobre!$BK$20:$BK$50,Novembre!AT7,'Retenue Oct'!$CG$18:$CG$48)</f>
        <v>0</v>
      </c>
      <c r="CQ51" s="198">
        <f>+SUMIF(Décembre!$BK$20:$BK$50,Novembre!AT7,'Retenue Déc'!$CG$18:$CG$48)</f>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48</v>
      </c>
      <c r="X52" s="2482"/>
      <c r="Y52" s="2482"/>
      <c r="Z52" s="1345" t="str">
        <f t="shared" si="57"/>
        <v/>
      </c>
      <c r="AA52" s="1338">
        <f t="shared" si="58"/>
        <v>0</v>
      </c>
      <c r="AB52" s="1338">
        <f t="shared" si="59"/>
        <v>0</v>
      </c>
      <c r="AC52" s="1344">
        <f>+SUMIF(Novembre!$BK$20:$BK$50,Novembre!AT8,$D$18:$D$48)-SUMIF(Novembre!$BK$20:$BK$50,Novembre!AT8,$E$18:$E$48)</f>
        <v>0</v>
      </c>
      <c r="AD52" s="1344">
        <f>+SUMIF(Octobre!$BK$20:$BK$50,Novembre!AT8,'Retenue Oct'!$D$18:$D$48)-SUMIF(Octobre!$BK$20:$BK$50,Novembre!AT8,'Retenue Oct'!$E$18:$E$48)</f>
        <v>0</v>
      </c>
      <c r="AE52" s="1344">
        <f>+SUMIF(Décembre!$BK$20:$BK$50,Novembre!AT8,'Retenue Déc'!$D$18:$D$48)-SUMIF(Décembre!$BK$20:$BK$50,Novembre!AT8,'Retenue Déc'!$E$18:$E$48)</f>
        <v>0</v>
      </c>
      <c r="AF52" s="1338">
        <f t="shared" si="60"/>
        <v>0</v>
      </c>
      <c r="AO52" s="1211" t="s">
        <v>1126</v>
      </c>
      <c r="AP52" s="1348">
        <f>IF(AL22,+ROUND((AQ48+SUM(AQ39:AQ46))*AL34/AL22*Q11,2),0)</f>
        <v>0</v>
      </c>
      <c r="BA52" s="346"/>
      <c r="BD52" s="1363" t="s">
        <v>708</v>
      </c>
      <c r="BE52" s="1364">
        <f>+SUMIFS(BE18:BE48,BF18:BF48,S.CAL!BJ4)</f>
        <v>0</v>
      </c>
      <c r="BF52" s="1365">
        <f>IF(Novembre!BA90="",+COUNTIF(BF18:BF48,S.CAL!BJ4),Novembre!BA90)</f>
        <v>0</v>
      </c>
      <c r="BL52" s="35"/>
      <c r="BU52" s="16" t="s">
        <v>788</v>
      </c>
      <c r="BW52" s="357">
        <f>+BR46+BR49+BZ46+BZ49</f>
        <v>0</v>
      </c>
      <c r="CD52" s="346"/>
      <c r="CI52" s="2491" t="str">
        <f t="shared" si="56"/>
        <v>Semaine numéro : 48</v>
      </c>
      <c r="CJ52" s="2492"/>
      <c r="CK52" s="2509"/>
      <c r="CL52" s="893" t="str">
        <f t="shared" si="61"/>
        <v/>
      </c>
      <c r="CM52" s="674">
        <f t="shared" si="62"/>
        <v>0</v>
      </c>
      <c r="CN52" s="673">
        <f t="shared" si="63"/>
        <v>0</v>
      </c>
      <c r="CO52" s="198">
        <f>+SUMIF(Novembre!$BK$20:$BK$50,Novembre!AT8,$CG$18:$CG$48)</f>
        <v>0</v>
      </c>
      <c r="CP52" s="198">
        <f>+SUMIF(Octobre!$BK$20:$BK$50,Novembre!AT8,'Retenue Oct'!$CG$18:$CG$48)</f>
        <v>0</v>
      </c>
      <c r="CQ52" s="198">
        <f>+SUMIF(Décembre!$BK$20:$BK$50,Novembre!AT8,'Retenue Déc'!$CG$18:$CG$48)</f>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+SUMIF(Novembre!$BK$20:$BK$50,Novembre!AT9,$D$18:$D$48)-SUMIF(Novembre!$BK$20:$BK$50,Novembre!AT9,$E$18:$E$48)</f>
        <v>0</v>
      </c>
      <c r="AD53" s="1344">
        <f>+SUMIF(Octobre!$BK$20:$BK$50,Novembre!AT9,'Retenue Oct'!$D$18:$D$48)-SUMIF(Octobre!$BK$20:$BK$50,Novembre!AT9,'Retenue Oct'!$E$18:$E$48)</f>
        <v>0</v>
      </c>
      <c r="AE53" s="1344">
        <f>+SUMIF(Décembre!$BK$20:$BK$50,Novembre!AT9,'Retenue Déc'!$D$18:$D$48)-SUMIF(Décembre!$BK$20:$BK$50,Novembre!AT9,'Retenue Déc'!$E$18:$E$48)</f>
        <v>0</v>
      </c>
      <c r="AF53" s="1338">
        <f t="shared" si="60"/>
        <v>0</v>
      </c>
      <c r="AG53" s="1350"/>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509"/>
      <c r="CL53" s="893" t="str">
        <f t="shared" si="61"/>
        <v/>
      </c>
      <c r="CM53" s="674">
        <f t="shared" si="62"/>
        <v>0</v>
      </c>
      <c r="CN53" s="673">
        <f t="shared" si="63"/>
        <v>0</v>
      </c>
      <c r="CO53" s="198">
        <f>+SUMIF(Novembre!$BK$20:$BK$50,Novembre!AT9,$CG$18:$CG$48)</f>
        <v>0</v>
      </c>
      <c r="CP53" s="198">
        <f>+SUMIF(Octobre!$BK$20:$BK$50,Novembre!AT9,'Retenue Oct'!$CG$18:$CG$48)</f>
        <v>0</v>
      </c>
      <c r="CQ53" s="198">
        <f>+SUMIF(Décembre!$BK$20:$BK$50,Novembre!AT9,'Retenue Déc'!$CG$18:$CG$48)</f>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0"/>
      <c r="CP54" s="900"/>
      <c r="CQ54" s="900"/>
      <c r="CR54" s="677">
        <f>SUM(CR48:CR53)</f>
        <v>0</v>
      </c>
      <c r="EE54" s="19"/>
      <c r="EF54" s="19"/>
      <c r="EG54" s="19"/>
      <c r="EH54" s="19"/>
      <c r="EI54" s="19"/>
    </row>
    <row r="55" spans="2:139" ht="13.5" thickBot="1" x14ac:dyDescent="0.25">
      <c r="B55" s="2469">
        <f>B17</f>
        <v>45962</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45962</v>
      </c>
      <c r="C57" s="171">
        <f t="shared" si="65"/>
        <v>45962</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45963</v>
      </c>
      <c r="C58" s="172">
        <f t="shared" si="65"/>
        <v>45963</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45964</v>
      </c>
      <c r="C59" s="172">
        <f t="shared" si="65"/>
        <v>45964</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45965</v>
      </c>
      <c r="C60" s="172">
        <f t="shared" si="65"/>
        <v>45965</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45966</v>
      </c>
      <c r="C61" s="172">
        <f t="shared" si="65"/>
        <v>45966</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45967</v>
      </c>
      <c r="C62" s="172">
        <f t="shared" si="65"/>
        <v>45967</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45968</v>
      </c>
      <c r="C63" s="172">
        <f t="shared" si="65"/>
        <v>45968</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45969</v>
      </c>
      <c r="C64" s="172">
        <f t="shared" si="65"/>
        <v>45969</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45970</v>
      </c>
      <c r="C65" s="172">
        <f t="shared" si="65"/>
        <v>45970</v>
      </c>
      <c r="D65" s="173" t="str">
        <f t="shared" si="66"/>
        <v/>
      </c>
      <c r="E65" s="173" t="str">
        <f t="shared" si="69"/>
        <v/>
      </c>
      <c r="F65" s="1554" t="str">
        <f t="shared" si="67"/>
        <v/>
      </c>
      <c r="G65" s="1554" t="str">
        <f t="shared" si="68"/>
        <v/>
      </c>
      <c r="BA65" s="346"/>
      <c r="CD65" s="346"/>
    </row>
    <row r="66" spans="2:82" x14ac:dyDescent="0.2">
      <c r="B66" s="107">
        <f t="shared" si="65"/>
        <v>45971</v>
      </c>
      <c r="C66" s="172">
        <f t="shared" si="65"/>
        <v>45971</v>
      </c>
      <c r="D66" s="173" t="str">
        <f t="shared" si="66"/>
        <v/>
      </c>
      <c r="E66" s="173" t="str">
        <f t="shared" si="69"/>
        <v/>
      </c>
      <c r="F66" s="1554" t="str">
        <f t="shared" si="67"/>
        <v/>
      </c>
      <c r="G66" s="1554" t="str">
        <f t="shared" si="68"/>
        <v/>
      </c>
      <c r="BA66" s="346"/>
      <c r="CD66" s="346"/>
    </row>
    <row r="67" spans="2:82" x14ac:dyDescent="0.2">
      <c r="B67" s="107">
        <f t="shared" si="65"/>
        <v>45972</v>
      </c>
      <c r="C67" s="172">
        <f t="shared" si="65"/>
        <v>45972</v>
      </c>
      <c r="D67" s="173" t="str">
        <f t="shared" si="66"/>
        <v/>
      </c>
      <c r="E67" s="173" t="str">
        <f t="shared" si="69"/>
        <v/>
      </c>
      <c r="F67" s="1554" t="str">
        <f t="shared" si="67"/>
        <v/>
      </c>
      <c r="G67" s="1554" t="str">
        <f t="shared" si="68"/>
        <v/>
      </c>
      <c r="BA67" s="346"/>
      <c r="CD67" s="346"/>
    </row>
    <row r="68" spans="2:82" x14ac:dyDescent="0.2">
      <c r="B68" s="107">
        <f t="shared" si="65"/>
        <v>45973</v>
      </c>
      <c r="C68" s="172">
        <f t="shared" si="65"/>
        <v>45973</v>
      </c>
      <c r="D68" s="173" t="str">
        <f t="shared" si="66"/>
        <v/>
      </c>
      <c r="E68" s="173" t="str">
        <f t="shared" si="69"/>
        <v/>
      </c>
      <c r="F68" s="1554" t="str">
        <f t="shared" si="67"/>
        <v/>
      </c>
      <c r="G68" s="1554" t="str">
        <f t="shared" si="68"/>
        <v/>
      </c>
      <c r="AI68" s="1354" t="s">
        <v>338</v>
      </c>
      <c r="BA68" s="346"/>
      <c r="CD68" s="346"/>
    </row>
    <row r="69" spans="2:82" x14ac:dyDescent="0.2">
      <c r="B69" s="107">
        <f t="shared" si="65"/>
        <v>45974</v>
      </c>
      <c r="C69" s="172">
        <f t="shared" si="65"/>
        <v>45974</v>
      </c>
      <c r="D69" s="173" t="str">
        <f t="shared" si="66"/>
        <v/>
      </c>
      <c r="E69" s="173" t="str">
        <f t="shared" si="69"/>
        <v/>
      </c>
      <c r="F69" s="1554" t="str">
        <f t="shared" si="67"/>
        <v/>
      </c>
      <c r="G69" s="1554" t="str">
        <f t="shared" si="68"/>
        <v/>
      </c>
      <c r="BA69" s="346"/>
      <c r="CD69" s="346"/>
    </row>
    <row r="70" spans="2:82" x14ac:dyDescent="0.2">
      <c r="B70" s="107">
        <f t="shared" si="65"/>
        <v>45975</v>
      </c>
      <c r="C70" s="172">
        <f t="shared" si="65"/>
        <v>45975</v>
      </c>
      <c r="D70" s="173" t="str">
        <f t="shared" si="66"/>
        <v/>
      </c>
      <c r="E70" s="173" t="str">
        <f t="shared" si="69"/>
        <v/>
      </c>
      <c r="F70" s="1554" t="str">
        <f t="shared" si="67"/>
        <v/>
      </c>
      <c r="G70" s="1554" t="str">
        <f t="shared" si="68"/>
        <v/>
      </c>
      <c r="AI70" s="581" t="s">
        <v>339</v>
      </c>
      <c r="BA70" s="346"/>
      <c r="CD70" s="346"/>
    </row>
    <row r="71" spans="2:82" x14ac:dyDescent="0.2">
      <c r="B71" s="107">
        <f t="shared" si="65"/>
        <v>45976</v>
      </c>
      <c r="C71" s="172">
        <f t="shared" si="65"/>
        <v>45976</v>
      </c>
      <c r="D71" s="173" t="str">
        <f t="shared" si="66"/>
        <v/>
      </c>
      <c r="E71" s="173" t="str">
        <f t="shared" si="69"/>
        <v/>
      </c>
      <c r="F71" s="1554" t="str">
        <f t="shared" si="67"/>
        <v/>
      </c>
      <c r="G71" s="1554" t="str">
        <f t="shared" si="68"/>
        <v/>
      </c>
      <c r="AI71" s="1355" t="s">
        <v>340</v>
      </c>
      <c r="BA71" s="346"/>
      <c r="CD71" s="346"/>
    </row>
    <row r="72" spans="2:82" x14ac:dyDescent="0.2">
      <c r="B72" s="107">
        <f t="shared" si="65"/>
        <v>45977</v>
      </c>
      <c r="C72" s="172">
        <f t="shared" si="65"/>
        <v>45977</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45978</v>
      </c>
      <c r="C73" s="172">
        <f t="shared" si="70"/>
        <v>45978</v>
      </c>
      <c r="D73" s="173" t="str">
        <f t="shared" si="66"/>
        <v/>
      </c>
      <c r="E73" s="173" t="str">
        <f t="shared" si="69"/>
        <v/>
      </c>
      <c r="F73" s="1554" t="str">
        <f t="shared" si="67"/>
        <v/>
      </c>
      <c r="G73" s="1554" t="str">
        <f t="shared" si="68"/>
        <v/>
      </c>
      <c r="BA73" s="346"/>
      <c r="CD73" s="346"/>
    </row>
    <row r="74" spans="2:82" x14ac:dyDescent="0.2">
      <c r="B74" s="107">
        <f t="shared" si="70"/>
        <v>45979</v>
      </c>
      <c r="C74" s="172">
        <f t="shared" si="70"/>
        <v>45979</v>
      </c>
      <c r="D74" s="173" t="str">
        <f t="shared" si="66"/>
        <v/>
      </c>
      <c r="E74" s="173" t="str">
        <f t="shared" si="69"/>
        <v/>
      </c>
      <c r="F74" s="1554" t="str">
        <f t="shared" si="67"/>
        <v/>
      </c>
      <c r="G74" s="1554" t="str">
        <f t="shared" si="68"/>
        <v/>
      </c>
      <c r="AI74" s="581" t="s">
        <v>341</v>
      </c>
      <c r="BA74" s="346"/>
      <c r="CD74" s="346"/>
    </row>
    <row r="75" spans="2:82" x14ac:dyDescent="0.2">
      <c r="B75" s="107">
        <f t="shared" si="70"/>
        <v>45980</v>
      </c>
      <c r="C75" s="172">
        <f t="shared" si="70"/>
        <v>45980</v>
      </c>
      <c r="D75" s="173" t="str">
        <f t="shared" si="66"/>
        <v/>
      </c>
      <c r="E75" s="173" t="str">
        <f t="shared" si="69"/>
        <v/>
      </c>
      <c r="F75" s="1554" t="str">
        <f t="shared" si="67"/>
        <v/>
      </c>
      <c r="G75" s="1554" t="str">
        <f t="shared" si="68"/>
        <v/>
      </c>
      <c r="AI75" s="1355" t="s">
        <v>342</v>
      </c>
      <c r="BA75" s="346"/>
      <c r="CD75" s="346"/>
    </row>
    <row r="76" spans="2:82" x14ac:dyDescent="0.2">
      <c r="B76" s="107">
        <f t="shared" si="70"/>
        <v>45981</v>
      </c>
      <c r="C76" s="172">
        <f t="shared" si="70"/>
        <v>45981</v>
      </c>
      <c r="D76" s="173" t="str">
        <f t="shared" si="66"/>
        <v/>
      </c>
      <c r="E76" s="173" t="str">
        <f t="shared" si="69"/>
        <v/>
      </c>
      <c r="F76" s="1554" t="str">
        <f t="shared" si="67"/>
        <v/>
      </c>
      <c r="G76" s="1554" t="str">
        <f t="shared" si="68"/>
        <v/>
      </c>
      <c r="BA76" s="346"/>
      <c r="CD76" s="346"/>
    </row>
    <row r="77" spans="2:82" x14ac:dyDescent="0.2">
      <c r="B77" s="107">
        <f t="shared" si="70"/>
        <v>45982</v>
      </c>
      <c r="C77" s="172">
        <f t="shared" si="70"/>
        <v>45982</v>
      </c>
      <c r="D77" s="173" t="str">
        <f t="shared" si="66"/>
        <v/>
      </c>
      <c r="E77" s="173" t="str">
        <f t="shared" si="69"/>
        <v/>
      </c>
      <c r="F77" s="1554" t="str">
        <f t="shared" si="67"/>
        <v/>
      </c>
      <c r="G77" s="1554" t="str">
        <f t="shared" si="68"/>
        <v/>
      </c>
      <c r="AI77" s="581" t="s">
        <v>343</v>
      </c>
      <c r="BA77" s="346"/>
      <c r="CD77" s="346"/>
    </row>
    <row r="78" spans="2:82" x14ac:dyDescent="0.2">
      <c r="B78" s="107">
        <f t="shared" si="70"/>
        <v>45983</v>
      </c>
      <c r="C78" s="172">
        <f t="shared" si="70"/>
        <v>45983</v>
      </c>
      <c r="D78" s="173" t="str">
        <f t="shared" si="66"/>
        <v/>
      </c>
      <c r="E78" s="173" t="str">
        <f t="shared" si="69"/>
        <v/>
      </c>
      <c r="F78" s="1554" t="str">
        <f t="shared" si="67"/>
        <v/>
      </c>
      <c r="G78" s="1554" t="str">
        <f t="shared" si="68"/>
        <v/>
      </c>
      <c r="AI78" s="1355" t="s">
        <v>692</v>
      </c>
      <c r="BA78" s="346"/>
      <c r="CD78" s="346"/>
    </row>
    <row r="79" spans="2:82" x14ac:dyDescent="0.2">
      <c r="B79" s="107">
        <f t="shared" si="70"/>
        <v>45984</v>
      </c>
      <c r="C79" s="172">
        <f t="shared" si="70"/>
        <v>45984</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45985</v>
      </c>
      <c r="C80" s="172">
        <f t="shared" si="70"/>
        <v>45985</v>
      </c>
      <c r="D80" s="173" t="str">
        <f t="shared" si="66"/>
        <v/>
      </c>
      <c r="E80" s="173" t="str">
        <f t="shared" si="69"/>
        <v/>
      </c>
      <c r="F80" s="1554" t="str">
        <f t="shared" si="67"/>
        <v/>
      </c>
      <c r="G80" s="1554" t="str">
        <f t="shared" si="68"/>
        <v/>
      </c>
      <c r="BA80" s="346"/>
      <c r="CD80" s="346"/>
    </row>
    <row r="81" spans="2:82" x14ac:dyDescent="0.2">
      <c r="B81" s="107">
        <f t="shared" si="70"/>
        <v>45986</v>
      </c>
      <c r="C81" s="172">
        <f t="shared" si="70"/>
        <v>45986</v>
      </c>
      <c r="D81" s="173" t="str">
        <f t="shared" si="66"/>
        <v/>
      </c>
      <c r="E81" s="173" t="str">
        <f t="shared" si="69"/>
        <v/>
      </c>
      <c r="F81" s="1554" t="str">
        <f t="shared" si="67"/>
        <v/>
      </c>
      <c r="G81" s="1554" t="str">
        <f t="shared" si="68"/>
        <v/>
      </c>
      <c r="AI81" s="581" t="s">
        <v>529</v>
      </c>
      <c r="BA81" s="346"/>
      <c r="CD81" s="346"/>
    </row>
    <row r="82" spans="2:82" x14ac:dyDescent="0.2">
      <c r="B82" s="107">
        <f t="shared" si="70"/>
        <v>45987</v>
      </c>
      <c r="C82" s="172">
        <f t="shared" si="70"/>
        <v>45987</v>
      </c>
      <c r="D82" s="173" t="str">
        <f t="shared" si="66"/>
        <v/>
      </c>
      <c r="E82" s="173" t="str">
        <f t="shared" si="69"/>
        <v/>
      </c>
      <c r="F82" s="1554" t="str">
        <f t="shared" si="67"/>
        <v/>
      </c>
      <c r="G82" s="1554" t="str">
        <f t="shared" si="68"/>
        <v/>
      </c>
      <c r="AI82" s="1355" t="s">
        <v>693</v>
      </c>
      <c r="BA82" s="346"/>
      <c r="CD82" s="346"/>
    </row>
    <row r="83" spans="2:82" x14ac:dyDescent="0.2">
      <c r="B83" s="107">
        <f t="shared" si="70"/>
        <v>45988</v>
      </c>
      <c r="C83" s="172">
        <f t="shared" si="70"/>
        <v>45988</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45989</v>
      </c>
      <c r="C84" s="172">
        <f t="shared" si="70"/>
        <v>45989</v>
      </c>
      <c r="D84" s="173" t="str">
        <f t="shared" si="66"/>
        <v/>
      </c>
      <c r="E84" s="173" t="str">
        <f t="shared" si="69"/>
        <v/>
      </c>
      <c r="F84" s="1554" t="str">
        <f t="shared" si="67"/>
        <v/>
      </c>
      <c r="G84" s="1554" t="str">
        <f t="shared" si="68"/>
        <v/>
      </c>
      <c r="BA84" s="346"/>
      <c r="CD84" s="346"/>
    </row>
    <row r="85" spans="2:82" x14ac:dyDescent="0.2">
      <c r="B85" s="107">
        <f t="shared" si="70"/>
        <v>45990</v>
      </c>
      <c r="C85" s="172">
        <f t="shared" si="70"/>
        <v>45990</v>
      </c>
      <c r="D85" s="173" t="str">
        <f t="shared" si="66"/>
        <v/>
      </c>
      <c r="E85" s="173" t="str">
        <f t="shared" si="69"/>
        <v/>
      </c>
      <c r="F85" s="1554" t="str">
        <f t="shared" si="67"/>
        <v/>
      </c>
      <c r="G85" s="1554" t="str">
        <f t="shared" si="68"/>
        <v/>
      </c>
      <c r="AI85" s="1355" t="s">
        <v>344</v>
      </c>
      <c r="BA85" s="346"/>
      <c r="CD85" s="346"/>
    </row>
    <row r="86" spans="2:82" x14ac:dyDescent="0.2">
      <c r="B86" s="107">
        <f t="shared" si="70"/>
        <v>45991</v>
      </c>
      <c r="C86" s="172">
        <f t="shared" si="70"/>
        <v>45991</v>
      </c>
      <c r="D86" s="173" t="str">
        <f t="shared" si="66"/>
        <v/>
      </c>
      <c r="E86" s="173" t="str">
        <f t="shared" si="69"/>
        <v/>
      </c>
      <c r="F86" s="1554" t="str">
        <f t="shared" si="67"/>
        <v/>
      </c>
      <c r="G86" s="1554" t="str">
        <f t="shared" si="68"/>
        <v/>
      </c>
      <c r="AI86" s="1355" t="s">
        <v>345</v>
      </c>
      <c r="BA86" s="346"/>
      <c r="CD86" s="346"/>
    </row>
    <row r="87" spans="2:82" ht="13.5" thickBot="1" x14ac:dyDescent="0.25">
      <c r="B87" s="110" t="str">
        <f t="shared" si="70"/>
        <v/>
      </c>
      <c r="C87" s="192" t="str">
        <f t="shared" si="70"/>
        <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D5yYaqESx6LUUQx7gVjNsFDFqzNEzU6/+VtTQM/5fMPhUj0uV5pK2kPb/fZ/P6dTHMH5PupqtWiXdFr1qh1rKw==" saltValue="gQBIhclcK3m8EZXuVMfteQ=="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771" priority="36">
      <formula>$R$3=$A$5</formula>
    </cfRule>
  </conditionalFormatting>
  <conditionalFormatting sqref="M19:Q23">
    <cfRule type="expression" dxfId="1770" priority="13">
      <formula>$E$11&gt;0</formula>
    </cfRule>
  </conditionalFormatting>
  <conditionalFormatting sqref="M26:R46">
    <cfRule type="expression" dxfId="1769" priority="3">
      <formula>$E$11=0</formula>
    </cfRule>
  </conditionalFormatting>
  <conditionalFormatting sqref="P17">
    <cfRule type="expression" dxfId="1768" priority="16">
      <formula>$E$11=0</formula>
    </cfRule>
  </conditionalFormatting>
  <conditionalFormatting sqref="P30">
    <cfRule type="expression" dxfId="1767" priority="7">
      <formula>AND($R$3="Méthode 1",$E$11&lt;0)</formula>
    </cfRule>
  </conditionalFormatting>
  <conditionalFormatting sqref="P33">
    <cfRule type="expression" dxfId="1766" priority="6">
      <formula>AND($R$3="Méthode 1",$E$11&lt;0)</formula>
    </cfRule>
  </conditionalFormatting>
  <conditionalFormatting sqref="Q17">
    <cfRule type="cellIs" dxfId="1765" priority="15" operator="equal">
      <formula>0</formula>
    </cfRule>
  </conditionalFormatting>
  <conditionalFormatting sqref="Q42">
    <cfRule type="expression" dxfId="1764" priority="5">
      <formula>AND($R$3="Méthode 1",$E$11&lt;0)</formula>
    </cfRule>
  </conditionalFormatting>
  <conditionalFormatting sqref="Q45">
    <cfRule type="expression" dxfId="1763" priority="4">
      <formula>AND($R$3="Méthode 1",$E$11&lt;0)</formula>
    </cfRule>
  </conditionalFormatting>
  <conditionalFormatting sqref="S7:AF7">
    <cfRule type="expression" dxfId="1762" priority="35">
      <formula>$R$3=$T$5</formula>
    </cfRule>
  </conditionalFormatting>
  <conditionalFormatting sqref="W19">
    <cfRule type="expression" dxfId="1761" priority="40">
      <formula>$EF$14=1</formula>
    </cfRule>
  </conditionalFormatting>
  <conditionalFormatting sqref="W21">
    <cfRule type="expression" dxfId="1760" priority="39">
      <formula>$EF$14=1</formula>
    </cfRule>
  </conditionalFormatting>
  <conditionalFormatting sqref="AC19">
    <cfRule type="expression" dxfId="1759" priority="38">
      <formula>$EF$14=1</formula>
    </cfRule>
  </conditionalFormatting>
  <conditionalFormatting sqref="AC21">
    <cfRule type="expression" dxfId="1758" priority="37">
      <formula>$EF$14=1</formula>
    </cfRule>
  </conditionalFormatting>
  <conditionalFormatting sqref="AH7:AZ7">
    <cfRule type="expression" dxfId="1757" priority="21">
      <formula>$R$3=$AI$5</formula>
    </cfRule>
  </conditionalFormatting>
  <conditionalFormatting sqref="AP50">
    <cfRule type="expression" dxfId="1756" priority="20">
      <formula>$R$3="Méthode 2"</formula>
    </cfRule>
  </conditionalFormatting>
  <conditionalFormatting sqref="AP52">
    <cfRule type="expression" dxfId="1755" priority="19">
      <formula>$R$3="Méthode 2"</formula>
    </cfRule>
  </conditionalFormatting>
  <conditionalFormatting sqref="AP61">
    <cfRule type="expression" dxfId="1754" priority="18">
      <formula>$R$3="Méthode 2"</formula>
    </cfRule>
  </conditionalFormatting>
  <conditionalFormatting sqref="AP64">
    <cfRule type="expression" dxfId="1753" priority="17">
      <formula>$R$3="Méthode 2"</formula>
    </cfRule>
  </conditionalFormatting>
  <conditionalFormatting sqref="BI50">
    <cfRule type="expression" dxfId="1752" priority="28">
      <formula>$BK$3="Méthode 1"</formula>
    </cfRule>
  </conditionalFormatting>
  <conditionalFormatting sqref="BJ29">
    <cfRule type="expression" dxfId="1751" priority="30">
      <formula>$BK$3="Méthode 1"</formula>
    </cfRule>
  </conditionalFormatting>
  <conditionalFormatting sqref="BJ45">
    <cfRule type="expression" dxfId="1750" priority="29">
      <formula>$BK$3="Méthode 1"</formula>
    </cfRule>
  </conditionalFormatting>
  <conditionalFormatting sqref="BR46">
    <cfRule type="expression" dxfId="1749" priority="27">
      <formula>$BK$3="Méthode 2"</formula>
    </cfRule>
  </conditionalFormatting>
  <conditionalFormatting sqref="BR49">
    <cfRule type="expression" dxfId="1748" priority="26">
      <formula>$BK$3="Méthode 2"</formula>
    </cfRule>
  </conditionalFormatting>
  <conditionalFormatting sqref="BW52">
    <cfRule type="expression" dxfId="1747" priority="23">
      <formula>$BK$3="Méthode 2"</formula>
    </cfRule>
  </conditionalFormatting>
  <conditionalFormatting sqref="BW54">
    <cfRule type="expression" dxfId="1746" priority="22">
      <formula>$BK$3="Méthode 2"</formula>
    </cfRule>
  </conditionalFormatting>
  <conditionalFormatting sqref="BZ46">
    <cfRule type="expression" dxfId="1745" priority="25">
      <formula>$BK$3="Méthode 2"</formula>
    </cfRule>
  </conditionalFormatting>
  <conditionalFormatting sqref="BZ49">
    <cfRule type="expression" dxfId="1744" priority="24">
      <formula>$BK$3="Méthode 2"</formula>
    </cfRule>
  </conditionalFormatting>
  <conditionalFormatting sqref="CG18:CG48">
    <cfRule type="cellIs" dxfId="1743"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126</v>
      </c>
      <c r="F1" s="17"/>
      <c r="G1" s="17"/>
      <c r="H1" s="17"/>
      <c r="I1" s="17"/>
      <c r="J1" s="140"/>
      <c r="K1" s="17"/>
      <c r="L1" s="17"/>
      <c r="M1" s="17"/>
      <c r="N1" s="17"/>
      <c r="AL1" s="581" t="s">
        <v>760</v>
      </c>
      <c r="BA1" s="346"/>
      <c r="BC1" s="17"/>
      <c r="BD1" s="17"/>
      <c r="BE1" s="17"/>
      <c r="BF1" s="17"/>
      <c r="BG1" s="17"/>
      <c r="BI1" s="17" t="s">
        <v>698</v>
      </c>
      <c r="CD1" s="346"/>
      <c r="EC1" s="29" t="s">
        <v>1262</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6"/>
      <c r="Q3" s="183" t="s">
        <v>361</v>
      </c>
      <c r="R3" s="1357" t="str">
        <f>+VLOOKUP(AT5,base_donné_contrat,10,FALSE)</f>
        <v>Méthode 1</v>
      </c>
      <c r="BA3" s="346"/>
      <c r="BC3" s="17"/>
      <c r="BD3" s="17"/>
      <c r="BE3" s="17"/>
      <c r="BF3" s="17"/>
      <c r="BG3" s="1356"/>
      <c r="BH3" s="24"/>
      <c r="BI3" s="1356"/>
      <c r="BJ3" s="183" t="s">
        <v>759</v>
      </c>
      <c r="BK3" s="1359"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90" t="s">
        <v>362</v>
      </c>
      <c r="B5" s="544"/>
      <c r="C5" s="1190" t="s">
        <v>1254</v>
      </c>
      <c r="D5" s="544"/>
      <c r="E5" s="544"/>
      <c r="F5" s="544"/>
      <c r="G5" s="544"/>
      <c r="H5" s="544"/>
      <c r="I5" s="544"/>
      <c r="J5" s="1200"/>
      <c r="K5" s="544"/>
      <c r="L5" s="544"/>
      <c r="M5" s="24"/>
      <c r="N5" s="24"/>
      <c r="O5" s="24"/>
      <c r="P5" s="544"/>
      <c r="Q5" s="24"/>
      <c r="R5" s="24"/>
      <c r="T5" s="1331" t="s">
        <v>1238</v>
      </c>
      <c r="U5" s="1325" t="s">
        <v>1242</v>
      </c>
      <c r="V5" s="1325"/>
      <c r="W5" s="1325"/>
      <c r="X5" s="1325"/>
      <c r="Y5" s="1325"/>
      <c r="Z5" s="1325"/>
      <c r="AA5" s="1325"/>
      <c r="AB5" s="1325"/>
      <c r="AI5" s="1332" t="s">
        <v>452</v>
      </c>
      <c r="AS5" s="581" t="s">
        <v>352</v>
      </c>
      <c r="AT5" s="581" t="str">
        <f>+Décembre!DP4</f>
        <v>Fiche info</v>
      </c>
      <c r="BA5" s="1360" t="s">
        <v>359</v>
      </c>
      <c r="BB5" s="358"/>
      <c r="BC5" s="358"/>
      <c r="BD5" s="358"/>
      <c r="BE5" s="358"/>
      <c r="BF5" s="358"/>
      <c r="BG5" s="358"/>
      <c r="BH5" s="358"/>
      <c r="BI5" s="358"/>
      <c r="BL5" s="146" t="s">
        <v>360</v>
      </c>
      <c r="BW5" s="16" t="s">
        <v>352</v>
      </c>
      <c r="BX5" s="16" t="str">
        <f>+AT5</f>
        <v>Fiche info</v>
      </c>
      <c r="CD5" s="346"/>
      <c r="DT5" s="544"/>
      <c r="DU5" s="544"/>
      <c r="DV5" s="544"/>
      <c r="DW5" s="544"/>
      <c r="DX5" s="545"/>
      <c r="DY5" s="685" t="str">
        <f>+Décembre!AR13</f>
        <v>à partir du tableau ci-dessous</v>
      </c>
    </row>
    <row r="6" spans="1:144" ht="29.25" customHeight="1" x14ac:dyDescent="0.25">
      <c r="A6" s="2504" t="s">
        <v>1479</v>
      </c>
      <c r="B6" s="2504"/>
      <c r="C6" s="2504"/>
      <c r="D6" s="2504"/>
      <c r="E6" s="2504"/>
      <c r="F6" s="2504"/>
      <c r="G6" s="2504"/>
      <c r="H6" s="2504"/>
      <c r="I6" s="2504"/>
      <c r="J6" s="2504"/>
      <c r="K6" s="2504"/>
      <c r="L6" s="2504"/>
      <c r="M6" s="2504"/>
      <c r="N6" s="2504"/>
      <c r="O6" s="2504"/>
      <c r="P6" s="2504"/>
      <c r="Q6" s="2504"/>
      <c r="R6" s="2505"/>
      <c r="T6" s="2506" t="s">
        <v>1480</v>
      </c>
      <c r="U6" s="2506"/>
      <c r="V6" s="2506"/>
      <c r="W6" s="2506"/>
      <c r="X6" s="2506"/>
      <c r="Y6" s="2506"/>
      <c r="Z6" s="2506"/>
      <c r="AA6" s="2506"/>
      <c r="AB6" s="2506"/>
      <c r="AC6" s="2506"/>
      <c r="AD6" s="2506"/>
      <c r="AE6" s="2506"/>
      <c r="AF6" s="2506"/>
      <c r="AI6" s="581" t="s">
        <v>525</v>
      </c>
      <c r="BA6" s="1358" t="s">
        <v>524</v>
      </c>
      <c r="BB6" s="148"/>
      <c r="BC6" s="148"/>
      <c r="BD6" s="148"/>
      <c r="BE6" s="148"/>
      <c r="BF6" s="148"/>
      <c r="BG6" s="148"/>
      <c r="BH6" s="148"/>
      <c r="BI6" s="148"/>
      <c r="BL6" s="149" t="s">
        <v>1219</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127</v>
      </c>
      <c r="D8" s="2334">
        <f>+Décembre!AI3</f>
        <v>0</v>
      </c>
      <c r="E8" s="2334"/>
      <c r="F8" s="63"/>
      <c r="G8" s="63"/>
      <c r="H8" s="63"/>
      <c r="I8" s="63"/>
      <c r="J8" s="27"/>
      <c r="K8" s="63"/>
      <c r="L8" s="63"/>
      <c r="M8" s="358"/>
      <c r="N8" s="358"/>
      <c r="O8" s="358"/>
      <c r="P8" s="358"/>
      <c r="T8" s="1211" t="s">
        <v>127</v>
      </c>
      <c r="U8" s="2481">
        <f>Janvier!AI3</f>
        <v>0</v>
      </c>
      <c r="V8" s="2481"/>
      <c r="AI8" s="1211" t="s">
        <v>127</v>
      </c>
      <c r="AJ8" s="2481">
        <f>+D8</f>
        <v>0</v>
      </c>
      <c r="AK8" s="2481"/>
      <c r="BA8" s="348"/>
      <c r="BB8" s="358"/>
      <c r="BC8" s="95" t="s">
        <v>127</v>
      </c>
      <c r="BD8" s="2334">
        <f>+D8</f>
        <v>0</v>
      </c>
      <c r="BE8" s="2334"/>
      <c r="BF8" s="358"/>
      <c r="BG8" s="358"/>
      <c r="BH8" s="358"/>
      <c r="BI8" s="358"/>
      <c r="BL8" s="35"/>
      <c r="BM8" s="95" t="s">
        <v>127</v>
      </c>
      <c r="BN8" s="2334">
        <f>+AJ8</f>
        <v>0</v>
      </c>
      <c r="BO8" s="2334"/>
      <c r="CD8" s="346"/>
    </row>
    <row r="9" spans="1:144" ht="18" x14ac:dyDescent="0.25">
      <c r="A9" s="150"/>
      <c r="B9" s="358"/>
      <c r="C9" s="95"/>
      <c r="D9" s="63"/>
      <c r="E9" s="63"/>
      <c r="F9" s="63"/>
      <c r="G9" s="63"/>
      <c r="H9" s="63"/>
      <c r="I9" s="63"/>
      <c r="J9" s="27"/>
      <c r="K9" s="63"/>
      <c r="L9" s="63"/>
      <c r="M9" s="358"/>
      <c r="N9" s="358"/>
      <c r="O9" s="358"/>
      <c r="P9" s="358"/>
      <c r="S9" s="1333"/>
      <c r="AG9" s="1333"/>
      <c r="AI9" s="1211"/>
      <c r="AJ9" s="1334"/>
      <c r="AK9" s="1334"/>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+Décembre!I14</f>
        <v>0</v>
      </c>
      <c r="F10" s="151"/>
      <c r="G10" s="151"/>
      <c r="H10" s="151"/>
      <c r="I10" s="151"/>
      <c r="J10" s="151"/>
      <c r="K10" s="151"/>
      <c r="L10" s="151"/>
      <c r="P10" s="29" t="s">
        <v>1468</v>
      </c>
      <c r="Q10" s="356">
        <f>+Décembre!P18</f>
        <v>0</v>
      </c>
      <c r="V10" s="1211" t="s">
        <v>1469</v>
      </c>
      <c r="W10" s="1335">
        <f>+E10</f>
        <v>0</v>
      </c>
      <c r="AB10" s="1211" t="s">
        <v>1466</v>
      </c>
      <c r="AC10" s="1336">
        <f>+Q10</f>
        <v>0</v>
      </c>
      <c r="AJ10" s="581" t="s">
        <v>795</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799</v>
      </c>
      <c r="BE10" s="448">
        <f>+Décembre!T18+Décembre!T19</f>
        <v>0</v>
      </c>
      <c r="BI10" s="29" t="s">
        <v>1476</v>
      </c>
      <c r="BJ10" s="356">
        <f>+Décembre!AL14</f>
        <v>0</v>
      </c>
      <c r="BL10" s="35"/>
      <c r="BN10" s="24" t="s">
        <v>795</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29" t="s">
        <v>847</v>
      </c>
      <c r="E11" s="151">
        <f>+Décembre!U14</f>
        <v>0</v>
      </c>
      <c r="F11" s="151"/>
      <c r="G11" s="151"/>
      <c r="H11" s="151"/>
      <c r="I11" s="151"/>
      <c r="J11" s="151"/>
      <c r="K11" s="151"/>
      <c r="L11" s="151"/>
      <c r="M11" s="1201"/>
      <c r="N11" s="183"/>
      <c r="O11" s="1202"/>
      <c r="P11" s="183" t="s">
        <v>1120</v>
      </c>
      <c r="Q11" s="1203">
        <f>+Décembre!P19</f>
        <v>0</v>
      </c>
      <c r="V11" s="1211" t="s">
        <v>847</v>
      </c>
      <c r="W11" s="1335">
        <f>+E11</f>
        <v>0</v>
      </c>
      <c r="AB11" s="1211" t="s">
        <v>1120</v>
      </c>
      <c r="AC11" s="1336">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700</v>
      </c>
      <c r="BJ11" s="356">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1431</v>
      </c>
    </row>
    <row r="12" spans="1:144" ht="38.25" x14ac:dyDescent="0.2">
      <c r="AK12" s="1297" t="s">
        <v>17</v>
      </c>
      <c r="AL12" s="1297" t="s">
        <v>18</v>
      </c>
      <c r="AM12" s="1297" t="s">
        <v>19</v>
      </c>
      <c r="AN12" s="1297" t="s">
        <v>20</v>
      </c>
      <c r="AO12" s="1297" t="s">
        <v>21</v>
      </c>
      <c r="AP12" s="1297" t="s">
        <v>193</v>
      </c>
      <c r="AQ12" s="1297" t="s">
        <v>194</v>
      </c>
      <c r="AR12" s="1297" t="s">
        <v>316</v>
      </c>
      <c r="AS12" s="1297" t="s">
        <v>317</v>
      </c>
      <c r="AT12" s="1297" t="s">
        <v>318</v>
      </c>
      <c r="AU12" s="1297" t="s">
        <v>319</v>
      </c>
      <c r="AV12" s="1297" t="s">
        <v>320</v>
      </c>
      <c r="AW12" s="1297" t="s">
        <v>354</v>
      </c>
      <c r="AX12" s="1297" t="s">
        <v>355</v>
      </c>
      <c r="BA12" s="346"/>
      <c r="BL12" s="35"/>
      <c r="BO12" s="54" t="s">
        <v>17</v>
      </c>
      <c r="BP12" s="54" t="s">
        <v>18</v>
      </c>
      <c r="BQ12" s="54" t="s">
        <v>19</v>
      </c>
      <c r="BR12" s="54" t="s">
        <v>20</v>
      </c>
      <c r="BS12" s="54" t="s">
        <v>21</v>
      </c>
      <c r="BT12" s="54" t="s">
        <v>193</v>
      </c>
      <c r="BU12" s="54" t="s">
        <v>194</v>
      </c>
      <c r="BV12" s="152" t="s">
        <v>316</v>
      </c>
      <c r="BW12" s="152" t="s">
        <v>317</v>
      </c>
      <c r="BX12" s="153" t="s">
        <v>318</v>
      </c>
      <c r="BY12" s="153" t="s">
        <v>319</v>
      </c>
      <c r="BZ12" s="54" t="s">
        <v>320</v>
      </c>
      <c r="CA12" s="54" t="s">
        <v>354</v>
      </c>
      <c r="CB12" s="54" t="s">
        <v>355</v>
      </c>
      <c r="CD12" s="346"/>
    </row>
    <row r="13" spans="1:144" x14ac:dyDescent="0.2">
      <c r="C13" s="95" t="s">
        <v>128</v>
      </c>
      <c r="D13" s="154">
        <f>+Décembre!X3</f>
        <v>45992</v>
      </c>
      <c r="M13" s="154"/>
      <c r="N13" s="155">
        <f>DATE(YEAR($D$13),MONTH($D$13)+1,DAY($D$13))</f>
        <v>46023</v>
      </c>
      <c r="O13" s="156">
        <f>N13</f>
        <v>46023</v>
      </c>
      <c r="V13" s="1211" t="s">
        <v>1470</v>
      </c>
      <c r="W13" s="1337">
        <f>+Q16</f>
        <v>0</v>
      </c>
      <c r="AJ13" s="1211" t="s">
        <v>321</v>
      </c>
      <c r="AK13" s="1335" t="str">
        <f>+VLOOKUP($AT$5&amp;"A"&amp;"1",Base_heures,6,FALSE)</f>
        <v/>
      </c>
      <c r="AL13" s="1335" t="str">
        <f>+VLOOKUP($AT$5&amp;"A"&amp;"2",Base_heures,6,FALSE)</f>
        <v/>
      </c>
      <c r="AM13" s="1335" t="str">
        <f>+VLOOKUP($AT$5&amp;"A"&amp;"3",Base_heures,6,FALSE)</f>
        <v/>
      </c>
      <c r="AN13" s="1335" t="str">
        <f>+VLOOKUP($AT$5&amp;"A"&amp;"4",Base_heures,6,FALSE)</f>
        <v/>
      </c>
      <c r="AO13" s="1335" t="str">
        <f>+VLOOKUP($AT$5&amp;"A"&amp;"5",Base_heures,6,FALSE)</f>
        <v/>
      </c>
      <c r="AP13" s="1335" t="str">
        <f>+VLOOKUP($AT$5&amp;"A"&amp;"6",Base_heures,6,FALSE)</f>
        <v/>
      </c>
      <c r="AQ13" s="1335" t="str">
        <f>+VLOOKUP($AT$5&amp;"A"&amp;"7",Base_heures,6,FALSE)</f>
        <v/>
      </c>
      <c r="AR13" s="1335">
        <f t="shared" ref="AR13:AR20" si="2">SUM(AK13:AQ13)</f>
        <v>0</v>
      </c>
      <c r="AS13" s="1321" t="str">
        <f>+VLOOKUP($AT$5&amp;"ASem",basesem,2,FALSE)</f>
        <v/>
      </c>
      <c r="AT13" s="1335" t="e">
        <f t="shared" ref="AT13:AT20" si="3">+AS13*AR13</f>
        <v>#VALUE!</v>
      </c>
      <c r="AU13" s="581">
        <f t="shared" ref="AU13:AU20" si="4">COUNT(AK13:AQ13)</f>
        <v>0</v>
      </c>
      <c r="AV13" s="581" t="e">
        <f t="shared" ref="AV13:AV20" si="5">+AU13*AS13</f>
        <v>#VALUE!</v>
      </c>
      <c r="AW13" s="1335">
        <f>+IF(AR13&gt;45,AR13-45,0)</f>
        <v>0</v>
      </c>
      <c r="AX13" s="581">
        <f>+IF(AR13,AW13/AR13,0)</f>
        <v>0</v>
      </c>
      <c r="BA13" s="346"/>
      <c r="BC13" s="95" t="s">
        <v>128</v>
      </c>
      <c r="BD13" s="154">
        <f>+D13</f>
        <v>45992</v>
      </c>
      <c r="BF13" s="154"/>
      <c r="BG13" s="155">
        <f>DATE(YEAR($D$13),MONTH($D$13)+1,DAY($D$13))</f>
        <v>46023</v>
      </c>
      <c r="BH13" s="156">
        <f>BG13</f>
        <v>46023</v>
      </c>
      <c r="BL13" s="35"/>
      <c r="BM13" s="157"/>
      <c r="BN13" s="158" t="s">
        <v>321</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46023</v>
      </c>
    </row>
    <row r="14" spans="1:144" ht="13.5" thickBot="1" x14ac:dyDescent="0.25">
      <c r="C14" s="95"/>
      <c r="D14" s="154"/>
      <c r="M14" s="154"/>
      <c r="N14" s="155"/>
      <c r="O14" s="156"/>
      <c r="V14" s="1211" t="s">
        <v>1119</v>
      </c>
      <c r="W14" s="1337">
        <f>+Q17</f>
        <v>0</v>
      </c>
      <c r="AJ14" s="1211" t="s">
        <v>322</v>
      </c>
      <c r="AK14" s="1335" t="str">
        <f>+VLOOKUP($AT$5&amp;"B"&amp;"1",Base_heures,6,FALSE)</f>
        <v/>
      </c>
      <c r="AL14" s="1335" t="str">
        <f>+VLOOKUP($AT$5&amp;"B"&amp;"2",Base_heures,6,FALSE)</f>
        <v/>
      </c>
      <c r="AM14" s="1335" t="str">
        <f>+VLOOKUP($AT$5&amp;"B"&amp;"3",Base_heures,6,FALSE)</f>
        <v/>
      </c>
      <c r="AN14" s="1335" t="str">
        <f>+VLOOKUP($AT$5&amp;"B"&amp;"4",Base_heures,6,FALSE)</f>
        <v/>
      </c>
      <c r="AO14" s="1335" t="str">
        <f>+VLOOKUP($AT$5&amp;"B"&amp;"5",Base_heures,6,FALSE)</f>
        <v/>
      </c>
      <c r="AP14" s="1335" t="str">
        <f>+VLOOKUP($AT$5&amp;"B"&amp;"6",Base_heures,6,FALSE)</f>
        <v/>
      </c>
      <c r="AQ14" s="1335" t="str">
        <f>+VLOOKUP($AT$5&amp;"B"&amp;"7",Base_heures,6,FALSE)</f>
        <v/>
      </c>
      <c r="AR14" s="1335">
        <f t="shared" si="2"/>
        <v>0</v>
      </c>
      <c r="AS14" s="1321">
        <f>+VLOOKUP($AT$5&amp;"BSem",basesem,2,FALSE)</f>
        <v>0</v>
      </c>
      <c r="AT14" s="1335">
        <f t="shared" si="3"/>
        <v>0</v>
      </c>
      <c r="AU14" s="581">
        <f t="shared" si="4"/>
        <v>0</v>
      </c>
      <c r="AV14" s="581">
        <f t="shared" si="5"/>
        <v>0</v>
      </c>
      <c r="AW14" s="1335">
        <f t="shared" ref="AW14:AW20" si="10">+IF(AR14&gt;45,AR14-45,0)</f>
        <v>0</v>
      </c>
      <c r="AX14" s="581">
        <f t="shared" ref="AX14:AX21" si="11">+IF(AR14,AW14/AR14,0)</f>
        <v>0</v>
      </c>
      <c r="BA14" s="346"/>
      <c r="BC14" s="95"/>
      <c r="BD14" s="154"/>
      <c r="BF14" s="154"/>
      <c r="BG14" s="155"/>
      <c r="BH14" s="156"/>
      <c r="BL14" s="35"/>
      <c r="BM14" s="165"/>
      <c r="BN14" s="29" t="s">
        <v>322</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72" t="s">
        <v>1001</v>
      </c>
      <c r="E15" s="2472" t="s">
        <v>137</v>
      </c>
      <c r="F15" s="82"/>
      <c r="G15" s="82"/>
      <c r="H15" s="82"/>
      <c r="I15" s="82"/>
      <c r="J15" s="82"/>
      <c r="K15" s="82"/>
      <c r="L15" s="82"/>
      <c r="M15" s="169"/>
      <c r="N15" s="169"/>
      <c r="AJ15" s="1211" t="s">
        <v>323</v>
      </c>
      <c r="AK15" s="1335" t="str">
        <f>+VLOOKUP($AT$5&amp;"C"&amp;"1",Base_heures,6,FALSE)</f>
        <v/>
      </c>
      <c r="AL15" s="1335" t="str">
        <f>+VLOOKUP($AT$5&amp;"C"&amp;"2",Base_heures,6,FALSE)</f>
        <v/>
      </c>
      <c r="AM15" s="1335" t="str">
        <f>+VLOOKUP($AT$5&amp;"C"&amp;"3",Base_heures,6,FALSE)</f>
        <v/>
      </c>
      <c r="AN15" s="1335" t="str">
        <f>+VLOOKUP($AT$5&amp;"C"&amp;"4",Base_heures,6,FALSE)</f>
        <v/>
      </c>
      <c r="AO15" s="1335" t="str">
        <f>+VLOOKUP($AT$5&amp;"C"&amp;"5",Base_heures,6,FALSE)</f>
        <v/>
      </c>
      <c r="AP15" s="1335" t="str">
        <f>+VLOOKUP($AT$5&amp;"C"&amp;"6",Base_heures,6,FALSE)</f>
        <v/>
      </c>
      <c r="AQ15" s="1335" t="str">
        <f>+VLOOKUP($AT$5&amp;"C"&amp;"7",Base_heures,6,FALSE)</f>
        <v/>
      </c>
      <c r="AR15" s="1335">
        <f t="shared" si="2"/>
        <v>0</v>
      </c>
      <c r="AS15" s="1321">
        <f>+VLOOKUP($AT$5&amp;"CSem",basesem,2,FALSE)</f>
        <v>0</v>
      </c>
      <c r="AT15" s="1335">
        <f t="shared" si="3"/>
        <v>0</v>
      </c>
      <c r="AU15" s="581">
        <f t="shared" si="4"/>
        <v>0</v>
      </c>
      <c r="AV15" s="581">
        <f t="shared" si="5"/>
        <v>0</v>
      </c>
      <c r="AW15" s="1335">
        <f t="shared" si="10"/>
        <v>0</v>
      </c>
      <c r="AX15" s="581">
        <f t="shared" si="11"/>
        <v>0</v>
      </c>
      <c r="BA15" s="346"/>
      <c r="BD15" s="2479" t="s">
        <v>129</v>
      </c>
      <c r="BE15" s="2472" t="s">
        <v>699</v>
      </c>
      <c r="BF15" s="2472" t="s">
        <v>696</v>
      </c>
      <c r="BG15" s="2477" t="s">
        <v>250</v>
      </c>
      <c r="BL15" s="35"/>
      <c r="BM15" s="165"/>
      <c r="BN15" s="95" t="s">
        <v>323</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72" t="s">
        <v>1430</v>
      </c>
      <c r="CH15" s="2442"/>
    </row>
    <row r="16" spans="1:144" ht="25.5" customHeight="1" thickBot="1" x14ac:dyDescent="0.25">
      <c r="D16" s="2473"/>
      <c r="E16" s="2473"/>
      <c r="F16" s="82"/>
      <c r="G16" s="82"/>
      <c r="H16" s="82"/>
      <c r="I16" s="82"/>
      <c r="J16" s="82"/>
      <c r="K16" s="82"/>
      <c r="L16" s="82"/>
      <c r="N16" s="103"/>
      <c r="P16" s="29" t="str">
        <f>+IF(E11=0,"Mensualisation :","Mensualisation (heures &lt; ou = à 45 hrs / sem) :")</f>
        <v>Mensualisation :</v>
      </c>
      <c r="Q16" s="688">
        <f>+ROUND(E10*Q10,2)</f>
        <v>0</v>
      </c>
      <c r="AJ16" s="1211" t="s">
        <v>324</v>
      </c>
      <c r="AK16" s="1335" t="str">
        <f>+VLOOKUP($AT$5&amp;"D"&amp;"1",Base_heures,6,FALSE)</f>
        <v/>
      </c>
      <c r="AL16" s="1335" t="str">
        <f>+VLOOKUP($AT$5&amp;"D"&amp;"2",Base_heures,6,FALSE)</f>
        <v/>
      </c>
      <c r="AM16" s="1335" t="str">
        <f>+VLOOKUP($AT$5&amp;"D"&amp;"3",Base_heures,6,FALSE)</f>
        <v/>
      </c>
      <c r="AN16" s="1335" t="str">
        <f>+VLOOKUP($AT$5&amp;"D"&amp;"4",Base_heures,6,FALSE)</f>
        <v/>
      </c>
      <c r="AO16" s="1335" t="str">
        <f>+VLOOKUP($AT$5&amp;"D"&amp;"5",Base_heures,6,FALSE)</f>
        <v/>
      </c>
      <c r="AP16" s="1335" t="str">
        <f>+VLOOKUP($AT$5&amp;"D"&amp;"6",Base_heures,6,FALSE)</f>
        <v/>
      </c>
      <c r="AQ16" s="1335" t="str">
        <f>+VLOOKUP($AT$5&amp;"D"&amp;"7",Base_heures,6,FALSE)</f>
        <v/>
      </c>
      <c r="AR16" s="1335">
        <f t="shared" si="2"/>
        <v>0</v>
      </c>
      <c r="AS16" s="1321">
        <f>+VLOOKUP($AT$5&amp;"DSem",basesem,2,FALSE)</f>
        <v>0</v>
      </c>
      <c r="AT16" s="1335">
        <f t="shared" si="3"/>
        <v>0</v>
      </c>
      <c r="AU16" s="581">
        <f t="shared" si="4"/>
        <v>0</v>
      </c>
      <c r="AV16" s="581">
        <f t="shared" si="5"/>
        <v>0</v>
      </c>
      <c r="AW16" s="1335">
        <f t="shared" si="10"/>
        <v>0</v>
      </c>
      <c r="AX16" s="581">
        <f t="shared" si="11"/>
        <v>0</v>
      </c>
      <c r="BA16" s="346"/>
      <c r="BD16" s="2480"/>
      <c r="BE16" s="2473"/>
      <c r="BF16" s="2473"/>
      <c r="BG16" s="2478"/>
      <c r="BL16" s="35"/>
      <c r="BM16" s="165"/>
      <c r="BN16" s="95" t="s">
        <v>324</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508"/>
      <c r="CH16" s="2442"/>
      <c r="EM16" s="843"/>
      <c r="EN16" s="843"/>
    </row>
    <row r="17" spans="1:147" ht="18" customHeight="1" thickBot="1" x14ac:dyDescent="0.25">
      <c r="A17" s="24" t="s">
        <v>257</v>
      </c>
      <c r="B17" s="2484">
        <f>+$D$13</f>
        <v>45992</v>
      </c>
      <c r="C17" s="2485"/>
      <c r="D17" s="2485"/>
      <c r="E17" s="2486"/>
      <c r="F17" s="973" t="s">
        <v>503</v>
      </c>
      <c r="G17" s="1556"/>
      <c r="H17" s="169" t="s">
        <v>1358</v>
      </c>
      <c r="I17" s="169" t="s">
        <v>1016</v>
      </c>
      <c r="J17" s="169" t="s">
        <v>996</v>
      </c>
      <c r="K17" s="169" t="s">
        <v>997</v>
      </c>
      <c r="L17" s="169" t="s">
        <v>998</v>
      </c>
      <c r="N17" s="155"/>
      <c r="P17" s="29" t="s">
        <v>1119</v>
      </c>
      <c r="Q17" s="688">
        <f>+ROUND(Q11*E11,2)</f>
        <v>0</v>
      </c>
      <c r="AJ17" s="1211" t="s">
        <v>325</v>
      </c>
      <c r="AK17" s="1335" t="str">
        <f>+VLOOKUP($AT$5&amp;"E"&amp;"1",Base_heures,6,FALSE)</f>
        <v/>
      </c>
      <c r="AL17" s="1335" t="str">
        <f>+VLOOKUP($AT$5&amp;"E"&amp;"2",Base_heures,6,FALSE)</f>
        <v/>
      </c>
      <c r="AM17" s="1335" t="str">
        <f>+VLOOKUP($AT$5&amp;"E"&amp;"3",Base_heures,6,FALSE)</f>
        <v/>
      </c>
      <c r="AN17" s="1335" t="str">
        <f>+VLOOKUP($AT$5&amp;"E"&amp;"4",Base_heures,6,FALSE)</f>
        <v/>
      </c>
      <c r="AO17" s="1335" t="str">
        <f>+VLOOKUP($AT$5&amp;"E"&amp;"5",Base_heures,6,FALSE)</f>
        <v/>
      </c>
      <c r="AP17" s="1335" t="str">
        <f>+VLOOKUP($AT$5&amp;"E"&amp;"6",Base_heures,6,FALSE)</f>
        <v/>
      </c>
      <c r="AQ17" s="1335" t="str">
        <f>+VLOOKUP($AT$5&amp;"E"&amp;"7",Base_heures,6,FALSE)</f>
        <v/>
      </c>
      <c r="AR17" s="1335">
        <f t="shared" si="2"/>
        <v>0</v>
      </c>
      <c r="AS17" s="1321">
        <f>+VLOOKUP($AT$5&amp;"ESem",basesem,2,FALSE)</f>
        <v>0</v>
      </c>
      <c r="AT17" s="1335">
        <f t="shared" si="3"/>
        <v>0</v>
      </c>
      <c r="AU17" s="581">
        <f t="shared" si="4"/>
        <v>0</v>
      </c>
      <c r="AV17" s="581">
        <f t="shared" si="5"/>
        <v>0</v>
      </c>
      <c r="AW17" s="1335">
        <f t="shared" si="10"/>
        <v>0</v>
      </c>
      <c r="AX17" s="581">
        <f t="shared" si="11"/>
        <v>0</v>
      </c>
      <c r="BA17" s="349" t="s">
        <v>257</v>
      </c>
      <c r="BB17" s="2474">
        <f>+$D$13</f>
        <v>45992</v>
      </c>
      <c r="BC17" s="2475"/>
      <c r="BD17" s="2475"/>
      <c r="BE17" s="2475"/>
      <c r="BF17" s="2475"/>
      <c r="BG17" s="2476"/>
      <c r="BL17" s="35"/>
      <c r="BM17" s="165"/>
      <c r="BN17" s="95" t="s">
        <v>325</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74">
        <f>+$D$13</f>
        <v>45992</v>
      </c>
      <c r="CF17" s="2475"/>
      <c r="CG17" s="2476"/>
      <c r="CH17" s="154"/>
      <c r="DR17" s="25" t="s">
        <v>1268</v>
      </c>
      <c r="DS17" s="25"/>
      <c r="DT17" s="25"/>
      <c r="DU17" s="911" t="s">
        <v>1267</v>
      </c>
      <c r="DV17" s="911"/>
      <c r="DW17" s="911"/>
      <c r="DY17" s="16" t="s">
        <v>1255</v>
      </c>
      <c r="DZ17" s="16" t="s">
        <v>1256</v>
      </c>
      <c r="EA17" s="16" t="s">
        <v>1257</v>
      </c>
      <c r="EB17" s="27" t="s">
        <v>96</v>
      </c>
      <c r="ED17" s="16" t="s">
        <v>1263</v>
      </c>
      <c r="EF17" s="16" t="s">
        <v>1265</v>
      </c>
      <c r="EG17" s="16" t="s">
        <v>669</v>
      </c>
      <c r="EH17" s="16" t="s">
        <v>1278</v>
      </c>
      <c r="EJ17" s="16" t="s">
        <v>1264</v>
      </c>
      <c r="EM17" s="16" t="s">
        <v>1556</v>
      </c>
      <c r="EN17" s="16" t="s">
        <v>1557</v>
      </c>
      <c r="EQ17" s="16" t="s">
        <v>1549</v>
      </c>
    </row>
    <row r="18" spans="1:147" ht="18" customHeight="1" x14ac:dyDescent="0.2">
      <c r="A18" s="24" t="str">
        <f>+Décembre!BJ20</f>
        <v>Fiche infoA1</v>
      </c>
      <c r="B18" s="170">
        <f>+D13</f>
        <v>45992</v>
      </c>
      <c r="C18" s="171">
        <f>+$D$13</f>
        <v>45992</v>
      </c>
      <c r="D18" s="173" t="str">
        <f>IF(AND(EQ18&lt;&gt;"",$DZ$5=S.CAL!$CU$2),EQ18,IF(IFERROR(IF($DY$5=S.CAL!$CU$3,ROUND(EN18,2),ROUND(EQ18,2)),"")&lt;&gt;0,IFERROR(IF($DY$5=S.CAL!$CU$3,ROUND(EN18,2),ROUND(EQ18,2)),""),""))</f>
        <v/>
      </c>
      <c r="E18" s="353" t="str">
        <f>IFERROR(+IF(AND(F18="",$DY$5=S.CAL!$CU$2,J18="OUI"),IFERROR(ROUND(I18,2),""),IF(AND(F18="",$DY$5=S.CAL!$CU$3,L18="oui"),ROUND(K18,2),IF(F18="","",ROUND(F18,2)))),"")</f>
        <v/>
      </c>
      <c r="F18" s="974"/>
      <c r="G18" s="1010"/>
      <c r="H18" s="27" t="str">
        <f t="shared" ref="H18:H48" si="14">IFERROR(+VLOOKUP(A18,Base_heures,3,FALSE),0)</f>
        <v>A</v>
      </c>
      <c r="I18" s="34">
        <f>Décembre!BC20</f>
        <v>0</v>
      </c>
      <c r="J18" s="34">
        <f>Décembre!BE20</f>
        <v>0</v>
      </c>
      <c r="K18" s="34">
        <f t="shared" ref="K18:K48" si="15">IFERROR(+VLOOKUP(C18,Retenue_FP,7,FALSE),"")</f>
        <v>0</v>
      </c>
      <c r="L18" s="34" t="str">
        <f>+IF(K18&gt;0,"oui","")</f>
        <v/>
      </c>
      <c r="T18" s="581" t="s">
        <v>1474</v>
      </c>
      <c r="Z18" s="581" t="s">
        <v>1235</v>
      </c>
      <c r="AJ18" s="1211" t="s">
        <v>326</v>
      </c>
      <c r="AK18" s="1335" t="str">
        <f>+VLOOKUP($AT$5&amp;"F"&amp;"1",Base_heures,6,FALSE)</f>
        <v/>
      </c>
      <c r="AL18" s="1335" t="str">
        <f>+VLOOKUP($AT$5&amp;"F"&amp;"2",Base_heures,6,FALSE)</f>
        <v/>
      </c>
      <c r="AM18" s="1335" t="str">
        <f>+VLOOKUP($AT$5&amp;"F"&amp;"3",Base_heures,6,FALSE)</f>
        <v/>
      </c>
      <c r="AN18" s="1335" t="str">
        <f>+VLOOKUP($AT$5&amp;"F"&amp;"4",Base_heures,6,FALSE)</f>
        <v/>
      </c>
      <c r="AO18" s="1335" t="str">
        <f>+VLOOKUP($AT$5&amp;"F"&amp;"5",Base_heures,6,FALSE)</f>
        <v/>
      </c>
      <c r="AP18" s="1335" t="str">
        <f>+VLOOKUP($AT$5&amp;"F"&amp;"6",Base_heures,6,FALSE)</f>
        <v/>
      </c>
      <c r="AQ18" s="1335" t="str">
        <f>+VLOOKUP($AT$5&amp;"F"&amp;"7",Base_heures,6,FALSE)</f>
        <v/>
      </c>
      <c r="AR18" s="1335">
        <f t="shared" si="2"/>
        <v>0</v>
      </c>
      <c r="AS18" s="1321">
        <f>+VLOOKUP($AT$5&amp;"FSem",basesem,2,FALSE)</f>
        <v>0</v>
      </c>
      <c r="AT18" s="1335">
        <f t="shared" si="3"/>
        <v>0</v>
      </c>
      <c r="AU18" s="581">
        <f t="shared" si="4"/>
        <v>0</v>
      </c>
      <c r="AV18" s="581">
        <f t="shared" si="5"/>
        <v>0</v>
      </c>
      <c r="AW18" s="1335">
        <f t="shared" si="10"/>
        <v>0</v>
      </c>
      <c r="AX18" s="581">
        <f t="shared" si="11"/>
        <v>0</v>
      </c>
      <c r="BA18" s="349" t="str">
        <f t="shared" ref="BA18:BA48" si="16">A18</f>
        <v>Fiche infoA1</v>
      </c>
      <c r="BB18" s="170">
        <f>+BD13</f>
        <v>45992</v>
      </c>
      <c r="BC18" s="171">
        <f>+$D$13</f>
        <v>45992</v>
      </c>
      <c r="BD18" s="173" t="str">
        <f>+D18</f>
        <v/>
      </c>
      <c r="BE18" s="353" t="str">
        <f>+IF(OR(BF18=S.CAL!$BJ$3,BF18=S.CAL!$BJ$4),BD18,"")</f>
        <v/>
      </c>
      <c r="BF18" s="350">
        <f>IF($DY$5=S.CAL!$CU$2,Décembre!AR20,IF($DY$5=S.CAL!$CU$3,VLOOKUP(BC18,planning_fp,7,FALSE),""))</f>
        <v>0</v>
      </c>
      <c r="BG18" s="362" t="str">
        <f>Décembre!BL20</f>
        <v>A</v>
      </c>
      <c r="BL18" s="35"/>
      <c r="BM18" s="165"/>
      <c r="BN18" s="95" t="s">
        <v>326</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45992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45992</v>
      </c>
      <c r="EM18" s="16" t="str">
        <f>A18&amp;C18</f>
        <v>Fiche infoA145992</v>
      </c>
      <c r="EN18" s="16">
        <f t="shared" ref="EN18:EN48" si="20">+VLOOKUP(EM18,Base_feuille_présence_heure_potentiel,11,FALSE)</f>
        <v>0</v>
      </c>
      <c r="EQ18" s="16" t="str">
        <f>Décembre!FS20</f>
        <v/>
      </c>
    </row>
    <row r="19" spans="1:147" ht="18" customHeight="1" x14ac:dyDescent="0.2">
      <c r="A19" s="24" t="str">
        <f>+Décembre!BJ21</f>
        <v>Fiche infoA2</v>
      </c>
      <c r="B19" s="107">
        <f>C19</f>
        <v>45993</v>
      </c>
      <c r="C19" s="172">
        <f>+$D$13+1</f>
        <v>45993</v>
      </c>
      <c r="D19" s="173" t="str">
        <f>IF(AND(EQ19&lt;&gt;"",$DZ$5=S.CAL!$CU$2),EQ19,IF(IFERROR(IF($DY$5=S.CAL!$CU$3,ROUND(EN19,2),ROUND(EQ19,2)),"")&lt;&gt;0,IFERROR(IF($DY$5=S.CAL!$CU$3,ROUND(EN19,2),ROUND(EQ19,2)),""),""))</f>
        <v/>
      </c>
      <c r="E19" s="173" t="str">
        <f>IFERROR(+IF(AND(F19="",$DY$5=S.CAL!$CU$2,J19="OUI"),IFERROR(ROUND(I19,2),""),IF(AND(F19="",$DY$5=S.CAL!$CU$3,L19="oui"),ROUND(K19,2),IF(F19="","",ROUND(F19,2)))),"")</f>
        <v/>
      </c>
      <c r="F19" s="974"/>
      <c r="G19" s="1010"/>
      <c r="H19" s="27" t="str">
        <f t="shared" si="14"/>
        <v>A</v>
      </c>
      <c r="I19" s="34">
        <f>Décembre!BC21</f>
        <v>0</v>
      </c>
      <c r="J19" s="34">
        <f>Décembre!BE21</f>
        <v>0</v>
      </c>
      <c r="K19" s="34">
        <f t="shared" si="15"/>
        <v>0</v>
      </c>
      <c r="L19" s="34" t="str">
        <f t="shared" ref="L19:L48" si="21">+IF(K19&gt;0,"oui","")</f>
        <v/>
      </c>
      <c r="O19" s="39" t="s">
        <v>1502</v>
      </c>
      <c r="P19" s="197" t="s">
        <v>1503</v>
      </c>
      <c r="S19" s="2328" t="s">
        <v>1473</v>
      </c>
      <c r="T19" s="2328"/>
      <c r="U19" s="2328"/>
      <c r="V19" s="2328"/>
      <c r="W19" s="1338">
        <f>+AF40-AF54</f>
        <v>0</v>
      </c>
      <c r="AA19" s="2328" t="s">
        <v>1236</v>
      </c>
      <c r="AB19" s="2328"/>
      <c r="AC19" s="1338">
        <f>+AB40-AB54</f>
        <v>0</v>
      </c>
      <c r="AJ19" s="1211" t="s">
        <v>327</v>
      </c>
      <c r="AK19" s="1335" t="str">
        <f>+VLOOKUP($AT$5&amp;"G"&amp;"1",Base_heures,6,FALSE)</f>
        <v/>
      </c>
      <c r="AL19" s="1335" t="str">
        <f>+VLOOKUP($AT$5&amp;"G"&amp;"2",Base_heures,6,FALSE)</f>
        <v/>
      </c>
      <c r="AM19" s="1335" t="str">
        <f>+VLOOKUP($AT$5&amp;"G"&amp;"3",Base_heures,6,FALSE)</f>
        <v/>
      </c>
      <c r="AN19" s="1335" t="str">
        <f>+VLOOKUP($AT$5&amp;"G"&amp;"4",Base_heures,6,FALSE)</f>
        <v/>
      </c>
      <c r="AO19" s="1335" t="str">
        <f>+VLOOKUP($AT$5&amp;"G"&amp;"5",Base_heures,6,FALSE)</f>
        <v/>
      </c>
      <c r="AP19" s="1335" t="str">
        <f>+VLOOKUP($AT$5&amp;"G"&amp;"6",Base_heures,6,FALSE)</f>
        <v/>
      </c>
      <c r="AQ19" s="1335" t="str">
        <f>+VLOOKUP($AT$5&amp;"G"&amp;"7",Base_heures,6,FALSE)</f>
        <v/>
      </c>
      <c r="AR19" s="1335">
        <f t="shared" si="2"/>
        <v>0</v>
      </c>
      <c r="AS19" s="1321">
        <f>+VLOOKUP($AT$5&amp;"GSem",basesem,2,FALSE)</f>
        <v>0</v>
      </c>
      <c r="AT19" s="1335">
        <f t="shared" si="3"/>
        <v>0</v>
      </c>
      <c r="AU19" s="581">
        <f t="shared" si="4"/>
        <v>0</v>
      </c>
      <c r="AV19" s="581">
        <f t="shared" si="5"/>
        <v>0</v>
      </c>
      <c r="AW19" s="1335">
        <f t="shared" si="10"/>
        <v>0</v>
      </c>
      <c r="AX19" s="581">
        <f t="shared" si="11"/>
        <v>0</v>
      </c>
      <c r="BA19" s="349" t="str">
        <f t="shared" si="16"/>
        <v>Fiche infoA2</v>
      </c>
      <c r="BB19" s="107">
        <f>BC19</f>
        <v>45993</v>
      </c>
      <c r="BC19" s="172">
        <f>+$D$13+1</f>
        <v>45993</v>
      </c>
      <c r="BD19" s="173" t="str">
        <f>+D19</f>
        <v/>
      </c>
      <c r="BE19" s="173" t="str">
        <f>+IF(OR(BF19=S.CAL!$BJ$3,BF19=S.CAL!$BJ$4),BD19,"")</f>
        <v/>
      </c>
      <c r="BF19" s="351">
        <f>IF($DY$5=S.CAL!$CU$2,Décembre!AR21,IF($DY$5=S.CAL!$CU$3,VLOOKUP(BC19,planning_fp,7,FALSE),""))</f>
        <v>0</v>
      </c>
      <c r="BG19" s="363" t="str">
        <f>Décembre!BL21</f>
        <v>A</v>
      </c>
      <c r="BL19" s="35"/>
      <c r="BM19" s="165"/>
      <c r="BN19" s="95" t="s">
        <v>327</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45993</v>
      </c>
      <c r="CF19" s="172">
        <f>+$D$13+1</f>
        <v>45993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45993</v>
      </c>
      <c r="EM19" s="16" t="str">
        <f t="shared" ref="EM19:EM48" si="29">A19&amp;C19</f>
        <v>Fiche infoA245993</v>
      </c>
      <c r="EN19" s="16">
        <f t="shared" si="20"/>
        <v>0</v>
      </c>
      <c r="EQ19" s="16" t="str">
        <f>Décembre!FS21</f>
        <v/>
      </c>
    </row>
    <row r="20" spans="1:147" ht="18" customHeight="1" x14ac:dyDescent="0.2">
      <c r="A20" s="24" t="str">
        <f>+Décembre!BJ22</f>
        <v>Fiche infoA3</v>
      </c>
      <c r="B20" s="107">
        <f t="shared" ref="B20:B48" si="30">C20</f>
        <v>45994</v>
      </c>
      <c r="C20" s="172">
        <f>+$D$13+2</f>
        <v>45994</v>
      </c>
      <c r="D20" s="173" t="str">
        <f>IF(AND(EQ20&lt;&gt;"",$DZ$5=S.CAL!$CU$2),EQ20,IF(IFERROR(IF($DY$5=S.CAL!$CU$3,ROUND(EN20,2),ROUND(EQ20,2)),"")&lt;&gt;0,IFERROR(IF($DY$5=S.CAL!$CU$3,ROUND(EN20,2),ROUND(EQ20,2)),""),""))</f>
        <v/>
      </c>
      <c r="E20" s="173" t="str">
        <f>IFERROR(+IF(AND(F20="",$DY$5=S.CAL!$CU$2,J20="OUI"),IFERROR(ROUND(I20,2),""),IF(AND(F20="",$DY$5=S.CAL!$CU$3,L20="oui"),ROUND(K20,2),IF(F20="","",ROUND(F20,2)))),"")</f>
        <v/>
      </c>
      <c r="F20" s="974"/>
      <c r="G20" s="1010"/>
      <c r="H20" s="27" t="str">
        <f t="shared" si="14"/>
        <v>A</v>
      </c>
      <c r="I20" s="34">
        <f>Décembre!BC22</f>
        <v>0</v>
      </c>
      <c r="J20" s="34">
        <f>Décembre!BE22</f>
        <v>0</v>
      </c>
      <c r="K20" s="34">
        <f t="shared" si="15"/>
        <v>0</v>
      </c>
      <c r="L20" s="34" t="str">
        <f t="shared" si="21"/>
        <v/>
      </c>
      <c r="O20" s="19"/>
      <c r="AJ20" s="1211" t="s">
        <v>328</v>
      </c>
      <c r="AK20" s="1335" t="str">
        <f>+VLOOKUP($AT$5&amp;"H"&amp;"1",Base_heures,6,FALSE)</f>
        <v/>
      </c>
      <c r="AL20" s="1335" t="str">
        <f>+VLOOKUP($AT$5&amp;"H"&amp;"2",Base_heures,6,FALSE)</f>
        <v/>
      </c>
      <c r="AM20" s="1335" t="str">
        <f>+VLOOKUP($AT$5&amp;"H"&amp;"3",Base_heures,6,FALSE)</f>
        <v/>
      </c>
      <c r="AN20" s="1335" t="str">
        <f>+VLOOKUP($AT$5&amp;"H"&amp;"4",Base_heures,6,FALSE)</f>
        <v/>
      </c>
      <c r="AO20" s="1335" t="str">
        <f>+VLOOKUP($AT$5&amp;"H"&amp;"5",Base_heures,6,FALSE)</f>
        <v/>
      </c>
      <c r="AP20" s="1335" t="str">
        <f>+VLOOKUP($AT$5&amp;"H"&amp;"6",Base_heures,6,FALSE)</f>
        <v/>
      </c>
      <c r="AQ20" s="1335" t="str">
        <f>+VLOOKUP($AT$5&amp;"H"&amp;"7",Base_heures,6,FALSE)</f>
        <v/>
      </c>
      <c r="AR20" s="1335">
        <f t="shared" si="2"/>
        <v>0</v>
      </c>
      <c r="AS20" s="1321">
        <f>+VLOOKUP($AT$5&amp;"HSem",basesem,2,FALSE)</f>
        <v>0</v>
      </c>
      <c r="AT20" s="1335">
        <f t="shared" si="3"/>
        <v>0</v>
      </c>
      <c r="AU20" s="581">
        <f t="shared" si="4"/>
        <v>0</v>
      </c>
      <c r="AV20" s="581">
        <f t="shared" si="5"/>
        <v>0</v>
      </c>
      <c r="AW20" s="1335">
        <f t="shared" si="10"/>
        <v>0</v>
      </c>
      <c r="AX20" s="581">
        <f t="shared" si="11"/>
        <v>0</v>
      </c>
      <c r="BA20" s="349" t="str">
        <f t="shared" si="16"/>
        <v>Fiche infoA3</v>
      </c>
      <c r="BB20" s="107">
        <f t="shared" ref="BB20:BB48" si="31">BC20</f>
        <v>45994</v>
      </c>
      <c r="BC20" s="172">
        <f>+$D$13+2</f>
        <v>45994</v>
      </c>
      <c r="BD20" s="173" t="str">
        <f t="shared" ref="BD20:BD48" si="32">+D20</f>
        <v/>
      </c>
      <c r="BE20" s="173" t="str">
        <f>+IF(OR(BF20=S.CAL!$BJ$3,BF20=S.CAL!$BJ$4),BD20,"")</f>
        <v/>
      </c>
      <c r="BF20" s="351">
        <f>IF($DY$5=S.CAL!$CU$2,Décembre!AR22,IF($DY$5=S.CAL!$CU$3,VLOOKUP(BC20,planning_fp,7,FALSE),""))</f>
        <v>0</v>
      </c>
      <c r="BG20" s="363" t="str">
        <f>Décembre!BL22</f>
        <v>A</v>
      </c>
      <c r="BH20" s="29"/>
      <c r="BI20" s="53"/>
      <c r="BL20" s="35"/>
      <c r="BM20" s="174"/>
      <c r="BN20" s="175" t="s">
        <v>328</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45994</v>
      </c>
      <c r="CF20" s="172">
        <f>+$D$13+2</f>
        <v>45994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45994</v>
      </c>
      <c r="EM20" s="16" t="str">
        <f t="shared" si="29"/>
        <v>Fiche infoA345994</v>
      </c>
      <c r="EN20" s="16">
        <f t="shared" si="20"/>
        <v>0</v>
      </c>
      <c r="EQ20" s="16" t="str">
        <f>Décembre!FS22</f>
        <v/>
      </c>
    </row>
    <row r="21" spans="1:147" ht="18" customHeight="1" x14ac:dyDescent="0.2">
      <c r="A21" s="24" t="str">
        <f>+Décembre!BJ23</f>
        <v>Fiche infoA4</v>
      </c>
      <c r="B21" s="107">
        <f t="shared" si="30"/>
        <v>45995</v>
      </c>
      <c r="C21" s="172">
        <f>+$D$13+3</f>
        <v>45995</v>
      </c>
      <c r="D21" s="173" t="str">
        <f>IF(AND(EQ21&lt;&gt;"",$DZ$5=S.CAL!$CU$2),EQ21,IF(IFERROR(IF($DY$5=S.CAL!$CU$3,ROUND(EN21,2),ROUND(EQ21,2)),"")&lt;&gt;0,IFERROR(IF($DY$5=S.CAL!$CU$3,ROUND(EN21,2),ROUND(EQ21,2)),""),""))</f>
        <v/>
      </c>
      <c r="E21" s="173" t="str">
        <f>IFERROR(+IF(AND(F21="",$DY$5=S.CAL!$CU$2,J21="OUI"),IFERROR(ROUND(I21,2),""),IF(AND(F21="",$DY$5=S.CAL!$CU$3,L21="oui"),ROUND(K21,2),IF(F21="","",ROUND(F21,2)))),"")</f>
        <v/>
      </c>
      <c r="F21" s="974"/>
      <c r="G21" s="1010"/>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28" t="s">
        <v>1481</v>
      </c>
      <c r="T21" s="2328"/>
      <c r="U21" s="2328"/>
      <c r="V21" s="2328"/>
      <c r="W21" s="1338">
        <f>+AF40</f>
        <v>0</v>
      </c>
      <c r="AA21" s="2328" t="s">
        <v>1237</v>
      </c>
      <c r="AB21" s="2328"/>
      <c r="AC21" s="1338">
        <f>+AB40</f>
        <v>0</v>
      </c>
      <c r="AK21" s="1335">
        <f>SUM(AK13:AK20)</f>
        <v>0</v>
      </c>
      <c r="AL21" s="1335">
        <f t="shared" ref="AL21:AQ21" si="34">SUM(AL13:AL20)</f>
        <v>0</v>
      </c>
      <c r="AM21" s="1335">
        <f t="shared" si="34"/>
        <v>0</v>
      </c>
      <c r="AN21" s="1335">
        <f t="shared" si="34"/>
        <v>0</v>
      </c>
      <c r="AO21" s="1335">
        <f t="shared" si="34"/>
        <v>0</v>
      </c>
      <c r="AP21" s="1335">
        <f t="shared" si="34"/>
        <v>0</v>
      </c>
      <c r="AQ21" s="1335">
        <f t="shared" si="34"/>
        <v>0</v>
      </c>
      <c r="AR21" s="1335">
        <f>SUM(AR13:AR20)</f>
        <v>0</v>
      </c>
      <c r="AS21" s="1321">
        <f>SUM(AS13:AS20)</f>
        <v>0</v>
      </c>
      <c r="AT21" s="1335" t="e">
        <f>SUM(AT13:AT20)</f>
        <v>#VALUE!</v>
      </c>
      <c r="AV21" s="581" t="e">
        <f>SUM(AV13:AV20)</f>
        <v>#VALUE!</v>
      </c>
      <c r="AW21" s="1335">
        <f>+SUM(AW13:AW20)</f>
        <v>0</v>
      </c>
      <c r="AX21" s="1339">
        <f t="shared" si="11"/>
        <v>0</v>
      </c>
      <c r="BA21" s="349" t="str">
        <f t="shared" si="16"/>
        <v>Fiche infoA4</v>
      </c>
      <c r="BB21" s="107">
        <f t="shared" si="31"/>
        <v>45995</v>
      </c>
      <c r="BC21" s="172">
        <f>+$D$13+3</f>
        <v>45995</v>
      </c>
      <c r="BD21" s="173" t="str">
        <f t="shared" si="32"/>
        <v/>
      </c>
      <c r="BE21" s="173" t="str">
        <f>+IF(OR(BF21=S.CAL!$BJ$3,BF21=S.CAL!$BJ$4),BD21,"")</f>
        <v/>
      </c>
      <c r="BF21" s="351">
        <f>IF($DY$5=S.CAL!$CU$2,Décembre!AR23,IF($DY$5=S.CAL!$CU$3,VLOOKUP(BC21,planning_fp,7,FALSE),""))</f>
        <v>0</v>
      </c>
      <c r="BG21" s="363" t="str">
        <f>Décembre!BL23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45995</v>
      </c>
      <c r="CF21" s="172">
        <f>+$D$13+3</f>
        <v>45995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45995</v>
      </c>
      <c r="EM21" s="16" t="str">
        <f t="shared" si="29"/>
        <v>Fiche infoA445995</v>
      </c>
      <c r="EN21" s="16">
        <f t="shared" si="20"/>
        <v>0</v>
      </c>
      <c r="EQ21" s="16" t="str">
        <f>Décembre!FS23</f>
        <v/>
      </c>
    </row>
    <row r="22" spans="1:147" ht="18" customHeight="1" x14ac:dyDescent="0.25">
      <c r="A22" s="24" t="str">
        <f>+Décembre!BJ24</f>
        <v>Fiche infoA5</v>
      </c>
      <c r="B22" s="107">
        <f t="shared" si="30"/>
        <v>45996</v>
      </c>
      <c r="C22" s="172">
        <f>+$D$13+4</f>
        <v>45996</v>
      </c>
      <c r="D22" s="173" t="str">
        <f>IF(AND(EQ22&lt;&gt;"",$DZ$5=S.CAL!$CU$2),EQ22,IF(IFERROR(IF($DY$5=S.CAL!$CU$3,ROUND(EN22,2),ROUND(EQ22,2)),"")&lt;&gt;0,IFERROR(IF($DY$5=S.CAL!$CU$3,ROUND(EN22,2),ROUND(EQ22,2)),""),""))</f>
        <v/>
      </c>
      <c r="E22" s="173" t="str">
        <f>IFERROR(+IF(AND(F22="",$DY$5=S.CAL!$CU$2,J22="OUI"),IFERROR(ROUND(I22,2),""),IF(AND(F22="",$DY$5=S.CAL!$CU$3,L22="oui"),ROUND(K22,2),IF(F22="","",ROUND(F22,2)))),"")</f>
        <v/>
      </c>
      <c r="F22" s="974"/>
      <c r="G22" s="1010"/>
      <c r="H22" s="27" t="str">
        <f t="shared" si="14"/>
        <v>A</v>
      </c>
      <c r="I22" s="34">
        <f>Décembre!BC24</f>
        <v>0</v>
      </c>
      <c r="J22" s="34">
        <f>Décembre!BE24</f>
        <v>0</v>
      </c>
      <c r="K22" s="34">
        <f t="shared" si="15"/>
        <v>0</v>
      </c>
      <c r="L22" s="34" t="str">
        <f t="shared" si="21"/>
        <v/>
      </c>
      <c r="O22" s="19"/>
      <c r="AK22" s="1211" t="s">
        <v>41</v>
      </c>
      <c r="AL22" s="1340">
        <f>+Décembre!AL14</f>
        <v>0</v>
      </c>
      <c r="BA22" s="349" t="str">
        <f t="shared" si="16"/>
        <v>Fiche infoA5</v>
      </c>
      <c r="BB22" s="107">
        <f t="shared" si="31"/>
        <v>45996</v>
      </c>
      <c r="BC22" s="172">
        <f>+$D$13+4</f>
        <v>45996</v>
      </c>
      <c r="BD22" s="173" t="str">
        <f t="shared" si="32"/>
        <v/>
      </c>
      <c r="BE22" s="173" t="str">
        <f>+IF(OR(BF22=S.CAL!$BJ$3,BF22=S.CAL!$BJ$4),BD22,"")</f>
        <v/>
      </c>
      <c r="BF22" s="351">
        <f>IF($DY$5=S.CAL!$CU$2,Décembre!AR24,IF($DY$5=S.CAL!$CU$3,VLOOKUP(BC22,planning_fp,7,FALSE),""))</f>
        <v>0</v>
      </c>
      <c r="BG22" s="363" t="str">
        <f>Décembre!BL24</f>
        <v>A</v>
      </c>
      <c r="BH22" s="150"/>
      <c r="BL22" s="146"/>
      <c r="BM22" s="197"/>
      <c r="CD22" s="346"/>
      <c r="CE22" s="107">
        <f t="shared" si="33"/>
        <v>45996</v>
      </c>
      <c r="CF22" s="172">
        <f>+$D$13+4</f>
        <v>45996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45996</v>
      </c>
      <c r="EM22" s="16" t="str">
        <f t="shared" si="29"/>
        <v>Fiche infoA545996</v>
      </c>
      <c r="EN22" s="16">
        <f t="shared" si="20"/>
        <v>0</v>
      </c>
      <c r="EQ22" s="16" t="str">
        <f>Décembre!FS24</f>
        <v/>
      </c>
    </row>
    <row r="23" spans="1:147" ht="18" customHeight="1" x14ac:dyDescent="0.2">
      <c r="A23" s="24" t="str">
        <f>+Décembre!BJ25</f>
        <v>Fiche infoA6</v>
      </c>
      <c r="B23" s="107">
        <f t="shared" si="30"/>
        <v>45997</v>
      </c>
      <c r="C23" s="172">
        <f>+$D$13+5</f>
        <v>45997</v>
      </c>
      <c r="D23" s="173" t="str">
        <f>IF(AND(EQ23&lt;&gt;"",$DZ$5=S.CAL!$CU$2),EQ23,IF(IFERROR(IF($DY$5=S.CAL!$CU$3,ROUND(EN23,2),ROUND(EQ23,2)),"")&lt;&gt;0,IFERROR(IF($DY$5=S.CAL!$CU$3,ROUND(EN23,2),ROUND(EQ23,2)),""),""))</f>
        <v/>
      </c>
      <c r="E23" s="173" t="str">
        <f>IFERROR(+IF(AND(F23="",$DY$5=S.CAL!$CU$2,J23="OUI"),IFERROR(ROUND(I23,2),""),IF(AND(F23="",$DY$5=S.CAL!$CU$3,L23="oui"),ROUND(K23,2),IF(F23="","",ROUND(F23,2)))),"")</f>
        <v/>
      </c>
      <c r="F23" s="974"/>
      <c r="G23" s="1010"/>
      <c r="H23" s="27" t="str">
        <f t="shared" si="14"/>
        <v>A</v>
      </c>
      <c r="I23" s="34">
        <f>Décembre!BC25</f>
        <v>0</v>
      </c>
      <c r="J23" s="34">
        <f>Décembre!BE25</f>
        <v>0</v>
      </c>
      <c r="K23" s="34">
        <f t="shared" si="15"/>
        <v>0</v>
      </c>
      <c r="L23" s="34" t="str">
        <f t="shared" si="21"/>
        <v/>
      </c>
      <c r="O23" s="39" t="str">
        <f>+O21</f>
        <v xml:space="preserve">Retenue sur salaire = </v>
      </c>
      <c r="P23" s="689">
        <f>+P30+P33</f>
        <v>0</v>
      </c>
      <c r="T23" s="581" t="s">
        <v>1123</v>
      </c>
      <c r="Z23" s="581" t="s">
        <v>1123</v>
      </c>
      <c r="BA23" s="349" t="str">
        <f t="shared" si="16"/>
        <v>Fiche infoA6</v>
      </c>
      <c r="BB23" s="107">
        <f t="shared" si="31"/>
        <v>45997</v>
      </c>
      <c r="BC23" s="172">
        <f>+$D$13+5</f>
        <v>45997</v>
      </c>
      <c r="BD23" s="173" t="str">
        <f t="shared" si="32"/>
        <v/>
      </c>
      <c r="BE23" s="173" t="str">
        <f>+IF(OR(BF23=S.CAL!$BJ$3,BF23=S.CAL!$BJ$4),BD23,"")</f>
        <v/>
      </c>
      <c r="BF23" s="351">
        <f>IF($DY$5=S.CAL!$CU$2,Décembre!AR25,IF($DY$5=S.CAL!$CU$3,VLOOKUP(BC23,planning_fp,7,FALSE),""))</f>
        <v>0</v>
      </c>
      <c r="BG23" s="363" t="str">
        <f>Décembre!BL25</f>
        <v>A</v>
      </c>
      <c r="BH23" s="29"/>
      <c r="BI23" s="354"/>
      <c r="BL23" s="149"/>
      <c r="CD23" s="346"/>
      <c r="CE23" s="107">
        <f t="shared" si="33"/>
        <v>45997</v>
      </c>
      <c r="CF23" s="172">
        <f>+$D$13+5</f>
        <v>45997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45997</v>
      </c>
      <c r="EM23" s="16" t="str">
        <f t="shared" si="29"/>
        <v>Fiche infoA645997</v>
      </c>
      <c r="EN23" s="16">
        <f t="shared" si="20"/>
        <v>0</v>
      </c>
      <c r="EQ23" s="16" t="str">
        <f>Décembre!FS25</f>
        <v/>
      </c>
    </row>
    <row r="24" spans="1:147" ht="18" customHeight="1" x14ac:dyDescent="0.2">
      <c r="A24" s="24" t="str">
        <f>+Décembre!BJ26</f>
        <v>Fiche infoA7</v>
      </c>
      <c r="B24" s="107">
        <f t="shared" si="30"/>
        <v>45998</v>
      </c>
      <c r="C24" s="172">
        <f>+$D$13+6</f>
        <v>45998</v>
      </c>
      <c r="D24" s="173" t="str">
        <f>IF(AND(EQ24&lt;&gt;"",$DZ$5=S.CAL!$CU$2),EQ24,IF(IFERROR(IF($DY$5=S.CAL!$CU$3,ROUND(EN24,2),ROUND(EQ24,2)),"")&lt;&gt;0,IFERROR(IF($DY$5=S.CAL!$CU$3,ROUND(EN24,2),ROUND(EQ24,2)),""),""))</f>
        <v/>
      </c>
      <c r="E24" s="173" t="str">
        <f>IFERROR(+IF(AND(F24="",$DY$5=S.CAL!$CU$2,J24="OUI"),IFERROR(ROUND(I24,2),""),IF(AND(F24="",$DY$5=S.CAL!$CU$3,L24="oui"),ROUND(K24,2),IF(F24="","",ROUND(F24,2)))),"")</f>
        <v/>
      </c>
      <c r="F24" s="974"/>
      <c r="G24" s="1010"/>
      <c r="H24" s="27" t="str">
        <f t="shared" si="14"/>
        <v>A</v>
      </c>
      <c r="I24" s="34">
        <f>Décembre!BC26</f>
        <v>0</v>
      </c>
      <c r="J24" s="34">
        <f>Décembre!BE26</f>
        <v>0</v>
      </c>
      <c r="K24" s="34">
        <f t="shared" si="15"/>
        <v>0</v>
      </c>
      <c r="L24" s="34" t="str">
        <f t="shared" si="21"/>
        <v/>
      </c>
      <c r="V24" s="1211" t="str">
        <f>+ROUND(W13,2)&amp;" / "&amp;ROUND(W21,2)&amp;" X "&amp;ROUND(W19,2)&amp;" = "</f>
        <v xml:space="preserve">0 / 0 X 0 = </v>
      </c>
      <c r="W24" s="1337">
        <f>IFERROR(ROUND(W13/W21*W19,2),0)</f>
        <v>0</v>
      </c>
      <c r="AB24" s="1211" t="str">
        <f>+ROUND(W14,2)&amp;" / "&amp;ROUND(AC21,2)&amp;" X "&amp;ROUND(AC19,2)&amp;" = "</f>
        <v xml:space="preserve">0 / 0 X 0 = </v>
      </c>
      <c r="AC24" s="1337">
        <f>IFERROR(ROUND(W14/AC21*AC19,2),0)</f>
        <v>0</v>
      </c>
      <c r="AK24" s="1211" t="s">
        <v>690</v>
      </c>
      <c r="AL24" s="1341" t="e">
        <f>+AT21*AL22/12</f>
        <v>#VALUE!</v>
      </c>
      <c r="BA24" s="349" t="str">
        <f t="shared" si="16"/>
        <v>Fiche infoA7</v>
      </c>
      <c r="BB24" s="107">
        <f t="shared" si="31"/>
        <v>45998</v>
      </c>
      <c r="BC24" s="172">
        <f>+$D$13+6</f>
        <v>45998</v>
      </c>
      <c r="BD24" s="173" t="str">
        <f t="shared" si="32"/>
        <v/>
      </c>
      <c r="BE24" s="173" t="str">
        <f>+IF(OR(BF24=S.CAL!$BJ$3,BF24=S.CAL!$BJ$4),BD24,"")</f>
        <v/>
      </c>
      <c r="BF24" s="351">
        <f>IF($DY$5=S.CAL!$CU$2,Décembre!AR26,IF($DY$5=S.CAL!$CU$3,VLOOKUP(BC24,planning_fp,7,FALSE),""))</f>
        <v>0</v>
      </c>
      <c r="BG24" s="363" t="str">
        <f>Décembre!BL26</f>
        <v>A</v>
      </c>
      <c r="BL24" s="35"/>
      <c r="BM24" s="197"/>
      <c r="BO24" s="29"/>
      <c r="BP24" s="184"/>
      <c r="BR24" s="16" t="s">
        <v>758</v>
      </c>
      <c r="BV24" s="373"/>
      <c r="BW24" s="373"/>
      <c r="BX24" s="373"/>
      <c r="BY24" s="373" t="s">
        <v>708</v>
      </c>
      <c r="BZ24" s="373"/>
      <c r="CA24" s="373"/>
      <c r="CB24" s="373"/>
      <c r="CD24" s="346"/>
      <c r="CE24" s="107">
        <f t="shared" si="33"/>
        <v>45998</v>
      </c>
      <c r="CF24" s="172">
        <f>+$D$13+6</f>
        <v>45998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45998</v>
      </c>
      <c r="EM24" s="16" t="str">
        <f t="shared" si="29"/>
        <v>Fiche infoA745998</v>
      </c>
      <c r="EN24" s="16">
        <f t="shared" si="20"/>
        <v>0</v>
      </c>
      <c r="EQ24" s="16" t="str">
        <f>Décembre!FS26</f>
        <v/>
      </c>
    </row>
    <row r="25" spans="1:147" ht="18" customHeight="1" x14ac:dyDescent="0.2">
      <c r="A25" s="24" t="str">
        <f>+Décembre!BJ27</f>
        <v>Fiche infoA1</v>
      </c>
      <c r="B25" s="107">
        <f t="shared" si="30"/>
        <v>45999</v>
      </c>
      <c r="C25" s="172">
        <f>+$D$13+7</f>
        <v>45999</v>
      </c>
      <c r="D25" s="173" t="str">
        <f>IF(AND(EQ25&lt;&gt;"",$DZ$5=S.CAL!$CU$2),EQ25,IF(IFERROR(IF($DY$5=S.CAL!$CU$3,ROUND(EN25,2),ROUND(EQ25,2)),"")&lt;&gt;0,IFERROR(IF($DY$5=S.CAL!$CU$3,ROUND(EN25,2),ROUND(EQ25,2)),""),""))</f>
        <v/>
      </c>
      <c r="E25" s="173" t="str">
        <f>IFERROR(+IF(AND(F25="",$DY$5=S.CAL!$CU$2,J25="OUI"),IFERROR(ROUND(I25,2),""),IF(AND(F25="",$DY$5=S.CAL!$CU$3,L25="oui"),ROUND(K25,2),IF(F25="","",ROUND(F25,2)))),"")</f>
        <v/>
      </c>
      <c r="F25" s="974"/>
      <c r="G25" s="1010"/>
      <c r="H25" s="27" t="str">
        <f t="shared" si="14"/>
        <v>A</v>
      </c>
      <c r="I25" s="34">
        <f>Décembre!BC27</f>
        <v>0</v>
      </c>
      <c r="J25" s="34">
        <f>Décembre!BE27</f>
        <v>0</v>
      </c>
      <c r="K25" s="34">
        <f t="shared" si="15"/>
        <v>0</v>
      </c>
      <c r="L25" s="34" t="str">
        <f t="shared" si="21"/>
        <v/>
      </c>
      <c r="AK25" s="1211" t="s">
        <v>329</v>
      </c>
      <c r="AL25" s="1335">
        <f>+IF(AL22,AL24/AL22,0)</f>
        <v>0</v>
      </c>
      <c r="BA25" s="349" t="str">
        <f t="shared" si="16"/>
        <v>Fiche infoA1</v>
      </c>
      <c r="BB25" s="107">
        <f t="shared" si="31"/>
        <v>45999</v>
      </c>
      <c r="BC25" s="172">
        <f>+$D$13+7</f>
        <v>45999</v>
      </c>
      <c r="BD25" s="173" t="str">
        <f t="shared" si="32"/>
        <v/>
      </c>
      <c r="BE25" s="173" t="str">
        <f>+IF(OR(BF25=S.CAL!$BJ$3,BF25=S.CAL!$BJ$4),BD25,"")</f>
        <v/>
      </c>
      <c r="BF25" s="351">
        <f>IF($DY$5=S.CAL!$CU$2,Décembre!AR27,IF($DY$5=S.CAL!$CU$3,VLOOKUP(BC25,planning_fp,7,FALSE),""))</f>
        <v>0</v>
      </c>
      <c r="BG25" s="363" t="str">
        <f>Décembre!BL27</f>
        <v>A</v>
      </c>
      <c r="BH25" s="150"/>
      <c r="BL25" s="35"/>
      <c r="BO25" s="29"/>
      <c r="BP25" s="184"/>
      <c r="BV25" s="373"/>
      <c r="BW25" s="373"/>
      <c r="BX25" s="373"/>
      <c r="BY25" s="373"/>
      <c r="BZ25" s="373"/>
      <c r="CA25" s="373"/>
      <c r="CB25" s="373"/>
      <c r="CD25" s="346"/>
      <c r="CE25" s="107">
        <f t="shared" si="33"/>
        <v>45999</v>
      </c>
      <c r="CF25" s="172">
        <f>+$D$13+7</f>
        <v>45999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45999</v>
      </c>
      <c r="EM25" s="16" t="str">
        <f t="shared" si="29"/>
        <v>Fiche infoA145999</v>
      </c>
      <c r="EN25" s="16">
        <f t="shared" si="20"/>
        <v>0</v>
      </c>
      <c r="EQ25" s="16" t="str">
        <f>Décembre!FS27</f>
        <v/>
      </c>
    </row>
    <row r="26" spans="1:147" ht="18" customHeight="1" x14ac:dyDescent="0.2">
      <c r="A26" s="24" t="str">
        <f>+Décembre!BJ28</f>
        <v>Fiche infoA2</v>
      </c>
      <c r="B26" s="107">
        <f t="shared" si="30"/>
        <v>46000</v>
      </c>
      <c r="C26" s="172">
        <f>+$D$13+8</f>
        <v>46000</v>
      </c>
      <c r="D26" s="173" t="str">
        <f>IF(AND(EQ26&lt;&gt;"",$DZ$5=S.CAL!$CU$2),EQ26,IF(IFERROR(IF($DY$5=S.CAL!$CU$3,ROUND(EN26,2),ROUND(EQ26,2)),"")&lt;&gt;0,IFERROR(IF($DY$5=S.CAL!$CU$3,ROUND(EN26,2),ROUND(EQ26,2)),""),""))</f>
        <v/>
      </c>
      <c r="E26" s="173" t="str">
        <f>IFERROR(+IF(AND(F26="",$DY$5=S.CAL!$CU$2,J26="OUI"),IFERROR(ROUND(I26,2),""),IF(AND(F26="",$DY$5=S.CAL!$CU$3,L26="oui"),ROUND(K26,2),IF(F26="","",ROUND(F26,2)))),"")</f>
        <v/>
      </c>
      <c r="F26" s="974"/>
      <c r="G26" s="1010"/>
      <c r="H26" s="27" t="str">
        <f t="shared" si="14"/>
        <v>A</v>
      </c>
      <c r="I26" s="34">
        <f>Décembre!BC28</f>
        <v>0</v>
      </c>
      <c r="J26" s="34">
        <f>Décembre!BE28</f>
        <v>0</v>
      </c>
      <c r="K26" s="34">
        <f t="shared" si="15"/>
        <v>0</v>
      </c>
      <c r="L26" s="34" t="str">
        <f t="shared" si="21"/>
        <v/>
      </c>
      <c r="O26" s="16" t="s">
        <v>1217</v>
      </c>
      <c r="AK26" s="1211" t="s">
        <v>330</v>
      </c>
      <c r="AL26" s="1335">
        <f>IF(AS21,SUM(AT13:AT20)/AS21,0)</f>
        <v>0</v>
      </c>
      <c r="BA26" s="349" t="str">
        <f t="shared" si="16"/>
        <v>Fiche infoA2</v>
      </c>
      <c r="BB26" s="107">
        <f t="shared" si="31"/>
        <v>46000</v>
      </c>
      <c r="BC26" s="172">
        <f>+$D$13+8</f>
        <v>46000</v>
      </c>
      <c r="BD26" s="173" t="str">
        <f t="shared" si="32"/>
        <v/>
      </c>
      <c r="BE26" s="173" t="str">
        <f>+IF(OR(BF26=S.CAL!$BJ$3,BF26=S.CAL!$BJ$4),BD26,"")</f>
        <v/>
      </c>
      <c r="BF26" s="351">
        <f>IF($DY$5=S.CAL!$CU$2,Décembre!AR28,IF($DY$5=S.CAL!$CU$3,VLOOKUP(BC26,planning_fp,7,FALSE),""))</f>
        <v>0</v>
      </c>
      <c r="BG26" s="363" t="str">
        <f>Décembre!BL28</f>
        <v>A</v>
      </c>
      <c r="BH26" s="29"/>
      <c r="BI26" s="354"/>
      <c r="BL26" s="35"/>
      <c r="BO26" s="29"/>
      <c r="BP26" s="2400" t="s">
        <v>783</v>
      </c>
      <c r="BQ26" s="2400" t="s">
        <v>335</v>
      </c>
      <c r="BR26" s="2400" t="s">
        <v>784</v>
      </c>
      <c r="BS26" s="2400" t="s">
        <v>785</v>
      </c>
      <c r="BT26" s="2400" t="s">
        <v>786</v>
      </c>
      <c r="BV26" s="373"/>
      <c r="BW26" s="374"/>
      <c r="BX26" s="2487" t="s">
        <v>787</v>
      </c>
      <c r="BY26" s="2487" t="s">
        <v>335</v>
      </c>
      <c r="BZ26" s="2487" t="s">
        <v>784</v>
      </c>
      <c r="CA26" s="2487" t="s">
        <v>785</v>
      </c>
      <c r="CB26" s="2487" t="s">
        <v>786</v>
      </c>
      <c r="CD26" s="346"/>
      <c r="CE26" s="107">
        <f t="shared" si="33"/>
        <v>46000</v>
      </c>
      <c r="CF26" s="172">
        <f>+$D$13+8</f>
        <v>46000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46000</v>
      </c>
      <c r="EM26" s="16" t="str">
        <f t="shared" si="29"/>
        <v>Fiche infoA246000</v>
      </c>
      <c r="EN26" s="16">
        <f t="shared" si="20"/>
        <v>0</v>
      </c>
      <c r="EQ26" s="16" t="str">
        <f>Décembre!FS28</f>
        <v/>
      </c>
    </row>
    <row r="27" spans="1:147" ht="18" customHeight="1" x14ac:dyDescent="0.2">
      <c r="A27" s="24" t="str">
        <f>+Décembre!BJ29</f>
        <v>Fiche infoA3</v>
      </c>
      <c r="B27" s="107">
        <f t="shared" si="30"/>
        <v>46001</v>
      </c>
      <c r="C27" s="172">
        <f>+$D$13+9</f>
        <v>46001</v>
      </c>
      <c r="D27" s="173" t="str">
        <f>IF(AND(EQ27&lt;&gt;"",$DZ$5=S.CAL!$CU$2),EQ27,IF(IFERROR(IF($DY$5=S.CAL!$CU$3,ROUND(EN27,2),ROUND(EQ27,2)),"")&lt;&gt;0,IFERROR(IF($DY$5=S.CAL!$CU$3,ROUND(EN27,2),ROUND(EQ27,2)),""),""))</f>
        <v/>
      </c>
      <c r="E27" s="173" t="str">
        <f>IFERROR(+IF(AND(F27="",$DY$5=S.CAL!$CU$2,J27="OUI"),IFERROR(ROUND(I27,2),""),IF(AND(F27="",$DY$5=S.CAL!$CU$3,L27="oui"),ROUND(K27,2),IF(F27="","",ROUND(F27,2)))),"")</f>
        <v/>
      </c>
      <c r="F27" s="974"/>
      <c r="G27" s="1010"/>
      <c r="H27" s="27" t="str">
        <f t="shared" si="14"/>
        <v>A</v>
      </c>
      <c r="I27" s="34">
        <f>Décembre!BC29</f>
        <v>0</v>
      </c>
      <c r="J27" s="34">
        <f>Décembre!BE29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11" t="s">
        <v>794</v>
      </c>
      <c r="AL27" s="1342" t="e">
        <f>ROUND(AV21/AS21,3)</f>
        <v>#VALUE!</v>
      </c>
      <c r="BA27" s="349" t="str">
        <f t="shared" si="16"/>
        <v>Fiche infoA3</v>
      </c>
      <c r="BB27" s="107">
        <f t="shared" si="31"/>
        <v>46001</v>
      </c>
      <c r="BC27" s="172">
        <f>+$D$13+9</f>
        <v>46001</v>
      </c>
      <c r="BD27" s="173" t="str">
        <f t="shared" si="32"/>
        <v/>
      </c>
      <c r="BE27" s="173" t="str">
        <f>+IF(OR(BF27=S.CAL!$BJ$3,BF27=S.CAL!$BJ$4),BD27,"")</f>
        <v/>
      </c>
      <c r="BF27" s="351">
        <f>IF($DY$5=S.CAL!$CU$2,Décembre!AR29,IF($DY$5=S.CAL!$CU$3,VLOOKUP(BC27,planning_fp,7,FALSE),""))</f>
        <v>0</v>
      </c>
      <c r="BG27" s="363" t="str">
        <f>Décembre!BL29</f>
        <v>A</v>
      </c>
      <c r="BI27" s="16" t="s">
        <v>758</v>
      </c>
      <c r="BL27" s="35"/>
      <c r="BP27" s="2401"/>
      <c r="BQ27" s="2401"/>
      <c r="BR27" s="2401"/>
      <c r="BS27" s="2401"/>
      <c r="BT27" s="2400"/>
      <c r="BV27" s="373"/>
      <c r="BW27" s="373"/>
      <c r="BX27" s="2488"/>
      <c r="BY27" s="2488"/>
      <c r="BZ27" s="2488"/>
      <c r="CA27" s="2488"/>
      <c r="CB27" s="2487"/>
      <c r="CD27" s="346"/>
      <c r="CE27" s="107">
        <f t="shared" si="33"/>
        <v>46001</v>
      </c>
      <c r="CF27" s="172">
        <f>+$D$13+9</f>
        <v>46001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46001</v>
      </c>
      <c r="EM27" s="16" t="str">
        <f t="shared" si="29"/>
        <v>Fiche infoA346001</v>
      </c>
      <c r="EN27" s="16">
        <f t="shared" si="20"/>
        <v>0</v>
      </c>
      <c r="EQ27" s="16" t="str">
        <f>Décembre!FS29</f>
        <v/>
      </c>
    </row>
    <row r="28" spans="1:147" ht="18" customHeight="1" x14ac:dyDescent="0.2">
      <c r="A28" s="24" t="str">
        <f>+Décembre!BJ30</f>
        <v>Fiche infoA4</v>
      </c>
      <c r="B28" s="107">
        <f t="shared" si="30"/>
        <v>46002</v>
      </c>
      <c r="C28" s="172">
        <f>+$D$13+10</f>
        <v>46002</v>
      </c>
      <c r="D28" s="173" t="str">
        <f>IF(AND(EQ28&lt;&gt;"",$DZ$5=S.CAL!$CU$2),EQ28,IF(IFERROR(IF($DY$5=S.CAL!$CU$3,ROUND(EN28,2),ROUND(EQ28,2)),"")&lt;&gt;0,IFERROR(IF($DY$5=S.CAL!$CU$3,ROUND(EN28,2),ROUND(EQ28,2)),""),""))</f>
        <v/>
      </c>
      <c r="E28" s="173" t="str">
        <f>IFERROR(+IF(AND(F28="",$DY$5=S.CAL!$CU$2,J28="OUI"),IFERROR(ROUND(I28,2),""),IF(AND(F28="",$DY$5=S.CAL!$CU$3,L28="oui"),ROUND(K28,2),IF(F28="","",ROUND(F28,2)))),"")</f>
        <v/>
      </c>
      <c r="F28" s="974"/>
      <c r="G28" s="1010"/>
      <c r="H28" s="27" t="str">
        <f t="shared" si="14"/>
        <v>A</v>
      </c>
      <c r="I28" s="34">
        <f>Décembre!BC30</f>
        <v>0</v>
      </c>
      <c r="J28" s="34">
        <f>Décembre!BE30</f>
        <v>0</v>
      </c>
      <c r="K28" s="34">
        <f t="shared" si="15"/>
        <v>0</v>
      </c>
      <c r="L28" s="34" t="str">
        <f t="shared" si="21"/>
        <v/>
      </c>
      <c r="V28" s="1211" t="str">
        <f>+IF(ED1=S.CAL!EP1,"",W10&amp;" hrs X "&amp;W19&amp;" hrs / "&amp;W21&amp;" hrs =")</f>
        <v/>
      </c>
      <c r="W28" s="1335" t="str">
        <f>+IF(ED1=S.CAL!EP1,"",ROUND(W10*W19/W21,3))</f>
        <v/>
      </c>
      <c r="AB28" s="1211" t="str">
        <f>+IF(ED1=S.CAL!EP1,"",W11&amp;" hrs X "&amp;AC19&amp;" hrs / "&amp;AC21&amp;" hrs =")</f>
        <v/>
      </c>
      <c r="AC28" s="1335" t="str">
        <f>+IF(ED1=S.CAL!EP1,"",ROUND(W11*AC19/AC21,3))</f>
        <v/>
      </c>
      <c r="AK28" s="1211" t="s">
        <v>331</v>
      </c>
      <c r="AL28" s="1335" t="e">
        <f>IF(AL27,AL26/AL27,0)</f>
        <v>#VALUE!</v>
      </c>
      <c r="AR28" s="581" t="s">
        <v>158</v>
      </c>
      <c r="BA28" s="349" t="str">
        <f t="shared" si="16"/>
        <v>Fiche infoA4</v>
      </c>
      <c r="BB28" s="107">
        <f t="shared" si="31"/>
        <v>46002</v>
      </c>
      <c r="BC28" s="172">
        <f>+$D$13+10</f>
        <v>46002</v>
      </c>
      <c r="BD28" s="173" t="str">
        <f t="shared" si="32"/>
        <v/>
      </c>
      <c r="BE28" s="173" t="str">
        <f>+IF(OR(BF28=S.CAL!$BJ$3,BF28=S.CAL!$BJ$4),BD28,"")</f>
        <v/>
      </c>
      <c r="BF28" s="351">
        <f>IF($DY$5=S.CAL!$CU$2,Décembre!AR30,IF($DY$5=S.CAL!$CU$3,VLOOKUP(BC28,planning_fp,7,FALSE),""))</f>
        <v>0</v>
      </c>
      <c r="BG28" s="363" t="str">
        <f>Décembre!BL30</f>
        <v>A</v>
      </c>
      <c r="BH28" s="16" t="s">
        <v>800</v>
      </c>
      <c r="BL28" s="35"/>
      <c r="BM28" s="197"/>
      <c r="BN28" s="185"/>
      <c r="BO28" s="158" t="s">
        <v>321</v>
      </c>
      <c r="BP28" s="398">
        <f>SUMIFS(BD18:BD48,BF18:BF48,S.CAL!BJ3,BG18:BG48,"A")</f>
        <v>0</v>
      </c>
      <c r="BQ28" s="186">
        <f>+BV13</f>
        <v>0</v>
      </c>
      <c r="BR28" s="401">
        <f>+IF(BQ28&gt;0,BP28*BQ28/BQ28,0)</f>
        <v>0</v>
      </c>
      <c r="BS28" s="401">
        <f t="shared" ref="BS28:BS35" si="36">+BR28*(1-CB13)</f>
        <v>0</v>
      </c>
      <c r="BT28" s="401">
        <f>+BR28-BS28</f>
        <v>0</v>
      </c>
      <c r="BV28" s="377"/>
      <c r="BW28" s="404" t="s">
        <v>321</v>
      </c>
      <c r="BX28" s="378">
        <f>SUMIFS(BD18:BD48,BF18:BF48,S.CAL!BJ4,BG18:BG48,"A")</f>
        <v>0</v>
      </c>
      <c r="BY28" s="414">
        <f>+BV13</f>
        <v>0</v>
      </c>
      <c r="BZ28" s="411">
        <f>+IF(BY28&gt;0,BX28*BY28/BY28,0)</f>
        <v>0</v>
      </c>
      <c r="CA28" s="379">
        <f t="shared" ref="CA28:CA35" si="37">+BZ28*(1-CB13)</f>
        <v>0</v>
      </c>
      <c r="CB28" s="380">
        <f>+BZ28-CA28</f>
        <v>0</v>
      </c>
      <c r="CD28" s="346"/>
      <c r="CE28" s="107">
        <f t="shared" si="33"/>
        <v>46002</v>
      </c>
      <c r="CF28" s="172">
        <f>+$D$13+10</f>
        <v>46002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46002</v>
      </c>
      <c r="EM28" s="16" t="str">
        <f t="shared" si="29"/>
        <v>Fiche infoA446002</v>
      </c>
      <c r="EN28" s="16">
        <f t="shared" si="20"/>
        <v>0</v>
      </c>
      <c r="EQ28" s="16" t="str">
        <f>Décembre!FS30</f>
        <v/>
      </c>
    </row>
    <row r="29" spans="1:147" ht="18" customHeight="1" x14ac:dyDescent="0.2">
      <c r="A29" s="24" t="str">
        <f>+Décembre!BJ31</f>
        <v>Fiche infoA5</v>
      </c>
      <c r="B29" s="107">
        <f t="shared" si="30"/>
        <v>46003</v>
      </c>
      <c r="C29" s="172">
        <f>+$D$13+11</f>
        <v>46003</v>
      </c>
      <c r="D29" s="173" t="str">
        <f>IF(AND(EQ29&lt;&gt;"",$DZ$5=S.CAL!$CU$2),EQ29,IF(IFERROR(IF($DY$5=S.CAL!$CU$3,ROUND(EN29,2),ROUND(EQ29,2)),"")&lt;&gt;0,IFERROR(IF($DY$5=S.CAL!$CU$3,ROUND(EN29,2),ROUND(EQ29,2)),""),""))</f>
        <v/>
      </c>
      <c r="E29" s="173" t="str">
        <f>IFERROR(+IF(AND(F29="",$DY$5=S.CAL!$CU$2,J29="OUI"),IFERROR(ROUND(I29,2),""),IF(AND(F29="",$DY$5=S.CAL!$CU$3,L29="oui"),ROUND(K29,2),IF(F29="","",ROUND(F29,2)))),"")</f>
        <v/>
      </c>
      <c r="F29" s="974"/>
      <c r="G29" s="1010"/>
      <c r="H29" s="27" t="str">
        <f t="shared" si="14"/>
        <v>A</v>
      </c>
      <c r="I29" s="34">
        <f>Décembre!BC31</f>
        <v>0</v>
      </c>
      <c r="J29" s="34">
        <f>Décembre!BE31</f>
        <v>0</v>
      </c>
      <c r="K29" s="34">
        <f t="shared" si="15"/>
        <v>0</v>
      </c>
      <c r="L29" s="34" t="str">
        <f t="shared" si="21"/>
        <v/>
      </c>
      <c r="O29" s="877" t="s">
        <v>1471</v>
      </c>
      <c r="P29" s="877"/>
      <c r="Q29" s="877"/>
      <c r="R29" s="877"/>
      <c r="BA29" s="349" t="str">
        <f t="shared" si="16"/>
        <v>Fiche infoA5</v>
      </c>
      <c r="BB29" s="107">
        <f t="shared" si="31"/>
        <v>46003</v>
      </c>
      <c r="BC29" s="172">
        <f>+$D$13+11</f>
        <v>46003</v>
      </c>
      <c r="BD29" s="173" t="str">
        <f t="shared" si="32"/>
        <v/>
      </c>
      <c r="BE29" s="173" t="str">
        <f>+IF(OR(BF29=S.CAL!$BJ$3,BF29=S.CAL!$BJ$4),BD29,"")</f>
        <v/>
      </c>
      <c r="BF29" s="351">
        <f>IF($DY$5=S.CAL!$CU$2,Décembre!AR31,IF($DY$5=S.CAL!$CU$3,VLOOKUP(BC29,planning_fp,7,FALSE),""))</f>
        <v>0</v>
      </c>
      <c r="BG29" s="363" t="str">
        <f>Décembre!BL31</f>
        <v>A</v>
      </c>
      <c r="BH29" s="2507" t="str">
        <f>+ROUND(BE10,2)&amp;" X "&amp;BF51&amp;" / 26 ="</f>
        <v>0 X 0 / 26 =</v>
      </c>
      <c r="BI29" s="2341"/>
      <c r="BJ29" s="447">
        <f>+BE10*BF51/26</f>
        <v>0</v>
      </c>
      <c r="BL29" s="35"/>
      <c r="BN29" s="188"/>
      <c r="BO29" s="29" t="s">
        <v>322</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322</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46003</v>
      </c>
      <c r="CF29" s="172">
        <f>+$D$13+11</f>
        <v>46003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46003</v>
      </c>
      <c r="EM29" s="16" t="str">
        <f t="shared" si="29"/>
        <v>Fiche infoA546003</v>
      </c>
      <c r="EN29" s="16">
        <f t="shared" si="20"/>
        <v>0</v>
      </c>
      <c r="EQ29" s="16" t="str">
        <f>Décembre!FS31</f>
        <v/>
      </c>
    </row>
    <row r="30" spans="1:147" ht="18" customHeight="1" x14ac:dyDescent="0.25">
      <c r="A30" s="24" t="str">
        <f>+Décembre!BJ32</f>
        <v>Fiche infoA6</v>
      </c>
      <c r="B30" s="107">
        <f t="shared" si="30"/>
        <v>46004</v>
      </c>
      <c r="C30" s="172">
        <f>+$D$13+12</f>
        <v>46004</v>
      </c>
      <c r="D30" s="173" t="str">
        <f>IF(AND(EQ30&lt;&gt;"",$DZ$5=S.CAL!$CU$2),EQ30,IF(IFERROR(IF($DY$5=S.CAL!$CU$3,ROUND(EN30,2),ROUND(EQ30,2)),"")&lt;&gt;0,IFERROR(IF($DY$5=S.CAL!$CU$3,ROUND(EN30,2),ROUND(EQ30,2)),""),""))</f>
        <v/>
      </c>
      <c r="E30" s="173" t="str">
        <f>IFERROR(+IF(AND(F30="",$DY$5=S.CAL!$CU$2,J30="OUI"),IFERROR(ROUND(I30,2),""),IF(AND(F30="",$DY$5=S.CAL!$CU$3,L30="oui"),ROUND(K30,2),IF(F30="","",ROUND(F30,2)))),"")</f>
        <v/>
      </c>
      <c r="F30" s="974"/>
      <c r="G30" s="1010"/>
      <c r="H30" s="27" t="str">
        <f t="shared" si="14"/>
        <v>A</v>
      </c>
      <c r="I30" s="34">
        <f>Décembre!BC32</f>
        <v>0</v>
      </c>
      <c r="J30" s="34">
        <f>Décembre!BE32</f>
        <v>0</v>
      </c>
      <c r="K30" s="34">
        <f t="shared" si="15"/>
        <v>0</v>
      </c>
      <c r="L30" s="34" t="str">
        <f t="shared" si="21"/>
        <v/>
      </c>
      <c r="O30" s="29" t="str">
        <f>+Q16&amp;" € x "&amp;ROUND(P27,4)&amp;" ="</f>
        <v>0 € x 0 =</v>
      </c>
      <c r="P30" s="689">
        <f>ROUND(Q16*P27,2)</f>
        <v>0</v>
      </c>
      <c r="Z30" s="1325" t="s">
        <v>1443</v>
      </c>
      <c r="AK30" s="1211" t="s">
        <v>691</v>
      </c>
      <c r="AL30" s="1343" t="e">
        <f>ROUND(IF(AO47&lt;AL25,+AL27*4.333333,AO47/AL28),2)</f>
        <v>#VALUE!</v>
      </c>
      <c r="AN30" s="1211" t="s">
        <v>32</v>
      </c>
      <c r="AO30" s="2496">
        <f>+D13</f>
        <v>45992</v>
      </c>
      <c r="AP30" s="2496"/>
      <c r="AQ30" s="2496"/>
      <c r="BA30" s="349" t="str">
        <f t="shared" si="16"/>
        <v>Fiche infoA6</v>
      </c>
      <c r="BB30" s="107">
        <f t="shared" si="31"/>
        <v>46004</v>
      </c>
      <c r="BC30" s="172">
        <f>+$D$13+12</f>
        <v>46004</v>
      </c>
      <c r="BD30" s="173" t="str">
        <f t="shared" si="32"/>
        <v/>
      </c>
      <c r="BE30" s="173" t="str">
        <f>+IF(OR(BF30=S.CAL!$BJ$3,BF30=S.CAL!$BJ$4),BD30,"")</f>
        <v/>
      </c>
      <c r="BF30" s="351">
        <f>IF($DY$5=S.CAL!$CU$2,Décembre!AR32,IF($DY$5=S.CAL!$CU$3,VLOOKUP(BC30,planning_fp,7,FALSE),""))</f>
        <v>0</v>
      </c>
      <c r="BG30" s="363" t="str">
        <f>Décembre!BL32</f>
        <v>A</v>
      </c>
      <c r="BL30" s="35"/>
      <c r="BN30" s="188"/>
      <c r="BO30" s="95" t="s">
        <v>323</v>
      </c>
      <c r="BP30" s="399">
        <f>SUMIFS(BD18:BD48,BF18:BF48,S.CAL!BJ3,BG18:BG48,"C")</f>
        <v>0</v>
      </c>
      <c r="BQ30" s="410">
        <f t="shared" si="38"/>
        <v>0</v>
      </c>
      <c r="BR30" s="402">
        <f t="shared" si="39"/>
        <v>0</v>
      </c>
      <c r="BS30" s="402">
        <f t="shared" si="36"/>
        <v>0</v>
      </c>
      <c r="BT30" s="402">
        <f t="shared" si="40"/>
        <v>0</v>
      </c>
      <c r="BV30" s="381"/>
      <c r="BW30" s="374" t="s">
        <v>323</v>
      </c>
      <c r="BX30" s="382">
        <f>SUMIFS(BD18:BD48,BF18:BF48,S.CAL!BJ4,BG18:BG48,"C")</f>
        <v>0</v>
      </c>
      <c r="BY30" s="415">
        <f t="shared" si="41"/>
        <v>0</v>
      </c>
      <c r="BZ30" s="412">
        <f t="shared" si="42"/>
        <v>0</v>
      </c>
      <c r="CA30" s="383">
        <f t="shared" si="37"/>
        <v>0</v>
      </c>
      <c r="CB30" s="384">
        <f t="shared" si="43"/>
        <v>0</v>
      </c>
      <c r="CD30" s="346"/>
      <c r="CE30" s="107">
        <f t="shared" si="33"/>
        <v>46004</v>
      </c>
      <c r="CF30" s="172">
        <f>+$D$13+12</f>
        <v>46004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46004</v>
      </c>
      <c r="EM30" s="16" t="str">
        <f t="shared" si="29"/>
        <v>Fiche infoA646004</v>
      </c>
      <c r="EN30" s="16">
        <f t="shared" si="20"/>
        <v>0</v>
      </c>
      <c r="EQ30" s="16" t="str">
        <f>Décembre!FS32</f>
        <v/>
      </c>
    </row>
    <row r="31" spans="1:147" ht="18" customHeight="1" x14ac:dyDescent="0.2">
      <c r="A31" s="24" t="str">
        <f>+Décembre!BJ33</f>
        <v>Fiche infoA7</v>
      </c>
      <c r="B31" s="107">
        <f t="shared" si="30"/>
        <v>46005</v>
      </c>
      <c r="C31" s="172">
        <f>+$D$13+13</f>
        <v>46005</v>
      </c>
      <c r="D31" s="173" t="str">
        <f>IF(AND(EQ31&lt;&gt;"",$DZ$5=S.CAL!$CU$2),EQ31,IF(IFERROR(IF($DY$5=S.CAL!$CU$3,ROUND(EN31,2),ROUND(EQ31,2)),"")&lt;&gt;0,IFERROR(IF($DY$5=S.CAL!$CU$3,ROUND(EN31,2),ROUND(EQ31,2)),""),""))</f>
        <v/>
      </c>
      <c r="E31" s="173" t="str">
        <f>IFERROR(+IF(AND(F31="",$DY$5=S.CAL!$CU$2,J31="OUI"),IFERROR(ROUND(I31,2),""),IF(AND(F31="",$DY$5=S.CAL!$CU$3,L31="oui"),ROUND(K31,2),IF(F31="","",ROUND(F31,2)))),"")</f>
        <v/>
      </c>
      <c r="F31" s="974"/>
      <c r="G31" s="1010"/>
      <c r="H31" s="27" t="str">
        <f t="shared" si="14"/>
        <v>A</v>
      </c>
      <c r="I31" s="34">
        <f>Décembre!BC33</f>
        <v>0</v>
      </c>
      <c r="J31" s="34">
        <f>Décembre!BE33</f>
        <v>0</v>
      </c>
      <c r="K31" s="34">
        <f t="shared" si="15"/>
        <v>0</v>
      </c>
      <c r="L31" s="34" t="str">
        <f t="shared" si="21"/>
        <v/>
      </c>
      <c r="AL31" s="581" t="s">
        <v>351</v>
      </c>
      <c r="BA31" s="349" t="str">
        <f t="shared" si="16"/>
        <v>Fiche infoA7</v>
      </c>
      <c r="BB31" s="107">
        <f t="shared" si="31"/>
        <v>46005</v>
      </c>
      <c r="BC31" s="172">
        <f>+$D$13+13</f>
        <v>46005</v>
      </c>
      <c r="BD31" s="173" t="str">
        <f t="shared" si="32"/>
        <v/>
      </c>
      <c r="BE31" s="173" t="str">
        <f>+IF(OR(BF31=S.CAL!$BJ$3,BF31=S.CAL!$BJ$4),BD31,"")</f>
        <v/>
      </c>
      <c r="BF31" s="351">
        <f>IF($DY$5=S.CAL!$CU$2,Décembre!AR33,IF($DY$5=S.CAL!$CU$3,VLOOKUP(BC31,planning_fp,7,FALSE),""))</f>
        <v>0</v>
      </c>
      <c r="BG31" s="363" t="str">
        <f>Décembre!BL33</f>
        <v>A</v>
      </c>
      <c r="BL31" s="35"/>
      <c r="BN31" s="188"/>
      <c r="BO31" s="95" t="s">
        <v>324</v>
      </c>
      <c r="BP31" s="399">
        <f>SUMIFS(BD18:BD48,BF18:BF48,S.CAL!BJ3,BG18:BG48,"D")</f>
        <v>0</v>
      </c>
      <c r="BQ31" s="410">
        <f t="shared" si="38"/>
        <v>0</v>
      </c>
      <c r="BR31" s="402">
        <f t="shared" si="39"/>
        <v>0</v>
      </c>
      <c r="BS31" s="402">
        <f t="shared" si="36"/>
        <v>0</v>
      </c>
      <c r="BT31" s="402">
        <f t="shared" si="40"/>
        <v>0</v>
      </c>
      <c r="BV31" s="381"/>
      <c r="BW31" s="374" t="s">
        <v>324</v>
      </c>
      <c r="BX31" s="382">
        <f>SUMIFS(BD18:BD48,BF18:BF48,S.CAL!BJ4,BG18:BG48,"D")</f>
        <v>0</v>
      </c>
      <c r="BY31" s="415">
        <f t="shared" si="41"/>
        <v>0</v>
      </c>
      <c r="BZ31" s="412">
        <f t="shared" si="42"/>
        <v>0</v>
      </c>
      <c r="CA31" s="383">
        <f t="shared" si="37"/>
        <v>0</v>
      </c>
      <c r="CB31" s="384">
        <f t="shared" si="43"/>
        <v>0</v>
      </c>
      <c r="CD31" s="346"/>
      <c r="CE31" s="107">
        <f t="shared" si="33"/>
        <v>46005</v>
      </c>
      <c r="CF31" s="172">
        <f>+$D$13+13</f>
        <v>46005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46005</v>
      </c>
      <c r="EM31" s="16" t="str">
        <f t="shared" si="29"/>
        <v>Fiche infoA746005</v>
      </c>
      <c r="EN31" s="16">
        <f t="shared" si="20"/>
        <v>0</v>
      </c>
      <c r="EQ31" s="16" t="str">
        <f>Décembre!FS33</f>
        <v/>
      </c>
    </row>
    <row r="32" spans="1:147" ht="18" customHeight="1" x14ac:dyDescent="0.2">
      <c r="A32" s="24" t="str">
        <f>+Décembre!BJ34</f>
        <v>Fiche infoA1</v>
      </c>
      <c r="B32" s="107">
        <f t="shared" si="30"/>
        <v>46006</v>
      </c>
      <c r="C32" s="172">
        <f>+$D$13+14</f>
        <v>46006</v>
      </c>
      <c r="D32" s="173" t="str">
        <f>IF(AND(EQ32&lt;&gt;"",$DZ$5=S.CAL!$CU$2),EQ32,IF(IFERROR(IF($DY$5=S.CAL!$CU$3,ROUND(EN32,2),ROUND(EQ32,2)),"")&lt;&gt;0,IFERROR(IF($DY$5=S.CAL!$CU$3,ROUND(EN32,2),ROUND(EQ32,2)),""),""))</f>
        <v/>
      </c>
      <c r="E32" s="173" t="str">
        <f>IFERROR(+IF(AND(F32="",$DY$5=S.CAL!$CU$2,J32="OUI"),IFERROR(ROUND(I32,2),""),IF(AND(F32="",$DY$5=S.CAL!$CU$3,L32="oui"),ROUND(K32,2),IF(F32="","",ROUND(F32,2)))),"")</f>
        <v/>
      </c>
      <c r="F32" s="974"/>
      <c r="G32" s="1010"/>
      <c r="H32" s="27" t="str">
        <f t="shared" si="14"/>
        <v>A</v>
      </c>
      <c r="I32" s="34">
        <f>Décembre!BC34</f>
        <v>0</v>
      </c>
      <c r="J32" s="34">
        <f>Décembre!BE34</f>
        <v>0</v>
      </c>
      <c r="K32" s="34">
        <f t="shared" si="15"/>
        <v>0</v>
      </c>
      <c r="L32" s="34" t="str">
        <f t="shared" si="21"/>
        <v/>
      </c>
      <c r="O32" s="875" t="s">
        <v>1121</v>
      </c>
      <c r="P32" s="875"/>
      <c r="Q32" s="875"/>
      <c r="R32" s="875"/>
      <c r="T32" s="1344"/>
      <c r="U32" s="1344"/>
      <c r="V32" s="1344"/>
      <c r="W32" s="1344"/>
      <c r="X32" s="1344"/>
      <c r="Y32" s="1322"/>
      <c r="Z32" s="2483" t="str">
        <f>Février!BY26</f>
        <v>Nbre heures semaine (modif)</v>
      </c>
      <c r="AA32" s="2483" t="str">
        <f>Février!BZ26</f>
        <v>Nbre heures semaine</v>
      </c>
      <c r="AB32" s="2483" t="str">
        <f>Février!CA26</f>
        <v>Nbre d'heures majorées</v>
      </c>
      <c r="AC32" s="1344"/>
      <c r="AD32" s="1344"/>
      <c r="AE32" s="1344"/>
      <c r="AF32" s="2483" t="s">
        <v>1475</v>
      </c>
      <c r="AK32" s="1211" t="s">
        <v>332</v>
      </c>
      <c r="AL32" s="1224" t="e">
        <f>AL30*AL28</f>
        <v>#VALUE!</v>
      </c>
      <c r="BA32" s="349" t="str">
        <f t="shared" si="16"/>
        <v>Fiche infoA1</v>
      </c>
      <c r="BB32" s="107">
        <f t="shared" si="31"/>
        <v>46006</v>
      </c>
      <c r="BC32" s="172">
        <f>+$D$13+14</f>
        <v>46006</v>
      </c>
      <c r="BD32" s="173" t="str">
        <f t="shared" si="32"/>
        <v/>
      </c>
      <c r="BE32" s="173" t="str">
        <f>+IF(OR(BF32=S.CAL!$BJ$3,BF32=S.CAL!$BJ$4),BD32,"")</f>
        <v/>
      </c>
      <c r="BF32" s="351">
        <f>IF($DY$5=S.CAL!$CU$2,Décembre!AR34,IF($DY$5=S.CAL!$CU$3,VLOOKUP(BC32,planning_fp,7,FALSE),""))</f>
        <v>0</v>
      </c>
      <c r="BG32" s="363" t="str">
        <f>Décembre!BL34</f>
        <v>A</v>
      </c>
      <c r="BH32" s="29"/>
      <c r="BL32" s="35"/>
      <c r="BM32" s="197"/>
      <c r="BN32" s="188"/>
      <c r="BO32" s="95" t="s">
        <v>325</v>
      </c>
      <c r="BP32" s="399">
        <f>SUMIFS(BD18:BD48,BF18:BF48,S.CAL!BJ3,BG18:BG48,"E")</f>
        <v>0</v>
      </c>
      <c r="BQ32" s="410">
        <f t="shared" si="38"/>
        <v>0</v>
      </c>
      <c r="BR32" s="402">
        <f t="shared" si="39"/>
        <v>0</v>
      </c>
      <c r="BS32" s="402">
        <f t="shared" si="36"/>
        <v>0</v>
      </c>
      <c r="BT32" s="402">
        <f t="shared" si="40"/>
        <v>0</v>
      </c>
      <c r="BV32" s="381"/>
      <c r="BW32" s="374" t="s">
        <v>325</v>
      </c>
      <c r="BX32" s="382">
        <f>SUMIFS(BD18:BD48,BF18:BF48,S.CAL!BJ4,BG18:BG48,"E")</f>
        <v>0</v>
      </c>
      <c r="BY32" s="415">
        <f t="shared" si="41"/>
        <v>0</v>
      </c>
      <c r="BZ32" s="412">
        <f t="shared" si="42"/>
        <v>0</v>
      </c>
      <c r="CA32" s="383">
        <f t="shared" si="37"/>
        <v>0</v>
      </c>
      <c r="CB32" s="384">
        <f t="shared" si="43"/>
        <v>0</v>
      </c>
      <c r="CD32" s="346"/>
      <c r="CE32" s="107">
        <f t="shared" si="33"/>
        <v>46006</v>
      </c>
      <c r="CF32" s="172">
        <f>+$D$13+14</f>
        <v>46006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46006</v>
      </c>
      <c r="EM32" s="16" t="str">
        <f t="shared" si="29"/>
        <v>Fiche infoA146006</v>
      </c>
      <c r="EN32" s="16">
        <f t="shared" si="20"/>
        <v>0</v>
      </c>
      <c r="EQ32" s="16" t="str">
        <f>Décembre!FS34</f>
        <v/>
      </c>
    </row>
    <row r="33" spans="1:147" ht="18" customHeight="1" x14ac:dyDescent="0.2">
      <c r="A33" s="24" t="str">
        <f>+Décembre!BJ35</f>
        <v>Fiche infoA2</v>
      </c>
      <c r="B33" s="107">
        <f t="shared" si="30"/>
        <v>46007</v>
      </c>
      <c r="C33" s="172">
        <f>+$D$13+15</f>
        <v>46007</v>
      </c>
      <c r="D33" s="173" t="str">
        <f>IF(AND(EQ33&lt;&gt;"",$DZ$5=S.CAL!$CU$2),EQ33,IF(IFERROR(IF($DY$5=S.CAL!$CU$3,ROUND(EN33,2),ROUND(EQ33,2)),"")&lt;&gt;0,IFERROR(IF($DY$5=S.CAL!$CU$3,ROUND(EN33,2),ROUND(EQ33,2)),""),""))</f>
        <v/>
      </c>
      <c r="E33" s="173" t="str">
        <f>IFERROR(+IF(AND(F33="",$DY$5=S.CAL!$CU$2,J33="OUI"),IFERROR(ROUND(I33,2),""),IF(AND(F33="",$DY$5=S.CAL!$CU$3,L33="oui"),ROUND(K33,2),IF(F33="","",ROUND(F33,2)))),"")</f>
        <v/>
      </c>
      <c r="F33" s="974"/>
      <c r="G33" s="1010"/>
      <c r="H33" s="27" t="str">
        <f t="shared" si="14"/>
        <v>A</v>
      </c>
      <c r="I33" s="34">
        <f>Décembre!BC35</f>
        <v>0</v>
      </c>
      <c r="J33" s="34">
        <f>Décembre!BE35</f>
        <v>0</v>
      </c>
      <c r="K33" s="34">
        <f t="shared" si="15"/>
        <v>0</v>
      </c>
      <c r="L33" s="34" t="str">
        <f t="shared" si="21"/>
        <v/>
      </c>
      <c r="O33" s="29" t="str">
        <f>+Q17&amp;" € x "&amp;ROUND(P27,4)&amp;" ="</f>
        <v>0 € x 0 =</v>
      </c>
      <c r="P33" s="690">
        <f>+ROUND(Q17*P27,2)</f>
        <v>0</v>
      </c>
      <c r="T33" s="1344"/>
      <c r="U33" s="1344"/>
      <c r="V33" s="1344"/>
      <c r="W33" s="1344"/>
      <c r="X33" s="1344"/>
      <c r="Y33" s="1322"/>
      <c r="Z33" s="2483"/>
      <c r="AA33" s="2483"/>
      <c r="AB33" s="2483"/>
      <c r="AC33" s="1344" t="s">
        <v>1111</v>
      </c>
      <c r="AD33" s="1344" t="s">
        <v>1112</v>
      </c>
      <c r="AE33" s="1344" t="s">
        <v>1113</v>
      </c>
      <c r="AF33" s="2483"/>
      <c r="AG33" s="581" t="s">
        <v>1249</v>
      </c>
      <c r="BA33" s="349" t="str">
        <f t="shared" si="16"/>
        <v>Fiche infoA2</v>
      </c>
      <c r="BB33" s="107">
        <f t="shared" si="31"/>
        <v>46007</v>
      </c>
      <c r="BC33" s="172">
        <f>+$D$13+15</f>
        <v>46007</v>
      </c>
      <c r="BD33" s="173" t="str">
        <f t="shared" si="32"/>
        <v/>
      </c>
      <c r="BE33" s="173" t="str">
        <f>+IF(OR(BF33=S.CAL!$BJ$3,BF33=S.CAL!$BJ$4),BD33,"")</f>
        <v/>
      </c>
      <c r="BF33" s="351">
        <f>IF($DY$5=S.CAL!$CU$2,Décembre!AR35,IF($DY$5=S.CAL!$CU$3,VLOOKUP(BC33,planning_fp,7,FALSE),""))</f>
        <v>0</v>
      </c>
      <c r="BG33" s="363" t="str">
        <f>Décembre!BL35</f>
        <v>A</v>
      </c>
      <c r="BL33" s="35"/>
      <c r="BN33" s="188"/>
      <c r="BO33" s="95" t="s">
        <v>326</v>
      </c>
      <c r="BP33" s="399">
        <f>SUMIFS(BD18:BD48,BF18:BF48,S.CAL!BJ3,BG18:BG48,"F")</f>
        <v>0</v>
      </c>
      <c r="BQ33" s="410">
        <f t="shared" si="38"/>
        <v>0</v>
      </c>
      <c r="BR33" s="402">
        <f t="shared" si="39"/>
        <v>0</v>
      </c>
      <c r="BS33" s="402">
        <f t="shared" si="36"/>
        <v>0</v>
      </c>
      <c r="BT33" s="402">
        <f t="shared" si="40"/>
        <v>0</v>
      </c>
      <c r="BV33" s="381"/>
      <c r="BW33" s="374" t="s">
        <v>326</v>
      </c>
      <c r="BX33" s="382">
        <f>SUMIFS(BD18:BD48,BF18:BF48,S.CAL!BJ4,BG18:BG48,"F")</f>
        <v>0</v>
      </c>
      <c r="BY33" s="415">
        <f t="shared" si="41"/>
        <v>0</v>
      </c>
      <c r="BZ33" s="412">
        <f t="shared" si="42"/>
        <v>0</v>
      </c>
      <c r="CA33" s="383">
        <f t="shared" si="37"/>
        <v>0</v>
      </c>
      <c r="CB33" s="384">
        <f t="shared" si="43"/>
        <v>0</v>
      </c>
      <c r="CD33" s="346"/>
      <c r="CE33" s="107">
        <f t="shared" si="33"/>
        <v>46007</v>
      </c>
      <c r="CF33" s="172">
        <f>+$D$13+15</f>
        <v>46007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46007</v>
      </c>
      <c r="EM33" s="16" t="str">
        <f t="shared" si="29"/>
        <v>Fiche infoA246007</v>
      </c>
      <c r="EN33" s="16">
        <f t="shared" si="20"/>
        <v>0</v>
      </c>
      <c r="EQ33" s="16" t="str">
        <f>Décembre!FS35</f>
        <v/>
      </c>
    </row>
    <row r="34" spans="1:147" ht="18" customHeight="1" x14ac:dyDescent="0.2">
      <c r="A34" s="24" t="str">
        <f>+Décembre!BJ36</f>
        <v>Fiche infoA3</v>
      </c>
      <c r="B34" s="107">
        <f t="shared" si="30"/>
        <v>46008</v>
      </c>
      <c r="C34" s="172">
        <f>+$D$13+16</f>
        <v>46008</v>
      </c>
      <c r="D34" s="173" t="str">
        <f>IF(AND(EQ34&lt;&gt;"",$DZ$5=S.CAL!$CU$2),EQ34,IF(IFERROR(IF($DY$5=S.CAL!$CU$3,ROUND(EN34,2),ROUND(EQ34,2)),"")&lt;&gt;0,IFERROR(IF($DY$5=S.CAL!$CU$3,ROUND(EN34,2),ROUND(EQ34,2)),""),""))</f>
        <v/>
      </c>
      <c r="E34" s="173" t="str">
        <f>IFERROR(+IF(AND(F34="",$DY$5=S.CAL!$CU$2,J34="OUI"),IFERROR(ROUND(I34,2),""),IF(AND(F34="",$DY$5=S.CAL!$CU$3,L34="oui"),ROUND(K34,2),IF(F34="","",ROUND(F34,2)))),"")</f>
        <v/>
      </c>
      <c r="F34" s="974"/>
      <c r="G34" s="1010"/>
      <c r="H34" s="27" t="str">
        <f t="shared" si="14"/>
        <v>A</v>
      </c>
      <c r="I34" s="34">
        <f>Décembre!BC36</f>
        <v>0</v>
      </c>
      <c r="J34" s="34">
        <f>Décembre!BE36</f>
        <v>0</v>
      </c>
      <c r="K34" s="34">
        <f t="shared" si="15"/>
        <v>0</v>
      </c>
      <c r="L34" s="34" t="str">
        <f t="shared" si="21"/>
        <v/>
      </c>
      <c r="N34" s="395"/>
      <c r="O34" s="395"/>
      <c r="P34" s="395"/>
      <c r="Q34" s="395"/>
      <c r="R34" s="395"/>
      <c r="T34" s="581">
        <f>+IF(AD34=0,V34,0)</f>
        <v>0</v>
      </c>
      <c r="U34" s="1323" t="str">
        <f>+Décembre!AU4</f>
        <v>A</v>
      </c>
      <c r="V34" s="1323">
        <f>IFERROR(+VLOOKUP(U34,U35:AB39,7,FALSE),"")</f>
        <v>0</v>
      </c>
      <c r="W34" s="2482" t="str">
        <f>Décembre!BS28</f>
        <v>Semaine numéro : 49</v>
      </c>
      <c r="X34" s="2482"/>
      <c r="Y34" s="2482"/>
      <c r="Z34" s="1345"/>
      <c r="AA34" s="1338">
        <f>+IF(Z34&lt;&gt;"",Z34,IF(T34&gt;0,T34,IF(AND(AD34&gt;0,AC34&gt;0),AD34+AC34,IF(AE34&gt;0,0,AC34))))</f>
        <v>0</v>
      </c>
      <c r="AB34" s="1338">
        <f>IF(AND(AA34&gt;45,AD34=AD48),AA34-45,0)</f>
        <v>0</v>
      </c>
      <c r="AC34" s="1344">
        <f>+SUMIF(Décembre!$BK$20:$BK$50,Décembre!AT4,$D$18:$D$48)</f>
        <v>0</v>
      </c>
      <c r="AD34" s="1344">
        <f>+SUMIF(Novembre!$BK$20:$BK$50,Décembre!AT4,'Retenue Nov'!$D$18:$D$48)</f>
        <v>0</v>
      </c>
      <c r="AE34" s="1344">
        <v>0</v>
      </c>
      <c r="AF34" s="1338">
        <f>+AC34-AB34</f>
        <v>0</v>
      </c>
      <c r="AG34" s="581">
        <f>+Décembre!AT4</f>
        <v>49</v>
      </c>
      <c r="AK34" s="1211" t="s">
        <v>333</v>
      </c>
      <c r="AL34" s="1324" t="e">
        <f>IF(AL32,+AL24/AL32,0)</f>
        <v>#VALUE!</v>
      </c>
      <c r="BA34" s="349" t="str">
        <f t="shared" si="16"/>
        <v>Fiche infoA3</v>
      </c>
      <c r="BB34" s="107">
        <f t="shared" si="31"/>
        <v>46008</v>
      </c>
      <c r="BC34" s="172">
        <f>+$D$13+16</f>
        <v>46008</v>
      </c>
      <c r="BD34" s="173" t="str">
        <f t="shared" si="32"/>
        <v/>
      </c>
      <c r="BE34" s="173" t="str">
        <f>+IF(OR(BF34=S.CAL!$BJ$3,BF34=S.CAL!$BJ$4),BD34,"")</f>
        <v/>
      </c>
      <c r="BF34" s="351">
        <f>IF($DY$5=S.CAL!$CU$2,Décembre!AR36,IF($DY$5=S.CAL!$CU$3,VLOOKUP(BC34,planning_fp,7,FALSE),""))</f>
        <v>0</v>
      </c>
      <c r="BG34" s="363" t="str">
        <f>Décembre!BL36</f>
        <v>A</v>
      </c>
      <c r="BH34" s="373"/>
      <c r="BJ34" s="373"/>
      <c r="BK34" s="373"/>
      <c r="BL34" s="35"/>
      <c r="BN34" s="188"/>
      <c r="BO34" s="95" t="s">
        <v>327</v>
      </c>
      <c r="BP34" s="399">
        <f>SUMIFS(BD18:BD48,BF18:BF48,S.CAL!BJ3,BG18:BG48,"G")</f>
        <v>0</v>
      </c>
      <c r="BQ34" s="410">
        <f t="shared" si="38"/>
        <v>0</v>
      </c>
      <c r="BR34" s="402">
        <f t="shared" si="39"/>
        <v>0</v>
      </c>
      <c r="BS34" s="402">
        <f t="shared" si="36"/>
        <v>0</v>
      </c>
      <c r="BT34" s="402">
        <f t="shared" si="40"/>
        <v>0</v>
      </c>
      <c r="BV34" s="381"/>
      <c r="BW34" s="374" t="s">
        <v>327</v>
      </c>
      <c r="BX34" s="382">
        <f>SUMIFS(BD18:BD48,BF18:BF48,S.CAL!BJ4,BG18:BG48,"G")</f>
        <v>0</v>
      </c>
      <c r="BY34" s="415">
        <f t="shared" si="41"/>
        <v>0</v>
      </c>
      <c r="BZ34" s="412">
        <f t="shared" si="42"/>
        <v>0</v>
      </c>
      <c r="CA34" s="383">
        <f t="shared" si="37"/>
        <v>0</v>
      </c>
      <c r="CB34" s="384">
        <f t="shared" si="43"/>
        <v>0</v>
      </c>
      <c r="CD34" s="346"/>
      <c r="CE34" s="107">
        <f t="shared" si="33"/>
        <v>46008</v>
      </c>
      <c r="CF34" s="172">
        <f>+$D$13+16</f>
        <v>46008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46008</v>
      </c>
      <c r="EM34" s="16" t="str">
        <f t="shared" si="29"/>
        <v>Fiche infoA346008</v>
      </c>
      <c r="EN34" s="16">
        <f t="shared" si="20"/>
        <v>0</v>
      </c>
      <c r="EQ34" s="16" t="str">
        <f>Décembre!FS36</f>
        <v/>
      </c>
    </row>
    <row r="35" spans="1:147" ht="18" customHeight="1" x14ac:dyDescent="0.2">
      <c r="A35" s="24" t="str">
        <f>+Décembre!BJ37</f>
        <v>Fiche infoA4</v>
      </c>
      <c r="B35" s="107">
        <f t="shared" si="30"/>
        <v>46009</v>
      </c>
      <c r="C35" s="172">
        <f>+$D$13+17</f>
        <v>46009</v>
      </c>
      <c r="D35" s="173" t="str">
        <f>IF(AND(EQ35&lt;&gt;"",$DZ$5=S.CAL!$CU$2),EQ35,IF(IFERROR(IF($DY$5=S.CAL!$CU$3,ROUND(EN35,2),ROUND(EQ35,2)),"")&lt;&gt;0,IFERROR(IF($DY$5=S.CAL!$CU$3,ROUND(EN35,2),ROUND(EQ35,2)),""),""))</f>
        <v/>
      </c>
      <c r="E35" s="173" t="str">
        <f>IFERROR(+IF(AND(F35="",$DY$5=S.CAL!$CU$2,J35="OUI"),IFERROR(ROUND(I35,2),""),IF(AND(F35="",$DY$5=S.CAL!$CU$3,L35="oui"),ROUND(K35,2),IF(F35="","",ROUND(F35,2)))),"")</f>
        <v/>
      </c>
      <c r="F35" s="974"/>
      <c r="G35" s="1010"/>
      <c r="H35" s="27" t="str">
        <f t="shared" si="14"/>
        <v>A</v>
      </c>
      <c r="I35" s="34">
        <f>Décembre!BC37</f>
        <v>0</v>
      </c>
      <c r="J35" s="34">
        <f>Décembre!BE37</f>
        <v>0</v>
      </c>
      <c r="K35" s="34">
        <f t="shared" si="15"/>
        <v>0</v>
      </c>
      <c r="L35" s="34" t="str">
        <f t="shared" si="21"/>
        <v/>
      </c>
      <c r="N35" s="395"/>
      <c r="O35" s="879" t="s">
        <v>1218</v>
      </c>
      <c r="P35" s="880"/>
      <c r="Q35" s="880"/>
      <c r="R35" s="876"/>
      <c r="T35" s="581">
        <f>+IF(AD35=0,V35,0)</f>
        <v>0</v>
      </c>
      <c r="U35" s="1323" t="str">
        <f>+Décembre!AU5</f>
        <v>A</v>
      </c>
      <c r="V35" s="1323">
        <f>IFERROR(+VLOOKUP(U35,U36:AB39,7,FALSE),"")</f>
        <v>0</v>
      </c>
      <c r="W35" s="2482" t="str">
        <f>Décembre!BS29</f>
        <v>Semaine numéro : 50</v>
      </c>
      <c r="X35" s="2482"/>
      <c r="Y35" s="2482"/>
      <c r="Z35" s="1345"/>
      <c r="AA35" s="1338">
        <f>+IF(Z35&lt;&gt;"",Z35,IF(T35&gt;0,T35,IF(AND(AD35&gt;0,AC35&gt;0),AD35+AC35,IF(AE35&gt;0,0,AC35))))</f>
        <v>0</v>
      </c>
      <c r="AB35" s="1338">
        <f t="shared" ref="AB35:AB39" si="44">IF(AND(AA35&gt;45,AD35=AD49),AA35-45,0)</f>
        <v>0</v>
      </c>
      <c r="AC35" s="1344">
        <f>+SUMIF(Décembre!$BK$20:$BK$50,Décembre!AT5,$D$18:$D$48)</f>
        <v>0</v>
      </c>
      <c r="AD35" s="1344">
        <f>+SUMIF(Novembre!$BK$20:$BK$50,Décembre!AT5,'Retenue Nov'!$D$18:$D$48)</f>
        <v>0</v>
      </c>
      <c r="AE35" s="1344">
        <v>0</v>
      </c>
      <c r="AF35" s="1338">
        <f t="shared" ref="AF35:AF39" si="45">+AC35-AB35</f>
        <v>0</v>
      </c>
      <c r="AG35" s="581">
        <f>+Décembre!AT5</f>
        <v>50</v>
      </c>
      <c r="AK35" s="1211"/>
      <c r="AL35" s="1324"/>
      <c r="BA35" s="349" t="str">
        <f t="shared" si="16"/>
        <v>Fiche infoA4</v>
      </c>
      <c r="BB35" s="107">
        <f t="shared" si="31"/>
        <v>46009</v>
      </c>
      <c r="BC35" s="172">
        <f>+$D$13+17</f>
        <v>46009</v>
      </c>
      <c r="BD35" s="173" t="str">
        <f t="shared" si="32"/>
        <v/>
      </c>
      <c r="BE35" s="173" t="str">
        <f>+IF(OR(BF35=S.CAL!$BJ$3,BF35=S.CAL!$BJ$4),BD35,"")</f>
        <v/>
      </c>
      <c r="BF35" s="351">
        <f>IF($DY$5=S.CAL!$CU$2,Décembre!AR37,IF($DY$5=S.CAL!$CU$3,VLOOKUP(BC35,planning_fp,7,FALSE),""))</f>
        <v>0</v>
      </c>
      <c r="BG35" s="363" t="str">
        <f>Décembre!BL37</f>
        <v>A</v>
      </c>
      <c r="BH35" s="373"/>
      <c r="BI35" s="373"/>
      <c r="BJ35" s="373"/>
      <c r="BK35" s="373"/>
      <c r="BL35" s="35"/>
      <c r="BN35" s="189"/>
      <c r="BO35" s="175" t="s">
        <v>328</v>
      </c>
      <c r="BP35" s="400">
        <f>SUMIFS(BD18:BD48,BF18:BF48,S.CAL!BJ3,BG18:BG48,"H")</f>
        <v>0</v>
      </c>
      <c r="BQ35" s="182">
        <f t="shared" si="38"/>
        <v>0</v>
      </c>
      <c r="BR35" s="403">
        <f t="shared" si="39"/>
        <v>0</v>
      </c>
      <c r="BS35" s="403">
        <f t="shared" si="36"/>
        <v>0</v>
      </c>
      <c r="BT35" s="403">
        <f t="shared" si="40"/>
        <v>0</v>
      </c>
      <c r="BV35" s="385"/>
      <c r="BW35" s="405" t="s">
        <v>328</v>
      </c>
      <c r="BX35" s="386">
        <f>SUMIFS(BD18:BD48,BF18:BF48,S.CAL!BJ4,BG18:BG48,"H")</f>
        <v>0</v>
      </c>
      <c r="BY35" s="416">
        <f t="shared" si="41"/>
        <v>0</v>
      </c>
      <c r="BZ35" s="413">
        <f t="shared" si="42"/>
        <v>0</v>
      </c>
      <c r="CA35" s="387">
        <f t="shared" si="37"/>
        <v>0</v>
      </c>
      <c r="CB35" s="388">
        <f t="shared" si="43"/>
        <v>0</v>
      </c>
      <c r="CD35" s="346"/>
      <c r="CE35" s="107">
        <f t="shared" si="33"/>
        <v>46009</v>
      </c>
      <c r="CF35" s="172">
        <f>+$D$13+17</f>
        <v>46009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46009</v>
      </c>
      <c r="EM35" s="16" t="str">
        <f t="shared" si="29"/>
        <v>Fiche infoA446009</v>
      </c>
      <c r="EN35" s="16">
        <f t="shared" si="20"/>
        <v>0</v>
      </c>
      <c r="EQ35" s="16" t="str">
        <f>Décembre!FS37</f>
        <v/>
      </c>
    </row>
    <row r="36" spans="1:147" ht="18" customHeight="1" x14ac:dyDescent="0.2">
      <c r="A36" s="24" t="str">
        <f>+Décembre!BJ38</f>
        <v>Fiche infoA5</v>
      </c>
      <c r="B36" s="107">
        <f t="shared" si="30"/>
        <v>46010</v>
      </c>
      <c r="C36" s="172">
        <f>+$D$13+18</f>
        <v>46010</v>
      </c>
      <c r="D36" s="173" t="str">
        <f>IF(AND(EQ36&lt;&gt;"",$DZ$5=S.CAL!$CU$2),EQ36,IF(IFERROR(IF($DY$5=S.CAL!$CU$3,ROUND(EN36,2),ROUND(EQ36,2)),"")&lt;&gt;0,IFERROR(IF($DY$5=S.CAL!$CU$3,ROUND(EN36,2),ROUND(EQ36,2)),""),""))</f>
        <v/>
      </c>
      <c r="E36" s="173" t="str">
        <f>IFERROR(+IF(AND(F36="",$DY$5=S.CAL!$CU$2,J36="OUI"),IFERROR(ROUND(I36,2),""),IF(AND(F36="",$DY$5=S.CAL!$CU$3,L36="oui"),ROUND(K36,2),IF(F36="","",ROUND(F36,2)))),"")</f>
        <v/>
      </c>
      <c r="F36" s="974"/>
      <c r="G36" s="1010"/>
      <c r="H36" s="27" t="str">
        <f t="shared" si="14"/>
        <v>A</v>
      </c>
      <c r="I36" s="34">
        <f>Décembre!BC38</f>
        <v>0</v>
      </c>
      <c r="J36" s="34">
        <f>Décembre!BE38</f>
        <v>0</v>
      </c>
      <c r="K36" s="34">
        <f t="shared" si="15"/>
        <v>0</v>
      </c>
      <c r="L36" s="34" t="str">
        <f t="shared" si="21"/>
        <v/>
      </c>
      <c r="N36" s="395"/>
      <c r="O36" s="486"/>
      <c r="P36" s="487" t="str">
        <f>+E11&amp;" / ( "&amp;E10&amp;" + "&amp;E11&amp;" ) ="</f>
        <v>0 / ( 0 + 0 ) =</v>
      </c>
      <c r="Q36" s="486" t="e">
        <f>+ROUND(E11/(E11+E10),6)</f>
        <v>#DIV/0!</v>
      </c>
      <c r="R36" s="395"/>
      <c r="U36" s="1323" t="str">
        <f>+Décembre!AU6</f>
        <v>A</v>
      </c>
      <c r="V36" s="1323"/>
      <c r="W36" s="2482" t="str">
        <f>Décembre!BS30</f>
        <v>Semaine numéro : 51</v>
      </c>
      <c r="X36" s="2482"/>
      <c r="Y36" s="2482"/>
      <c r="Z36" s="1345"/>
      <c r="AA36" s="1338">
        <f t="shared" ref="AA36:AA39" si="46">+IF(Z36="",IF(AND(AD36&gt;0,AC36&gt;0),AD36+AC36,IF(AE36&gt;0,0,AC36)),Z36)</f>
        <v>0</v>
      </c>
      <c r="AB36" s="1338">
        <f t="shared" si="44"/>
        <v>0</v>
      </c>
      <c r="AC36" s="1344">
        <f>+SUMIF(Décembre!$BK$20:$BK$50,Décembre!AT6,$D$18:$D$48)</f>
        <v>0</v>
      </c>
      <c r="AD36" s="1344">
        <f>+SUMIF(Novembre!$BK$20:$BK$50,Décembre!AT6,'Retenue Nov'!$D$18:$D$48)</f>
        <v>0</v>
      </c>
      <c r="AE36" s="1344">
        <v>0</v>
      </c>
      <c r="AF36" s="1338">
        <f t="shared" si="45"/>
        <v>0</v>
      </c>
      <c r="AG36" s="581">
        <f>+Décembre!AT6</f>
        <v>51</v>
      </c>
      <c r="AK36" s="1211"/>
      <c r="AL36" s="1324"/>
      <c r="BA36" s="349" t="str">
        <f t="shared" si="16"/>
        <v>Fiche infoA5</v>
      </c>
      <c r="BB36" s="107">
        <f t="shared" si="31"/>
        <v>46010</v>
      </c>
      <c r="BC36" s="172">
        <f>+$D$13+18</f>
        <v>46010</v>
      </c>
      <c r="BD36" s="173" t="str">
        <f t="shared" si="32"/>
        <v/>
      </c>
      <c r="BE36" s="173" t="str">
        <f>+IF(OR(BF36=S.CAL!$BJ$3,BF36=S.CAL!$BJ$4),BD36,"")</f>
        <v/>
      </c>
      <c r="BF36" s="351">
        <f>IF($DY$5=S.CAL!$CU$2,Décembre!AR38,IF($DY$5=S.CAL!$CU$3,VLOOKUP(BC36,planning_fp,7,FALSE),""))</f>
        <v>0</v>
      </c>
      <c r="BG36" s="363" t="str">
        <f>Décembre!BL38</f>
        <v>A</v>
      </c>
      <c r="BH36" s="374"/>
      <c r="BI36" s="375"/>
      <c r="BJ36" s="373"/>
      <c r="BK36" s="373"/>
      <c r="BL36" s="35"/>
      <c r="BS36" s="191"/>
      <c r="BT36" s="360"/>
      <c r="BU36" s="360"/>
      <c r="BV36" s="373"/>
      <c r="BW36" s="373"/>
      <c r="BX36" s="373"/>
      <c r="BY36" s="373"/>
      <c r="BZ36" s="373"/>
      <c r="CA36" s="373"/>
      <c r="CB36" s="373"/>
      <c r="CD36" s="346"/>
      <c r="CE36" s="107">
        <f t="shared" si="33"/>
        <v>46010</v>
      </c>
      <c r="CF36" s="172">
        <f>+$D$13+18</f>
        <v>46010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46010</v>
      </c>
      <c r="EM36" s="16" t="str">
        <f t="shared" si="29"/>
        <v>Fiche infoA546010</v>
      </c>
      <c r="EN36" s="16">
        <f t="shared" si="20"/>
        <v>0</v>
      </c>
      <c r="EQ36" s="16" t="str">
        <f>Décembre!FS38</f>
        <v/>
      </c>
    </row>
    <row r="37" spans="1:147" ht="18" customHeight="1" x14ac:dyDescent="0.2">
      <c r="A37" s="24" t="str">
        <f>+Décembre!BJ39</f>
        <v>Fiche infoA6</v>
      </c>
      <c r="B37" s="107">
        <f t="shared" si="30"/>
        <v>46011</v>
      </c>
      <c r="C37" s="172">
        <f>+$D$13+19</f>
        <v>46011</v>
      </c>
      <c r="D37" s="173" t="str">
        <f>IF(AND(EQ37&lt;&gt;"",$DZ$5=S.CAL!$CU$2),EQ37,IF(IFERROR(IF($DY$5=S.CAL!$CU$3,ROUND(EN37,2),ROUND(EQ37,2)),"")&lt;&gt;0,IFERROR(IF($DY$5=S.CAL!$CU$3,ROUND(EN37,2),ROUND(EQ37,2)),""),""))</f>
        <v/>
      </c>
      <c r="E37" s="173" t="str">
        <f>IFERROR(+IF(AND(F37="",$DY$5=S.CAL!$CU$2,J37="OUI"),IFERROR(ROUND(I37,2),""),IF(AND(F37="",$DY$5=S.CAL!$CU$3,L37="oui"),ROUND(K37,2),IF(F37="","",ROUND(F37,2)))),"")</f>
        <v/>
      </c>
      <c r="F37" s="974"/>
      <c r="G37" s="1010"/>
      <c r="H37" s="27" t="str">
        <f t="shared" si="14"/>
        <v>A</v>
      </c>
      <c r="I37" s="34">
        <f>Décembre!BC39</f>
        <v>0</v>
      </c>
      <c r="J37" s="34">
        <f>Décembre!BE39</f>
        <v>0</v>
      </c>
      <c r="K37" s="34">
        <f t="shared" si="15"/>
        <v>0</v>
      </c>
      <c r="L37" s="34" t="str">
        <f t="shared" si="21"/>
        <v/>
      </c>
      <c r="N37" s="395"/>
      <c r="O37" s="881"/>
      <c r="P37" s="881"/>
      <c r="Q37" s="881"/>
      <c r="R37" s="395"/>
      <c r="U37" s="1323" t="str">
        <f>+Décembre!AU7</f>
        <v>A</v>
      </c>
      <c r="V37" s="1323"/>
      <c r="W37" s="2482" t="str">
        <f>Décembre!BS31</f>
        <v>Semaine numéro : 52</v>
      </c>
      <c r="X37" s="2482"/>
      <c r="Y37" s="2482"/>
      <c r="Z37" s="1345" t="str">
        <f>IF(Décembre!BY31="","",Décembre!BY31)</f>
        <v/>
      </c>
      <c r="AA37" s="1338">
        <f t="shared" si="46"/>
        <v>0</v>
      </c>
      <c r="AB37" s="1338">
        <f t="shared" si="44"/>
        <v>0</v>
      </c>
      <c r="AC37" s="1344">
        <f>+SUMIF(Décembre!$BK$20:$BK$50,Décembre!AT7,$D$18:$D$48)</f>
        <v>0</v>
      </c>
      <c r="AD37" s="1344">
        <f>+SUMIF(Novembre!$BK$20:$BK$50,Décembre!AT7,'Retenue Nov'!$D$18:$D$48)</f>
        <v>0</v>
      </c>
      <c r="AE37" s="1344">
        <v>0</v>
      </c>
      <c r="AF37" s="1338">
        <f t="shared" si="45"/>
        <v>0</v>
      </c>
      <c r="AG37" s="581">
        <f>+Décembre!AT7</f>
        <v>52</v>
      </c>
      <c r="AK37" s="1211"/>
      <c r="AL37" s="2494" t="s">
        <v>334</v>
      </c>
      <c r="AM37" s="2494" t="s">
        <v>335</v>
      </c>
      <c r="AN37" s="2495" t="s">
        <v>336</v>
      </c>
      <c r="AO37" s="2494" t="s">
        <v>337</v>
      </c>
      <c r="AP37" s="2494" t="s">
        <v>357</v>
      </c>
      <c r="AQ37" s="2494" t="s">
        <v>358</v>
      </c>
      <c r="BA37" s="349" t="str">
        <f t="shared" si="16"/>
        <v>Fiche infoA6</v>
      </c>
      <c r="BB37" s="107">
        <f t="shared" si="31"/>
        <v>46011</v>
      </c>
      <c r="BC37" s="172">
        <f>+$D$13+19</f>
        <v>46011</v>
      </c>
      <c r="BD37" s="173" t="str">
        <f t="shared" si="32"/>
        <v/>
      </c>
      <c r="BE37" s="173" t="str">
        <f>+IF(OR(BF37=S.CAL!$BJ$3,BF37=S.CAL!$BJ$4),BD37,"")</f>
        <v/>
      </c>
      <c r="BF37" s="351">
        <f>IF($DY$5=S.CAL!$CU$2,Décembre!AR39,IF($DY$5=S.CAL!$CU$3,VLOOKUP(BC37,planning_fp,7,FALSE),""))</f>
        <v>0</v>
      </c>
      <c r="BG37" s="363" t="str">
        <f>Décembre!BL39</f>
        <v>A</v>
      </c>
      <c r="BH37" s="373"/>
      <c r="BI37" s="373"/>
      <c r="BJ37" s="373"/>
      <c r="BK37" s="373"/>
      <c r="BL37" s="35"/>
      <c r="BO37" s="29"/>
      <c r="BP37" s="34"/>
      <c r="BS37" s="191"/>
      <c r="BT37" s="191"/>
      <c r="BV37" s="373"/>
      <c r="BW37" s="373"/>
      <c r="BX37" s="373"/>
      <c r="BY37" s="373"/>
      <c r="BZ37" s="373"/>
      <c r="CA37" s="373"/>
      <c r="CB37" s="373"/>
      <c r="CD37" s="346"/>
      <c r="CE37" s="107">
        <f t="shared" si="33"/>
        <v>46011</v>
      </c>
      <c r="CF37" s="172">
        <f>+$D$13+19</f>
        <v>46011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46011</v>
      </c>
      <c r="EM37" s="16" t="str">
        <f t="shared" si="29"/>
        <v>Fiche infoA646011</v>
      </c>
      <c r="EN37" s="16">
        <f t="shared" si="20"/>
        <v>0</v>
      </c>
      <c r="EQ37" s="16" t="str">
        <f>Décembre!FS39</f>
        <v/>
      </c>
    </row>
    <row r="38" spans="1:147" ht="18" customHeight="1" x14ac:dyDescent="0.2">
      <c r="A38" s="24" t="str">
        <f>+Décembre!BJ40</f>
        <v>Fiche infoA7</v>
      </c>
      <c r="B38" s="107">
        <f t="shared" si="30"/>
        <v>46012</v>
      </c>
      <c r="C38" s="172">
        <f>+$D$13+20</f>
        <v>46012</v>
      </c>
      <c r="D38" s="173" t="str">
        <f>IF(AND(EQ38&lt;&gt;"",$DZ$5=S.CAL!$CU$2),EQ38,IF(IFERROR(IF($DY$5=S.CAL!$CU$3,ROUND(EN38,2),ROUND(EQ38,2)),"")&lt;&gt;0,IFERROR(IF($DY$5=S.CAL!$CU$3,ROUND(EN38,2),ROUND(EQ38,2)),""),""))</f>
        <v/>
      </c>
      <c r="E38" s="173" t="str">
        <f>IFERROR(+IF(AND(F38="",$DY$5=S.CAL!$CU$2,J38="OUI"),IFERROR(ROUND(I38,2),""),IF(AND(F38="",$DY$5=S.CAL!$CU$3,L38="oui"),ROUND(K38,2),IF(F38="","",ROUND(F38,2)))),"")</f>
        <v/>
      </c>
      <c r="F38" s="974"/>
      <c r="G38" s="1010"/>
      <c r="H38" s="27" t="str">
        <f t="shared" si="14"/>
        <v>A</v>
      </c>
      <c r="I38" s="34">
        <f>Décembre!BC40</f>
        <v>0</v>
      </c>
      <c r="J38" s="34">
        <f>Décembre!BE40</f>
        <v>0</v>
      </c>
      <c r="K38" s="34">
        <f t="shared" si="15"/>
        <v>0</v>
      </c>
      <c r="L38" s="34" t="str">
        <f t="shared" si="21"/>
        <v/>
      </c>
      <c r="N38" s="395"/>
      <c r="O38" s="882" t="s">
        <v>1472</v>
      </c>
      <c r="P38" s="882"/>
      <c r="Q38" s="882"/>
      <c r="R38" s="878"/>
      <c r="U38" s="1323" t="str">
        <f>+Décembre!AU8</f>
        <v>A</v>
      </c>
      <c r="V38" s="1323"/>
      <c r="W38" s="2482" t="str">
        <f>Décembre!BS32</f>
        <v>Semaine numéro : 1</v>
      </c>
      <c r="X38" s="2482"/>
      <c r="Y38" s="2482"/>
      <c r="Z38" s="1345" t="str">
        <f>IF(Décembre!BY32="","",Décembre!BY32)</f>
        <v/>
      </c>
      <c r="AA38" s="1338">
        <f t="shared" si="46"/>
        <v>0</v>
      </c>
      <c r="AB38" s="1338">
        <f t="shared" si="44"/>
        <v>0</v>
      </c>
      <c r="AC38" s="1344">
        <f>+SUMIF(Décembre!$BK$20:$BK$50,Décembre!AT8,$D$18:$D$48)</f>
        <v>0</v>
      </c>
      <c r="AD38" s="1344">
        <f>+SUMIF(Novembre!$BK$20:$BK$50,Décembre!AT8,'Retenue Nov'!$D$18:$D$48)</f>
        <v>0</v>
      </c>
      <c r="AE38" s="1344">
        <v>0</v>
      </c>
      <c r="AF38" s="1338">
        <f t="shared" si="45"/>
        <v>0</v>
      </c>
      <c r="AG38" s="581">
        <f>+Décembre!AT8</f>
        <v>1</v>
      </c>
      <c r="AL38" s="2494"/>
      <c r="AM38" s="2494"/>
      <c r="AN38" s="2495"/>
      <c r="AO38" s="2494"/>
      <c r="AP38" s="2494"/>
      <c r="AQ38" s="2494"/>
      <c r="BA38" s="349" t="str">
        <f t="shared" si="16"/>
        <v>Fiche infoA7</v>
      </c>
      <c r="BB38" s="107">
        <f t="shared" si="31"/>
        <v>46012</v>
      </c>
      <c r="BC38" s="172">
        <f>+$D$13+20</f>
        <v>46012</v>
      </c>
      <c r="BD38" s="173" t="str">
        <f t="shared" si="32"/>
        <v/>
      </c>
      <c r="BE38" s="173" t="str">
        <f>+IF(OR(BF38=S.CAL!$BJ$3,BF38=S.CAL!$BJ$4),BD38,"")</f>
        <v/>
      </c>
      <c r="BF38" s="351">
        <f>IF($DY$5=S.CAL!$CU$2,Décembre!AR40,IF($DY$5=S.CAL!$CU$3,VLOOKUP(BC38,planning_fp,7,FALSE),""))</f>
        <v>0</v>
      </c>
      <c r="BG38" s="363" t="str">
        <f>Décembre!BL40</f>
        <v>A</v>
      </c>
      <c r="BH38" s="373"/>
      <c r="BI38" s="373"/>
      <c r="BJ38" s="373"/>
      <c r="BK38" s="373"/>
      <c r="BL38" s="35"/>
      <c r="BO38" s="29"/>
      <c r="BP38" s="34"/>
      <c r="BS38" s="191"/>
      <c r="BT38" s="191"/>
      <c r="BV38" s="373"/>
      <c r="BW38" s="373"/>
      <c r="BX38" s="373"/>
      <c r="BY38" s="373"/>
      <c r="BZ38" s="373"/>
      <c r="CA38" s="373"/>
      <c r="CB38" s="373"/>
      <c r="CD38" s="346"/>
      <c r="CE38" s="107">
        <f t="shared" si="33"/>
        <v>46012</v>
      </c>
      <c r="CF38" s="172">
        <f>+$D$13+20</f>
        <v>46012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46012</v>
      </c>
      <c r="EM38" s="16" t="str">
        <f t="shared" si="29"/>
        <v>Fiche infoA746012</v>
      </c>
      <c r="EN38" s="16">
        <f t="shared" si="20"/>
        <v>0</v>
      </c>
      <c r="EQ38" s="16" t="str">
        <f>Décembre!FS40</f>
        <v/>
      </c>
    </row>
    <row r="39" spans="1:147" ht="18" customHeight="1" x14ac:dyDescent="0.2">
      <c r="A39" s="24" t="str">
        <f>+Décembre!BJ41</f>
        <v>Fiche infoA1</v>
      </c>
      <c r="B39" s="107">
        <f t="shared" si="30"/>
        <v>46013</v>
      </c>
      <c r="C39" s="172">
        <f>+$D$13+21</f>
        <v>46013</v>
      </c>
      <c r="D39" s="173" t="str">
        <f>IF(AND(EQ39&lt;&gt;"",$DZ$5=S.CAL!$CU$2),EQ39,IF(IFERROR(IF($DY$5=S.CAL!$CU$3,ROUND(EN39,2),ROUND(EQ39,2)),"")&lt;&gt;0,IFERROR(IF($DY$5=S.CAL!$CU$3,ROUND(EN39,2),ROUND(EQ39,2)),""),""))</f>
        <v/>
      </c>
      <c r="E39" s="173" t="str">
        <f>IFERROR(+IF(AND(F39="",$DY$5=S.CAL!$CU$2,J39="OUI"),IFERROR(ROUND(I39,2),""),IF(AND(F39="",$DY$5=S.CAL!$CU$3,L39="oui"),ROUND(K39,2),IF(F39="","",ROUND(F39,2)))),"")</f>
        <v/>
      </c>
      <c r="F39" s="974"/>
      <c r="G39" s="1010"/>
      <c r="H39" s="27" t="str">
        <f t="shared" si="14"/>
        <v>A</v>
      </c>
      <c r="I39" s="34">
        <f>Décembre!BC41</f>
        <v>0</v>
      </c>
      <c r="J39" s="34">
        <f>Décembre!BE41</f>
        <v>0</v>
      </c>
      <c r="K39" s="34">
        <f t="shared" si="15"/>
        <v>0</v>
      </c>
      <c r="L39" s="34" t="str">
        <f t="shared" si="21"/>
        <v/>
      </c>
      <c r="N39" s="395"/>
      <c r="O39" s="486"/>
      <c r="P39" s="487" t="str">
        <f>+E10&amp;" / ( "&amp;E10&amp;" + "&amp;E11&amp;" ) ="</f>
        <v>0 / ( 0 + 0 ) =</v>
      </c>
      <c r="Q39" s="486" t="e">
        <f>ROUND(+E10/(E11+E10),6)</f>
        <v>#DIV/0!</v>
      </c>
      <c r="R39" s="395"/>
      <c r="U39" s="1323" t="str">
        <f>+Décembre!AU9</f>
        <v>A</v>
      </c>
      <c r="V39" s="1323"/>
      <c r="W39" s="2482" t="str">
        <f>Décembre!BS33</f>
        <v xml:space="preserve">Semaine numéro : </v>
      </c>
      <c r="X39" s="2482"/>
      <c r="Y39" s="2482"/>
      <c r="Z39" s="1345" t="str">
        <f>IF(Décembre!BY33="","",Décembre!BY33)</f>
        <v/>
      </c>
      <c r="AA39" s="1338">
        <f t="shared" si="46"/>
        <v>0</v>
      </c>
      <c r="AB39" s="1338">
        <f t="shared" si="44"/>
        <v>0</v>
      </c>
      <c r="AC39" s="1344">
        <f>+SUMIF(Décembre!$BK$20:$BK$50,Décembre!AT9,$D$18:$D$48)</f>
        <v>0</v>
      </c>
      <c r="AD39" s="1344">
        <f>+SUMIF(Novembre!$BK$20:$BK$50,Décembre!AT9,'Retenue Nov'!$D$18:$D$48)</f>
        <v>0</v>
      </c>
      <c r="AE39" s="1344">
        <v>0</v>
      </c>
      <c r="AF39" s="1338">
        <f t="shared" si="45"/>
        <v>0</v>
      </c>
      <c r="AG39" s="581" t="str">
        <f>+Décembre!AT9</f>
        <v/>
      </c>
      <c r="AJ39" s="1211"/>
      <c r="AK39" s="1211" t="s">
        <v>321</v>
      </c>
      <c r="AL39" s="581">
        <f>+SUMIF(H18:H48,"A",E18:E48)</f>
        <v>0</v>
      </c>
      <c r="AM39" s="1335">
        <f t="shared" ref="AM39:AM46" si="47">+AR13</f>
        <v>0</v>
      </c>
      <c r="AN39" s="2497">
        <v>0</v>
      </c>
      <c r="AO39" s="1224">
        <f>+IF(AM39&gt;0,AL39*AL26/AM39,0)</f>
        <v>0</v>
      </c>
      <c r="AP39" s="1224">
        <f t="shared" ref="AP39:AP46" si="48">+AO39*(1-AX13)</f>
        <v>0</v>
      </c>
      <c r="AQ39" s="1224">
        <f>+AO39-AP39</f>
        <v>0</v>
      </c>
      <c r="BA39" s="349" t="str">
        <f t="shared" si="16"/>
        <v>Fiche infoA1</v>
      </c>
      <c r="BB39" s="107">
        <f t="shared" si="31"/>
        <v>46013</v>
      </c>
      <c r="BC39" s="172">
        <f>+$D$13+21</f>
        <v>46013</v>
      </c>
      <c r="BD39" s="173" t="str">
        <f t="shared" si="32"/>
        <v/>
      </c>
      <c r="BE39" s="173" t="str">
        <f>+IF(OR(BF39=S.CAL!$BJ$3,BF39=S.CAL!$BJ$4),BD39,"")</f>
        <v/>
      </c>
      <c r="BF39" s="351">
        <f>IF($DY$5=S.CAL!$CU$2,Décembre!AR41,IF($DY$5=S.CAL!$CU$3,VLOOKUP(BC39,planning_fp,7,FALSE),""))</f>
        <v>0</v>
      </c>
      <c r="BG39" s="363" t="str">
        <f>Décembre!BL41</f>
        <v>A</v>
      </c>
      <c r="BH39" s="374"/>
      <c r="BI39" s="376"/>
      <c r="BJ39" s="373"/>
      <c r="BK39" s="373"/>
      <c r="BL39" s="35"/>
      <c r="BM39" s="197"/>
      <c r="BN39" s="19"/>
      <c r="BO39" s="39"/>
      <c r="BP39" s="195"/>
      <c r="BS39" s="95" t="s">
        <v>1477</v>
      </c>
      <c r="BT39" s="196">
        <f>ROUND(SUM(BS28:BS35),2)</f>
        <v>0</v>
      </c>
      <c r="BV39" s="373"/>
      <c r="BW39" s="373"/>
      <c r="BX39" s="389"/>
      <c r="BY39" s="373"/>
      <c r="BZ39" s="373"/>
      <c r="CA39" s="374" t="s">
        <v>1477</v>
      </c>
      <c r="CB39" s="390">
        <f>ROUND(SUM(CA28:CA35),2)</f>
        <v>0</v>
      </c>
      <c r="CD39" s="346"/>
      <c r="CE39" s="107">
        <f t="shared" si="33"/>
        <v>46013</v>
      </c>
      <c r="CF39" s="172">
        <f>+$D$13+21</f>
        <v>46013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46013</v>
      </c>
      <c r="EM39" s="16" t="str">
        <f t="shared" si="29"/>
        <v>Fiche infoA146013</v>
      </c>
      <c r="EN39" s="16">
        <f t="shared" si="20"/>
        <v>0</v>
      </c>
      <c r="EQ39" s="16" t="str">
        <f>Décembre!FS41</f>
        <v/>
      </c>
    </row>
    <row r="40" spans="1:147" ht="18" customHeight="1" x14ac:dyDescent="0.2">
      <c r="A40" s="24" t="str">
        <f>+Décembre!BJ42</f>
        <v>Fiche infoA2</v>
      </c>
      <c r="B40" s="107">
        <f t="shared" si="30"/>
        <v>46014</v>
      </c>
      <c r="C40" s="172">
        <f>+$D$13+22</f>
        <v>46014</v>
      </c>
      <c r="D40" s="173" t="str">
        <f>IF(AND(EQ40&lt;&gt;"",$DZ$5=S.CAL!$CU$2),EQ40,IF(IFERROR(IF($DY$5=S.CAL!$CU$3,ROUND(EN40,2),ROUND(EQ40,2)),"")&lt;&gt;0,IFERROR(IF($DY$5=S.CAL!$CU$3,ROUND(EN40,2),ROUND(EQ40,2)),""),""))</f>
        <v/>
      </c>
      <c r="E40" s="173" t="str">
        <f>IFERROR(+IF(AND(F40="",$DY$5=S.CAL!$CU$2,J40="OUI"),IFERROR(ROUND(I40,2),""),IF(AND(F40="",$DY$5=S.CAL!$CU$3,L40="oui"),ROUND(K40,2),IF(F40="","",ROUND(F40,2)))),"")</f>
        <v/>
      </c>
      <c r="F40" s="974"/>
      <c r="G40" s="1010"/>
      <c r="H40" s="27" t="str">
        <f t="shared" si="14"/>
        <v>A</v>
      </c>
      <c r="I40" s="34">
        <f>Décembre!BC42</f>
        <v>0</v>
      </c>
      <c r="J40" s="34">
        <f>Décembre!BE42</f>
        <v>0</v>
      </c>
      <c r="K40" s="34">
        <f t="shared" si="15"/>
        <v>0</v>
      </c>
      <c r="L40" s="34" t="str">
        <f t="shared" si="21"/>
        <v/>
      </c>
      <c r="N40" s="395"/>
      <c r="T40" s="1344"/>
      <c r="U40" s="1344"/>
      <c r="V40" s="1344"/>
      <c r="W40" s="1344"/>
      <c r="X40" s="1344"/>
      <c r="Y40" s="1344"/>
      <c r="Z40" s="1344"/>
      <c r="AA40" s="1346" t="str">
        <f>Février!BZ34</f>
        <v>Total :</v>
      </c>
      <c r="AB40" s="1330">
        <f>SUM(AB34:AB39)</f>
        <v>0</v>
      </c>
      <c r="AC40" s="1344"/>
      <c r="AD40" s="1344"/>
      <c r="AE40" s="1344"/>
      <c r="AF40" s="1330">
        <f>SUM(AF34:AF39)</f>
        <v>0</v>
      </c>
      <c r="AJ40" s="1211"/>
      <c r="AK40" s="1211" t="s">
        <v>322</v>
      </c>
      <c r="AL40" s="581">
        <f>+SUMIF(H18:H48,"B",E18:E48)</f>
        <v>0</v>
      </c>
      <c r="AM40" s="1335">
        <f t="shared" si="47"/>
        <v>0</v>
      </c>
      <c r="AN40" s="2497"/>
      <c r="AO40" s="1224">
        <f>+IF(AM40&gt;0,AL40*AL26/AM40,0)</f>
        <v>0</v>
      </c>
      <c r="AP40" s="1224">
        <f t="shared" si="48"/>
        <v>0</v>
      </c>
      <c r="AQ40" s="1224">
        <f t="shared" ref="AQ40:AQ46" si="49">+AO40-AP40</f>
        <v>0</v>
      </c>
      <c r="BA40" s="349" t="str">
        <f t="shared" si="16"/>
        <v>Fiche infoA2</v>
      </c>
      <c r="BB40" s="107">
        <f t="shared" si="31"/>
        <v>46014</v>
      </c>
      <c r="BC40" s="172">
        <f>+$D$13+22</f>
        <v>46014</v>
      </c>
      <c r="BD40" s="173" t="str">
        <f t="shared" si="32"/>
        <v/>
      </c>
      <c r="BE40" s="173" t="str">
        <f>+IF(OR(BF40=S.CAL!$BJ$3,BF40=S.CAL!$BJ$4),BD40,"")</f>
        <v/>
      </c>
      <c r="BF40" s="351">
        <f>IF($DY$5=S.CAL!$CU$2,Décembre!AR42,IF($DY$5=S.CAL!$CU$3,VLOOKUP(BC40,planning_fp,7,FALSE),""))</f>
        <v>0</v>
      </c>
      <c r="BG40" s="363" t="str">
        <f>Décembre!BL42</f>
        <v>A</v>
      </c>
      <c r="BH40" s="373"/>
      <c r="BI40" s="373"/>
      <c r="BJ40" s="373"/>
      <c r="BK40" s="373"/>
      <c r="BL40" s="35"/>
      <c r="BN40" s="19"/>
      <c r="BO40" s="39"/>
      <c r="BP40" s="196"/>
      <c r="BV40" s="373"/>
      <c r="BW40" s="373"/>
      <c r="BX40" s="390"/>
      <c r="BY40" s="373"/>
      <c r="BZ40" s="373"/>
      <c r="CA40" s="373"/>
      <c r="CB40" s="373"/>
      <c r="CD40" s="346"/>
      <c r="CE40" s="107">
        <f t="shared" si="33"/>
        <v>46014</v>
      </c>
      <c r="CF40" s="172">
        <f>+$D$13+22</f>
        <v>46014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46014</v>
      </c>
      <c r="EM40" s="16" t="str">
        <f t="shared" si="29"/>
        <v>Fiche infoA246014</v>
      </c>
      <c r="EN40" s="16">
        <f t="shared" si="20"/>
        <v>0</v>
      </c>
      <c r="EQ40" s="16" t="str">
        <f>Décembre!FS42</f>
        <v/>
      </c>
    </row>
    <row r="41" spans="1:147" ht="18" customHeight="1" x14ac:dyDescent="0.2">
      <c r="A41" s="24" t="str">
        <f>+Décembre!BJ43</f>
        <v>Fiche infoA3</v>
      </c>
      <c r="B41" s="107">
        <f t="shared" si="30"/>
        <v>46015</v>
      </c>
      <c r="C41" s="172">
        <f>+$D$13+23</f>
        <v>46015</v>
      </c>
      <c r="D41" s="173" t="str">
        <f>IF(AND(EQ41&lt;&gt;"",$DZ$5=S.CAL!$CU$2),EQ41,IF(IFERROR(IF($DY$5=S.CAL!$CU$3,ROUND(EN41,2),ROUND(EQ41,2)),"")&lt;&gt;0,IFERROR(IF($DY$5=S.CAL!$CU$3,ROUND(EN41,2),ROUND(EQ41,2)),""),""))</f>
        <v/>
      </c>
      <c r="E41" s="173" t="str">
        <f>IFERROR(+IF(AND(F41="",$DY$5=S.CAL!$CU$2,J41="OUI"),IFERROR(ROUND(I41,2),""),IF(AND(F41="",$DY$5=S.CAL!$CU$3,L41="oui"),ROUND(K41,2),IF(F41="","",ROUND(F41,2)))),"")</f>
        <v/>
      </c>
      <c r="F41" s="974"/>
      <c r="G41" s="1010"/>
      <c r="H41" s="27" t="str">
        <f t="shared" si="14"/>
        <v>A</v>
      </c>
      <c r="I41" s="34">
        <f>Décembre!BC43</f>
        <v>0</v>
      </c>
      <c r="J41" s="34">
        <f>Décembre!BE43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11"/>
      <c r="AK41" s="1211" t="s">
        <v>323</v>
      </c>
      <c r="AL41" s="581">
        <f>+SUMIF(H18:H48,"C",E18:E48)</f>
        <v>0</v>
      </c>
      <c r="AM41" s="1335">
        <f t="shared" si="47"/>
        <v>0</v>
      </c>
      <c r="AN41" s="2497"/>
      <c r="AO41" s="1224">
        <f>+IF(AM41&gt;0,AL41*AL26/AM41,0)</f>
        <v>0</v>
      </c>
      <c r="AP41" s="1224">
        <f t="shared" si="48"/>
        <v>0</v>
      </c>
      <c r="AQ41" s="1224">
        <f t="shared" si="49"/>
        <v>0</v>
      </c>
      <c r="BA41" s="349" t="str">
        <f t="shared" si="16"/>
        <v>Fiche infoA3</v>
      </c>
      <c r="BB41" s="107">
        <f t="shared" si="31"/>
        <v>46015</v>
      </c>
      <c r="BC41" s="172">
        <f>+$D$13+23</f>
        <v>46015</v>
      </c>
      <c r="BD41" s="173" t="str">
        <f t="shared" si="32"/>
        <v/>
      </c>
      <c r="BE41" s="173" t="str">
        <f>+IF(OR(BF41=S.CAL!$BJ$3,BF41=S.CAL!$BJ$4),BD41,"")</f>
        <v/>
      </c>
      <c r="BF41" s="351">
        <f>IF($DY$5=S.CAL!$CU$2,Décembre!AR43,IF($DY$5=S.CAL!$CU$3,VLOOKUP(BC41,planning_fp,7,FALSE),""))</f>
        <v>0</v>
      </c>
      <c r="BG41" s="363" t="str">
        <f>Décembre!BL43</f>
        <v>A</v>
      </c>
      <c r="BH41" s="373"/>
      <c r="BI41" s="373"/>
      <c r="BJ41" s="373"/>
      <c r="BK41" s="373"/>
      <c r="BL41" s="35"/>
      <c r="BS41" s="29" t="s">
        <v>845</v>
      </c>
      <c r="BT41" s="196">
        <f>ROUND(SUM(BT28:BT35),2)</f>
        <v>0</v>
      </c>
      <c r="BV41" s="373"/>
      <c r="BW41" s="373"/>
      <c r="BX41" s="373"/>
      <c r="BY41" s="373"/>
      <c r="BZ41" s="373"/>
      <c r="CA41" s="374" t="s">
        <v>845</v>
      </c>
      <c r="CB41" s="390">
        <f>ROUND(SUM(CB28:CB35),2)</f>
        <v>0</v>
      </c>
      <c r="CD41" s="346"/>
      <c r="CE41" s="107">
        <f t="shared" si="33"/>
        <v>46015</v>
      </c>
      <c r="CF41" s="172">
        <f>+$D$13+23</f>
        <v>46015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46015</v>
      </c>
      <c r="EM41" s="16" t="str">
        <f t="shared" si="29"/>
        <v>Fiche infoA346015</v>
      </c>
      <c r="EN41" s="16">
        <f t="shared" si="20"/>
        <v>0</v>
      </c>
      <c r="EQ41" s="16" t="str">
        <f>Décembre!FS43</f>
        <v/>
      </c>
    </row>
    <row r="42" spans="1:147" ht="18" customHeight="1" x14ac:dyDescent="0.2">
      <c r="A42" s="24" t="str">
        <f>+Décembre!BJ44</f>
        <v>Fiche infoA4</v>
      </c>
      <c r="B42" s="107">
        <f t="shared" si="30"/>
        <v>46016</v>
      </c>
      <c r="C42" s="172">
        <f>+$D$13+24</f>
        <v>46016</v>
      </c>
      <c r="D42" s="173" t="str">
        <f>IF(AND(EQ42&lt;&gt;"",$DZ$5=S.CAL!$CU$2),EQ42,IF(IFERROR(IF($DY$5=S.CAL!$CU$3,ROUND(EN42,2),ROUND(EQ42,2)),"")&lt;&gt;0,IFERROR(IF($DY$5=S.CAL!$CU$3,ROUND(EN42,2),ROUND(EQ42,2)),""),""))</f>
        <v/>
      </c>
      <c r="E42" s="173" t="str">
        <f>IFERROR(+IF(AND(F42="",$DY$5=S.CAL!$CU$2,J42="OUI"),IFERROR(ROUND(I42,2),""),IF(AND(F42="",$DY$5=S.CAL!$CU$3,L42="oui"),ROUND(K42,2),IF(F42="","",ROUND(F42,2)))),"")</f>
        <v/>
      </c>
      <c r="F42" s="974"/>
      <c r="G42" s="1010"/>
      <c r="H42" s="27" t="str">
        <f t="shared" si="14"/>
        <v>A</v>
      </c>
      <c r="I42" s="34">
        <f>Décembre!BC44</f>
        <v>0</v>
      </c>
      <c r="J42" s="34">
        <f>Décembre!BE44</f>
        <v>0</v>
      </c>
      <c r="K42" s="34">
        <f t="shared" si="15"/>
        <v>0</v>
      </c>
      <c r="L42" s="34" t="str">
        <f t="shared" si="21"/>
        <v/>
      </c>
      <c r="N42" s="395"/>
      <c r="P42" s="29" t="e">
        <f>+IF(ED1=S.CAL!EP1,+E50&amp;" hrs x "&amp;Q39&amp;" =",E10&amp;" hrs X "&amp;E50&amp;" hrs / "&amp;D50&amp;" hrs =")</f>
        <v>#DIV/0!</v>
      </c>
      <c r="Q42" s="691" t="e">
        <f>+IF(ED1=S.CAL!EP1,+ROUND(E50*Q39,2),ROUND(E10*E50/D50,3))</f>
        <v>#DIV/0!</v>
      </c>
      <c r="AB42" s="1211" t="s">
        <v>1252</v>
      </c>
      <c r="AC42" s="1330">
        <f>+SUMIF(AG34:AG39,Décembre!CB35,'Retenue Déc'!AC34:AC39)</f>
        <v>0</v>
      </c>
      <c r="AJ42" s="1211"/>
      <c r="AK42" s="1211" t="s">
        <v>324</v>
      </c>
      <c r="AL42" s="581">
        <f>+SUMIF(H18:H48,"D",E18:E48)</f>
        <v>0</v>
      </c>
      <c r="AM42" s="1335">
        <f t="shared" si="47"/>
        <v>0</v>
      </c>
      <c r="AN42" s="2497"/>
      <c r="AO42" s="1224">
        <f>+IF(AM42&gt;0,AL42*AL26/AM42,0)</f>
        <v>0</v>
      </c>
      <c r="AP42" s="1224">
        <f t="shared" si="48"/>
        <v>0</v>
      </c>
      <c r="AQ42" s="1224">
        <f t="shared" si="49"/>
        <v>0</v>
      </c>
      <c r="BA42" s="349" t="str">
        <f t="shared" si="16"/>
        <v>Fiche infoA4</v>
      </c>
      <c r="BB42" s="107">
        <f t="shared" si="31"/>
        <v>46016</v>
      </c>
      <c r="BC42" s="172">
        <f>+$D$13+24</f>
        <v>46016</v>
      </c>
      <c r="BD42" s="173" t="str">
        <f t="shared" si="32"/>
        <v/>
      </c>
      <c r="BE42" s="173" t="str">
        <f>+IF(OR(BF42=S.CAL!$BJ$3,BF42=S.CAL!$BJ$4),BD42,"")</f>
        <v/>
      </c>
      <c r="BF42" s="351">
        <f>IF($DY$5=S.CAL!$CU$2,Décembre!AR44,IF($DY$5=S.CAL!$CU$3,VLOOKUP(BC42,planning_fp,7,FALSE),""))</f>
        <v>0</v>
      </c>
      <c r="BG42" s="363" t="str">
        <f>Décembre!BL44</f>
        <v>A</v>
      </c>
      <c r="BH42" s="374"/>
      <c r="BI42" s="376"/>
      <c r="BJ42" s="373"/>
      <c r="BK42" s="373"/>
      <c r="BL42" s="35"/>
      <c r="BV42" s="373"/>
      <c r="BW42" s="373"/>
      <c r="BX42" s="373"/>
      <c r="BY42" s="373"/>
      <c r="BZ42" s="373"/>
      <c r="CA42" s="373"/>
      <c r="CB42" s="373"/>
      <c r="CD42" s="346"/>
      <c r="CE42" s="107">
        <f t="shared" si="33"/>
        <v>46016</v>
      </c>
      <c r="CF42" s="172">
        <f>+$D$13+24</f>
        <v>46016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46016</v>
      </c>
      <c r="EM42" s="16" t="str">
        <f t="shared" si="29"/>
        <v>Fiche infoA446016</v>
      </c>
      <c r="EN42" s="16">
        <f t="shared" si="20"/>
        <v>0</v>
      </c>
      <c r="EQ42" s="16" t="str">
        <f>Décembre!FS44</f>
        <v/>
      </c>
    </row>
    <row r="43" spans="1:147" ht="18" customHeight="1" x14ac:dyDescent="0.2">
      <c r="A43" s="24" t="str">
        <f>+Décembre!BJ45</f>
        <v>Fiche infoA5</v>
      </c>
      <c r="B43" s="107">
        <f t="shared" si="30"/>
        <v>46017</v>
      </c>
      <c r="C43" s="172">
        <f>+$D$13+25</f>
        <v>46017</v>
      </c>
      <c r="D43" s="173" t="str">
        <f>IF(AND(EQ43&lt;&gt;"",$DZ$5=S.CAL!$CU$2),EQ43,IF(IFERROR(IF($DY$5=S.CAL!$CU$3,ROUND(EN43,2),ROUND(EQ43,2)),"")&lt;&gt;0,IFERROR(IF($DY$5=S.CAL!$CU$3,ROUND(EN43,2),ROUND(EQ43,2)),""),""))</f>
        <v/>
      </c>
      <c r="E43" s="173" t="str">
        <f>IFERROR(+IF(AND(F43="",$DY$5=S.CAL!$CU$2,J43="OUI"),IFERROR(ROUND(I43,2),""),IF(AND(F43="",$DY$5=S.CAL!$CU$3,L43="oui"),ROUND(K43,2),IF(F43="","",ROUND(F43,2)))),"")</f>
        <v/>
      </c>
      <c r="F43" s="974"/>
      <c r="G43" s="1010"/>
      <c r="H43" s="27" t="str">
        <f t="shared" si="14"/>
        <v>A</v>
      </c>
      <c r="I43" s="34">
        <f>Décembre!BC45</f>
        <v>0</v>
      </c>
      <c r="J43" s="34">
        <f>Décembre!BE45</f>
        <v>0</v>
      </c>
      <c r="K43" s="34">
        <f t="shared" si="15"/>
        <v>0</v>
      </c>
      <c r="L43" s="34" t="str">
        <f t="shared" si="21"/>
        <v/>
      </c>
      <c r="N43" s="395"/>
      <c r="O43" s="395"/>
      <c r="P43" s="395"/>
      <c r="Q43" s="395"/>
      <c r="R43" s="395"/>
      <c r="AJ43" s="1211"/>
      <c r="AK43" s="1211" t="s">
        <v>325</v>
      </c>
      <c r="AL43" s="581">
        <f>+SUMIF(H18:H48,"E",E18:E48)</f>
        <v>0</v>
      </c>
      <c r="AM43" s="1335">
        <f t="shared" si="47"/>
        <v>0</v>
      </c>
      <c r="AN43" s="2497"/>
      <c r="AO43" s="1224">
        <f>+IF(AM43&gt;0,AL43*AL26/AM43,0)</f>
        <v>0</v>
      </c>
      <c r="AP43" s="1224">
        <f t="shared" si="48"/>
        <v>0</v>
      </c>
      <c r="AQ43" s="1224">
        <f t="shared" si="49"/>
        <v>0</v>
      </c>
      <c r="BA43" s="349" t="str">
        <f t="shared" si="16"/>
        <v>Fiche infoA5</v>
      </c>
      <c r="BB43" s="107">
        <f t="shared" si="31"/>
        <v>46017</v>
      </c>
      <c r="BC43" s="172">
        <f>+$D$13+25</f>
        <v>46017</v>
      </c>
      <c r="BD43" s="173" t="str">
        <f t="shared" si="32"/>
        <v/>
      </c>
      <c r="BE43" s="173" t="str">
        <f>+IF(OR(BF43=S.CAL!$BJ$3,BF43=S.CAL!$BJ$4),BD43,"")</f>
        <v/>
      </c>
      <c r="BF43" s="351">
        <f>IF($DY$5=S.CAL!$CU$2,Décembre!AR45,IF($DY$5=S.CAL!$CU$3,VLOOKUP(BC43,planning_fp,7,FALSE),""))</f>
        <v>0</v>
      </c>
      <c r="BG43" s="363" t="str">
        <f>Décembre!BL45</f>
        <v>A</v>
      </c>
      <c r="BH43" s="24"/>
      <c r="BI43" s="24" t="s">
        <v>708</v>
      </c>
      <c r="BJ43" s="24"/>
      <c r="BK43" s="373"/>
      <c r="BL43" s="35"/>
      <c r="BV43" s="373"/>
      <c r="BW43" s="373"/>
      <c r="BX43" s="373"/>
      <c r="BY43" s="373"/>
      <c r="BZ43" s="373"/>
      <c r="CA43" s="373"/>
      <c r="CB43" s="373"/>
      <c r="CD43" s="346"/>
      <c r="CE43" s="107">
        <f t="shared" si="33"/>
        <v>46017</v>
      </c>
      <c r="CF43" s="172">
        <f>+$D$13+25</f>
        <v>46017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46017</v>
      </c>
      <c r="EM43" s="16" t="str">
        <f t="shared" si="29"/>
        <v>Fiche infoA546017</v>
      </c>
      <c r="EN43" s="16">
        <f t="shared" si="20"/>
        <v>0</v>
      </c>
      <c r="EQ43" s="16" t="str">
        <f>Décembre!FS45</f>
        <v/>
      </c>
    </row>
    <row r="44" spans="1:147" ht="18" customHeight="1" x14ac:dyDescent="0.25">
      <c r="A44" s="24" t="str">
        <f>+Décembre!BJ46</f>
        <v>Fiche infoA6</v>
      </c>
      <c r="B44" s="107">
        <f t="shared" si="30"/>
        <v>46018</v>
      </c>
      <c r="C44" s="172">
        <f>+$D$13+26</f>
        <v>46018</v>
      </c>
      <c r="D44" s="173" t="str">
        <f>IF(AND(EQ44&lt;&gt;"",$DZ$5=S.CAL!$CU$2),EQ44,IF(IFERROR(IF($DY$5=S.CAL!$CU$3,ROUND(EN44,2),ROUND(EQ44,2)),"")&lt;&gt;0,IFERROR(IF($DY$5=S.CAL!$CU$3,ROUND(EN44,2),ROUND(EQ44,2)),""),""))</f>
        <v/>
      </c>
      <c r="E44" s="173" t="str">
        <f>IFERROR(+IF(AND(F44="",$DY$5=S.CAL!$CU$2,J44="OUI"),IFERROR(ROUND(I44,2),""),IF(AND(F44="",$DY$5=S.CAL!$CU$3,L44="oui"),ROUND(K44,2),IF(F44="","",ROUND(F44,2)))),"")</f>
        <v/>
      </c>
      <c r="F44" s="974"/>
      <c r="G44" s="1010"/>
      <c r="H44" s="27" t="str">
        <f t="shared" si="14"/>
        <v>A</v>
      </c>
      <c r="I44" s="34">
        <f>Décembre!BC46</f>
        <v>0</v>
      </c>
      <c r="J44" s="34">
        <f>Décembre!BE46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5" t="s">
        <v>1234</v>
      </c>
      <c r="AJ44" s="1211"/>
      <c r="AK44" s="1211" t="s">
        <v>326</v>
      </c>
      <c r="AL44" s="581">
        <f>+SUMIF(H18:H48,"F",E18:E48)</f>
        <v>0</v>
      </c>
      <c r="AM44" s="1335">
        <f t="shared" si="47"/>
        <v>0</v>
      </c>
      <c r="AN44" s="2497"/>
      <c r="AO44" s="1224">
        <f>+IF(AM44&gt;0,AL44*AL26/AM44,0)</f>
        <v>0</v>
      </c>
      <c r="AP44" s="1224">
        <f t="shared" si="48"/>
        <v>0</v>
      </c>
      <c r="AQ44" s="1224">
        <f t="shared" si="49"/>
        <v>0</v>
      </c>
      <c r="BA44" s="349" t="str">
        <f t="shared" si="16"/>
        <v>Fiche infoA6</v>
      </c>
      <c r="BB44" s="107">
        <f t="shared" si="31"/>
        <v>46018</v>
      </c>
      <c r="BC44" s="172">
        <f>+$D$13+26</f>
        <v>46018</v>
      </c>
      <c r="BD44" s="173" t="str">
        <f t="shared" si="32"/>
        <v/>
      </c>
      <c r="BE44" s="173" t="str">
        <f>+IF(OR(BF44=S.CAL!$BJ$3,BF44=S.CAL!$BJ$4),BD44,"")</f>
        <v/>
      </c>
      <c r="BF44" s="351">
        <f>IF($DY$5=S.CAL!$CU$2,Décembre!AR46,IF($DY$5=S.CAL!$CU$3,VLOOKUP(BC44,planning_fp,7,FALSE),""))</f>
        <v>0</v>
      </c>
      <c r="BG44" s="363" t="str">
        <f>Décembre!BL46</f>
        <v>A</v>
      </c>
      <c r="BH44" s="24" t="s">
        <v>800</v>
      </c>
      <c r="BI44" s="24"/>
      <c r="BJ44" s="24"/>
      <c r="BK44" s="373"/>
      <c r="BL44" s="35"/>
      <c r="BV44" s="373"/>
      <c r="BW44" s="373"/>
      <c r="BX44" s="373"/>
      <c r="BY44" s="373"/>
      <c r="BZ44" s="373"/>
      <c r="CA44" s="373"/>
      <c r="CB44" s="373"/>
      <c r="CD44" s="346"/>
      <c r="CE44" s="107">
        <f t="shared" si="33"/>
        <v>46018</v>
      </c>
      <c r="CF44" s="172">
        <f>+$D$13+26</f>
        <v>46018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46018</v>
      </c>
      <c r="EM44" s="16" t="str">
        <f t="shared" si="29"/>
        <v>Fiche infoA646018</v>
      </c>
      <c r="EN44" s="16">
        <f t="shared" si="20"/>
        <v>0</v>
      </c>
      <c r="EQ44" s="16" t="str">
        <f>Décembre!FS46</f>
        <v/>
      </c>
    </row>
    <row r="45" spans="1:147" ht="18" customHeight="1" x14ac:dyDescent="0.2">
      <c r="A45" s="24" t="str">
        <f>+Décembre!BJ47</f>
        <v>Fiche infoA7</v>
      </c>
      <c r="B45" s="107">
        <f t="shared" si="30"/>
        <v>46019</v>
      </c>
      <c r="C45" s="172">
        <f>IF(C$18+27&lt;DATE(YEAR(O$13),MONTH(O$13),DAY(O$13)),C$18+27,"")</f>
        <v>46019</v>
      </c>
      <c r="D45" s="173" t="str">
        <f>IF(AND(EQ45&lt;&gt;"",$DZ$5=S.CAL!$CU$2),EQ45,IF(IFERROR(IF($DY$5=S.CAL!$CU$3,ROUND(EN45,2),ROUND(EQ45,2)),"")&lt;&gt;0,IFERROR(IF($DY$5=S.CAL!$CU$3,ROUND(EN45,2),ROUND(EQ45,2)),""),""))</f>
        <v/>
      </c>
      <c r="E45" s="173" t="str">
        <f>IFERROR(+IF(AND(F45="",$DY$5=S.CAL!$CU$2,J45="OUI"),IFERROR(ROUND(I45,2),""),IF(AND(F45="",$DY$5=S.CAL!$CU$3,L45="oui"),ROUND(K45,2),IF(F45="","",ROUND(F45,2)))),"")</f>
        <v/>
      </c>
      <c r="F45" s="974"/>
      <c r="G45" s="1010"/>
      <c r="H45" s="27" t="str">
        <f t="shared" si="14"/>
        <v>A</v>
      </c>
      <c r="I45" s="34">
        <f>Décembre!BC47</f>
        <v>0</v>
      </c>
      <c r="J45" s="34">
        <f>Décembre!BE47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11"/>
      <c r="AK45" s="1211" t="s">
        <v>327</v>
      </c>
      <c r="AL45" s="581">
        <f>+SUMIF(H18:H48,"G",E18:E48)</f>
        <v>0</v>
      </c>
      <c r="AM45" s="1335">
        <f t="shared" si="47"/>
        <v>0</v>
      </c>
      <c r="AN45" s="2497"/>
      <c r="AO45" s="1224">
        <f>+IF(AM45&gt;0,AL45*AL26/AM45,0)</f>
        <v>0</v>
      </c>
      <c r="AP45" s="1224">
        <f t="shared" si="48"/>
        <v>0</v>
      </c>
      <c r="AQ45" s="1224">
        <f t="shared" si="49"/>
        <v>0</v>
      </c>
      <c r="BA45" s="349" t="str">
        <f t="shared" si="16"/>
        <v>Fiche infoA7</v>
      </c>
      <c r="BB45" s="107">
        <f t="shared" si="31"/>
        <v>46019</v>
      </c>
      <c r="BC45" s="172">
        <f>IF(BC$18+27&lt;DATE(YEAR(BH$13),MONTH(BH$13),DAY(BH$13)),BC$18+27,"")</f>
        <v>46019</v>
      </c>
      <c r="BD45" s="173" t="str">
        <f t="shared" si="32"/>
        <v/>
      </c>
      <c r="BE45" s="173" t="str">
        <f>+IF(OR(BF45=S.CAL!$BJ$3,BF45=S.CAL!$BJ$4),BD45,"")</f>
        <v/>
      </c>
      <c r="BF45" s="351">
        <f>IF($DY$5=S.CAL!$CU$2,Décembre!AR47,IF($DY$5=S.CAL!$CU$3,VLOOKUP(BC45,planning_fp,7,FALSE),""))</f>
        <v>0</v>
      </c>
      <c r="BG45" s="363" t="str">
        <f>Décembre!BL47</f>
        <v>A</v>
      </c>
      <c r="BH45" s="2498" t="str">
        <f>+ROUND(BE10,2)&amp;" X "&amp;BF52&amp;" / 26 ="</f>
        <v>0 X 0 / 26 =</v>
      </c>
      <c r="BI45" s="2499"/>
      <c r="BJ45" s="1361">
        <f>+BE10*BF52/26</f>
        <v>0</v>
      </c>
      <c r="BK45" s="373"/>
      <c r="BL45" s="35"/>
      <c r="BQ45" s="16" t="s">
        <v>1478</v>
      </c>
      <c r="BV45" s="373"/>
      <c r="BW45" s="373"/>
      <c r="BX45" s="373" t="s">
        <v>1478</v>
      </c>
      <c r="BZ45" s="373"/>
      <c r="CA45" s="373"/>
      <c r="CB45" s="373"/>
      <c r="CD45" s="346"/>
      <c r="CE45" s="107">
        <f t="shared" si="33"/>
        <v>46019</v>
      </c>
      <c r="CF45" s="172">
        <f>IF(CF$18+27&lt;DATE(YEAR(CQ$13),MONTH(CQ$13),DAY(CQ$13)),CF$18+27,"")</f>
        <v>46019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46019</v>
      </c>
      <c r="EM45" s="16" t="str">
        <f t="shared" si="29"/>
        <v>Fiche infoA746019</v>
      </c>
      <c r="EN45" s="16">
        <f t="shared" si="20"/>
        <v>0</v>
      </c>
      <c r="EQ45" s="16" t="str">
        <f>Décembre!FS47</f>
        <v/>
      </c>
    </row>
    <row r="46" spans="1:147" ht="18" customHeight="1" x14ac:dyDescent="0.2">
      <c r="A46" s="24" t="str">
        <f>+Décembre!BJ48</f>
        <v>Fiche infoA1</v>
      </c>
      <c r="B46" s="107">
        <f t="shared" si="30"/>
        <v>46020</v>
      </c>
      <c r="C46" s="172">
        <f>IF(C$18+28&lt;DATE(YEAR(O$13),MONTH(O$13),DAY(O$13)),C$18+28,"")</f>
        <v>46020</v>
      </c>
      <c r="D46" s="173" t="str">
        <f>IF(AND(EQ46&lt;&gt;"",$DZ$5=S.CAL!$CU$2),EQ46,IF(IFERROR(IF($DY$5=S.CAL!$CU$3,ROUND(EN46,2),ROUND(EQ46,2)),"")&lt;&gt;0,IFERROR(IF($DY$5=S.CAL!$CU$3,ROUND(EN46,2),ROUND(EQ46,2)),""),""))</f>
        <v/>
      </c>
      <c r="E46" s="173" t="str">
        <f>IFERROR(+IF(AND(F46="",$DY$5=S.CAL!$CU$2,J46="OUI"),IFERROR(ROUND(I46,2),""),IF(AND(F46="",$DY$5=S.CAL!$CU$3,L46="oui"),ROUND(K46,2),IF(F46="","",ROUND(F46,2)))),"")</f>
        <v/>
      </c>
      <c r="F46" s="974"/>
      <c r="G46" s="1010"/>
      <c r="H46" s="27" t="str">
        <f t="shared" si="14"/>
        <v>A</v>
      </c>
      <c r="I46" s="34">
        <f>Décembre!BC48</f>
        <v>0</v>
      </c>
      <c r="J46" s="34">
        <f>Décembre!BE48</f>
        <v>0</v>
      </c>
      <c r="K46" s="34">
        <f t="shared" si="15"/>
        <v>0</v>
      </c>
      <c r="L46" s="34" t="str">
        <f t="shared" si="21"/>
        <v/>
      </c>
      <c r="N46" s="395"/>
      <c r="O46" s="395"/>
      <c r="P46" s="395"/>
      <c r="Q46" s="395"/>
      <c r="R46" s="395"/>
      <c r="T46" s="1344"/>
      <c r="U46" s="1344"/>
      <c r="V46" s="1344"/>
      <c r="W46" s="1344"/>
      <c r="X46" s="1344"/>
      <c r="Y46" s="1322"/>
      <c r="Z46" s="2483" t="s">
        <v>1114</v>
      </c>
      <c r="AA46" s="2483" t="s">
        <v>449</v>
      </c>
      <c r="AB46" s="2483" t="s">
        <v>1115</v>
      </c>
      <c r="AC46" s="1344"/>
      <c r="AD46" s="1344"/>
      <c r="AE46" s="1344"/>
      <c r="AF46" s="2483" t="s">
        <v>1475</v>
      </c>
      <c r="AJ46" s="1211"/>
      <c r="AK46" s="1211" t="s">
        <v>328</v>
      </c>
      <c r="AL46" s="581">
        <f>+SUMIF(H18:H48,"H",E18:E48)</f>
        <v>0</v>
      </c>
      <c r="AM46" s="1335">
        <f t="shared" si="47"/>
        <v>0</v>
      </c>
      <c r="AN46" s="2497"/>
      <c r="AO46" s="1224">
        <f>+IF(AM46&gt;0,AL46*AL26/AM46,0)</f>
        <v>0</v>
      </c>
      <c r="AP46" s="1224">
        <f t="shared" si="48"/>
        <v>0</v>
      </c>
      <c r="AQ46" s="1224">
        <f t="shared" si="49"/>
        <v>0</v>
      </c>
      <c r="BA46" s="349" t="str">
        <f t="shared" si="16"/>
        <v>Fiche infoA1</v>
      </c>
      <c r="BB46" s="107">
        <f t="shared" si="31"/>
        <v>46020</v>
      </c>
      <c r="BC46" s="172">
        <f>IF(BC$18+28&lt;DATE(YEAR(BH$13),MONTH(BH$13),DAY(BH$13)),BC$18+28,"")</f>
        <v>46020</v>
      </c>
      <c r="BD46" s="173" t="str">
        <f t="shared" si="32"/>
        <v/>
      </c>
      <c r="BE46" s="173" t="str">
        <f>+IF(OR(BF46=S.CAL!$BJ$3,BF46=S.CAL!$BJ$4),BD46,"")</f>
        <v/>
      </c>
      <c r="BF46" s="351">
        <f>IF($DY$5=S.CAL!$CU$2,Décembre!AR48,IF($DY$5=S.CAL!$CU$3,VLOOKUP(BC46,planning_fp,7,FALSE),""))</f>
        <v>0</v>
      </c>
      <c r="BG46" s="363" t="str">
        <f>Décembre!BL48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46020</v>
      </c>
      <c r="CF46" s="172">
        <f>IF(CF$18+28&lt;DATE(YEAR(CQ$13),MONTH(CQ$13),DAY(CQ$13)),CF$18+28,"")</f>
        <v>46020</v>
      </c>
      <c r="CG46" s="173">
        <f t="shared" si="22"/>
        <v>0</v>
      </c>
      <c r="CH46" s="34"/>
      <c r="CI46" s="129"/>
      <c r="CJ46" s="129"/>
      <c r="CK46" s="595"/>
      <c r="CL46" s="2500" t="s">
        <v>1114</v>
      </c>
      <c r="CM46" s="2502" t="s">
        <v>449</v>
      </c>
      <c r="CN46" s="2489" t="s">
        <v>1115</v>
      </c>
      <c r="CO46" s="900"/>
      <c r="CP46" s="900"/>
      <c r="CQ46" s="900"/>
      <c r="CR46" s="2489" t="s">
        <v>1475</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46020</v>
      </c>
      <c r="EM46" s="16" t="str">
        <f t="shared" si="29"/>
        <v>Fiche infoA146020</v>
      </c>
      <c r="EN46" s="16">
        <f t="shared" si="20"/>
        <v>0</v>
      </c>
      <c r="EQ46" s="16" t="str">
        <f>Décembre!FS48</f>
        <v/>
      </c>
    </row>
    <row r="47" spans="1:147" ht="18" customHeight="1" x14ac:dyDescent="0.2">
      <c r="A47" s="24" t="str">
        <f>+Décembre!BJ49</f>
        <v>Fiche infoA2</v>
      </c>
      <c r="B47" s="107">
        <f t="shared" si="30"/>
        <v>46021</v>
      </c>
      <c r="C47" s="172">
        <f>IF(C$18+29&lt;DATE(YEAR(O$13),MONTH(O$13),DAY(O$13)),C$18+29,"")</f>
        <v>46021</v>
      </c>
      <c r="D47" s="173" t="str">
        <f>IF(AND(EQ47&lt;&gt;"",$DZ$5=S.CAL!$CU$2),EQ47,IF(IFERROR(IF($DY$5=S.CAL!$CU$3,ROUND(EN47,2),ROUND(EQ47,2)),"")&lt;&gt;0,IFERROR(IF($DY$5=S.CAL!$CU$3,ROUND(EN47,2),ROUND(EQ47,2)),""),""))</f>
        <v/>
      </c>
      <c r="E47" s="173" t="str">
        <f>IFERROR(+IF(AND(F47="",$DY$5=S.CAL!$CU$2,J47="OUI"),IFERROR(ROUND(I47,2),""),IF(AND(F47="",$DY$5=S.CAL!$CU$3,L47="oui"),ROUND(K47,2),IF(F47="","",ROUND(F47,2)))),"")</f>
        <v/>
      </c>
      <c r="F47" s="974"/>
      <c r="G47" s="1010"/>
      <c r="H47" s="27" t="str">
        <f t="shared" si="14"/>
        <v>A</v>
      </c>
      <c r="I47" s="34">
        <f>Décembre!BC49</f>
        <v>0</v>
      </c>
      <c r="J47" s="34">
        <f>Décembre!BE49</f>
        <v>0</v>
      </c>
      <c r="K47" s="34">
        <f t="shared" si="15"/>
        <v>0</v>
      </c>
      <c r="L47" s="34" t="str">
        <f t="shared" si="21"/>
        <v/>
      </c>
      <c r="N47" s="395"/>
      <c r="O47" s="395"/>
      <c r="P47" s="395"/>
      <c r="Q47" s="395"/>
      <c r="R47" s="395"/>
      <c r="S47" s="1347"/>
      <c r="T47" s="1344"/>
      <c r="U47" s="1344"/>
      <c r="V47" s="1344"/>
      <c r="W47" s="1344"/>
      <c r="X47" s="1344"/>
      <c r="Y47" s="1322"/>
      <c r="Z47" s="2483"/>
      <c r="AA47" s="2483"/>
      <c r="AB47" s="2483"/>
      <c r="AC47" s="1344" t="s">
        <v>1111</v>
      </c>
      <c r="AD47" s="1344" t="s">
        <v>1112</v>
      </c>
      <c r="AE47" s="1344" t="s">
        <v>1113</v>
      </c>
      <c r="AF47" s="2483"/>
      <c r="AG47" s="581" t="s">
        <v>1249</v>
      </c>
      <c r="AO47" s="1224">
        <f>SUM(AO39:AO46)</f>
        <v>0</v>
      </c>
      <c r="AP47" s="1224">
        <f t="shared" ref="AP47:AQ47" si="51">SUM(AP39:AP46)</f>
        <v>0</v>
      </c>
      <c r="AQ47" s="1224">
        <f t="shared" si="51"/>
        <v>0</v>
      </c>
      <c r="BA47" s="349" t="str">
        <f t="shared" si="16"/>
        <v>Fiche infoA2</v>
      </c>
      <c r="BB47" s="107">
        <f t="shared" si="31"/>
        <v>46021</v>
      </c>
      <c r="BC47" s="172">
        <f>IF(BC$18+29&lt;DATE(YEAR(BH$13),MONTH(BH$13),DAY(BH$13)),BC$18+29,"")</f>
        <v>46021</v>
      </c>
      <c r="BD47" s="173" t="str">
        <f t="shared" si="32"/>
        <v/>
      </c>
      <c r="BE47" s="173" t="str">
        <f>+IF(OR(BF47=S.CAL!$BJ$3,BF47=S.CAL!$BJ$4),BD47,"")</f>
        <v/>
      </c>
      <c r="BF47" s="351">
        <f>IF($DY$5=S.CAL!$CU$2,Décembre!AR49,IF($DY$5=S.CAL!$CU$3,VLOOKUP(BC47,planning_fp,7,FALSE),""))</f>
        <v>0</v>
      </c>
      <c r="BG47" s="363" t="str">
        <f>Décembre!BL49</f>
        <v>A</v>
      </c>
      <c r="BH47" s="373"/>
      <c r="BI47" s="373"/>
      <c r="BJ47" s="373"/>
      <c r="BK47" s="373"/>
      <c r="BL47" s="35"/>
      <c r="BV47" s="373"/>
      <c r="BW47" s="373"/>
      <c r="BX47" s="373"/>
      <c r="BY47" s="373"/>
      <c r="BZ47" s="373"/>
      <c r="CA47" s="373"/>
      <c r="CB47" s="373"/>
      <c r="CD47" s="346"/>
      <c r="CE47" s="107">
        <f t="shared" si="33"/>
        <v>46021</v>
      </c>
      <c r="CF47" s="172">
        <f>IF(CF$18+29&lt;DATE(YEAR(CQ$13),MONTH(CQ$13),DAY(CQ$13)),CF$18+29,"")</f>
        <v>46021</v>
      </c>
      <c r="CG47" s="173">
        <f t="shared" si="22"/>
        <v>0</v>
      </c>
      <c r="CH47" s="34"/>
      <c r="CI47" s="129"/>
      <c r="CJ47" s="129"/>
      <c r="CK47" s="595"/>
      <c r="CL47" s="2501"/>
      <c r="CM47" s="2503"/>
      <c r="CN47" s="2084"/>
      <c r="CO47" s="198" t="str">
        <f t="shared" ref="CO47" si="52">AC47</f>
        <v>mois en cours</v>
      </c>
      <c r="CP47" s="198" t="str">
        <f t="shared" ref="CP47" si="53">AD47</f>
        <v>mois avant</v>
      </c>
      <c r="CQ47" s="198" t="str">
        <f t="shared" ref="CQ47" si="54">AE47</f>
        <v>mois après</v>
      </c>
      <c r="CR47" s="2490"/>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46021</v>
      </c>
      <c r="EM47" s="16" t="str">
        <f t="shared" si="29"/>
        <v>Fiche infoA246021</v>
      </c>
      <c r="EN47" s="16">
        <f t="shared" si="20"/>
        <v>0</v>
      </c>
      <c r="EQ47" s="16" t="str">
        <f>Décembre!FS49</f>
        <v/>
      </c>
    </row>
    <row r="48" spans="1:147" ht="18" customHeight="1" thickBot="1" x14ac:dyDescent="0.25">
      <c r="A48" s="24" t="str">
        <f>+Décembre!BJ50</f>
        <v>Fiche infoA3</v>
      </c>
      <c r="B48" s="110">
        <f t="shared" si="30"/>
        <v>46022</v>
      </c>
      <c r="C48" s="192">
        <f>IF(C$18+30&lt;DATE(YEAR(O$13),MONTH(O$13),DAY(O$13)),C$18+30,"")</f>
        <v>46022</v>
      </c>
      <c r="D48" s="193" t="str">
        <f>IF(AND(EQ48&lt;&gt;"",$DZ$5=S.CAL!$CU$2),EQ48,IF(IFERROR(IF($DY$5=S.CAL!$CU$3,ROUND(EN48,2),ROUND(EQ48,2)),"")&lt;&gt;0,IFERROR(IF($DY$5=S.CAL!$CU$3,ROUND(EN48,2),ROUND(EQ48,2)),""),""))</f>
        <v/>
      </c>
      <c r="E48" s="193" t="str">
        <f>IFERROR(+IF(AND(F48="",$DY$5=S.CAL!$CU$2,J48="OUI"),IFERROR(ROUND(I48,2),""),IF(AND(F48="",$DY$5=S.CAL!$CU$3,L48="oui"),ROUND(K48,2),IF(F48="","",ROUND(F48,2)))),"")</f>
        <v/>
      </c>
      <c r="F48" s="974"/>
      <c r="G48" s="1010"/>
      <c r="H48" s="27" t="str">
        <f t="shared" si="14"/>
        <v>A</v>
      </c>
      <c r="I48" s="34">
        <f>Décembre!BC50</f>
        <v>0</v>
      </c>
      <c r="J48" s="34">
        <f>Décembre!BE50</f>
        <v>0</v>
      </c>
      <c r="K48" s="34">
        <f t="shared" si="15"/>
        <v>0</v>
      </c>
      <c r="L48" s="34" t="str">
        <f t="shared" si="21"/>
        <v/>
      </c>
      <c r="N48" s="24"/>
      <c r="O48" s="24"/>
      <c r="P48" s="24"/>
      <c r="Q48" s="183" t="s">
        <v>1482</v>
      </c>
      <c r="R48" s="692" t="e">
        <f>+IF(R3="Méthode 1",Q42,IF(AND(R3="Méthode 1A",ED1=S.CAL!EP1),W19,IF(AND(R3="Méthode 1A",ED1=S.CAL!EP2),W28,AP61)))</f>
        <v>#DIV/0!</v>
      </c>
      <c r="U48" s="1323"/>
      <c r="V48" s="1323"/>
      <c r="W48" s="2482" t="str">
        <f t="shared" ref="W48:W53" si="55">W34</f>
        <v>Semaine numéro : 49</v>
      </c>
      <c r="X48" s="2482"/>
      <c r="Y48" s="2482"/>
      <c r="Z48" s="1345" t="str">
        <f>+IF(Z34="","",Z34)</f>
        <v/>
      </c>
      <c r="AA48" s="1338">
        <f>+IF(Z48="",IF(AND(AD48&gt;0,AC48&gt;0),AD48+AC48,IF(AE48&gt;0,0,AC48)),Z48)</f>
        <v>0</v>
      </c>
      <c r="AB48" s="1338">
        <f>IF(AA48&gt;45,AA48-45,0)</f>
        <v>0</v>
      </c>
      <c r="AC48" s="1344">
        <f>+SUMIF(Décembre!$BK$20:$BK$50,Décembre!AT4,$D$18:$D$48)-SUMIF(Décembre!$BK$20:$BK$50,Décembre!AT4,$E$18:$E$48)</f>
        <v>0</v>
      </c>
      <c r="AD48" s="1344">
        <f>+SUMIF(Novembre!$BK$20:$BK$50,Décembre!AT4,'Retenue Nov'!$D$18:$D$48)-SUMIF(Novembre!$BK$20:$BK$50,Décembre!AT4,'Retenue Nov'!$E$18:$E$48)</f>
        <v>0</v>
      </c>
      <c r="AE48" s="1344">
        <v>0</v>
      </c>
      <c r="AF48" s="1338">
        <f>+AC48-AB48</f>
        <v>0</v>
      </c>
      <c r="AG48" s="581">
        <f>+Décembre!AT4</f>
        <v>49</v>
      </c>
      <c r="AK48" s="1211"/>
      <c r="AL48" s="1224"/>
      <c r="AO48" s="1224">
        <f>+AN39*AL26</f>
        <v>0</v>
      </c>
      <c r="AP48" s="1224">
        <f>+AO48*(1-AX21)</f>
        <v>0</v>
      </c>
      <c r="AQ48" s="1224">
        <f>+AO48-AP48</f>
        <v>0</v>
      </c>
      <c r="BA48" s="349" t="str">
        <f t="shared" si="16"/>
        <v>Fiche infoA3</v>
      </c>
      <c r="BB48" s="110">
        <f t="shared" si="31"/>
        <v>46022</v>
      </c>
      <c r="BC48" s="192">
        <f>IF(BC$18+30&lt;DATE(YEAR(BH$13),MONTH(BH$13),DAY(BH$13)),BC$18+30,"")</f>
        <v>46022</v>
      </c>
      <c r="BD48" s="193" t="str">
        <f t="shared" si="32"/>
        <v/>
      </c>
      <c r="BE48" s="193" t="str">
        <f>+IF(OR(BF48=S.CAL!$BJ$3,BF48=S.CAL!$BJ$4),BD48,"")</f>
        <v/>
      </c>
      <c r="BF48" s="352">
        <f>IF($DY$5=S.CAL!$CU$2,Décembre!AR50,IF($DY$5=S.CAL!$CU$3,VLOOKUP(BC48,planning_fp,7,FALSE),""))</f>
        <v>0</v>
      </c>
      <c r="BG48" s="364" t="str">
        <f>Décembre!BL50</f>
        <v>A</v>
      </c>
      <c r="BH48" s="374"/>
      <c r="BI48" s="373"/>
      <c r="BJ48" s="373"/>
      <c r="BK48" s="373"/>
      <c r="BL48" s="35"/>
      <c r="BQ48" s="16" t="s">
        <v>846</v>
      </c>
      <c r="BV48" s="373"/>
      <c r="BW48" s="373"/>
      <c r="BX48" s="373" t="s">
        <v>846</v>
      </c>
      <c r="BZ48" s="373"/>
      <c r="CA48" s="373"/>
      <c r="CB48" s="373"/>
      <c r="CD48" s="346"/>
      <c r="CE48" s="110">
        <f t="shared" si="33"/>
        <v>46022</v>
      </c>
      <c r="CF48" s="192">
        <f>IF(CF$18+30&lt;DATE(YEAR(CQ$13),MONTH(CQ$13),DAY(CQ$13)),CF$18+30,"")</f>
        <v>46022</v>
      </c>
      <c r="CG48" s="193">
        <f t="shared" si="22"/>
        <v>0</v>
      </c>
      <c r="CH48" s="34"/>
      <c r="CI48" s="2491" t="str">
        <f t="shared" ref="CI48:CI53" si="56">W48</f>
        <v>Semaine numéro : 49</v>
      </c>
      <c r="CJ48" s="2492"/>
      <c r="CK48" s="2493"/>
      <c r="CL48" s="893" t="str">
        <f>+IF(CL34="","",CL34)</f>
        <v/>
      </c>
      <c r="CM48" s="674">
        <f>+IF(CL48="",IF(AND(CP48&gt;0,CO48&gt;0),CP48+CO48,IF(CQ48&gt;0,0,CO48)),CL48)</f>
        <v>0</v>
      </c>
      <c r="CN48" s="673">
        <f>IF(CM48&gt;45,CM48-45,0)</f>
        <v>0</v>
      </c>
      <c r="CO48" s="198">
        <f>+SUMIF(Décembre!$BK$20:$BK$50,Décembre!AT4,$CG$18:$CG$48)</f>
        <v>0</v>
      </c>
      <c r="CP48" s="198">
        <f>+SUMIF(Novembre!$BK$20:$BK$50,Décembre!AT4,'Retenue Nov'!$CG$18:$CG$48)</f>
        <v>0</v>
      </c>
      <c r="CQ48" s="198">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46022</v>
      </c>
      <c r="EM48" s="16" t="str">
        <f t="shared" si="29"/>
        <v>Fiche infoA346022</v>
      </c>
      <c r="EN48" s="16">
        <f t="shared" si="20"/>
        <v>0</v>
      </c>
      <c r="EQ48" s="16" t="str">
        <f>Décembre!FS50</f>
        <v/>
      </c>
    </row>
    <row r="49" spans="2:139" ht="18" customHeight="1" thickBot="1" x14ac:dyDescent="0.25">
      <c r="N49" s="24"/>
      <c r="O49" s="24"/>
      <c r="P49" s="24"/>
      <c r="Q49" s="24"/>
      <c r="R49" s="24"/>
      <c r="S49" s="1347"/>
      <c r="U49" s="1323"/>
      <c r="V49" s="1323"/>
      <c r="W49" s="2482" t="str">
        <f t="shared" si="55"/>
        <v>Semaine numéro : 50</v>
      </c>
      <c r="X49" s="2482"/>
      <c r="Y49" s="2482"/>
      <c r="Z49" s="1345" t="str">
        <f t="shared" ref="Z49:Z53" si="57">+IF(Z35="","",Z35)</f>
        <v/>
      </c>
      <c r="AA49" s="1338">
        <f t="shared" ref="AA49:AA53" si="58">+IF(Z49="",IF(AND(AD49&gt;0,AC49&gt;0),AD49+AC49,IF(AE49&gt;0,0,AC49)),Z49)</f>
        <v>0</v>
      </c>
      <c r="AB49" s="1338">
        <f t="shared" ref="AB49:AB53" si="59">IF(AA49&gt;45,AA49-45,0)</f>
        <v>0</v>
      </c>
      <c r="AC49" s="1344">
        <f>+SUMIF(Décembre!$BK$20:$BK$50,Décembre!AT5,$D$18:$D$48)-SUMIF(Décembre!$BK$20:$BK$50,Décembre!AT5,$E$18:$E$48)</f>
        <v>0</v>
      </c>
      <c r="AD49" s="1344">
        <f>+SUMIF(Novembre!$BK$20:$BK$50,Décembre!AT5,'Retenue Nov'!$D$18:$D$48)-SUMIF(Novembre!$BK$20:$BK$50,Décembre!AT5,'Retenue Nov'!$E$18:$E$48)</f>
        <v>0</v>
      </c>
      <c r="AE49" s="1344">
        <v>0</v>
      </c>
      <c r="AF49" s="1338">
        <f t="shared" ref="AF49:AF53" si="60">+AC49-AB49</f>
        <v>0</v>
      </c>
      <c r="AG49" s="581">
        <f>+Décembre!AT5</f>
        <v>50</v>
      </c>
      <c r="AK49" s="1211"/>
      <c r="AL49" s="1224"/>
      <c r="AO49" s="1224"/>
      <c r="AP49" s="1224"/>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91" t="str">
        <f t="shared" si="56"/>
        <v>Semaine numéro : 50</v>
      </c>
      <c r="CJ49" s="2492"/>
      <c r="CK49" s="2493"/>
      <c r="CL49" s="893" t="str">
        <f t="shared" ref="CL49:CL53" si="61">+IF(CL35="","",CL35)</f>
        <v/>
      </c>
      <c r="CM49" s="674">
        <f t="shared" ref="CM49:CM53" si="62">+IF(CL49="",IF(AND(CP49&gt;0,CO49&gt;0),CP49+CO49,IF(CQ49&gt;0,0,CO49)),CL49)</f>
        <v>0</v>
      </c>
      <c r="CN49" s="673">
        <f t="shared" ref="CN49:CN53" si="63">IF(CM49&gt;45,CM49-45,0)</f>
        <v>0</v>
      </c>
      <c r="CO49" s="198">
        <f>+SUMIF(Décembre!$BK$20:$BK$50,Décembre!AT5,$CG$18:$CG$48)</f>
        <v>0</v>
      </c>
      <c r="CP49" s="198">
        <f>+SUMIF(Novembre!$BK$20:$BK$50,Décembre!AT5,'Retenue Nov'!$CG$18:$CG$48)</f>
        <v>0</v>
      </c>
      <c r="CQ49" s="198">
        <v>0</v>
      </c>
      <c r="CR49" s="674">
        <f t="shared" ref="CR49:CR53" si="64">+CO49-CN49</f>
        <v>0</v>
      </c>
      <c r="DR49" s="19">
        <f>SUM(DR18:DR48)</f>
        <v>0</v>
      </c>
      <c r="DT49" s="19">
        <f>SUM(DT18:DT48)</f>
        <v>0</v>
      </c>
      <c r="DU49" s="19"/>
      <c r="DV49" s="19"/>
      <c r="DW49" s="19">
        <f>SUM(DW18:DW48)</f>
        <v>0</v>
      </c>
    </row>
    <row r="50" spans="2:139" ht="18" customHeight="1" thickBot="1" x14ac:dyDescent="0.25">
      <c r="B50" s="72"/>
      <c r="C50" s="113" t="s">
        <v>132</v>
      </c>
      <c r="D50" s="194">
        <f>SUM(D18:D48)</f>
        <v>0</v>
      </c>
      <c r="E50" s="194">
        <f>SUM(E18:E48)</f>
        <v>0</v>
      </c>
      <c r="F50" s="34"/>
      <c r="G50" s="34"/>
      <c r="H50" s="34"/>
      <c r="I50" s="34"/>
      <c r="J50" s="34"/>
      <c r="K50" s="34"/>
      <c r="L50" s="34"/>
      <c r="M50" s="95"/>
      <c r="N50" s="24"/>
      <c r="O50" s="24"/>
      <c r="P50" s="24"/>
      <c r="Q50" s="183" t="s">
        <v>131</v>
      </c>
      <c r="R50" s="692" t="e">
        <f>+IF(R3="Méthode 1",Q45,IF(AND(R3="Méthode 1A",ED1=S.CAL!EP1),AC19,IF(AND(R3="Méthode 1A",ED1=S.CAL!EP2),AC28,AP64)))</f>
        <v>#DIV/0!</v>
      </c>
      <c r="U50" s="1323"/>
      <c r="V50" s="1323"/>
      <c r="W50" s="2482" t="str">
        <f t="shared" si="55"/>
        <v>Semaine numéro : 51</v>
      </c>
      <c r="X50" s="2482"/>
      <c r="Y50" s="2482"/>
      <c r="Z50" s="1345" t="str">
        <f t="shared" si="57"/>
        <v/>
      </c>
      <c r="AA50" s="1338">
        <f t="shared" si="58"/>
        <v>0</v>
      </c>
      <c r="AB50" s="1338">
        <f t="shared" si="59"/>
        <v>0</v>
      </c>
      <c r="AC50" s="1344">
        <f>+SUMIF(Décembre!$BK$20:$BK$50,Décembre!AT6,$D$18:$D$48)-SUMIF(Décembre!$BK$20:$BK$50,Décembre!AT6,$E$18:$E$48)</f>
        <v>0</v>
      </c>
      <c r="AD50" s="1344">
        <f>+SUMIF(Novembre!$BK$20:$BK$50,Décembre!AT6,'Retenue Nov'!$D$18:$D$48)-SUMIF(Novembre!$BK$20:$BK$50,Décembre!AT6,'Retenue Nov'!$E$18:$E$48)</f>
        <v>0</v>
      </c>
      <c r="AE50" s="1344">
        <v>0</v>
      </c>
      <c r="AF50" s="1338">
        <f t="shared" si="60"/>
        <v>0</v>
      </c>
      <c r="AG50" s="581">
        <f>+Décembre!AT6</f>
        <v>51</v>
      </c>
      <c r="AJ50" s="1326"/>
      <c r="AK50" s="1327"/>
      <c r="AL50" s="1328"/>
      <c r="AO50" s="1211" t="s">
        <v>1484</v>
      </c>
      <c r="AP50" s="1348">
        <f>IF(AL22,ROUND((+AP48+SUM(AP39:AP46))*AL34/AL22*Q10,2),0)</f>
        <v>0</v>
      </c>
      <c r="BA50" s="346"/>
      <c r="BB50" s="72"/>
      <c r="BC50" s="113" t="s">
        <v>132</v>
      </c>
      <c r="BD50" s="194">
        <f>SUM(BD18:BD48)</f>
        <v>0</v>
      </c>
      <c r="BE50" s="194">
        <f>SUM(BE18:BE48)</f>
        <v>0</v>
      </c>
      <c r="BF50" s="361">
        <f>+COUNTIF(BF18:BF48,S.CAL!BJ3)+COUNTIF(BF18:BF48,S.CAL!BJ4)</f>
        <v>0</v>
      </c>
      <c r="BG50" s="34"/>
      <c r="BH50" s="29" t="s">
        <v>712</v>
      </c>
      <c r="BI50" s="365">
        <f>+BJ45+BJ29</f>
        <v>0</v>
      </c>
      <c r="BL50" s="35"/>
      <c r="CD50" s="346"/>
      <c r="CE50" s="72"/>
      <c r="CF50" s="113" t="s">
        <v>132</v>
      </c>
      <c r="CG50" s="194">
        <f>SUM(CG18:CG48)</f>
        <v>0</v>
      </c>
      <c r="CH50" s="34"/>
      <c r="CI50" s="2491" t="str">
        <f t="shared" si="56"/>
        <v>Semaine numéro : 51</v>
      </c>
      <c r="CJ50" s="2492"/>
      <c r="CK50" s="2493"/>
      <c r="CL50" s="893" t="str">
        <f t="shared" si="61"/>
        <v/>
      </c>
      <c r="CM50" s="674">
        <f t="shared" si="62"/>
        <v>0</v>
      </c>
      <c r="CN50" s="673">
        <f t="shared" si="63"/>
        <v>0</v>
      </c>
      <c r="CO50" s="198">
        <f>+SUMIF(Décembre!$BK$20:$BK$50,Décembre!AT6,$CG$18:$CG$48)</f>
        <v>0</v>
      </c>
      <c r="CP50" s="198">
        <f>+SUMIF(Novembre!$BK$20:$BK$50,Décembre!AT6,'Retenue Nov'!$CG$18:$CG$48)</f>
        <v>0</v>
      </c>
      <c r="CQ50" s="198">
        <v>0</v>
      </c>
      <c r="CR50" s="674">
        <f t="shared" si="64"/>
        <v>0</v>
      </c>
    </row>
    <row r="51" spans="2:139" ht="19.5" customHeight="1" thickBot="1" x14ac:dyDescent="0.25">
      <c r="B51" s="24"/>
      <c r="C51" s="24"/>
      <c r="D51" s="183" t="s">
        <v>1225</v>
      </c>
      <c r="E51" s="24">
        <f>+COUNTIF(C18:C48,"&gt;0")-E52</f>
        <v>31</v>
      </c>
      <c r="N51" s="24"/>
      <c r="O51" s="24"/>
      <c r="P51" s="24"/>
      <c r="Q51" s="24"/>
      <c r="R51" s="24"/>
      <c r="S51" s="1349"/>
      <c r="U51" s="1323"/>
      <c r="V51" s="1323"/>
      <c r="W51" s="2482" t="str">
        <f t="shared" si="55"/>
        <v>Semaine numéro : 52</v>
      </c>
      <c r="X51" s="2482"/>
      <c r="Y51" s="2482"/>
      <c r="Z51" s="1345" t="str">
        <f t="shared" si="57"/>
        <v/>
      </c>
      <c r="AA51" s="1338">
        <f t="shared" si="58"/>
        <v>0</v>
      </c>
      <c r="AB51" s="1338">
        <f t="shared" si="59"/>
        <v>0</v>
      </c>
      <c r="AC51" s="1344">
        <f>+SUMIF(Décembre!$BK$20:$BK$50,Décembre!AT7,$D$18:$D$48)-SUMIF(Décembre!$BK$20:$BK$50,Décembre!AT7,$E$18:$E$48)</f>
        <v>0</v>
      </c>
      <c r="AD51" s="1344">
        <f>+SUMIF(Novembre!$BK$20:$BK$50,Décembre!AT7,'Retenue Nov'!$D$18:$D$48)-SUMIF(Novembre!$BK$20:$BK$50,Décembre!AT7,'Retenue Nov'!$E$18:$E$48)</f>
        <v>0</v>
      </c>
      <c r="AE51" s="1344">
        <v>0</v>
      </c>
      <c r="AF51" s="1338">
        <f t="shared" si="60"/>
        <v>0</v>
      </c>
      <c r="AG51" s="581">
        <f>+Décembre!AT7</f>
        <v>52</v>
      </c>
      <c r="AJ51" s="1326"/>
      <c r="AK51" s="1327"/>
      <c r="AL51" s="1329"/>
      <c r="BA51" s="346"/>
      <c r="BD51" s="369" t="s">
        <v>758</v>
      </c>
      <c r="BE51" s="194">
        <f>+SUMIFS(BE18:BE48,BF18:BF48,S.CAL!BJ3)</f>
        <v>0</v>
      </c>
      <c r="BF51" s="370">
        <f>IF(Décembre!AZ90="",+COUNTIF(BF18:BF48,S.CAL!BJ3),Décembre!AZ90)</f>
        <v>0</v>
      </c>
      <c r="BL51" s="35"/>
      <c r="CD51" s="346"/>
      <c r="CI51" s="2491" t="str">
        <f t="shared" si="56"/>
        <v>Semaine numéro : 52</v>
      </c>
      <c r="CJ51" s="2492"/>
      <c r="CK51" s="2493"/>
      <c r="CL51" s="893" t="str">
        <f t="shared" si="61"/>
        <v/>
      </c>
      <c r="CM51" s="674">
        <f t="shared" si="62"/>
        <v>0</v>
      </c>
      <c r="CN51" s="673">
        <f t="shared" si="63"/>
        <v>0</v>
      </c>
      <c r="CO51" s="198">
        <f>+SUMIF(Décembre!$BK$20:$BK$50,Décembre!AT7,$CG$18:$CG$48)</f>
        <v>0</v>
      </c>
      <c r="CP51" s="198">
        <f>+SUMIF(Novembre!$BK$20:$BK$50,Décembre!AT7,'Retenue Nov'!$CG$18:$CG$48)</f>
        <v>0</v>
      </c>
      <c r="CQ51" s="198">
        <v>0</v>
      </c>
      <c r="CR51" s="674">
        <f t="shared" si="64"/>
        <v>0</v>
      </c>
      <c r="EE51" s="19" t="s">
        <v>1266</v>
      </c>
      <c r="EF51" s="914" t="str">
        <f>IFERROR(SMALL(EF18:EF48,1),"")</f>
        <v/>
      </c>
      <c r="EG51" s="914" t="str">
        <f>IFERROR(SMALL(EG18:EG48,1),"")</f>
        <v/>
      </c>
      <c r="EH51" s="63">
        <f>+VLOOKUP(EF51,$EF$18:$EI$48,3,TRUE)</f>
        <v>0</v>
      </c>
      <c r="EI51" s="919"/>
    </row>
    <row r="52" spans="2:139" ht="13.5" thickBot="1" x14ac:dyDescent="0.25">
      <c r="B52" s="24"/>
      <c r="C52" s="24"/>
      <c r="D52" s="183" t="s">
        <v>1318</v>
      </c>
      <c r="E52" s="24">
        <f>+DW49</f>
        <v>0</v>
      </c>
      <c r="N52" s="24"/>
      <c r="O52" s="24"/>
      <c r="P52" s="24"/>
      <c r="Q52" s="183" t="s">
        <v>1483</v>
      </c>
      <c r="R52" s="693">
        <f>+IF(R3="Méthode 1",P30,IF(R3="Méthode 1A",W24,AP50))</f>
        <v>0</v>
      </c>
      <c r="U52" s="1323"/>
      <c r="V52" s="1323"/>
      <c r="W52" s="2482" t="str">
        <f t="shared" si="55"/>
        <v>Semaine numéro : 1</v>
      </c>
      <c r="X52" s="2482"/>
      <c r="Y52" s="2482"/>
      <c r="Z52" s="1345" t="str">
        <f t="shared" si="57"/>
        <v/>
      </c>
      <c r="AA52" s="1338">
        <f t="shared" si="58"/>
        <v>0</v>
      </c>
      <c r="AB52" s="1338">
        <f t="shared" si="59"/>
        <v>0</v>
      </c>
      <c r="AC52" s="1344">
        <f>+SUMIF(Décembre!$BK$20:$BK$50,Décembre!AT8,$D$18:$D$48)-SUMIF(Décembre!$BK$20:$BK$50,Décembre!AT8,$E$18:$E$48)</f>
        <v>0</v>
      </c>
      <c r="AD52" s="1344">
        <f>+SUMIF(Novembre!$BK$20:$BK$50,Décembre!AT8,'Retenue Nov'!$D$18:$D$48)-SUMIF(Novembre!$BK$20:$BK$50,Décembre!AT8,'Retenue Nov'!$E$18:$E$48)</f>
        <v>0</v>
      </c>
      <c r="AE52" s="1344">
        <v>0</v>
      </c>
      <c r="AF52" s="1338">
        <f t="shared" si="60"/>
        <v>0</v>
      </c>
      <c r="AG52" s="581">
        <f>+Décembre!AT8</f>
        <v>1</v>
      </c>
      <c r="AO52" s="1211" t="s">
        <v>1126</v>
      </c>
      <c r="AP52" s="1348">
        <f>IF(AL22,+ROUND((AQ48+SUM(AQ39:AQ46))*AL34/AL22*Q11,2),0)</f>
        <v>0</v>
      </c>
      <c r="BA52" s="346"/>
      <c r="BD52" s="1363" t="s">
        <v>708</v>
      </c>
      <c r="BE52" s="1364">
        <f>+SUMIFS(BE18:BE48,BF18:BF48,S.CAL!BJ4)</f>
        <v>0</v>
      </c>
      <c r="BF52" s="1365">
        <f>IF(Décembre!BA90="",+COUNTIF(BF18:BF48,S.CAL!BJ4),Décembre!BA90)</f>
        <v>0</v>
      </c>
      <c r="BL52" s="35"/>
      <c r="BU52" s="16" t="s">
        <v>788</v>
      </c>
      <c r="BW52" s="357">
        <f>+BR46+BR49+BZ46+BZ49</f>
        <v>0</v>
      </c>
      <c r="CD52" s="346"/>
      <c r="CI52" s="2491" t="str">
        <f t="shared" si="56"/>
        <v>Semaine numéro : 1</v>
      </c>
      <c r="CJ52" s="2492"/>
      <c r="CK52" s="2493"/>
      <c r="CL52" s="893" t="str">
        <f t="shared" si="61"/>
        <v/>
      </c>
      <c r="CM52" s="674">
        <f t="shared" si="62"/>
        <v>0</v>
      </c>
      <c r="CN52" s="673">
        <f t="shared" si="63"/>
        <v>0</v>
      </c>
      <c r="CO52" s="198">
        <f>+SUMIF(Décembre!$BK$20:$BK$50,Décembre!AT8,$CG$18:$CG$48)</f>
        <v>0</v>
      </c>
      <c r="CP52" s="198">
        <f>+SUMIF(Novembre!$BK$20:$BK$50,Décembre!AT8,'Retenue Nov'!$CG$18:$CG$48)</f>
        <v>0</v>
      </c>
      <c r="CQ52" s="198">
        <v>0</v>
      </c>
      <c r="CR52" s="674">
        <f t="shared" si="64"/>
        <v>0</v>
      </c>
      <c r="EE52" s="19"/>
      <c r="EF52" s="19"/>
      <c r="EG52" s="19"/>
      <c r="EH52" s="19"/>
      <c r="EI52" s="19"/>
    </row>
    <row r="53" spans="2:139" ht="13.5" thickBot="1" x14ac:dyDescent="0.25">
      <c r="N53" s="24"/>
      <c r="O53" s="24"/>
      <c r="P53" s="24"/>
      <c r="Q53" s="24"/>
      <c r="R53" s="24"/>
      <c r="S53" s="1350"/>
      <c r="U53" s="1323"/>
      <c r="V53" s="1323"/>
      <c r="W53" s="2482" t="str">
        <f t="shared" si="55"/>
        <v xml:space="preserve">Semaine numéro : </v>
      </c>
      <c r="X53" s="2482"/>
      <c r="Y53" s="2482"/>
      <c r="Z53" s="1345" t="str">
        <f t="shared" si="57"/>
        <v/>
      </c>
      <c r="AA53" s="1338">
        <f t="shared" si="58"/>
        <v>0</v>
      </c>
      <c r="AB53" s="1338">
        <f t="shared" si="59"/>
        <v>0</v>
      </c>
      <c r="AC53" s="1344">
        <f>+SUMIF(Décembre!$BK$20:$BK$50,Décembre!AT9,$D$18:$D$48)-SUMIF(Décembre!$BK$20:$BK$50,Décembre!AT9,$E$18:$E$48)</f>
        <v>0</v>
      </c>
      <c r="AD53" s="1344">
        <f>+SUMIF(Novembre!$BK$20:$BK$50,Décembre!AT9,'Retenue Nov'!$D$18:$D$48)-SUMIF(Novembre!$BK$20:$BK$50,Décembre!AT9,'Retenue Nov'!$E$18:$E$48)</f>
        <v>0</v>
      </c>
      <c r="AE53" s="1344">
        <v>0</v>
      </c>
      <c r="AF53" s="1338">
        <f t="shared" si="60"/>
        <v>0</v>
      </c>
      <c r="AG53" s="581" t="str">
        <f>+Décembre!AT9</f>
        <v/>
      </c>
      <c r="BA53" s="346"/>
      <c r="BD53" s="392" t="s">
        <v>722</v>
      </c>
      <c r="BE53" s="394">
        <f>+COUNTIF(BE18:BE48,"&gt;0")</f>
        <v>0</v>
      </c>
      <c r="BF53" s="393"/>
      <c r="BH53" s="443"/>
      <c r="BI53" s="444" t="s">
        <v>701</v>
      </c>
      <c r="BJ53" s="445">
        <f>IF(BK3=S.CAL!BP2,BI50,IF(BK3=S.CAL!BP3,BW54,0))</f>
        <v>0</v>
      </c>
      <c r="BK53" s="443"/>
      <c r="BL53" s="35"/>
      <c r="CD53" s="346"/>
      <c r="CI53" s="2491" t="str">
        <f t="shared" si="56"/>
        <v xml:space="preserve">Semaine numéro : </v>
      </c>
      <c r="CJ53" s="2492"/>
      <c r="CK53" s="2493"/>
      <c r="CL53" s="893" t="str">
        <f t="shared" si="61"/>
        <v/>
      </c>
      <c r="CM53" s="674">
        <f t="shared" si="62"/>
        <v>0</v>
      </c>
      <c r="CN53" s="673">
        <f t="shared" si="63"/>
        <v>0</v>
      </c>
      <c r="CO53" s="198">
        <f>+SUMIF(Décembre!$BK$20:$BK$50,Décembre!AT9,$CG$18:$CG$48)</f>
        <v>0</v>
      </c>
      <c r="CP53" s="198">
        <f>+SUMIF(Novembre!$BK$20:$BK$50,Décembre!AT9,'Retenue Nov'!$CG$18:$CG$48)</f>
        <v>0</v>
      </c>
      <c r="CQ53" s="198">
        <v>0</v>
      </c>
      <c r="CR53" s="674">
        <f t="shared" si="64"/>
        <v>0</v>
      </c>
      <c r="EE53" s="19" t="s">
        <v>1275</v>
      </c>
      <c r="EF53" s="79" t="str">
        <f>IFERROR(SMALL(EF18:EF48,2),"")</f>
        <v/>
      </c>
      <c r="EG53" s="79" t="str">
        <f>IFERROR(SMALL(EG18:EG48,2),"")</f>
        <v/>
      </c>
      <c r="EH53" s="63">
        <f>+VLOOKUP(EF53,$EF$18:$EI$48,3,TRUE)</f>
        <v>0</v>
      </c>
      <c r="EI53" s="919"/>
    </row>
    <row r="54" spans="2:139" ht="13.5" thickBot="1" x14ac:dyDescent="0.25">
      <c r="N54" s="24"/>
      <c r="O54" s="24"/>
      <c r="P54" s="24"/>
      <c r="Q54" s="183" t="s">
        <v>1127</v>
      </c>
      <c r="R54" s="694">
        <f>+IF(R3="Méthode 1",P33,IF(R3="Méthode 1A",AC24,AP52))</f>
        <v>0</v>
      </c>
      <c r="T54" s="1344"/>
      <c r="U54" s="1344"/>
      <c r="V54" s="1344"/>
      <c r="W54" s="1344"/>
      <c r="X54" s="1344"/>
      <c r="Y54" s="1344"/>
      <c r="Z54" s="1344"/>
      <c r="AA54" s="1346" t="str">
        <f>Février!BZ34</f>
        <v>Total :</v>
      </c>
      <c r="AB54" s="1330">
        <f>SUM(AB48:AB53)</f>
        <v>0</v>
      </c>
      <c r="AC54" s="1344"/>
      <c r="AD54" s="1344"/>
      <c r="AE54" s="1344"/>
      <c r="AF54" s="1330">
        <f>SUM(AF48:AF53)</f>
        <v>0</v>
      </c>
      <c r="AO54" s="1211" t="s">
        <v>1122</v>
      </c>
      <c r="BA54" s="346"/>
      <c r="BH54" s="443"/>
      <c r="BI54" s="443"/>
      <c r="BJ54" s="443"/>
      <c r="BK54" s="443"/>
      <c r="BU54" s="16" t="s">
        <v>790</v>
      </c>
      <c r="BW54" s="357">
        <f>+BR46+BR49+BZ46+BZ49</f>
        <v>0</v>
      </c>
      <c r="CD54" s="346"/>
      <c r="CI54" s="129"/>
      <c r="CJ54" s="129"/>
      <c r="CK54" s="129"/>
      <c r="CL54" s="129"/>
      <c r="CM54" s="676" t="s">
        <v>450</v>
      </c>
      <c r="CN54" s="677">
        <f>SUM(CN48:CN53)</f>
        <v>0</v>
      </c>
      <c r="CO54" s="902"/>
      <c r="CP54" s="902"/>
      <c r="CQ54" s="902"/>
      <c r="CR54" s="677">
        <f>SUM(CR48:CR53)</f>
        <v>0</v>
      </c>
      <c r="EE54" s="19"/>
      <c r="EF54" s="19"/>
      <c r="EG54" s="19"/>
      <c r="EH54" s="19"/>
      <c r="EI54" s="19"/>
    </row>
    <row r="55" spans="2:139" ht="13.5" thickBot="1" x14ac:dyDescent="0.25">
      <c r="B55" s="2469">
        <f>B17</f>
        <v>45992</v>
      </c>
      <c r="C55" s="2470"/>
      <c r="D55" s="2470"/>
      <c r="E55" s="2471"/>
      <c r="P55" s="395"/>
      <c r="Q55" s="395"/>
      <c r="R55" s="395"/>
      <c r="AO55" s="1211" t="str">
        <f>+ROUND(AQ47,4)&amp;" /  "&amp;ROUND(AO47,4)&amp;"  ="</f>
        <v>0 /  0  =</v>
      </c>
      <c r="AP55" s="581">
        <f>IFERROR(+ROUND(AQ47/AO47,6),0)</f>
        <v>0</v>
      </c>
      <c r="BA55" s="346"/>
      <c r="BH55" s="443"/>
      <c r="BI55" s="443"/>
      <c r="BJ55" s="443"/>
      <c r="BK55" s="443"/>
      <c r="CD55" s="346"/>
      <c r="EE55" s="19" t="s">
        <v>1276</v>
      </c>
      <c r="EF55" s="79" t="str">
        <f>IFERROR(SMALL(EF18:EF48,3),"")</f>
        <v/>
      </c>
      <c r="EG55" s="79" t="str">
        <f>IFERROR(SMALL(EG18:EG48,3),"")</f>
        <v/>
      </c>
      <c r="EH55" s="63">
        <f>+VLOOKUP(EF55,$EF$18:$EI$48,3,TRUE)</f>
        <v>0</v>
      </c>
      <c r="EI55" s="919"/>
    </row>
    <row r="56" spans="2:139" ht="26.25" thickBot="1" x14ac:dyDescent="0.25">
      <c r="B56" s="1552"/>
      <c r="C56" s="1552"/>
      <c r="D56" s="82" t="s">
        <v>1676</v>
      </c>
      <c r="E56" s="82" t="s">
        <v>1677</v>
      </c>
      <c r="F56" s="82" t="s">
        <v>1678</v>
      </c>
      <c r="G56" s="82" t="s">
        <v>1679</v>
      </c>
      <c r="AB56" s="1211" t="s">
        <v>1252</v>
      </c>
      <c r="AC56" s="1330">
        <f>+SUMIF(AG48:AG53,Décembre!CB35,'Retenue Déc'!AC48:AC53)</f>
        <v>0</v>
      </c>
      <c r="BA56" s="346"/>
      <c r="BH56" s="581"/>
      <c r="BI56" s="1211" t="s">
        <v>717</v>
      </c>
      <c r="BJ56" s="1362">
        <f>+IF(BK3=S.CAL!BP2,BJ45,IF(BK3=S.CAL!BP3,BZ46+BZ49,0))</f>
        <v>0</v>
      </c>
      <c r="BK56" s="581"/>
      <c r="CD56" s="346"/>
      <c r="EE56" s="19"/>
      <c r="EF56" s="79"/>
      <c r="EG56" s="79"/>
      <c r="EH56" s="19"/>
      <c r="EI56" s="79"/>
    </row>
    <row r="57" spans="2:139" x14ac:dyDescent="0.2">
      <c r="B57" s="170">
        <f t="shared" ref="B57:C72" si="65">B18</f>
        <v>45992</v>
      </c>
      <c r="C57" s="171">
        <f t="shared" si="65"/>
        <v>45992</v>
      </c>
      <c r="D57" s="353" t="str">
        <f t="shared" ref="D57:D87" si="66">E18</f>
        <v/>
      </c>
      <c r="E57" s="353" t="str">
        <f>+IF(D57="","",VLOOKUP(C57,$CF$18:$CG$48,2,FALSE))</f>
        <v/>
      </c>
      <c r="F57" s="1553" t="str">
        <f t="shared" ref="F57:F87" si="67">+IFERROR(IF(VLOOKUP(E57,Liste_motif_formule,10,FALSE)="OUI",D57,""),"")</f>
        <v/>
      </c>
      <c r="G57" s="1553" t="str">
        <f t="shared" ref="G57:G87" si="68">+IFERROR(IF(VLOOKUP(E57,Liste_motif_formule,11,FALSE)="OUI",D57,""),"")</f>
        <v/>
      </c>
      <c r="N57" s="34"/>
      <c r="AO57" s="1211" t="s">
        <v>1485</v>
      </c>
      <c r="BA57" s="346"/>
      <c r="CD57" s="346"/>
      <c r="EE57" s="19" t="s">
        <v>1277</v>
      </c>
      <c r="EF57" s="79" t="str">
        <f>IFERROR(SMALL(EF18:EF48,4),"")</f>
        <v/>
      </c>
      <c r="EG57" s="79" t="str">
        <f>IFERROR(SMALL(EG18:EG48,4),"")</f>
        <v/>
      </c>
      <c r="EH57" s="63">
        <f>+VLOOKUP(EF57,$EF$18:$EI$48,3,TRUE)</f>
        <v>0</v>
      </c>
      <c r="EI57" s="919"/>
    </row>
    <row r="58" spans="2:139" x14ac:dyDescent="0.2">
      <c r="B58" s="107">
        <f t="shared" si="65"/>
        <v>45993</v>
      </c>
      <c r="C58" s="172">
        <f t="shared" si="65"/>
        <v>45993</v>
      </c>
      <c r="D58" s="173" t="str">
        <f t="shared" si="66"/>
        <v/>
      </c>
      <c r="E58" s="173" t="str">
        <f t="shared" ref="E58:E87" si="69">+IF(D58="","",VLOOKUP(C58,$CF$18:$CG$48,2,FALSE))</f>
        <v/>
      </c>
      <c r="F58" s="1554" t="str">
        <f t="shared" si="67"/>
        <v/>
      </c>
      <c r="G58" s="1554" t="str">
        <f t="shared" si="68"/>
        <v/>
      </c>
      <c r="AO58" s="1211" t="str">
        <f>+ROUND(AP47,4)&amp;" / "&amp;ROUND(AO47,4)&amp;" ="</f>
        <v>0 / 0 =</v>
      </c>
      <c r="AP58" s="581">
        <f>IFERROR(ROUND(+AP47/AO47,6),0)</f>
        <v>0</v>
      </c>
      <c r="BA58" s="346"/>
      <c r="CD58" s="346"/>
      <c r="EE58" s="19"/>
      <c r="EF58" s="19"/>
      <c r="EG58" s="19"/>
      <c r="EH58" s="19"/>
      <c r="EI58" s="19"/>
    </row>
    <row r="59" spans="2:139" x14ac:dyDescent="0.2">
      <c r="B59" s="107">
        <f t="shared" si="65"/>
        <v>45994</v>
      </c>
      <c r="C59" s="172">
        <f t="shared" si="65"/>
        <v>45994</v>
      </c>
      <c r="D59" s="173" t="str">
        <f t="shared" si="66"/>
        <v/>
      </c>
      <c r="E59" s="173" t="str">
        <f t="shared" si="69"/>
        <v/>
      </c>
      <c r="F59" s="1554" t="str">
        <f t="shared" si="67"/>
        <v/>
      </c>
      <c r="G59" s="1554" t="str">
        <f t="shared" si="68"/>
        <v/>
      </c>
      <c r="BA59" s="346"/>
      <c r="BH59" s="29" t="s">
        <v>791</v>
      </c>
      <c r="BI59" s="58">
        <f>+BJ45+BJ29</f>
        <v>0</v>
      </c>
      <c r="CD59" s="346"/>
    </row>
    <row r="60" spans="2:139" x14ac:dyDescent="0.2">
      <c r="B60" s="107">
        <f t="shared" si="65"/>
        <v>45995</v>
      </c>
      <c r="C60" s="172">
        <f t="shared" si="65"/>
        <v>45995</v>
      </c>
      <c r="D60" s="173" t="str">
        <f t="shared" si="66"/>
        <v/>
      </c>
      <c r="E60" s="173" t="str">
        <f t="shared" si="69"/>
        <v/>
      </c>
      <c r="F60" s="1554" t="str">
        <f t="shared" si="67"/>
        <v/>
      </c>
      <c r="G60" s="1554" t="str">
        <f t="shared" si="68"/>
        <v/>
      </c>
      <c r="AO60" s="1211" t="str">
        <f>+IF(ED1=S.CAL!EP1,"Nbre d'heures (&lt; ou = à 45 hrs / sem) à déduire :","Nbre d'heures (&lt; ou = à 45 hrs / sem) mensualisées à déduire :")</f>
        <v>Nbre d'heures (&lt; ou = à 45 hrs / sem) à déduire :</v>
      </c>
      <c r="BA60" s="346"/>
      <c r="CD60" s="346"/>
    </row>
    <row r="61" spans="2:139" x14ac:dyDescent="0.2">
      <c r="B61" s="107">
        <f t="shared" si="65"/>
        <v>45996</v>
      </c>
      <c r="C61" s="172">
        <f t="shared" si="65"/>
        <v>45996</v>
      </c>
      <c r="D61" s="173" t="str">
        <f t="shared" si="66"/>
        <v/>
      </c>
      <c r="E61" s="173" t="str">
        <f t="shared" si="69"/>
        <v/>
      </c>
      <c r="F61" s="1554" t="str">
        <f t="shared" si="67"/>
        <v/>
      </c>
      <c r="G61" s="1554" t="str">
        <f t="shared" si="68"/>
        <v/>
      </c>
      <c r="AO61" s="1211" t="str">
        <f>+IF(ED1=S.CAL!EP1,+E50&amp;" hrs x "&amp;AP58&amp;" =",ROUND(AP47,2)&amp;" hrs X "&amp;ROUND(AL34,4)&amp;" € / "&amp;AL22&amp;" € =")</f>
        <v>0 hrs x 0 =</v>
      </c>
      <c r="AP61" s="1352">
        <f>+IF(ED1=S.CAL!EP1,+ROUND(SUM(AL39:AL46)*AP58,3),ROUND((+AP48+SUM(AP39:AP46))*AL34/AL22,3))</f>
        <v>0</v>
      </c>
      <c r="BA61" s="346"/>
      <c r="BH61" s="443"/>
      <c r="BI61" s="444" t="s">
        <v>792</v>
      </c>
      <c r="BJ61" s="445">
        <f>IF(BK3=S.CAL!BP2,BI59,IF(BK3=S.CAL!BP3,BW52,0))</f>
        <v>0</v>
      </c>
      <c r="BK61" s="443"/>
      <c r="CD61" s="346"/>
    </row>
    <row r="62" spans="2:139" x14ac:dyDescent="0.2">
      <c r="B62" s="107">
        <f t="shared" si="65"/>
        <v>45997</v>
      </c>
      <c r="C62" s="172">
        <f t="shared" si="65"/>
        <v>45997</v>
      </c>
      <c r="D62" s="173" t="str">
        <f t="shared" si="66"/>
        <v/>
      </c>
      <c r="E62" s="173" t="str">
        <f t="shared" si="69"/>
        <v/>
      </c>
      <c r="F62" s="1554" t="str">
        <f t="shared" si="67"/>
        <v/>
      </c>
      <c r="G62" s="1554" t="str">
        <f t="shared" si="68"/>
        <v/>
      </c>
      <c r="BA62" s="346"/>
      <c r="BH62" s="443"/>
      <c r="BI62" s="443"/>
      <c r="BJ62" s="443"/>
      <c r="BK62" s="443"/>
      <c r="CD62" s="346"/>
    </row>
    <row r="63" spans="2:139" x14ac:dyDescent="0.2">
      <c r="B63" s="107">
        <f t="shared" si="65"/>
        <v>45998</v>
      </c>
      <c r="C63" s="172">
        <f t="shared" si="65"/>
        <v>45998</v>
      </c>
      <c r="D63" s="173" t="str">
        <f t="shared" si="66"/>
        <v/>
      </c>
      <c r="E63" s="173" t="str">
        <f t="shared" si="69"/>
        <v/>
      </c>
      <c r="F63" s="1554" t="str">
        <f t="shared" si="67"/>
        <v/>
      </c>
      <c r="G63" s="1554" t="str">
        <f t="shared" si="68"/>
        <v/>
      </c>
      <c r="AO63" s="1211"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45999</v>
      </c>
      <c r="C64" s="172">
        <f t="shared" si="65"/>
        <v>45999</v>
      </c>
      <c r="D64" s="173" t="str">
        <f t="shared" si="66"/>
        <v/>
      </c>
      <c r="E64" s="173" t="str">
        <f t="shared" si="69"/>
        <v/>
      </c>
      <c r="F64" s="1554" t="str">
        <f t="shared" si="67"/>
        <v/>
      </c>
      <c r="G64" s="1554" t="str">
        <f t="shared" si="68"/>
        <v/>
      </c>
      <c r="AO64" s="1211" t="str">
        <f>+IF(ED1=S.CAL!EP1,+E50&amp;" hrs x "&amp;AP55&amp;" =",AQ47&amp;" hrs X "&amp;ROUND(AL34,4)&amp;" € / "&amp;AL22&amp;" € =")</f>
        <v>0 hrs x 0 =</v>
      </c>
      <c r="AP64" s="1352">
        <f>IF(ED1=S.CAL!EP1,ROUND(E50*AP55,3),ROUND((AQ48+SUM(AQ39:AQ46))*AL34/AL22,3))</f>
        <v>0</v>
      </c>
      <c r="BA64" s="346"/>
      <c r="BH64" s="581"/>
      <c r="BI64" s="1211" t="s">
        <v>793</v>
      </c>
      <c r="BJ64" s="1362">
        <f>+IF(BK3=S.CAL!BP2,BJ45,IF(BK3=S.CAL!BP3,BZ46+BZ49,0))</f>
        <v>0</v>
      </c>
      <c r="BK64" s="581"/>
      <c r="CD64" s="346"/>
    </row>
    <row r="65" spans="2:82" x14ac:dyDescent="0.2">
      <c r="B65" s="107">
        <f t="shared" si="65"/>
        <v>46000</v>
      </c>
      <c r="C65" s="172">
        <f t="shared" si="65"/>
        <v>46000</v>
      </c>
      <c r="D65" s="173" t="str">
        <f t="shared" si="66"/>
        <v/>
      </c>
      <c r="E65" s="173" t="str">
        <f t="shared" si="69"/>
        <v/>
      </c>
      <c r="F65" s="1554" t="str">
        <f t="shared" si="67"/>
        <v/>
      </c>
      <c r="G65" s="1554" t="str">
        <f t="shared" si="68"/>
        <v/>
      </c>
      <c r="BA65" s="346"/>
      <c r="CD65" s="346"/>
    </row>
    <row r="66" spans="2:82" x14ac:dyDescent="0.2">
      <c r="B66" s="107">
        <f t="shared" si="65"/>
        <v>46001</v>
      </c>
      <c r="C66" s="172">
        <f t="shared" si="65"/>
        <v>46001</v>
      </c>
      <c r="D66" s="173" t="str">
        <f t="shared" si="66"/>
        <v/>
      </c>
      <c r="E66" s="173" t="str">
        <f t="shared" si="69"/>
        <v/>
      </c>
      <c r="F66" s="1554" t="str">
        <f t="shared" si="67"/>
        <v/>
      </c>
      <c r="G66" s="1554" t="str">
        <f t="shared" si="68"/>
        <v/>
      </c>
      <c r="BA66" s="346"/>
      <c r="CD66" s="346"/>
    </row>
    <row r="67" spans="2:82" x14ac:dyDescent="0.2">
      <c r="B67" s="107">
        <f t="shared" si="65"/>
        <v>46002</v>
      </c>
      <c r="C67" s="172">
        <f t="shared" si="65"/>
        <v>46002</v>
      </c>
      <c r="D67" s="173" t="str">
        <f t="shared" si="66"/>
        <v/>
      </c>
      <c r="E67" s="173" t="str">
        <f t="shared" si="69"/>
        <v/>
      </c>
      <c r="F67" s="1554" t="str">
        <f t="shared" si="67"/>
        <v/>
      </c>
      <c r="G67" s="1554" t="str">
        <f t="shared" si="68"/>
        <v/>
      </c>
      <c r="BA67" s="346"/>
      <c r="CD67" s="346"/>
    </row>
    <row r="68" spans="2:82" x14ac:dyDescent="0.2">
      <c r="B68" s="107">
        <f t="shared" si="65"/>
        <v>46003</v>
      </c>
      <c r="C68" s="172">
        <f t="shared" si="65"/>
        <v>46003</v>
      </c>
      <c r="D68" s="173" t="str">
        <f t="shared" si="66"/>
        <v/>
      </c>
      <c r="E68" s="173" t="str">
        <f t="shared" si="69"/>
        <v/>
      </c>
      <c r="F68" s="1554" t="str">
        <f t="shared" si="67"/>
        <v/>
      </c>
      <c r="G68" s="1554" t="str">
        <f t="shared" si="68"/>
        <v/>
      </c>
      <c r="AI68" s="1354" t="s">
        <v>338</v>
      </c>
      <c r="BA68" s="346"/>
      <c r="CD68" s="346"/>
    </row>
    <row r="69" spans="2:82" x14ac:dyDescent="0.2">
      <c r="B69" s="107">
        <f t="shared" si="65"/>
        <v>46004</v>
      </c>
      <c r="C69" s="172">
        <f t="shared" si="65"/>
        <v>46004</v>
      </c>
      <c r="D69" s="173" t="str">
        <f t="shared" si="66"/>
        <v/>
      </c>
      <c r="E69" s="173" t="str">
        <f t="shared" si="69"/>
        <v/>
      </c>
      <c r="F69" s="1554" t="str">
        <f t="shared" si="67"/>
        <v/>
      </c>
      <c r="G69" s="1554" t="str">
        <f t="shared" si="68"/>
        <v/>
      </c>
      <c r="BA69" s="346"/>
      <c r="CD69" s="346"/>
    </row>
    <row r="70" spans="2:82" x14ac:dyDescent="0.2">
      <c r="B70" s="107">
        <f t="shared" si="65"/>
        <v>46005</v>
      </c>
      <c r="C70" s="172">
        <f t="shared" si="65"/>
        <v>46005</v>
      </c>
      <c r="D70" s="173" t="str">
        <f t="shared" si="66"/>
        <v/>
      </c>
      <c r="E70" s="173" t="str">
        <f t="shared" si="69"/>
        <v/>
      </c>
      <c r="F70" s="1554" t="str">
        <f t="shared" si="67"/>
        <v/>
      </c>
      <c r="G70" s="1554" t="str">
        <f t="shared" si="68"/>
        <v/>
      </c>
      <c r="AI70" s="581" t="s">
        <v>339</v>
      </c>
      <c r="BA70" s="346"/>
      <c r="CD70" s="346"/>
    </row>
    <row r="71" spans="2:82" x14ac:dyDescent="0.2">
      <c r="B71" s="107">
        <f t="shared" si="65"/>
        <v>46006</v>
      </c>
      <c r="C71" s="172">
        <f t="shared" si="65"/>
        <v>46006</v>
      </c>
      <c r="D71" s="173" t="str">
        <f t="shared" si="66"/>
        <v/>
      </c>
      <c r="E71" s="173" t="str">
        <f t="shared" si="69"/>
        <v/>
      </c>
      <c r="F71" s="1554" t="str">
        <f t="shared" si="67"/>
        <v/>
      </c>
      <c r="G71" s="1554" t="str">
        <f t="shared" si="68"/>
        <v/>
      </c>
      <c r="AI71" s="1355" t="s">
        <v>340</v>
      </c>
      <c r="BA71" s="346"/>
      <c r="CD71" s="346"/>
    </row>
    <row r="72" spans="2:82" x14ac:dyDescent="0.2">
      <c r="B72" s="107">
        <f t="shared" si="65"/>
        <v>46007</v>
      </c>
      <c r="C72" s="172">
        <f t="shared" si="65"/>
        <v>46007</v>
      </c>
      <c r="D72" s="173" t="str">
        <f t="shared" si="66"/>
        <v/>
      </c>
      <c r="E72" s="173" t="str">
        <f t="shared" si="69"/>
        <v/>
      </c>
      <c r="F72" s="1554" t="str">
        <f t="shared" si="67"/>
        <v/>
      </c>
      <c r="G72" s="1554" t="str">
        <f t="shared" si="68"/>
        <v/>
      </c>
      <c r="AI72" s="581" t="e">
        <f>ROUND(AL24,2)&amp;" / "&amp;AL22&amp;" ="&amp;ROUND(AL25,2)&amp;" hrs"</f>
        <v>#VALUE!</v>
      </c>
      <c r="BA72" s="346"/>
      <c r="CD72" s="346"/>
    </row>
    <row r="73" spans="2:82" x14ac:dyDescent="0.2">
      <c r="B73" s="107">
        <f t="shared" ref="B73:C87" si="70">B34</f>
        <v>46008</v>
      </c>
      <c r="C73" s="172">
        <f t="shared" si="70"/>
        <v>46008</v>
      </c>
      <c r="D73" s="173" t="str">
        <f t="shared" si="66"/>
        <v/>
      </c>
      <c r="E73" s="173" t="str">
        <f t="shared" si="69"/>
        <v/>
      </c>
      <c r="F73" s="1554" t="str">
        <f t="shared" si="67"/>
        <v/>
      </c>
      <c r="G73" s="1554" t="str">
        <f t="shared" si="68"/>
        <v/>
      </c>
      <c r="BA73" s="346"/>
      <c r="CD73" s="346"/>
    </row>
    <row r="74" spans="2:82" x14ac:dyDescent="0.2">
      <c r="B74" s="107">
        <f t="shared" si="70"/>
        <v>46009</v>
      </c>
      <c r="C74" s="172">
        <f t="shared" si="70"/>
        <v>46009</v>
      </c>
      <c r="D74" s="173" t="str">
        <f t="shared" si="66"/>
        <v/>
      </c>
      <c r="E74" s="173" t="str">
        <f t="shared" si="69"/>
        <v/>
      </c>
      <c r="F74" s="1554" t="str">
        <f t="shared" si="67"/>
        <v/>
      </c>
      <c r="G74" s="1554" t="str">
        <f t="shared" si="68"/>
        <v/>
      </c>
      <c r="AI74" s="581" t="s">
        <v>341</v>
      </c>
      <c r="BA74" s="346"/>
      <c r="CD74" s="346"/>
    </row>
    <row r="75" spans="2:82" x14ac:dyDescent="0.2">
      <c r="B75" s="107">
        <f t="shared" si="70"/>
        <v>46010</v>
      </c>
      <c r="C75" s="172">
        <f t="shared" si="70"/>
        <v>46010</v>
      </c>
      <c r="D75" s="173" t="str">
        <f t="shared" si="66"/>
        <v/>
      </c>
      <c r="E75" s="173" t="str">
        <f t="shared" si="69"/>
        <v/>
      </c>
      <c r="F75" s="1554" t="str">
        <f t="shared" si="67"/>
        <v/>
      </c>
      <c r="G75" s="1554" t="str">
        <f t="shared" si="68"/>
        <v/>
      </c>
      <c r="AI75" s="1355" t="s">
        <v>342</v>
      </c>
      <c r="BA75" s="346"/>
      <c r="CD75" s="346"/>
    </row>
    <row r="76" spans="2:82" x14ac:dyDescent="0.2">
      <c r="B76" s="107">
        <f t="shared" si="70"/>
        <v>46011</v>
      </c>
      <c r="C76" s="172">
        <f t="shared" si="70"/>
        <v>46011</v>
      </c>
      <c r="D76" s="173" t="str">
        <f t="shared" si="66"/>
        <v/>
      </c>
      <c r="E76" s="173" t="str">
        <f t="shared" si="69"/>
        <v/>
      </c>
      <c r="F76" s="1554" t="str">
        <f t="shared" si="67"/>
        <v/>
      </c>
      <c r="G76" s="1554" t="str">
        <f t="shared" si="68"/>
        <v/>
      </c>
      <c r="BA76" s="346"/>
      <c r="CD76" s="346"/>
    </row>
    <row r="77" spans="2:82" x14ac:dyDescent="0.2">
      <c r="B77" s="107">
        <f t="shared" si="70"/>
        <v>46012</v>
      </c>
      <c r="C77" s="172">
        <f t="shared" si="70"/>
        <v>46012</v>
      </c>
      <c r="D77" s="173" t="str">
        <f t="shared" si="66"/>
        <v/>
      </c>
      <c r="E77" s="173" t="str">
        <f t="shared" si="69"/>
        <v/>
      </c>
      <c r="F77" s="1554" t="str">
        <f t="shared" si="67"/>
        <v/>
      </c>
      <c r="G77" s="1554" t="str">
        <f t="shared" si="68"/>
        <v/>
      </c>
      <c r="AI77" s="581" t="s">
        <v>343</v>
      </c>
      <c r="BA77" s="346"/>
      <c r="CD77" s="346"/>
    </row>
    <row r="78" spans="2:82" x14ac:dyDescent="0.2">
      <c r="B78" s="107">
        <f t="shared" si="70"/>
        <v>46013</v>
      </c>
      <c r="C78" s="172">
        <f t="shared" si="70"/>
        <v>46013</v>
      </c>
      <c r="D78" s="173" t="str">
        <f t="shared" si="66"/>
        <v/>
      </c>
      <c r="E78" s="173" t="str">
        <f t="shared" si="69"/>
        <v/>
      </c>
      <c r="F78" s="1554" t="str">
        <f t="shared" si="67"/>
        <v/>
      </c>
      <c r="G78" s="1554" t="str">
        <f t="shared" si="68"/>
        <v/>
      </c>
      <c r="AI78" s="1355" t="s">
        <v>692</v>
      </c>
      <c r="BA78" s="346"/>
      <c r="CD78" s="346"/>
    </row>
    <row r="79" spans="2:82" x14ac:dyDescent="0.2">
      <c r="B79" s="107">
        <f t="shared" si="70"/>
        <v>46014</v>
      </c>
      <c r="C79" s="172">
        <f t="shared" si="70"/>
        <v>46014</v>
      </c>
      <c r="D79" s="173" t="str">
        <f t="shared" si="66"/>
        <v/>
      </c>
      <c r="E79" s="173" t="str">
        <f t="shared" si="69"/>
        <v/>
      </c>
      <c r="F79" s="1554" t="str">
        <f t="shared" si="67"/>
        <v/>
      </c>
      <c r="G79" s="1554" t="str">
        <f t="shared" si="68"/>
        <v/>
      </c>
      <c r="AI79" s="581" t="e">
        <f>ROUND(AT21,2)&amp;" /"&amp; AS21&amp;" = "&amp;ROUND(AL26,2)&amp;" hrs"</f>
        <v>#VALUE!</v>
      </c>
      <c r="BA79" s="346"/>
      <c r="CD79" s="346"/>
    </row>
    <row r="80" spans="2:82" x14ac:dyDescent="0.2">
      <c r="B80" s="107">
        <f t="shared" si="70"/>
        <v>46015</v>
      </c>
      <c r="C80" s="172">
        <f t="shared" si="70"/>
        <v>46015</v>
      </c>
      <c r="D80" s="173" t="str">
        <f t="shared" si="66"/>
        <v/>
      </c>
      <c r="E80" s="173" t="str">
        <f t="shared" si="69"/>
        <v/>
      </c>
      <c r="F80" s="1554" t="str">
        <f t="shared" si="67"/>
        <v/>
      </c>
      <c r="G80" s="1554" t="str">
        <f t="shared" si="68"/>
        <v/>
      </c>
      <c r="BA80" s="346"/>
      <c r="CD80" s="346"/>
    </row>
    <row r="81" spans="2:82" x14ac:dyDescent="0.2">
      <c r="B81" s="107">
        <f t="shared" si="70"/>
        <v>46016</v>
      </c>
      <c r="C81" s="172">
        <f t="shared" si="70"/>
        <v>46016</v>
      </c>
      <c r="D81" s="173" t="str">
        <f t="shared" si="66"/>
        <v/>
      </c>
      <c r="E81" s="173" t="str">
        <f t="shared" si="69"/>
        <v/>
      </c>
      <c r="F81" s="1554" t="str">
        <f t="shared" si="67"/>
        <v/>
      </c>
      <c r="G81" s="1554" t="str">
        <f t="shared" si="68"/>
        <v/>
      </c>
      <c r="AI81" s="581" t="s">
        <v>529</v>
      </c>
      <c r="BA81" s="346"/>
      <c r="CD81" s="346"/>
    </row>
    <row r="82" spans="2:82" x14ac:dyDescent="0.2">
      <c r="B82" s="107">
        <f t="shared" si="70"/>
        <v>46017</v>
      </c>
      <c r="C82" s="172">
        <f t="shared" si="70"/>
        <v>46017</v>
      </c>
      <c r="D82" s="173" t="str">
        <f t="shared" si="66"/>
        <v/>
      </c>
      <c r="E82" s="173" t="str">
        <f t="shared" si="69"/>
        <v/>
      </c>
      <c r="F82" s="1554" t="str">
        <f t="shared" si="67"/>
        <v/>
      </c>
      <c r="G82" s="1554" t="str">
        <f t="shared" si="68"/>
        <v/>
      </c>
      <c r="AI82" s="1355" t="s">
        <v>693</v>
      </c>
      <c r="BA82" s="346"/>
      <c r="CD82" s="346"/>
    </row>
    <row r="83" spans="2:82" x14ac:dyDescent="0.2">
      <c r="B83" s="107">
        <f t="shared" si="70"/>
        <v>46018</v>
      </c>
      <c r="C83" s="172">
        <f t="shared" si="70"/>
        <v>46018</v>
      </c>
      <c r="D83" s="173" t="str">
        <f t="shared" si="66"/>
        <v/>
      </c>
      <c r="E83" s="173" t="str">
        <f t="shared" si="69"/>
        <v/>
      </c>
      <c r="F83" s="1554" t="str">
        <f t="shared" si="67"/>
        <v/>
      </c>
      <c r="G83" s="1554" t="str">
        <f t="shared" si="68"/>
        <v/>
      </c>
      <c r="AI83" s="581" t="e">
        <f>AV21&amp;" / "&amp;AS21&amp;" = "&amp;ROUND(AL27,2)&amp;" jrs"</f>
        <v>#VALUE!</v>
      </c>
      <c r="BA83" s="346"/>
      <c r="CD83" s="346"/>
    </row>
    <row r="84" spans="2:82" x14ac:dyDescent="0.2">
      <c r="B84" s="107">
        <f t="shared" si="70"/>
        <v>46019</v>
      </c>
      <c r="C84" s="172">
        <f t="shared" si="70"/>
        <v>46019</v>
      </c>
      <c r="D84" s="173" t="str">
        <f t="shared" si="66"/>
        <v/>
      </c>
      <c r="E84" s="173" t="str">
        <f t="shared" si="69"/>
        <v/>
      </c>
      <c r="F84" s="1554" t="str">
        <f t="shared" si="67"/>
        <v/>
      </c>
      <c r="G84" s="1554" t="str">
        <f t="shared" si="68"/>
        <v/>
      </c>
      <c r="BA84" s="346"/>
      <c r="CD84" s="346"/>
    </row>
    <row r="85" spans="2:82" x14ac:dyDescent="0.2">
      <c r="B85" s="107">
        <f t="shared" si="70"/>
        <v>46020</v>
      </c>
      <c r="C85" s="172">
        <f t="shared" si="70"/>
        <v>46020</v>
      </c>
      <c r="D85" s="173" t="str">
        <f t="shared" si="66"/>
        <v/>
      </c>
      <c r="E85" s="173" t="str">
        <f t="shared" si="69"/>
        <v/>
      </c>
      <c r="F85" s="1554" t="str">
        <f t="shared" si="67"/>
        <v/>
      </c>
      <c r="G85" s="1554" t="str">
        <f t="shared" si="68"/>
        <v/>
      </c>
      <c r="AI85" s="1355" t="s">
        <v>344</v>
      </c>
      <c r="BA85" s="346"/>
      <c r="CD85" s="346"/>
    </row>
    <row r="86" spans="2:82" x14ac:dyDescent="0.2">
      <c r="B86" s="107">
        <f t="shared" si="70"/>
        <v>46021</v>
      </c>
      <c r="C86" s="172">
        <f t="shared" si="70"/>
        <v>46021</v>
      </c>
      <c r="D86" s="173" t="str">
        <f t="shared" si="66"/>
        <v/>
      </c>
      <c r="E86" s="173" t="str">
        <f t="shared" si="69"/>
        <v/>
      </c>
      <c r="F86" s="1554" t="str">
        <f t="shared" si="67"/>
        <v/>
      </c>
      <c r="G86" s="1554" t="str">
        <f t="shared" si="68"/>
        <v/>
      </c>
      <c r="AI86" s="1355" t="s">
        <v>345</v>
      </c>
      <c r="BA86" s="346"/>
      <c r="CD86" s="346"/>
    </row>
    <row r="87" spans="2:82" ht="13.5" thickBot="1" x14ac:dyDescent="0.25">
      <c r="B87" s="110">
        <f t="shared" si="70"/>
        <v>46022</v>
      </c>
      <c r="C87" s="192">
        <f t="shared" si="70"/>
        <v>46022</v>
      </c>
      <c r="D87" s="193" t="str">
        <f t="shared" si="66"/>
        <v/>
      </c>
      <c r="E87" s="193" t="str">
        <f t="shared" si="69"/>
        <v/>
      </c>
      <c r="F87" s="1555" t="str">
        <f t="shared" si="67"/>
        <v/>
      </c>
      <c r="G87" s="1555"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346</v>
      </c>
      <c r="BA89" s="346"/>
      <c r="CD89" s="346"/>
    </row>
    <row r="90" spans="2:82" x14ac:dyDescent="0.2">
      <c r="E90" s="29" t="s">
        <v>1680</v>
      </c>
      <c r="F90" s="355" t="e">
        <f>+(Q16+Q17)/D50*F88</f>
        <v>#DIV/0!</v>
      </c>
      <c r="G90" s="355" t="e">
        <f>+(Q16+Q17)/D50*G88*0.8</f>
        <v>#DIV/0!</v>
      </c>
      <c r="AI90" s="1355" t="s">
        <v>530</v>
      </c>
      <c r="BA90" s="346"/>
      <c r="CD90" s="346"/>
    </row>
    <row r="91" spans="2:82" x14ac:dyDescent="0.2">
      <c r="AI91" s="581" t="e">
        <f>ROUND(AL30,2)&amp;" X "&amp;ROUND(AL28,2)&amp;" = "&amp;ROUND(AL32,2)&amp;" hrs"</f>
        <v>#VALUE!</v>
      </c>
      <c r="BA91" s="346"/>
      <c r="CD91" s="346"/>
    </row>
    <row r="92" spans="2:82" x14ac:dyDescent="0.2">
      <c r="B92" s="16" t="s">
        <v>1681</v>
      </c>
      <c r="BA92" s="346"/>
      <c r="CD92" s="346"/>
    </row>
    <row r="93" spans="2:82" x14ac:dyDescent="0.2">
      <c r="B93" s="16" t="e">
        <f>" ( "&amp;Q16&amp;" € + "&amp;Q17&amp;" € ) / "&amp;D50&amp;" X "&amp;F88&amp;" = "&amp;ROUND(F90,2)&amp;" €"</f>
        <v>#DIV/0!</v>
      </c>
      <c r="AI93" s="581" t="s">
        <v>347</v>
      </c>
      <c r="BA93" s="346"/>
      <c r="CD93" s="346"/>
    </row>
    <row r="94" spans="2:82" x14ac:dyDescent="0.2">
      <c r="B94" s="16" t="e">
        <f>" ( "&amp;Q16&amp;" € + "&amp;Q17&amp;" € ) / "&amp;D50&amp;" X "&amp;G88&amp;" X 0,80 = "&amp;ROUND(G90,2)&amp;" €"</f>
        <v>#DIV/0!</v>
      </c>
      <c r="AI94" s="1355" t="s">
        <v>348</v>
      </c>
      <c r="BA94" s="346"/>
      <c r="CD94" s="346"/>
    </row>
    <row r="95" spans="2:82" x14ac:dyDescent="0.2">
      <c r="AI95" s="581" t="e">
        <f>ROUND(AL24,2)&amp;" / "&amp;ROUND(AL32,2)&amp;" = "&amp;ROUND(AL34,2)&amp;" €"</f>
        <v>#VALUE!</v>
      </c>
    </row>
    <row r="97" spans="35:35" x14ac:dyDescent="0.2">
      <c r="AI97" s="581" t="s">
        <v>1123</v>
      </c>
    </row>
    <row r="99" spans="35:35" x14ac:dyDescent="0.2">
      <c r="AI99" s="581" t="s">
        <v>531</v>
      </c>
    </row>
    <row r="100" spans="35:35" x14ac:dyDescent="0.2">
      <c r="AI100" s="581" t="s">
        <v>349</v>
      </c>
    </row>
    <row r="101" spans="35:35" x14ac:dyDescent="0.2">
      <c r="AI101" s="1355" t="s">
        <v>1125</v>
      </c>
    </row>
    <row r="103" spans="35:35" x14ac:dyDescent="0.2">
      <c r="AI103" s="581" t="s">
        <v>350</v>
      </c>
    </row>
    <row r="104" spans="35:35" x14ac:dyDescent="0.2">
      <c r="AI104" s="581" t="s">
        <v>1124</v>
      </c>
    </row>
  </sheetData>
  <sheetProtection algorithmName="SHA-512" hashValue="VtpSWhLelvLPpIyjEfQiBxOAH6OOoIIETdIUsuiylzB4/fb4Kxe88hwrpxoV4etD0y7iPXpisA/Od4ntH2dKrg==" saltValue="/K8JBjLMVkYZTnxSGYqQlQ==" spinCount="100000" sheet="1" objects="1" scenarios="1" formatCells="0" formatColumns="0" formatRows="0" insertColumns="0" insertRows="0" insertHyperlinks="0" sort="0" autoFilter="0" pivotTables="0"/>
  <mergeCells count="73">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 ref="CI50:CK50"/>
    <mergeCell ref="CI51:CK51"/>
    <mergeCell ref="CI52:CK52"/>
    <mergeCell ref="CI53:CK53"/>
    <mergeCell ref="CL46:CL47"/>
    <mergeCell ref="CN46:CN47"/>
    <mergeCell ref="CR46:CR47"/>
    <mergeCell ref="CI48:CK48"/>
    <mergeCell ref="CG15:CG16"/>
    <mergeCell ref="CH15:CH16"/>
    <mergeCell ref="CE17:CG17"/>
    <mergeCell ref="W34:Y34"/>
    <mergeCell ref="W35:Y35"/>
    <mergeCell ref="W36:Y36"/>
    <mergeCell ref="AF46:AF47"/>
    <mergeCell ref="CM46:CM47"/>
    <mergeCell ref="W50:Y50"/>
    <mergeCell ref="W51:Y51"/>
    <mergeCell ref="AP37:AP38"/>
    <mergeCell ref="AN39:AN46"/>
    <mergeCell ref="AL37:AL38"/>
    <mergeCell ref="AM37:AM38"/>
    <mergeCell ref="AN37:AN38"/>
    <mergeCell ref="AO37:AO38"/>
    <mergeCell ref="W39:Y39"/>
    <mergeCell ref="D15:D16"/>
    <mergeCell ref="E15:E16"/>
    <mergeCell ref="BD8:BE8"/>
    <mergeCell ref="AJ8:AK8"/>
    <mergeCell ref="AA32:AA33"/>
    <mergeCell ref="AB32:AB33"/>
    <mergeCell ref="AA19:AB19"/>
    <mergeCell ref="AA21:AB21"/>
    <mergeCell ref="AF32:AF33"/>
    <mergeCell ref="S19:V19"/>
    <mergeCell ref="S21:V21"/>
    <mergeCell ref="BF15:BF16"/>
    <mergeCell ref="BB17:BG17"/>
    <mergeCell ref="BG15:BG16"/>
    <mergeCell ref="BH29:BI29"/>
    <mergeCell ref="BE15:BE16"/>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s>
  <conditionalFormatting sqref="A7:R7">
    <cfRule type="expression" dxfId="1742" priority="36">
      <formula>$R$3=$A$5</formula>
    </cfRule>
  </conditionalFormatting>
  <conditionalFormatting sqref="M19:Q23">
    <cfRule type="expression" dxfId="1741" priority="13">
      <formula>$E$11&gt;0</formula>
    </cfRule>
  </conditionalFormatting>
  <conditionalFormatting sqref="M26:R46">
    <cfRule type="expression" dxfId="1740" priority="3">
      <formula>$E$11=0</formula>
    </cfRule>
  </conditionalFormatting>
  <conditionalFormatting sqref="P17">
    <cfRule type="expression" dxfId="1739" priority="16">
      <formula>$E$11=0</formula>
    </cfRule>
  </conditionalFormatting>
  <conditionalFormatting sqref="P30">
    <cfRule type="expression" dxfId="1738" priority="7">
      <formula>AND($R$3="Méthode 1",$E$11&lt;0)</formula>
    </cfRule>
  </conditionalFormatting>
  <conditionalFormatting sqref="P33">
    <cfRule type="expression" dxfId="1737" priority="6">
      <formula>AND($R$3="Méthode 1",$E$11&lt;0)</formula>
    </cfRule>
  </conditionalFormatting>
  <conditionalFormatting sqref="Q17">
    <cfRule type="cellIs" dxfId="1736" priority="15" operator="equal">
      <formula>0</formula>
    </cfRule>
  </conditionalFormatting>
  <conditionalFormatting sqref="Q42">
    <cfRule type="expression" dxfId="1735" priority="5">
      <formula>AND($R$3="Méthode 1",$E$11&lt;0)</formula>
    </cfRule>
  </conditionalFormatting>
  <conditionalFormatting sqref="Q45">
    <cfRule type="expression" dxfId="1734" priority="4">
      <formula>AND($R$3="Méthode 1",$E$11&lt;0)</formula>
    </cfRule>
  </conditionalFormatting>
  <conditionalFormatting sqref="S7:AF7">
    <cfRule type="expression" dxfId="1733" priority="35">
      <formula>$R$3=$T$5</formula>
    </cfRule>
  </conditionalFormatting>
  <conditionalFormatting sqref="W19">
    <cfRule type="expression" dxfId="1732" priority="40">
      <formula>$EF$14=1</formula>
    </cfRule>
  </conditionalFormatting>
  <conditionalFormatting sqref="W21">
    <cfRule type="expression" dxfId="1731" priority="39">
      <formula>$EF$14=1</formula>
    </cfRule>
  </conditionalFormatting>
  <conditionalFormatting sqref="AC19">
    <cfRule type="expression" dxfId="1730" priority="38">
      <formula>$EF$14=1</formula>
    </cfRule>
  </conditionalFormatting>
  <conditionalFormatting sqref="AC21">
    <cfRule type="expression" dxfId="1729" priority="37">
      <formula>$EF$14=1</formula>
    </cfRule>
  </conditionalFormatting>
  <conditionalFormatting sqref="AH7:AZ7">
    <cfRule type="expression" dxfId="1728" priority="21">
      <formula>$R$3=$AI$5</formula>
    </cfRule>
  </conditionalFormatting>
  <conditionalFormatting sqref="AP50">
    <cfRule type="expression" dxfId="1727" priority="20">
      <formula>$R$3="Méthode 2"</formula>
    </cfRule>
  </conditionalFormatting>
  <conditionalFormatting sqref="AP52">
    <cfRule type="expression" dxfId="1726" priority="19">
      <formula>$R$3="Méthode 2"</formula>
    </cfRule>
  </conditionalFormatting>
  <conditionalFormatting sqref="AP61">
    <cfRule type="expression" dxfId="1725" priority="18">
      <formula>$R$3="Méthode 2"</formula>
    </cfRule>
  </conditionalFormatting>
  <conditionalFormatting sqref="AP64">
    <cfRule type="expression" dxfId="1724" priority="17">
      <formula>$R$3="Méthode 2"</formula>
    </cfRule>
  </conditionalFormatting>
  <conditionalFormatting sqref="BI50">
    <cfRule type="expression" dxfId="1723" priority="28">
      <formula>$BK$3="Méthode 1"</formula>
    </cfRule>
  </conditionalFormatting>
  <conditionalFormatting sqref="BJ29">
    <cfRule type="expression" dxfId="1722" priority="30">
      <formula>$BK$3="Méthode 1"</formula>
    </cfRule>
  </conditionalFormatting>
  <conditionalFormatting sqref="BJ45">
    <cfRule type="expression" dxfId="1721" priority="29">
      <formula>$BK$3="Méthode 1"</formula>
    </cfRule>
  </conditionalFormatting>
  <conditionalFormatting sqref="BR46">
    <cfRule type="expression" dxfId="1720" priority="27">
      <formula>$BK$3="Méthode 2"</formula>
    </cfRule>
  </conditionalFormatting>
  <conditionalFormatting sqref="BR49">
    <cfRule type="expression" dxfId="1719" priority="26">
      <formula>$BK$3="Méthode 2"</formula>
    </cfRule>
  </conditionalFormatting>
  <conditionalFormatting sqref="BW52">
    <cfRule type="expression" dxfId="1718" priority="23">
      <formula>$BK$3="Méthode 2"</formula>
    </cfRule>
  </conditionalFormatting>
  <conditionalFormatting sqref="BW54">
    <cfRule type="expression" dxfId="1717" priority="22">
      <formula>$BK$3="Méthode 2"</formula>
    </cfRule>
  </conditionalFormatting>
  <conditionalFormatting sqref="BZ46">
    <cfRule type="expression" dxfId="1716" priority="25">
      <formula>$BK$3="Méthode 2"</formula>
    </cfRule>
  </conditionalFormatting>
  <conditionalFormatting sqref="BZ49">
    <cfRule type="expression" dxfId="1715" priority="24">
      <formula>$BK$3="Méthode 2"</formula>
    </cfRule>
  </conditionalFormatting>
  <conditionalFormatting sqref="CG18:CG48">
    <cfRule type="cellIs" dxfId="171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FV1" sqref="FV1"/>
      <selection pane="topRight"/>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1013" t="str">
        <f>"TABLEAU DES COTISATIONS POUR "&amp;Identification!B60</f>
        <v>TABLEAU DES COTISATIONS POUR 2025</v>
      </c>
    </row>
    <row r="3" spans="1:13" x14ac:dyDescent="0.2">
      <c r="A3" s="464" t="s">
        <v>1562</v>
      </c>
    </row>
    <row r="5" spans="1:13" x14ac:dyDescent="0.2">
      <c r="B5" s="1441" t="s">
        <v>98</v>
      </c>
      <c r="C5" s="1442" t="s">
        <v>1361</v>
      </c>
      <c r="D5" s="1441" t="s">
        <v>100</v>
      </c>
      <c r="E5" s="1442" t="s">
        <v>101</v>
      </c>
      <c r="F5" s="1441" t="s">
        <v>102</v>
      </c>
      <c r="G5" s="1442" t="s">
        <v>103</v>
      </c>
      <c r="H5" s="1441" t="s">
        <v>104</v>
      </c>
      <c r="I5" s="1442" t="s">
        <v>105</v>
      </c>
      <c r="J5" s="1441" t="s">
        <v>106</v>
      </c>
      <c r="K5" s="1442" t="s">
        <v>107</v>
      </c>
      <c r="L5" s="1441" t="s">
        <v>108</v>
      </c>
      <c r="M5" s="1443" t="s">
        <v>109</v>
      </c>
    </row>
    <row r="6" spans="1:13" x14ac:dyDescent="0.2">
      <c r="A6" s="1308"/>
      <c r="B6" s="947">
        <f>+Identification!B61</f>
        <v>45658</v>
      </c>
      <c r="C6" s="947">
        <f t="shared" ref="C6:M6" si="0">+DATE(YEAR(B6),MONTH(B6)+1,1)</f>
        <v>45689</v>
      </c>
      <c r="D6" s="947">
        <f t="shared" si="0"/>
        <v>45717</v>
      </c>
      <c r="E6" s="947">
        <f t="shared" si="0"/>
        <v>45748</v>
      </c>
      <c r="F6" s="947">
        <f t="shared" si="0"/>
        <v>45778</v>
      </c>
      <c r="G6" s="947">
        <f t="shared" si="0"/>
        <v>45809</v>
      </c>
      <c r="H6" s="947">
        <f t="shared" si="0"/>
        <v>45839</v>
      </c>
      <c r="I6" s="947">
        <f t="shared" si="0"/>
        <v>45870</v>
      </c>
      <c r="J6" s="947">
        <f t="shared" si="0"/>
        <v>45901</v>
      </c>
      <c r="K6" s="947">
        <f t="shared" si="0"/>
        <v>45931</v>
      </c>
      <c r="L6" s="947">
        <f t="shared" si="0"/>
        <v>45962</v>
      </c>
      <c r="M6" s="947">
        <f t="shared" si="0"/>
        <v>45992</v>
      </c>
    </row>
    <row r="7" spans="1:13" ht="25.5" x14ac:dyDescent="0.2">
      <c r="B7" s="1444" t="s">
        <v>491</v>
      </c>
      <c r="C7" s="1444" t="s">
        <v>491</v>
      </c>
      <c r="D7" s="1444" t="s">
        <v>491</v>
      </c>
      <c r="E7" s="1444" t="s">
        <v>491</v>
      </c>
      <c r="F7" s="1444" t="s">
        <v>491</v>
      </c>
      <c r="G7" s="1444" t="s">
        <v>491</v>
      </c>
      <c r="H7" s="1444" t="s">
        <v>491</v>
      </c>
      <c r="I7" s="1444" t="s">
        <v>491</v>
      </c>
      <c r="J7" s="1444" t="s">
        <v>491</v>
      </c>
      <c r="K7" s="1444" t="s">
        <v>491</v>
      </c>
      <c r="L7" s="1444" t="s">
        <v>491</v>
      </c>
      <c r="M7" s="1444" t="s">
        <v>491</v>
      </c>
    </row>
    <row r="8" spans="1:13" x14ac:dyDescent="0.2">
      <c r="B8" s="1445" t="s">
        <v>45</v>
      </c>
      <c r="C8" s="1445" t="s">
        <v>45</v>
      </c>
      <c r="D8" s="1445" t="s">
        <v>45</v>
      </c>
      <c r="E8" s="1445" t="s">
        <v>45</v>
      </c>
      <c r="F8" s="1445" t="s">
        <v>45</v>
      </c>
      <c r="G8" s="1445" t="s">
        <v>45</v>
      </c>
      <c r="H8" s="1445" t="s">
        <v>45</v>
      </c>
      <c r="I8" s="1445" t="s">
        <v>45</v>
      </c>
      <c r="J8" s="1445" t="s">
        <v>45</v>
      </c>
      <c r="K8" s="1445" t="s">
        <v>45</v>
      </c>
      <c r="L8" s="1445" t="s">
        <v>45</v>
      </c>
      <c r="M8" s="1445" t="s">
        <v>45</v>
      </c>
    </row>
    <row r="9" spans="1:13" x14ac:dyDescent="0.2">
      <c r="A9" s="1446" t="s">
        <v>119</v>
      </c>
      <c r="B9" s="1447"/>
      <c r="C9" s="1447"/>
      <c r="D9" s="1447"/>
      <c r="E9" s="1447"/>
      <c r="F9" s="1447"/>
      <c r="G9" s="1447"/>
      <c r="H9" s="1447"/>
      <c r="I9" s="1447"/>
      <c r="J9" s="1447"/>
      <c r="K9" s="1447"/>
      <c r="L9" s="1447"/>
      <c r="M9" s="1447"/>
    </row>
    <row r="10" spans="1:13" x14ac:dyDescent="0.2">
      <c r="A10" s="12" t="s">
        <v>117</v>
      </c>
      <c r="B10" s="1448"/>
      <c r="C10" s="1448"/>
      <c r="D10" s="1448"/>
      <c r="E10" s="1448"/>
      <c r="F10" s="1448"/>
      <c r="G10" s="1448"/>
      <c r="H10" s="1448"/>
      <c r="I10" s="1448"/>
      <c r="J10" s="1448"/>
      <c r="K10" s="1448"/>
      <c r="L10" s="1448"/>
      <c r="M10" s="1448"/>
    </row>
    <row r="11" spans="1:13" x14ac:dyDescent="0.2">
      <c r="A11" s="12" t="s">
        <v>1563</v>
      </c>
      <c r="B11" s="1632">
        <v>1.04E-2</v>
      </c>
      <c r="C11" s="1632">
        <f>+B11</f>
        <v>1.04E-2</v>
      </c>
      <c r="D11" s="1632">
        <f t="shared" ref="D11:M11" si="1">+C11</f>
        <v>1.04E-2</v>
      </c>
      <c r="E11" s="1632">
        <f t="shared" si="1"/>
        <v>1.04E-2</v>
      </c>
      <c r="F11" s="1632">
        <f t="shared" si="1"/>
        <v>1.04E-2</v>
      </c>
      <c r="G11" s="1632">
        <f t="shared" si="1"/>
        <v>1.04E-2</v>
      </c>
      <c r="H11" s="1632">
        <f t="shared" si="1"/>
        <v>1.04E-2</v>
      </c>
      <c r="I11" s="1632">
        <f t="shared" si="1"/>
        <v>1.04E-2</v>
      </c>
      <c r="J11" s="1632">
        <f t="shared" si="1"/>
        <v>1.04E-2</v>
      </c>
      <c r="K11" s="1632">
        <f t="shared" si="1"/>
        <v>1.04E-2</v>
      </c>
      <c r="L11" s="1632">
        <f t="shared" si="1"/>
        <v>1.04E-2</v>
      </c>
      <c r="M11" s="1632">
        <f t="shared" si="1"/>
        <v>1.04E-2</v>
      </c>
    </row>
    <row r="12" spans="1:13" x14ac:dyDescent="0.2">
      <c r="A12" s="12" t="s">
        <v>1564</v>
      </c>
      <c r="B12" s="1448"/>
      <c r="C12" s="1448"/>
      <c r="D12" s="1448"/>
      <c r="E12" s="1448"/>
      <c r="F12" s="1448"/>
      <c r="G12" s="1448"/>
      <c r="H12" s="1448"/>
      <c r="I12" s="1448"/>
      <c r="J12" s="1448"/>
      <c r="K12" s="1448"/>
      <c r="L12" s="1448"/>
      <c r="M12" s="1448"/>
    </row>
    <row r="13" spans="1:13" x14ac:dyDescent="0.2">
      <c r="A13" s="13" t="s">
        <v>121</v>
      </c>
      <c r="B13" s="1448"/>
      <c r="C13" s="1448"/>
      <c r="D13" s="1448"/>
      <c r="E13" s="1448"/>
      <c r="F13" s="1448"/>
      <c r="G13" s="1448"/>
      <c r="H13" s="1448"/>
      <c r="I13" s="1448"/>
      <c r="J13" s="1448"/>
      <c r="K13" s="1448"/>
      <c r="L13" s="1448"/>
      <c r="M13" s="1448"/>
    </row>
    <row r="14" spans="1:13" x14ac:dyDescent="0.2">
      <c r="A14" s="13" t="s">
        <v>118</v>
      </c>
      <c r="B14" s="1448"/>
      <c r="C14" s="1448"/>
      <c r="D14" s="1448"/>
      <c r="E14" s="1448"/>
      <c r="F14" s="1448"/>
      <c r="G14" s="1448"/>
      <c r="H14" s="1448"/>
      <c r="I14" s="1448"/>
      <c r="J14" s="1448"/>
      <c r="K14" s="1448"/>
      <c r="L14" s="1448"/>
      <c r="M14" s="1448"/>
    </row>
    <row r="15" spans="1:13" x14ac:dyDescent="0.2">
      <c r="A15" s="12" t="s">
        <v>1565</v>
      </c>
      <c r="B15" s="1632">
        <v>6.9000000000000006E-2</v>
      </c>
      <c r="C15" s="1632">
        <f t="shared" ref="C15:M23" si="2">+B15</f>
        <v>6.9000000000000006E-2</v>
      </c>
      <c r="D15" s="1632">
        <f t="shared" si="2"/>
        <v>6.9000000000000006E-2</v>
      </c>
      <c r="E15" s="1632">
        <f t="shared" si="2"/>
        <v>6.9000000000000006E-2</v>
      </c>
      <c r="F15" s="1632">
        <f t="shared" si="2"/>
        <v>6.9000000000000006E-2</v>
      </c>
      <c r="G15" s="1632">
        <f t="shared" si="2"/>
        <v>6.9000000000000006E-2</v>
      </c>
      <c r="H15" s="1632">
        <f t="shared" si="2"/>
        <v>6.9000000000000006E-2</v>
      </c>
      <c r="I15" s="1632">
        <f t="shared" si="2"/>
        <v>6.9000000000000006E-2</v>
      </c>
      <c r="J15" s="1632">
        <f t="shared" si="2"/>
        <v>6.9000000000000006E-2</v>
      </c>
      <c r="K15" s="1632">
        <f t="shared" si="2"/>
        <v>6.9000000000000006E-2</v>
      </c>
      <c r="L15" s="1632">
        <f t="shared" si="2"/>
        <v>6.9000000000000006E-2</v>
      </c>
      <c r="M15" s="1632">
        <f t="shared" si="2"/>
        <v>6.9000000000000006E-2</v>
      </c>
    </row>
    <row r="16" spans="1:13" x14ac:dyDescent="0.2">
      <c r="A16" s="12" t="s">
        <v>1566</v>
      </c>
      <c r="B16" s="1632">
        <v>4.0000000000000001E-3</v>
      </c>
      <c r="C16" s="1632">
        <f t="shared" si="2"/>
        <v>4.0000000000000001E-3</v>
      </c>
      <c r="D16" s="1632">
        <f t="shared" si="2"/>
        <v>4.0000000000000001E-3</v>
      </c>
      <c r="E16" s="1632">
        <f t="shared" si="2"/>
        <v>4.0000000000000001E-3</v>
      </c>
      <c r="F16" s="1632">
        <f t="shared" si="2"/>
        <v>4.0000000000000001E-3</v>
      </c>
      <c r="G16" s="1632">
        <f t="shared" si="2"/>
        <v>4.0000000000000001E-3</v>
      </c>
      <c r="H16" s="1632">
        <f t="shared" si="2"/>
        <v>4.0000000000000001E-3</v>
      </c>
      <c r="I16" s="1632">
        <f t="shared" si="2"/>
        <v>4.0000000000000001E-3</v>
      </c>
      <c r="J16" s="1632">
        <f t="shared" si="2"/>
        <v>4.0000000000000001E-3</v>
      </c>
      <c r="K16" s="1632">
        <f t="shared" si="2"/>
        <v>4.0000000000000001E-3</v>
      </c>
      <c r="L16" s="1632">
        <f t="shared" si="2"/>
        <v>4.0000000000000001E-3</v>
      </c>
      <c r="M16" s="1632">
        <f t="shared" si="2"/>
        <v>4.0000000000000001E-3</v>
      </c>
    </row>
    <row r="17" spans="1:13" x14ac:dyDescent="0.2">
      <c r="A17" s="12" t="s">
        <v>1567</v>
      </c>
      <c r="B17" s="1632">
        <v>3.15E-2</v>
      </c>
      <c r="C17" s="1632">
        <f t="shared" si="2"/>
        <v>3.15E-2</v>
      </c>
      <c r="D17" s="1632">
        <f t="shared" si="2"/>
        <v>3.15E-2</v>
      </c>
      <c r="E17" s="1632">
        <f t="shared" si="2"/>
        <v>3.15E-2</v>
      </c>
      <c r="F17" s="1632">
        <f t="shared" si="2"/>
        <v>3.15E-2</v>
      </c>
      <c r="G17" s="1632">
        <f t="shared" si="2"/>
        <v>3.15E-2</v>
      </c>
      <c r="H17" s="1632">
        <f t="shared" si="2"/>
        <v>3.15E-2</v>
      </c>
      <c r="I17" s="1632">
        <f t="shared" si="2"/>
        <v>3.15E-2</v>
      </c>
      <c r="J17" s="1632">
        <f t="shared" si="2"/>
        <v>3.15E-2</v>
      </c>
      <c r="K17" s="1632">
        <f t="shared" si="2"/>
        <v>3.15E-2</v>
      </c>
      <c r="L17" s="1632">
        <f t="shared" si="2"/>
        <v>3.15E-2</v>
      </c>
      <c r="M17" s="1632">
        <f t="shared" si="2"/>
        <v>3.15E-2</v>
      </c>
    </row>
    <row r="18" spans="1:13" x14ac:dyDescent="0.2">
      <c r="A18" s="12" t="s">
        <v>1568</v>
      </c>
      <c r="B18" s="1632">
        <v>8.6E-3</v>
      </c>
      <c r="C18" s="1632">
        <f t="shared" si="2"/>
        <v>8.6E-3</v>
      </c>
      <c r="D18" s="1632">
        <f t="shared" si="2"/>
        <v>8.6E-3</v>
      </c>
      <c r="E18" s="1632">
        <f t="shared" si="2"/>
        <v>8.6E-3</v>
      </c>
      <c r="F18" s="1632">
        <f t="shared" si="2"/>
        <v>8.6E-3</v>
      </c>
      <c r="G18" s="1632">
        <f t="shared" si="2"/>
        <v>8.6E-3</v>
      </c>
      <c r="H18" s="1632">
        <f t="shared" si="2"/>
        <v>8.6E-3</v>
      </c>
      <c r="I18" s="1632">
        <f t="shared" si="2"/>
        <v>8.6E-3</v>
      </c>
      <c r="J18" s="1632">
        <f t="shared" si="2"/>
        <v>8.6E-3</v>
      </c>
      <c r="K18" s="1632">
        <f t="shared" si="2"/>
        <v>8.6E-3</v>
      </c>
      <c r="L18" s="1632">
        <f t="shared" si="2"/>
        <v>8.6E-3</v>
      </c>
      <c r="M18" s="1632">
        <f t="shared" si="2"/>
        <v>8.6E-3</v>
      </c>
    </row>
    <row r="19" spans="1:13" x14ac:dyDescent="0.2">
      <c r="A19" s="12" t="str">
        <f>+A17&amp;" - "&amp;A18</f>
        <v>Retraite IRCEM T1 - CEG T1</v>
      </c>
      <c r="B19" s="1448">
        <f>SUM(B17:B18)</f>
        <v>4.0099999999999997E-2</v>
      </c>
      <c r="C19" s="1448">
        <f t="shared" si="2"/>
        <v>4.0099999999999997E-2</v>
      </c>
      <c r="D19" s="1448">
        <f t="shared" si="2"/>
        <v>4.0099999999999997E-2</v>
      </c>
      <c r="E19" s="1448">
        <f t="shared" si="2"/>
        <v>4.0099999999999997E-2</v>
      </c>
      <c r="F19" s="1448">
        <f t="shared" si="2"/>
        <v>4.0099999999999997E-2</v>
      </c>
      <c r="G19" s="1448">
        <f t="shared" si="2"/>
        <v>4.0099999999999997E-2</v>
      </c>
      <c r="H19" s="1448">
        <f t="shared" si="2"/>
        <v>4.0099999999999997E-2</v>
      </c>
      <c r="I19" s="1448">
        <f t="shared" si="2"/>
        <v>4.0099999999999997E-2</v>
      </c>
      <c r="J19" s="1448">
        <f t="shared" si="2"/>
        <v>4.0099999999999997E-2</v>
      </c>
      <c r="K19" s="1448">
        <f t="shared" si="2"/>
        <v>4.0099999999999997E-2</v>
      </c>
      <c r="L19" s="1448">
        <f t="shared" si="2"/>
        <v>4.0099999999999997E-2</v>
      </c>
      <c r="M19" s="1448">
        <f t="shared" si="2"/>
        <v>4.0099999999999997E-2</v>
      </c>
    </row>
    <row r="20" spans="1:13" x14ac:dyDescent="0.2">
      <c r="A20" s="12" t="s">
        <v>1569</v>
      </c>
      <c r="B20" s="1632">
        <v>1.4E-3</v>
      </c>
      <c r="C20" s="1632">
        <f t="shared" si="2"/>
        <v>1.4E-3</v>
      </c>
      <c r="D20" s="1632">
        <f t="shared" si="2"/>
        <v>1.4E-3</v>
      </c>
      <c r="E20" s="1632">
        <f t="shared" si="2"/>
        <v>1.4E-3</v>
      </c>
      <c r="F20" s="1632">
        <f t="shared" si="2"/>
        <v>1.4E-3</v>
      </c>
      <c r="G20" s="1632">
        <f t="shared" si="2"/>
        <v>1.4E-3</v>
      </c>
      <c r="H20" s="1632">
        <f t="shared" si="2"/>
        <v>1.4E-3</v>
      </c>
      <c r="I20" s="1632">
        <f t="shared" si="2"/>
        <v>1.4E-3</v>
      </c>
      <c r="J20" s="1632">
        <f t="shared" si="2"/>
        <v>1.4E-3</v>
      </c>
      <c r="K20" s="1632">
        <f t="shared" si="2"/>
        <v>1.4E-3</v>
      </c>
      <c r="L20" s="1632">
        <f t="shared" si="2"/>
        <v>1.4E-3</v>
      </c>
      <c r="M20" s="1632">
        <f t="shared" si="2"/>
        <v>1.4E-3</v>
      </c>
    </row>
    <row r="21" spans="1:13" x14ac:dyDescent="0.2">
      <c r="A21" s="12" t="s">
        <v>1570</v>
      </c>
      <c r="B21" s="1632">
        <v>8.6400000000000005E-2</v>
      </c>
      <c r="C21" s="1632">
        <f t="shared" si="2"/>
        <v>8.6400000000000005E-2</v>
      </c>
      <c r="D21" s="1632">
        <f t="shared" si="2"/>
        <v>8.6400000000000005E-2</v>
      </c>
      <c r="E21" s="1632">
        <f t="shared" si="2"/>
        <v>8.6400000000000005E-2</v>
      </c>
      <c r="F21" s="1632">
        <f t="shared" si="2"/>
        <v>8.6400000000000005E-2</v>
      </c>
      <c r="G21" s="1632">
        <f t="shared" si="2"/>
        <v>8.6400000000000005E-2</v>
      </c>
      <c r="H21" s="1632">
        <f t="shared" si="2"/>
        <v>8.6400000000000005E-2</v>
      </c>
      <c r="I21" s="1632">
        <f t="shared" si="2"/>
        <v>8.6400000000000005E-2</v>
      </c>
      <c r="J21" s="1632">
        <f t="shared" si="2"/>
        <v>8.6400000000000005E-2</v>
      </c>
      <c r="K21" s="1632">
        <f t="shared" si="2"/>
        <v>8.6400000000000005E-2</v>
      </c>
      <c r="L21" s="1632">
        <f t="shared" si="2"/>
        <v>8.6400000000000005E-2</v>
      </c>
      <c r="M21" s="1632">
        <f t="shared" si="2"/>
        <v>8.6400000000000005E-2</v>
      </c>
    </row>
    <row r="22" spans="1:13" x14ac:dyDescent="0.2">
      <c r="A22" s="12" t="s">
        <v>1571</v>
      </c>
      <c r="B22" s="1632">
        <v>1.0800000000000001E-2</v>
      </c>
      <c r="C22" s="1632">
        <f t="shared" si="2"/>
        <v>1.0800000000000001E-2</v>
      </c>
      <c r="D22" s="1632">
        <f t="shared" si="2"/>
        <v>1.0800000000000001E-2</v>
      </c>
      <c r="E22" s="1632">
        <f t="shared" si="2"/>
        <v>1.0800000000000001E-2</v>
      </c>
      <c r="F22" s="1632">
        <f t="shared" si="2"/>
        <v>1.0800000000000001E-2</v>
      </c>
      <c r="G22" s="1632">
        <f t="shared" si="2"/>
        <v>1.0800000000000001E-2</v>
      </c>
      <c r="H22" s="1632">
        <f t="shared" si="2"/>
        <v>1.0800000000000001E-2</v>
      </c>
      <c r="I22" s="1632">
        <f t="shared" si="2"/>
        <v>1.0800000000000001E-2</v>
      </c>
      <c r="J22" s="1632">
        <f t="shared" si="2"/>
        <v>1.0800000000000001E-2</v>
      </c>
      <c r="K22" s="1632">
        <f t="shared" si="2"/>
        <v>1.0800000000000001E-2</v>
      </c>
      <c r="L22" s="1632">
        <f t="shared" si="2"/>
        <v>1.0800000000000001E-2</v>
      </c>
      <c r="M22" s="1632">
        <f t="shared" si="2"/>
        <v>1.0800000000000001E-2</v>
      </c>
    </row>
    <row r="23" spans="1:13" x14ac:dyDescent="0.2">
      <c r="A23" s="12" t="str">
        <f>+A21&amp;" - "&amp;A22</f>
        <v>Retraite IRCEM T2 - CEG T2</v>
      </c>
      <c r="B23" s="1448">
        <f>SUM(B21:B22)</f>
        <v>9.7200000000000009E-2</v>
      </c>
      <c r="C23" s="1448">
        <f t="shared" si="2"/>
        <v>9.7200000000000009E-2</v>
      </c>
      <c r="D23" s="1448">
        <f t="shared" si="2"/>
        <v>9.7200000000000009E-2</v>
      </c>
      <c r="E23" s="1448">
        <f t="shared" si="2"/>
        <v>9.7200000000000009E-2</v>
      </c>
      <c r="F23" s="1448">
        <f t="shared" si="2"/>
        <v>9.7200000000000009E-2</v>
      </c>
      <c r="G23" s="1448">
        <f t="shared" si="2"/>
        <v>9.7200000000000009E-2</v>
      </c>
      <c r="H23" s="1448">
        <f t="shared" si="2"/>
        <v>9.7200000000000009E-2</v>
      </c>
      <c r="I23" s="1448">
        <f t="shared" si="2"/>
        <v>9.7200000000000009E-2</v>
      </c>
      <c r="J23" s="1448">
        <f t="shared" si="2"/>
        <v>9.7200000000000009E-2</v>
      </c>
      <c r="K23" s="1448">
        <f t="shared" si="2"/>
        <v>9.7200000000000009E-2</v>
      </c>
      <c r="L23" s="1448">
        <f t="shared" si="2"/>
        <v>9.7200000000000009E-2</v>
      </c>
      <c r="M23" s="1448">
        <f t="shared" si="2"/>
        <v>9.7200000000000009E-2</v>
      </c>
    </row>
    <row r="24" spans="1:13" x14ac:dyDescent="0.2">
      <c r="A24" s="13" t="s">
        <v>120</v>
      </c>
      <c r="B24" s="1448"/>
      <c r="C24" s="1448"/>
      <c r="D24" s="1448"/>
      <c r="E24" s="1448"/>
      <c r="F24" s="1448"/>
      <c r="G24" s="1448"/>
      <c r="H24" s="1448"/>
      <c r="I24" s="1448"/>
      <c r="J24" s="1448"/>
      <c r="K24" s="1448"/>
      <c r="L24" s="1448"/>
      <c r="M24" s="1448"/>
    </row>
    <row r="25" spans="1:13" x14ac:dyDescent="0.2">
      <c r="A25" s="13" t="s">
        <v>122</v>
      </c>
      <c r="B25" s="1448"/>
      <c r="C25" s="1448"/>
      <c r="D25" s="1448"/>
      <c r="E25" s="1448"/>
      <c r="F25" s="1448"/>
      <c r="G25" s="1448"/>
      <c r="H25" s="1448"/>
      <c r="I25" s="1448"/>
      <c r="J25" s="1448"/>
      <c r="K25" s="1448"/>
      <c r="L25" s="1448"/>
      <c r="M25" s="1448"/>
    </row>
    <row r="26" spans="1:13" x14ac:dyDescent="0.2">
      <c r="A26" s="13" t="s">
        <v>1731</v>
      </c>
      <c r="B26" s="1448"/>
      <c r="C26" s="1448"/>
      <c r="D26" s="1448"/>
      <c r="E26" s="1448"/>
      <c r="F26" s="1448"/>
      <c r="G26" s="1448"/>
      <c r="H26" s="1448"/>
      <c r="I26" s="1448"/>
      <c r="J26" s="1448"/>
      <c r="K26" s="1448"/>
      <c r="L26" s="1448"/>
      <c r="M26" s="1448"/>
    </row>
    <row r="27" spans="1:13" x14ac:dyDescent="0.2">
      <c r="A27" s="14" t="s">
        <v>136</v>
      </c>
      <c r="B27" s="1633"/>
      <c r="C27" s="1633"/>
      <c r="D27" s="1633"/>
      <c r="E27" s="1633"/>
      <c r="F27" s="1633"/>
      <c r="G27" s="1633"/>
      <c r="H27" s="1633"/>
      <c r="I27" s="1633"/>
      <c r="J27" s="1633"/>
      <c r="K27" s="1633"/>
      <c r="L27" s="1633"/>
      <c r="M27" s="1633"/>
    </row>
    <row r="28" spans="1:13" x14ac:dyDescent="0.2">
      <c r="A28" s="14" t="s">
        <v>1572</v>
      </c>
      <c r="B28" s="1633"/>
      <c r="C28" s="1633"/>
      <c r="D28" s="1633"/>
      <c r="E28" s="1633"/>
      <c r="F28" s="1633"/>
      <c r="G28" s="1633"/>
      <c r="H28" s="1633"/>
      <c r="I28" s="1633"/>
      <c r="J28" s="1633"/>
      <c r="K28" s="1633"/>
      <c r="L28" s="1633"/>
      <c r="M28" s="1633"/>
    </row>
    <row r="29" spans="1:13" x14ac:dyDescent="0.2">
      <c r="A29" s="10" t="s">
        <v>123</v>
      </c>
      <c r="B29" s="1632">
        <v>6.8000000000000005E-2</v>
      </c>
      <c r="C29" s="1632">
        <f t="shared" ref="C29:M29" si="3">+B29</f>
        <v>6.8000000000000005E-2</v>
      </c>
      <c r="D29" s="1632">
        <f t="shared" si="3"/>
        <v>6.8000000000000005E-2</v>
      </c>
      <c r="E29" s="1632">
        <f t="shared" si="3"/>
        <v>6.8000000000000005E-2</v>
      </c>
      <c r="F29" s="1632">
        <f t="shared" si="3"/>
        <v>6.8000000000000005E-2</v>
      </c>
      <c r="G29" s="1632">
        <f t="shared" si="3"/>
        <v>6.8000000000000005E-2</v>
      </c>
      <c r="H29" s="1632">
        <f t="shared" si="3"/>
        <v>6.8000000000000005E-2</v>
      </c>
      <c r="I29" s="1632">
        <f t="shared" si="3"/>
        <v>6.8000000000000005E-2</v>
      </c>
      <c r="J29" s="1632">
        <f t="shared" si="3"/>
        <v>6.8000000000000005E-2</v>
      </c>
      <c r="K29" s="1632">
        <f t="shared" si="3"/>
        <v>6.8000000000000005E-2</v>
      </c>
      <c r="L29" s="1632">
        <f t="shared" si="3"/>
        <v>6.8000000000000005E-2</v>
      </c>
      <c r="M29" s="1632">
        <f t="shared" si="3"/>
        <v>6.8000000000000005E-2</v>
      </c>
    </row>
    <row r="30" spans="1:13" x14ac:dyDescent="0.2">
      <c r="A30" s="10" t="s">
        <v>124</v>
      </c>
      <c r="B30" s="1632">
        <v>2.9000000000000005E-2</v>
      </c>
      <c r="C30" s="1632">
        <f t="shared" ref="C30:M30" si="4">+B30</f>
        <v>2.9000000000000005E-2</v>
      </c>
      <c r="D30" s="1632">
        <f t="shared" si="4"/>
        <v>2.9000000000000005E-2</v>
      </c>
      <c r="E30" s="1632">
        <f t="shared" si="4"/>
        <v>2.9000000000000005E-2</v>
      </c>
      <c r="F30" s="1632">
        <f t="shared" si="4"/>
        <v>2.9000000000000005E-2</v>
      </c>
      <c r="G30" s="1632">
        <f t="shared" si="4"/>
        <v>2.9000000000000005E-2</v>
      </c>
      <c r="H30" s="1632">
        <f t="shared" si="4"/>
        <v>2.9000000000000005E-2</v>
      </c>
      <c r="I30" s="1632">
        <f t="shared" si="4"/>
        <v>2.9000000000000005E-2</v>
      </c>
      <c r="J30" s="1632">
        <f t="shared" si="4"/>
        <v>2.9000000000000005E-2</v>
      </c>
      <c r="K30" s="1632">
        <f t="shared" si="4"/>
        <v>2.9000000000000005E-2</v>
      </c>
      <c r="L30" s="1632">
        <f t="shared" si="4"/>
        <v>2.9000000000000005E-2</v>
      </c>
      <c r="M30" s="1632">
        <f t="shared" si="4"/>
        <v>2.9000000000000005E-2</v>
      </c>
    </row>
    <row r="31" spans="1:13" x14ac:dyDescent="0.2">
      <c r="A31" s="10" t="s">
        <v>125</v>
      </c>
      <c r="B31" s="1632">
        <v>9.7000000000000003E-2</v>
      </c>
      <c r="C31" s="1632">
        <f t="shared" ref="C31:M31" si="5">+B31</f>
        <v>9.7000000000000003E-2</v>
      </c>
      <c r="D31" s="1632">
        <f t="shared" si="5"/>
        <v>9.7000000000000003E-2</v>
      </c>
      <c r="E31" s="1632">
        <f t="shared" si="5"/>
        <v>9.7000000000000003E-2</v>
      </c>
      <c r="F31" s="1632">
        <f t="shared" si="5"/>
        <v>9.7000000000000003E-2</v>
      </c>
      <c r="G31" s="1632">
        <f t="shared" si="5"/>
        <v>9.7000000000000003E-2</v>
      </c>
      <c r="H31" s="1632">
        <f t="shared" si="5"/>
        <v>9.7000000000000003E-2</v>
      </c>
      <c r="I31" s="1632">
        <f t="shared" si="5"/>
        <v>9.7000000000000003E-2</v>
      </c>
      <c r="J31" s="1632">
        <f t="shared" si="5"/>
        <v>9.7000000000000003E-2</v>
      </c>
      <c r="K31" s="1632">
        <f t="shared" si="5"/>
        <v>9.7000000000000003E-2</v>
      </c>
      <c r="L31" s="1632">
        <f t="shared" si="5"/>
        <v>9.7000000000000003E-2</v>
      </c>
      <c r="M31" s="1632">
        <f t="shared" si="5"/>
        <v>9.7000000000000003E-2</v>
      </c>
    </row>
    <row r="32" spans="1:13" x14ac:dyDescent="0.2">
      <c r="A32" s="1619" t="s">
        <v>57</v>
      </c>
      <c r="B32" s="1634">
        <v>0.11310000000000001</v>
      </c>
      <c r="C32" s="1634">
        <f t="shared" ref="C32:M32" si="6">+B32</f>
        <v>0.11310000000000001</v>
      </c>
      <c r="D32" s="1634">
        <f t="shared" si="6"/>
        <v>0.11310000000000001</v>
      </c>
      <c r="E32" s="1634">
        <f t="shared" si="6"/>
        <v>0.11310000000000001</v>
      </c>
      <c r="F32" s="1634">
        <f t="shared" si="6"/>
        <v>0.11310000000000001</v>
      </c>
      <c r="G32" s="1634">
        <f t="shared" si="6"/>
        <v>0.11310000000000001</v>
      </c>
      <c r="H32" s="1634">
        <f t="shared" si="6"/>
        <v>0.11310000000000001</v>
      </c>
      <c r="I32" s="1634">
        <f t="shared" si="6"/>
        <v>0.11310000000000001</v>
      </c>
      <c r="J32" s="1634">
        <f t="shared" si="6"/>
        <v>0.11310000000000001</v>
      </c>
      <c r="K32" s="1634">
        <f t="shared" si="6"/>
        <v>0.11310000000000001</v>
      </c>
      <c r="L32" s="1634">
        <f t="shared" si="6"/>
        <v>0.11310000000000001</v>
      </c>
      <c r="M32" s="1634">
        <f t="shared" si="6"/>
        <v>0.11310000000000001</v>
      </c>
    </row>
    <row r="33" spans="1:13" x14ac:dyDescent="0.2">
      <c r="A33" s="1450"/>
      <c r="B33" s="1450"/>
      <c r="C33" s="1450"/>
      <c r="D33" s="1450"/>
      <c r="E33" s="1450"/>
      <c r="F33" s="1450"/>
      <c r="G33" s="1450"/>
      <c r="H33" s="1450"/>
      <c r="I33" s="1450"/>
      <c r="J33" s="1450"/>
      <c r="K33" s="1450"/>
      <c r="L33" s="1450"/>
      <c r="M33" s="1450"/>
    </row>
    <row r="34" spans="1:13" x14ac:dyDescent="0.2">
      <c r="B34" s="1620">
        <f t="shared" ref="B34:M34" si="7">SUM(B9:B31)</f>
        <v>0.5534</v>
      </c>
      <c r="C34" s="1620">
        <f t="shared" si="7"/>
        <v>0.5534</v>
      </c>
      <c r="D34" s="1620">
        <f t="shared" si="7"/>
        <v>0.5534</v>
      </c>
      <c r="E34" s="1620">
        <f t="shared" si="7"/>
        <v>0.5534</v>
      </c>
      <c r="F34" s="1620">
        <f t="shared" si="7"/>
        <v>0.5534</v>
      </c>
      <c r="G34" s="1620">
        <f t="shared" si="7"/>
        <v>0.5534</v>
      </c>
      <c r="H34" s="1620">
        <f t="shared" si="7"/>
        <v>0.5534</v>
      </c>
      <c r="I34" s="1620">
        <f t="shared" si="7"/>
        <v>0.5534</v>
      </c>
      <c r="J34" s="1620">
        <f t="shared" si="7"/>
        <v>0.5534</v>
      </c>
      <c r="K34" s="1620">
        <f t="shared" si="7"/>
        <v>0.5534</v>
      </c>
      <c r="L34" s="1620">
        <f t="shared" si="7"/>
        <v>0.5534</v>
      </c>
      <c r="M34" s="1620">
        <f t="shared" si="7"/>
        <v>0.5534</v>
      </c>
    </row>
    <row r="36" spans="1:13" x14ac:dyDescent="0.2">
      <c r="A36" s="464" t="s">
        <v>1573</v>
      </c>
    </row>
    <row r="38" spans="1:13" x14ac:dyDescent="0.2">
      <c r="B38" s="1441" t="s">
        <v>98</v>
      </c>
      <c r="C38" s="1442" t="s">
        <v>1361</v>
      </c>
      <c r="D38" s="1441" t="s">
        <v>100</v>
      </c>
      <c r="E38" s="1442" t="s">
        <v>101</v>
      </c>
      <c r="F38" s="1441" t="s">
        <v>102</v>
      </c>
      <c r="G38" s="1442" t="s">
        <v>103</v>
      </c>
      <c r="H38" s="1441" t="s">
        <v>104</v>
      </c>
      <c r="I38" s="1442" t="s">
        <v>105</v>
      </c>
      <c r="J38" s="1441" t="s">
        <v>106</v>
      </c>
      <c r="K38" s="1442" t="s">
        <v>107</v>
      </c>
      <c r="L38" s="1441" t="s">
        <v>108</v>
      </c>
      <c r="M38" s="1443" t="s">
        <v>109</v>
      </c>
    </row>
    <row r="39" spans="1:13" x14ac:dyDescent="0.2">
      <c r="B39" s="947">
        <f>+B6</f>
        <v>45658</v>
      </c>
      <c r="C39" s="947">
        <f t="shared" ref="C39:M39" si="8">+C6</f>
        <v>45689</v>
      </c>
      <c r="D39" s="947">
        <f t="shared" si="8"/>
        <v>45717</v>
      </c>
      <c r="E39" s="947">
        <f t="shared" si="8"/>
        <v>45748</v>
      </c>
      <c r="F39" s="947">
        <f t="shared" si="8"/>
        <v>45778</v>
      </c>
      <c r="G39" s="947">
        <f t="shared" si="8"/>
        <v>45809</v>
      </c>
      <c r="H39" s="947">
        <f t="shared" si="8"/>
        <v>45839</v>
      </c>
      <c r="I39" s="947">
        <f t="shared" si="8"/>
        <v>45870</v>
      </c>
      <c r="J39" s="947">
        <f t="shared" si="8"/>
        <v>45901</v>
      </c>
      <c r="K39" s="947">
        <f t="shared" si="8"/>
        <v>45931</v>
      </c>
      <c r="L39" s="947">
        <f t="shared" si="8"/>
        <v>45962</v>
      </c>
      <c r="M39" s="947">
        <f t="shared" si="8"/>
        <v>45992</v>
      </c>
    </row>
    <row r="40" spans="1:13" ht="25.5" x14ac:dyDescent="0.2">
      <c r="B40" s="1621" t="s">
        <v>492</v>
      </c>
      <c r="C40" s="1621" t="s">
        <v>492</v>
      </c>
      <c r="D40" s="1621" t="s">
        <v>492</v>
      </c>
      <c r="E40" s="1621" t="s">
        <v>492</v>
      </c>
      <c r="F40" s="1621" t="s">
        <v>492</v>
      </c>
      <c r="G40" s="1621" t="s">
        <v>492</v>
      </c>
      <c r="H40" s="1621" t="s">
        <v>492</v>
      </c>
      <c r="I40" s="1621" t="s">
        <v>492</v>
      </c>
      <c r="J40" s="1621" t="s">
        <v>492</v>
      </c>
      <c r="K40" s="1621" t="s">
        <v>492</v>
      </c>
      <c r="L40" s="1621" t="s">
        <v>492</v>
      </c>
      <c r="M40" s="1621" t="s">
        <v>492</v>
      </c>
    </row>
    <row r="41" spans="1:13" x14ac:dyDescent="0.2">
      <c r="B41" s="1622" t="s">
        <v>45</v>
      </c>
      <c r="C41" s="1622" t="s">
        <v>45</v>
      </c>
      <c r="D41" s="1622" t="s">
        <v>45</v>
      </c>
      <c r="E41" s="1622" t="s">
        <v>45</v>
      </c>
      <c r="F41" s="1622" t="s">
        <v>45</v>
      </c>
      <c r="G41" s="1622" t="s">
        <v>45</v>
      </c>
      <c r="H41" s="1622" t="s">
        <v>45</v>
      </c>
      <c r="I41" s="1622" t="s">
        <v>45</v>
      </c>
      <c r="J41" s="1622" t="s">
        <v>45</v>
      </c>
      <c r="K41" s="1622" t="s">
        <v>45</v>
      </c>
      <c r="L41" s="1622" t="s">
        <v>45</v>
      </c>
      <c r="M41" s="1622" t="s">
        <v>45</v>
      </c>
    </row>
    <row r="42" spans="1:13" x14ac:dyDescent="0.2">
      <c r="A42" s="1446" t="str">
        <f t="shared" ref="A42:A56" si="9">A9</f>
        <v>Santé :</v>
      </c>
      <c r="B42" s="1623"/>
      <c r="C42" s="1623"/>
      <c r="D42" s="1623"/>
      <c r="E42" s="1623"/>
      <c r="F42" s="1623"/>
      <c r="G42" s="1623"/>
      <c r="H42" s="1623"/>
      <c r="I42" s="1623"/>
      <c r="J42" s="1623"/>
      <c r="K42" s="1623"/>
      <c r="L42" s="1623"/>
      <c r="M42" s="1623"/>
    </row>
    <row r="43" spans="1:13" x14ac:dyDescent="0.2">
      <c r="A43" s="12" t="str">
        <f t="shared" si="9"/>
        <v>Séc. Soc. Maladie invalidité</v>
      </c>
      <c r="B43" s="1635">
        <v>0.13</v>
      </c>
      <c r="C43" s="1635">
        <f>+B43</f>
        <v>0.13</v>
      </c>
      <c r="D43" s="1635">
        <f t="shared" ref="D43:M46" si="10">+C43</f>
        <v>0.13</v>
      </c>
      <c r="E43" s="1635">
        <f t="shared" si="10"/>
        <v>0.13</v>
      </c>
      <c r="F43" s="1635">
        <f t="shared" si="10"/>
        <v>0.13</v>
      </c>
      <c r="G43" s="1635">
        <f t="shared" si="10"/>
        <v>0.13</v>
      </c>
      <c r="H43" s="1635">
        <f t="shared" si="10"/>
        <v>0.13</v>
      </c>
      <c r="I43" s="1635">
        <f t="shared" si="10"/>
        <v>0.13</v>
      </c>
      <c r="J43" s="1635">
        <f t="shared" si="10"/>
        <v>0.13</v>
      </c>
      <c r="K43" s="1635">
        <f t="shared" si="10"/>
        <v>0.13</v>
      </c>
      <c r="L43" s="1635">
        <f t="shared" si="10"/>
        <v>0.13</v>
      </c>
      <c r="M43" s="1635">
        <f t="shared" si="10"/>
        <v>0.13</v>
      </c>
    </row>
    <row r="44" spans="1:13" x14ac:dyDescent="0.2">
      <c r="A44" s="12" t="str">
        <f t="shared" si="9"/>
        <v>Prévoyance T1</v>
      </c>
      <c r="B44" s="1635">
        <v>2.4500000000000001E-2</v>
      </c>
      <c r="C44" s="1635">
        <f>+B44</f>
        <v>2.4500000000000001E-2</v>
      </c>
      <c r="D44" s="1635">
        <f t="shared" si="10"/>
        <v>2.4500000000000001E-2</v>
      </c>
      <c r="E44" s="1635">
        <f t="shared" si="10"/>
        <v>2.4500000000000001E-2</v>
      </c>
      <c r="F44" s="1635">
        <f t="shared" si="10"/>
        <v>2.4500000000000001E-2</v>
      </c>
      <c r="G44" s="1635">
        <f t="shared" si="10"/>
        <v>2.4500000000000001E-2</v>
      </c>
      <c r="H44" s="1635">
        <f t="shared" si="10"/>
        <v>2.4500000000000001E-2</v>
      </c>
      <c r="I44" s="1635">
        <f t="shared" si="10"/>
        <v>2.4500000000000001E-2</v>
      </c>
      <c r="J44" s="1635">
        <f t="shared" si="10"/>
        <v>2.4500000000000001E-2</v>
      </c>
      <c r="K44" s="1635">
        <f t="shared" si="10"/>
        <v>2.4500000000000001E-2</v>
      </c>
      <c r="L44" s="1635">
        <f t="shared" si="10"/>
        <v>2.4500000000000001E-2</v>
      </c>
      <c r="M44" s="1635">
        <f t="shared" si="10"/>
        <v>2.4500000000000001E-2</v>
      </c>
    </row>
    <row r="45" spans="1:13" x14ac:dyDescent="0.2">
      <c r="A45" s="12" t="str">
        <f t="shared" si="9"/>
        <v>Prévoyance T2</v>
      </c>
      <c r="B45" s="1635">
        <v>1.2500000000000001E-2</v>
      </c>
      <c r="C45" s="1635">
        <f>+B45</f>
        <v>1.2500000000000001E-2</v>
      </c>
      <c r="D45" s="1635">
        <f t="shared" si="10"/>
        <v>1.2500000000000001E-2</v>
      </c>
      <c r="E45" s="1635">
        <f t="shared" si="10"/>
        <v>1.2500000000000001E-2</v>
      </c>
      <c r="F45" s="1635">
        <f t="shared" si="10"/>
        <v>1.2500000000000001E-2</v>
      </c>
      <c r="G45" s="1635">
        <f t="shared" si="10"/>
        <v>1.2500000000000001E-2</v>
      </c>
      <c r="H45" s="1635">
        <f t="shared" si="10"/>
        <v>1.2500000000000001E-2</v>
      </c>
      <c r="I45" s="1635">
        <f t="shared" si="10"/>
        <v>1.2500000000000001E-2</v>
      </c>
      <c r="J45" s="1635">
        <f t="shared" si="10"/>
        <v>1.2500000000000001E-2</v>
      </c>
      <c r="K45" s="1635">
        <f t="shared" si="10"/>
        <v>1.2500000000000001E-2</v>
      </c>
      <c r="L45" s="1635">
        <f t="shared" si="10"/>
        <v>1.2500000000000001E-2</v>
      </c>
      <c r="M45" s="1635">
        <f t="shared" si="10"/>
        <v>1.2500000000000001E-2</v>
      </c>
    </row>
    <row r="46" spans="1:13" x14ac:dyDescent="0.2">
      <c r="A46" s="13" t="str">
        <f t="shared" si="9"/>
        <v>Accident du travail :</v>
      </c>
      <c r="B46" s="1635">
        <v>7.9000000000000008E-3</v>
      </c>
      <c r="C46" s="1635">
        <f>+B46</f>
        <v>7.9000000000000008E-3</v>
      </c>
      <c r="D46" s="1635">
        <f t="shared" si="10"/>
        <v>7.9000000000000008E-3</v>
      </c>
      <c r="E46" s="1635">
        <f t="shared" si="10"/>
        <v>7.9000000000000008E-3</v>
      </c>
      <c r="F46" s="1635">
        <f t="shared" si="10"/>
        <v>7.9000000000000008E-3</v>
      </c>
      <c r="G46" s="1635">
        <f t="shared" si="10"/>
        <v>7.9000000000000008E-3</v>
      </c>
      <c r="H46" s="1635">
        <f t="shared" si="10"/>
        <v>7.9000000000000008E-3</v>
      </c>
      <c r="I46" s="1635">
        <f t="shared" si="10"/>
        <v>7.9000000000000008E-3</v>
      </c>
      <c r="J46" s="1635">
        <f t="shared" si="10"/>
        <v>7.9000000000000008E-3</v>
      </c>
      <c r="K46" s="1635">
        <f t="shared" si="10"/>
        <v>7.9000000000000008E-3</v>
      </c>
      <c r="L46" s="1635">
        <f t="shared" si="10"/>
        <v>7.9000000000000008E-3</v>
      </c>
      <c r="M46" s="1635">
        <f t="shared" si="10"/>
        <v>7.9000000000000008E-3</v>
      </c>
    </row>
    <row r="47" spans="1:13" x14ac:dyDescent="0.2">
      <c r="A47" s="13" t="str">
        <f t="shared" si="9"/>
        <v>Retraite :</v>
      </c>
      <c r="B47" s="1636"/>
      <c r="C47" s="1636"/>
      <c r="D47" s="1636"/>
      <c r="E47" s="1636"/>
      <c r="F47" s="1636"/>
      <c r="G47" s="1636"/>
      <c r="H47" s="1636"/>
      <c r="I47" s="1636"/>
      <c r="J47" s="1636"/>
      <c r="K47" s="1636"/>
      <c r="L47" s="1636"/>
      <c r="M47" s="1636"/>
    </row>
    <row r="48" spans="1:13" x14ac:dyDescent="0.2">
      <c r="A48" s="12" t="str">
        <f t="shared" si="9"/>
        <v>Retraite SS T1</v>
      </c>
      <c r="B48" s="1635">
        <v>8.5500000000000007E-2</v>
      </c>
      <c r="C48" s="1635">
        <f t="shared" ref="C48:M56" si="11">+B48</f>
        <v>8.5500000000000007E-2</v>
      </c>
      <c r="D48" s="1635">
        <f t="shared" si="11"/>
        <v>8.5500000000000007E-2</v>
      </c>
      <c r="E48" s="1635">
        <f t="shared" si="11"/>
        <v>8.5500000000000007E-2</v>
      </c>
      <c r="F48" s="1635">
        <f t="shared" si="11"/>
        <v>8.5500000000000007E-2</v>
      </c>
      <c r="G48" s="1635">
        <f t="shared" si="11"/>
        <v>8.5500000000000007E-2</v>
      </c>
      <c r="H48" s="1635">
        <f t="shared" si="11"/>
        <v>8.5500000000000007E-2</v>
      </c>
      <c r="I48" s="1635">
        <f t="shared" si="11"/>
        <v>8.5500000000000007E-2</v>
      </c>
      <c r="J48" s="1635">
        <f t="shared" si="11"/>
        <v>8.5500000000000007E-2</v>
      </c>
      <c r="K48" s="1635">
        <f t="shared" si="11"/>
        <v>8.5500000000000007E-2</v>
      </c>
      <c r="L48" s="1635">
        <f t="shared" si="11"/>
        <v>8.5500000000000007E-2</v>
      </c>
      <c r="M48" s="1635">
        <f t="shared" si="11"/>
        <v>8.5500000000000007E-2</v>
      </c>
    </row>
    <row r="49" spans="1:13" x14ac:dyDescent="0.2">
      <c r="A49" s="12" t="str">
        <f t="shared" si="9"/>
        <v>Retraite SS Totalité</v>
      </c>
      <c r="B49" s="1635">
        <v>2.0199999999999999E-2</v>
      </c>
      <c r="C49" s="1635">
        <f t="shared" si="11"/>
        <v>2.0199999999999999E-2</v>
      </c>
      <c r="D49" s="1635">
        <f t="shared" si="11"/>
        <v>2.0199999999999999E-2</v>
      </c>
      <c r="E49" s="1635">
        <f t="shared" si="11"/>
        <v>2.0199999999999999E-2</v>
      </c>
      <c r="F49" s="1635">
        <f t="shared" si="11"/>
        <v>2.0199999999999999E-2</v>
      </c>
      <c r="G49" s="1635">
        <f t="shared" si="11"/>
        <v>2.0199999999999999E-2</v>
      </c>
      <c r="H49" s="1635">
        <f t="shared" si="11"/>
        <v>2.0199999999999999E-2</v>
      </c>
      <c r="I49" s="1635">
        <f t="shared" si="11"/>
        <v>2.0199999999999999E-2</v>
      </c>
      <c r="J49" s="1635">
        <f t="shared" si="11"/>
        <v>2.0199999999999999E-2</v>
      </c>
      <c r="K49" s="1635">
        <f t="shared" si="11"/>
        <v>2.0199999999999999E-2</v>
      </c>
      <c r="L49" s="1635">
        <f t="shared" si="11"/>
        <v>2.0199999999999999E-2</v>
      </c>
      <c r="M49" s="1635">
        <f t="shared" si="11"/>
        <v>2.0199999999999999E-2</v>
      </c>
    </row>
    <row r="50" spans="1:13" x14ac:dyDescent="0.2">
      <c r="A50" s="12" t="str">
        <f t="shared" si="9"/>
        <v>Retraite IRCEM T1</v>
      </c>
      <c r="B50" s="1635">
        <v>4.7199999999999999E-2</v>
      </c>
      <c r="C50" s="1635">
        <f t="shared" si="11"/>
        <v>4.7199999999999999E-2</v>
      </c>
      <c r="D50" s="1635">
        <f t="shared" si="11"/>
        <v>4.7199999999999999E-2</v>
      </c>
      <c r="E50" s="1635">
        <f t="shared" si="11"/>
        <v>4.7199999999999999E-2</v>
      </c>
      <c r="F50" s="1635">
        <f t="shared" si="11"/>
        <v>4.7199999999999999E-2</v>
      </c>
      <c r="G50" s="1635">
        <f t="shared" si="11"/>
        <v>4.7199999999999999E-2</v>
      </c>
      <c r="H50" s="1635">
        <f t="shared" si="11"/>
        <v>4.7199999999999999E-2</v>
      </c>
      <c r="I50" s="1635">
        <f t="shared" si="11"/>
        <v>4.7199999999999999E-2</v>
      </c>
      <c r="J50" s="1635">
        <f t="shared" si="11"/>
        <v>4.7199999999999999E-2</v>
      </c>
      <c r="K50" s="1635">
        <f t="shared" si="11"/>
        <v>4.7199999999999999E-2</v>
      </c>
      <c r="L50" s="1635">
        <f t="shared" si="11"/>
        <v>4.7199999999999999E-2</v>
      </c>
      <c r="M50" s="1635">
        <f t="shared" si="11"/>
        <v>4.7199999999999999E-2</v>
      </c>
    </row>
    <row r="51" spans="1:13" x14ac:dyDescent="0.2">
      <c r="A51" s="12" t="str">
        <f t="shared" si="9"/>
        <v>CEG T1</v>
      </c>
      <c r="B51" s="1635">
        <v>1.29E-2</v>
      </c>
      <c r="C51" s="1635">
        <f t="shared" si="11"/>
        <v>1.29E-2</v>
      </c>
      <c r="D51" s="1635">
        <f t="shared" si="11"/>
        <v>1.29E-2</v>
      </c>
      <c r="E51" s="1635">
        <f t="shared" si="11"/>
        <v>1.29E-2</v>
      </c>
      <c r="F51" s="1635">
        <f t="shared" si="11"/>
        <v>1.29E-2</v>
      </c>
      <c r="G51" s="1635">
        <f t="shared" si="11"/>
        <v>1.29E-2</v>
      </c>
      <c r="H51" s="1635">
        <f t="shared" si="11"/>
        <v>1.29E-2</v>
      </c>
      <c r="I51" s="1635">
        <f t="shared" si="11"/>
        <v>1.29E-2</v>
      </c>
      <c r="J51" s="1635">
        <f t="shared" si="11"/>
        <v>1.29E-2</v>
      </c>
      <c r="K51" s="1635">
        <f t="shared" si="11"/>
        <v>1.29E-2</v>
      </c>
      <c r="L51" s="1635">
        <f t="shared" si="11"/>
        <v>1.29E-2</v>
      </c>
      <c r="M51" s="1635">
        <f t="shared" si="11"/>
        <v>1.29E-2</v>
      </c>
    </row>
    <row r="52" spans="1:13" x14ac:dyDescent="0.2">
      <c r="A52" s="12" t="str">
        <f t="shared" si="9"/>
        <v>Retraite IRCEM T1 - CEG T1</v>
      </c>
      <c r="B52" s="1636">
        <f>+B51+B50</f>
        <v>6.0100000000000001E-2</v>
      </c>
      <c r="C52" s="1636">
        <f t="shared" si="11"/>
        <v>6.0100000000000001E-2</v>
      </c>
      <c r="D52" s="1636">
        <f t="shared" si="11"/>
        <v>6.0100000000000001E-2</v>
      </c>
      <c r="E52" s="1636">
        <f t="shared" si="11"/>
        <v>6.0100000000000001E-2</v>
      </c>
      <c r="F52" s="1636">
        <f t="shared" si="11"/>
        <v>6.0100000000000001E-2</v>
      </c>
      <c r="G52" s="1636">
        <f t="shared" si="11"/>
        <v>6.0100000000000001E-2</v>
      </c>
      <c r="H52" s="1636">
        <f t="shared" si="11"/>
        <v>6.0100000000000001E-2</v>
      </c>
      <c r="I52" s="1636">
        <f t="shared" si="11"/>
        <v>6.0100000000000001E-2</v>
      </c>
      <c r="J52" s="1636">
        <f t="shared" si="11"/>
        <v>6.0100000000000001E-2</v>
      </c>
      <c r="K52" s="1636">
        <f t="shared" si="11"/>
        <v>6.0100000000000001E-2</v>
      </c>
      <c r="L52" s="1636">
        <f t="shared" si="11"/>
        <v>6.0100000000000001E-2</v>
      </c>
      <c r="M52" s="1636">
        <f t="shared" si="11"/>
        <v>6.0100000000000001E-2</v>
      </c>
    </row>
    <row r="53" spans="1:13" x14ac:dyDescent="0.2">
      <c r="A53" s="12" t="str">
        <f t="shared" si="9"/>
        <v>CET si plafond SS atteint</v>
      </c>
      <c r="B53" s="1635">
        <v>2.0999999999999999E-3</v>
      </c>
      <c r="C53" s="1635">
        <f t="shared" si="11"/>
        <v>2.0999999999999999E-3</v>
      </c>
      <c r="D53" s="1635">
        <f t="shared" si="11"/>
        <v>2.0999999999999999E-3</v>
      </c>
      <c r="E53" s="1635">
        <f t="shared" si="11"/>
        <v>2.0999999999999999E-3</v>
      </c>
      <c r="F53" s="1635">
        <f t="shared" si="11"/>
        <v>2.0999999999999999E-3</v>
      </c>
      <c r="G53" s="1635">
        <f t="shared" si="11"/>
        <v>2.0999999999999999E-3</v>
      </c>
      <c r="H53" s="1635">
        <f t="shared" si="11"/>
        <v>2.0999999999999999E-3</v>
      </c>
      <c r="I53" s="1635">
        <f t="shared" si="11"/>
        <v>2.0999999999999999E-3</v>
      </c>
      <c r="J53" s="1635">
        <f t="shared" si="11"/>
        <v>2.0999999999999999E-3</v>
      </c>
      <c r="K53" s="1635">
        <f t="shared" si="11"/>
        <v>2.0999999999999999E-3</v>
      </c>
      <c r="L53" s="1635">
        <f t="shared" si="11"/>
        <v>2.0999999999999999E-3</v>
      </c>
      <c r="M53" s="1635">
        <f t="shared" si="11"/>
        <v>2.0999999999999999E-3</v>
      </c>
    </row>
    <row r="54" spans="1:13" x14ac:dyDescent="0.2">
      <c r="A54" s="12" t="str">
        <f t="shared" si="9"/>
        <v>Retraite IRCEM T2</v>
      </c>
      <c r="B54" s="1635">
        <v>0.1295</v>
      </c>
      <c r="C54" s="1635">
        <f t="shared" si="11"/>
        <v>0.1295</v>
      </c>
      <c r="D54" s="1635">
        <f t="shared" si="11"/>
        <v>0.1295</v>
      </c>
      <c r="E54" s="1635">
        <f t="shared" si="11"/>
        <v>0.1295</v>
      </c>
      <c r="F54" s="1635">
        <f t="shared" si="11"/>
        <v>0.1295</v>
      </c>
      <c r="G54" s="1635">
        <f t="shared" si="11"/>
        <v>0.1295</v>
      </c>
      <c r="H54" s="1635">
        <f t="shared" si="11"/>
        <v>0.1295</v>
      </c>
      <c r="I54" s="1635">
        <f t="shared" si="11"/>
        <v>0.1295</v>
      </c>
      <c r="J54" s="1635">
        <f t="shared" si="11"/>
        <v>0.1295</v>
      </c>
      <c r="K54" s="1635">
        <f t="shared" si="11"/>
        <v>0.1295</v>
      </c>
      <c r="L54" s="1635">
        <f t="shared" si="11"/>
        <v>0.1295</v>
      </c>
      <c r="M54" s="1635">
        <f t="shared" si="11"/>
        <v>0.1295</v>
      </c>
    </row>
    <row r="55" spans="1:13" x14ac:dyDescent="0.2">
      <c r="A55" s="12" t="str">
        <f t="shared" si="9"/>
        <v>CEG T2</v>
      </c>
      <c r="B55" s="1635">
        <v>1.6199999999999999E-2</v>
      </c>
      <c r="C55" s="1635">
        <f t="shared" si="11"/>
        <v>1.6199999999999999E-2</v>
      </c>
      <c r="D55" s="1635">
        <f t="shared" si="11"/>
        <v>1.6199999999999999E-2</v>
      </c>
      <c r="E55" s="1635">
        <f t="shared" si="11"/>
        <v>1.6199999999999999E-2</v>
      </c>
      <c r="F55" s="1635">
        <f t="shared" si="11"/>
        <v>1.6199999999999999E-2</v>
      </c>
      <c r="G55" s="1635">
        <f t="shared" si="11"/>
        <v>1.6199999999999999E-2</v>
      </c>
      <c r="H55" s="1635">
        <f t="shared" si="11"/>
        <v>1.6199999999999999E-2</v>
      </c>
      <c r="I55" s="1635">
        <f t="shared" si="11"/>
        <v>1.6199999999999999E-2</v>
      </c>
      <c r="J55" s="1635">
        <f t="shared" si="11"/>
        <v>1.6199999999999999E-2</v>
      </c>
      <c r="K55" s="1635">
        <f t="shared" si="11"/>
        <v>1.6199999999999999E-2</v>
      </c>
      <c r="L55" s="1635">
        <f t="shared" si="11"/>
        <v>1.6199999999999999E-2</v>
      </c>
      <c r="M55" s="1635">
        <f t="shared" si="11"/>
        <v>1.6199999999999999E-2</v>
      </c>
    </row>
    <row r="56" spans="1:13" x14ac:dyDescent="0.2">
      <c r="A56" s="12" t="str">
        <f t="shared" si="9"/>
        <v>Retraite IRCEM T2 - CEG T2</v>
      </c>
      <c r="B56" s="1636">
        <f>+B54+B55</f>
        <v>0.1457</v>
      </c>
      <c r="C56" s="1636">
        <f t="shared" si="11"/>
        <v>0.1457</v>
      </c>
      <c r="D56" s="1636">
        <f t="shared" si="11"/>
        <v>0.1457</v>
      </c>
      <c r="E56" s="1636">
        <f t="shared" si="11"/>
        <v>0.1457</v>
      </c>
      <c r="F56" s="1636">
        <f t="shared" si="11"/>
        <v>0.1457</v>
      </c>
      <c r="G56" s="1636">
        <f t="shared" si="11"/>
        <v>0.1457</v>
      </c>
      <c r="H56" s="1636">
        <f t="shared" si="11"/>
        <v>0.1457</v>
      </c>
      <c r="I56" s="1636">
        <f t="shared" si="11"/>
        <v>0.1457</v>
      </c>
      <c r="J56" s="1636">
        <f t="shared" si="11"/>
        <v>0.1457</v>
      </c>
      <c r="K56" s="1636">
        <f t="shared" si="11"/>
        <v>0.1457</v>
      </c>
      <c r="L56" s="1636">
        <f t="shared" si="11"/>
        <v>0.1457</v>
      </c>
      <c r="M56" s="1636">
        <f t="shared" si="11"/>
        <v>0.1457</v>
      </c>
    </row>
    <row r="57" spans="1:13" x14ac:dyDescent="0.2">
      <c r="A57" s="13" t="str">
        <f>A24</f>
        <v>Famille</v>
      </c>
      <c r="B57" s="1635">
        <v>5.2499999999999998E-2</v>
      </c>
      <c r="C57" s="1635">
        <f>+B57</f>
        <v>5.2499999999999998E-2</v>
      </c>
      <c r="D57" s="1635">
        <f t="shared" ref="D57:M57" si="12">+C57</f>
        <v>5.2499999999999998E-2</v>
      </c>
      <c r="E57" s="1635">
        <f t="shared" si="12"/>
        <v>5.2499999999999998E-2</v>
      </c>
      <c r="F57" s="1635">
        <f t="shared" si="12"/>
        <v>5.2499999999999998E-2</v>
      </c>
      <c r="G57" s="1635">
        <f t="shared" si="12"/>
        <v>5.2499999999999998E-2</v>
      </c>
      <c r="H57" s="1635">
        <f t="shared" si="12"/>
        <v>5.2499999999999998E-2</v>
      </c>
      <c r="I57" s="1635">
        <f t="shared" si="12"/>
        <v>5.2499999999999998E-2</v>
      </c>
      <c r="J57" s="1635">
        <f t="shared" si="12"/>
        <v>5.2499999999999998E-2</v>
      </c>
      <c r="K57" s="1635">
        <f t="shared" si="12"/>
        <v>5.2499999999999998E-2</v>
      </c>
      <c r="L57" s="1635">
        <f t="shared" si="12"/>
        <v>5.2499999999999998E-2</v>
      </c>
      <c r="M57" s="1635">
        <f t="shared" si="12"/>
        <v>5.2499999999999998E-2</v>
      </c>
    </row>
    <row r="58" spans="1:13" x14ac:dyDescent="0.2">
      <c r="A58" s="13" t="str">
        <f>A25</f>
        <v>Assurance Chômage</v>
      </c>
      <c r="B58" s="1635">
        <v>4.0500000000000001E-2</v>
      </c>
      <c r="C58" s="1635">
        <f>+B58</f>
        <v>4.0500000000000001E-2</v>
      </c>
      <c r="D58" s="1635">
        <f t="shared" ref="D58:M58" si="13">+C58</f>
        <v>4.0500000000000001E-2</v>
      </c>
      <c r="E58" s="1635">
        <f t="shared" si="13"/>
        <v>4.0500000000000001E-2</v>
      </c>
      <c r="F58" s="1635">
        <v>0.04</v>
      </c>
      <c r="G58" s="1635">
        <f t="shared" si="13"/>
        <v>0.04</v>
      </c>
      <c r="H58" s="1635">
        <f t="shared" si="13"/>
        <v>0.04</v>
      </c>
      <c r="I58" s="1635">
        <f t="shared" si="13"/>
        <v>0.04</v>
      </c>
      <c r="J58" s="1635">
        <f t="shared" si="13"/>
        <v>0.04</v>
      </c>
      <c r="K58" s="1635">
        <f t="shared" si="13"/>
        <v>0.04</v>
      </c>
      <c r="L58" s="1635">
        <f t="shared" si="13"/>
        <v>0.04</v>
      </c>
      <c r="M58" s="1635">
        <f t="shared" si="13"/>
        <v>0.04</v>
      </c>
    </row>
    <row r="59" spans="1:13" x14ac:dyDescent="0.2">
      <c r="A59" s="13" t="str">
        <f>+A26</f>
        <v>Contribution Santé au Travail</v>
      </c>
      <c r="B59" s="1635">
        <v>2.7E-2</v>
      </c>
      <c r="C59" s="1635">
        <f>+B59</f>
        <v>2.7E-2</v>
      </c>
      <c r="D59" s="1635">
        <f t="shared" ref="D59:M59" si="14">+C59</f>
        <v>2.7E-2</v>
      </c>
      <c r="E59" s="1635">
        <f t="shared" si="14"/>
        <v>2.7E-2</v>
      </c>
      <c r="F59" s="1635">
        <f t="shared" si="14"/>
        <v>2.7E-2</v>
      </c>
      <c r="G59" s="1635">
        <f t="shared" si="14"/>
        <v>2.7E-2</v>
      </c>
      <c r="H59" s="1635">
        <f t="shared" si="14"/>
        <v>2.7E-2</v>
      </c>
      <c r="I59" s="1635">
        <f t="shared" si="14"/>
        <v>2.7E-2</v>
      </c>
      <c r="J59" s="1635">
        <f t="shared" si="14"/>
        <v>2.7E-2</v>
      </c>
      <c r="K59" s="1635">
        <f t="shared" si="14"/>
        <v>2.7E-2</v>
      </c>
      <c r="L59" s="1635">
        <f t="shared" si="14"/>
        <v>2.7E-2</v>
      </c>
      <c r="M59" s="1635">
        <f t="shared" si="14"/>
        <v>2.7E-2</v>
      </c>
    </row>
    <row r="60" spans="1:13" x14ac:dyDescent="0.2">
      <c r="A60" s="14" t="str">
        <f t="shared" ref="A60:A65" si="15">A27</f>
        <v>Autres cotisations patronales</v>
      </c>
      <c r="B60" s="1637">
        <v>1.166E-2</v>
      </c>
      <c r="C60" s="1635">
        <f>+B60</f>
        <v>1.166E-2</v>
      </c>
      <c r="D60" s="1635">
        <f t="shared" ref="D60" si="16">+C60</f>
        <v>1.166E-2</v>
      </c>
      <c r="E60" s="1635">
        <f t="shared" ref="E60" si="17">+D60</f>
        <v>1.166E-2</v>
      </c>
      <c r="F60" s="1635">
        <f t="shared" ref="F60" si="18">+E60</f>
        <v>1.166E-2</v>
      </c>
      <c r="G60" s="1635">
        <f t="shared" ref="G60" si="19">+F60</f>
        <v>1.166E-2</v>
      </c>
      <c r="H60" s="1635">
        <f t="shared" ref="H60" si="20">+G60</f>
        <v>1.166E-2</v>
      </c>
      <c r="I60" s="1635">
        <f t="shared" ref="I60" si="21">+H60</f>
        <v>1.166E-2</v>
      </c>
      <c r="J60" s="1635">
        <f t="shared" ref="J60" si="22">+I60</f>
        <v>1.166E-2</v>
      </c>
      <c r="K60" s="1635">
        <f t="shared" ref="K60" si="23">+J60</f>
        <v>1.166E-2</v>
      </c>
      <c r="L60" s="1635">
        <f t="shared" ref="L60" si="24">+K60</f>
        <v>1.166E-2</v>
      </c>
      <c r="M60" s="1635">
        <f t="shared" ref="M60" si="25">+L60</f>
        <v>1.166E-2</v>
      </c>
    </row>
    <row r="61" spans="1:13" x14ac:dyDescent="0.2">
      <c r="A61" s="14" t="str">
        <f t="shared" si="15"/>
        <v>Autres cotisations patronales T1</v>
      </c>
      <c r="B61" s="1637">
        <v>1E-3</v>
      </c>
      <c r="C61" s="1637">
        <f>+B61</f>
        <v>1E-3</v>
      </c>
      <c r="D61" s="1637">
        <f t="shared" ref="D61:M61" si="26">+C61</f>
        <v>1E-3</v>
      </c>
      <c r="E61" s="1637">
        <f t="shared" si="26"/>
        <v>1E-3</v>
      </c>
      <c r="F61" s="1637">
        <f t="shared" si="26"/>
        <v>1E-3</v>
      </c>
      <c r="G61" s="1637">
        <f t="shared" si="26"/>
        <v>1E-3</v>
      </c>
      <c r="H61" s="1637">
        <f t="shared" si="26"/>
        <v>1E-3</v>
      </c>
      <c r="I61" s="1637">
        <f t="shared" si="26"/>
        <v>1E-3</v>
      </c>
      <c r="J61" s="1637">
        <f t="shared" si="26"/>
        <v>1E-3</v>
      </c>
      <c r="K61" s="1637">
        <f t="shared" si="26"/>
        <v>1E-3</v>
      </c>
      <c r="L61" s="1637">
        <f t="shared" si="26"/>
        <v>1E-3</v>
      </c>
      <c r="M61" s="1637">
        <f t="shared" si="26"/>
        <v>1E-3</v>
      </c>
    </row>
    <row r="62" spans="1:13" x14ac:dyDescent="0.2">
      <c r="A62" s="10" t="str">
        <f t="shared" si="15"/>
        <v>CSG déductible de l'IR</v>
      </c>
      <c r="B62" s="1636"/>
      <c r="C62" s="1624"/>
      <c r="D62" s="1624"/>
      <c r="E62" s="1624"/>
      <c r="F62" s="1624"/>
      <c r="G62" s="1624"/>
      <c r="H62" s="1624"/>
      <c r="I62" s="1624"/>
      <c r="J62" s="1624"/>
      <c r="K62" s="1624"/>
      <c r="L62" s="1624"/>
      <c r="M62" s="1624"/>
    </row>
    <row r="63" spans="1:13" x14ac:dyDescent="0.2">
      <c r="A63" s="10" t="str">
        <f t="shared" si="15"/>
        <v>CSG/RDS non déductible de l'IR</v>
      </c>
      <c r="B63" s="1624"/>
      <c r="C63" s="1624"/>
      <c r="D63" s="1624"/>
      <c r="E63" s="1624"/>
      <c r="F63" s="1624"/>
      <c r="G63" s="1624"/>
      <c r="H63" s="1624"/>
      <c r="I63" s="1624"/>
      <c r="J63" s="1624"/>
      <c r="K63" s="1624"/>
      <c r="L63" s="1624"/>
      <c r="M63" s="1624"/>
    </row>
    <row r="64" spans="1:13" x14ac:dyDescent="0.2">
      <c r="A64" s="10" t="str">
        <f t="shared" si="15"/>
        <v>CSG/RDS non déd sur rev non imp</v>
      </c>
      <c r="B64" s="1624"/>
      <c r="C64" s="1624"/>
      <c r="D64" s="1624"/>
      <c r="E64" s="1624"/>
      <c r="F64" s="1624"/>
      <c r="G64" s="1624"/>
      <c r="H64" s="1624"/>
      <c r="I64" s="1624"/>
      <c r="J64" s="1624"/>
      <c r="K64" s="1624"/>
      <c r="L64" s="1624"/>
      <c r="M64" s="1624"/>
    </row>
    <row r="65" spans="1:13" x14ac:dyDescent="0.2">
      <c r="A65" s="1617" t="str">
        <f t="shared" si="15"/>
        <v>Réduction cot. HC et HS</v>
      </c>
      <c r="B65" s="1625"/>
      <c r="C65" s="1625"/>
      <c r="D65" s="1625"/>
      <c r="E65" s="1625"/>
      <c r="F65" s="1625"/>
      <c r="G65" s="1625"/>
      <c r="H65" s="1625"/>
      <c r="I65" s="1625"/>
      <c r="J65" s="1625"/>
      <c r="K65" s="1625"/>
      <c r="L65" s="1625"/>
      <c r="M65" s="1625"/>
    </row>
    <row r="66" spans="1:13" x14ac:dyDescent="0.2">
      <c r="A66" s="1450"/>
      <c r="B66" s="1450"/>
      <c r="C66" s="1450"/>
      <c r="D66" s="1450"/>
      <c r="E66" s="1450"/>
      <c r="F66" s="1450"/>
      <c r="G66" s="1450"/>
      <c r="H66" s="1450"/>
      <c r="I66" s="1450"/>
      <c r="J66" s="1450"/>
      <c r="K66" s="1450"/>
      <c r="L66" s="1450"/>
      <c r="M66" s="1450"/>
    </row>
    <row r="67" spans="1:13" x14ac:dyDescent="0.2">
      <c r="B67" s="1620">
        <f t="shared" ref="B67:M67" si="27">SUM(B42:B65)</f>
        <v>0.82695999999999992</v>
      </c>
      <c r="C67" s="1620">
        <f t="shared" si="27"/>
        <v>0.82695999999999992</v>
      </c>
      <c r="D67" s="1620">
        <f t="shared" si="27"/>
        <v>0.82695999999999992</v>
      </c>
      <c r="E67" s="1620">
        <f t="shared" si="27"/>
        <v>0.82695999999999992</v>
      </c>
      <c r="F67" s="1620">
        <f t="shared" si="27"/>
        <v>0.82645999999999997</v>
      </c>
      <c r="G67" s="1620">
        <f t="shared" si="27"/>
        <v>0.82645999999999997</v>
      </c>
      <c r="H67" s="1620">
        <f t="shared" si="27"/>
        <v>0.82645999999999997</v>
      </c>
      <c r="I67" s="1620">
        <f t="shared" si="27"/>
        <v>0.82645999999999997</v>
      </c>
      <c r="J67" s="1620">
        <f t="shared" si="27"/>
        <v>0.82645999999999997</v>
      </c>
      <c r="K67" s="1620">
        <f t="shared" si="27"/>
        <v>0.82645999999999997</v>
      </c>
      <c r="L67" s="1620">
        <f t="shared" si="27"/>
        <v>0.82645999999999997</v>
      </c>
      <c r="M67" s="1620">
        <f t="shared" si="27"/>
        <v>0.82645999999999997</v>
      </c>
    </row>
    <row r="71" spans="1:13" x14ac:dyDescent="0.2">
      <c r="A71" s="464" t="s">
        <v>1574</v>
      </c>
    </row>
    <row r="74" spans="1:13" x14ac:dyDescent="0.2">
      <c r="A74" s="1308"/>
      <c r="B74" s="1441" t="s">
        <v>98</v>
      </c>
      <c r="C74" s="1442" t="s">
        <v>1361</v>
      </c>
      <c r="D74" s="1441" t="s">
        <v>100</v>
      </c>
      <c r="E74" s="1442" t="s">
        <v>101</v>
      </c>
      <c r="F74" s="1441" t="s">
        <v>102</v>
      </c>
      <c r="G74" s="1442" t="s">
        <v>103</v>
      </c>
      <c r="H74" s="1441" t="s">
        <v>104</v>
      </c>
      <c r="I74" s="1442" t="s">
        <v>105</v>
      </c>
      <c r="J74" s="1441" t="s">
        <v>106</v>
      </c>
      <c r="K74" s="1442" t="s">
        <v>107</v>
      </c>
      <c r="L74" s="1441" t="s">
        <v>108</v>
      </c>
      <c r="M74" s="1443" t="s">
        <v>109</v>
      </c>
    </row>
    <row r="75" spans="1:13" x14ac:dyDescent="0.2">
      <c r="A75" s="1308"/>
      <c r="B75" s="1308">
        <f>+B39</f>
        <v>45658</v>
      </c>
      <c r="C75" s="1308">
        <f t="shared" ref="C75:M75" si="28">+C39</f>
        <v>45689</v>
      </c>
      <c r="D75" s="1308">
        <f t="shared" si="28"/>
        <v>45717</v>
      </c>
      <c r="E75" s="1308">
        <f t="shared" si="28"/>
        <v>45748</v>
      </c>
      <c r="F75" s="1308">
        <f t="shared" si="28"/>
        <v>45778</v>
      </c>
      <c r="G75" s="1308">
        <f t="shared" si="28"/>
        <v>45809</v>
      </c>
      <c r="H75" s="1308">
        <f t="shared" si="28"/>
        <v>45839</v>
      </c>
      <c r="I75" s="1308">
        <f t="shared" si="28"/>
        <v>45870</v>
      </c>
      <c r="J75" s="1308">
        <f t="shared" si="28"/>
        <v>45901</v>
      </c>
      <c r="K75" s="1308">
        <f t="shared" si="28"/>
        <v>45931</v>
      </c>
      <c r="L75" s="1308">
        <f t="shared" si="28"/>
        <v>45962</v>
      </c>
      <c r="M75" s="1308">
        <f t="shared" si="28"/>
        <v>45992</v>
      </c>
    </row>
    <row r="76" spans="1:13" ht="25.5" x14ac:dyDescent="0.2">
      <c r="B76" s="1444" t="s">
        <v>491</v>
      </c>
      <c r="C76" s="1444" t="s">
        <v>491</v>
      </c>
      <c r="D76" s="1444" t="s">
        <v>491</v>
      </c>
      <c r="E76" s="1444" t="s">
        <v>491</v>
      </c>
      <c r="F76" s="1444" t="s">
        <v>491</v>
      </c>
      <c r="G76" s="1444" t="s">
        <v>491</v>
      </c>
      <c r="H76" s="1444" t="s">
        <v>491</v>
      </c>
      <c r="I76" s="1444" t="s">
        <v>491</v>
      </c>
      <c r="J76" s="1444" t="s">
        <v>491</v>
      </c>
      <c r="K76" s="1444" t="s">
        <v>491</v>
      </c>
      <c r="L76" s="1444" t="s">
        <v>491</v>
      </c>
      <c r="M76" s="1444" t="s">
        <v>491</v>
      </c>
    </row>
    <row r="77" spans="1:13" x14ac:dyDescent="0.2">
      <c r="B77" s="1622" t="s">
        <v>493</v>
      </c>
      <c r="C77" s="1622" t="s">
        <v>493</v>
      </c>
      <c r="D77" s="1622" t="s">
        <v>493</v>
      </c>
      <c r="E77" s="1622" t="s">
        <v>493</v>
      </c>
      <c r="F77" s="1622" t="s">
        <v>493</v>
      </c>
      <c r="G77" s="1622" t="s">
        <v>493</v>
      </c>
      <c r="H77" s="1622" t="s">
        <v>493</v>
      </c>
      <c r="I77" s="1622" t="s">
        <v>493</v>
      </c>
      <c r="J77" s="1622" t="s">
        <v>493</v>
      </c>
      <c r="K77" s="1622" t="s">
        <v>493</v>
      </c>
      <c r="L77" s="1622" t="s">
        <v>493</v>
      </c>
      <c r="M77" s="1622" t="s">
        <v>493</v>
      </c>
    </row>
    <row r="78" spans="1:13" x14ac:dyDescent="0.2">
      <c r="A78" s="1446" t="str">
        <f t="shared" ref="A78:A92" si="29">A9</f>
        <v>Santé :</v>
      </c>
      <c r="B78" s="1626"/>
      <c r="C78" s="1626"/>
      <c r="D78" s="1626"/>
      <c r="E78" s="1626"/>
      <c r="F78" s="1626"/>
      <c r="G78" s="1626"/>
      <c r="H78" s="1626"/>
      <c r="I78" s="1626"/>
      <c r="J78" s="1626"/>
      <c r="K78" s="1626"/>
      <c r="L78" s="1626"/>
      <c r="M78" s="1626"/>
    </row>
    <row r="79" spans="1:13" x14ac:dyDescent="0.2">
      <c r="A79" s="12" t="str">
        <f t="shared" si="29"/>
        <v>Séc. Soc. Maladie invalidité</v>
      </c>
      <c r="B79" s="1627">
        <v>1</v>
      </c>
      <c r="C79" s="1627">
        <f>+B79</f>
        <v>1</v>
      </c>
      <c r="D79" s="1627">
        <f t="shared" ref="D79:M80" si="30">+C79</f>
        <v>1</v>
      </c>
      <c r="E79" s="1627">
        <f t="shared" si="30"/>
        <v>1</v>
      </c>
      <c r="F79" s="1627">
        <f t="shared" si="30"/>
        <v>1</v>
      </c>
      <c r="G79" s="1627">
        <f t="shared" si="30"/>
        <v>1</v>
      </c>
      <c r="H79" s="1627">
        <f t="shared" si="30"/>
        <v>1</v>
      </c>
      <c r="I79" s="1627">
        <f t="shared" si="30"/>
        <v>1</v>
      </c>
      <c r="J79" s="1627">
        <f t="shared" si="30"/>
        <v>1</v>
      </c>
      <c r="K79" s="1627">
        <f t="shared" si="30"/>
        <v>1</v>
      </c>
      <c r="L79" s="1627">
        <f t="shared" si="30"/>
        <v>1</v>
      </c>
      <c r="M79" s="1627">
        <f t="shared" si="30"/>
        <v>1</v>
      </c>
    </row>
    <row r="80" spans="1:13" x14ac:dyDescent="0.2">
      <c r="A80" s="12" t="str">
        <f t="shared" si="29"/>
        <v>Prévoyance T1</v>
      </c>
      <c r="B80" s="1627">
        <v>1</v>
      </c>
      <c r="C80" s="1627">
        <f>+B80</f>
        <v>1</v>
      </c>
      <c r="D80" s="1627">
        <f t="shared" si="30"/>
        <v>1</v>
      </c>
      <c r="E80" s="1627">
        <f t="shared" si="30"/>
        <v>1</v>
      </c>
      <c r="F80" s="1627">
        <f t="shared" si="30"/>
        <v>1</v>
      </c>
      <c r="G80" s="1627">
        <f t="shared" si="30"/>
        <v>1</v>
      </c>
      <c r="H80" s="1627">
        <f t="shared" si="30"/>
        <v>1</v>
      </c>
      <c r="I80" s="1627">
        <f t="shared" si="30"/>
        <v>1</v>
      </c>
      <c r="J80" s="1627">
        <f t="shared" si="30"/>
        <v>1</v>
      </c>
      <c r="K80" s="1627">
        <f t="shared" si="30"/>
        <v>1</v>
      </c>
      <c r="L80" s="1627">
        <f t="shared" si="30"/>
        <v>1</v>
      </c>
      <c r="M80" s="1627">
        <f t="shared" si="30"/>
        <v>1</v>
      </c>
    </row>
    <row r="81" spans="1:13" x14ac:dyDescent="0.2">
      <c r="A81" s="12" t="str">
        <f t="shared" si="29"/>
        <v>Prévoyance T2</v>
      </c>
      <c r="B81" s="1449"/>
      <c r="C81" s="1449"/>
      <c r="D81" s="1449"/>
      <c r="E81" s="1449"/>
      <c r="F81" s="1449"/>
      <c r="G81" s="1449"/>
      <c r="H81" s="1449"/>
      <c r="I81" s="1449"/>
      <c r="J81" s="1449"/>
      <c r="K81" s="1449"/>
      <c r="L81" s="1449"/>
      <c r="M81" s="1449"/>
    </row>
    <row r="82" spans="1:13" x14ac:dyDescent="0.2">
      <c r="A82" s="13" t="str">
        <f t="shared" si="29"/>
        <v>Accident du travail :</v>
      </c>
      <c r="B82" s="1449"/>
      <c r="C82" s="1449"/>
      <c r="D82" s="1449"/>
      <c r="E82" s="1449"/>
      <c r="F82" s="1449"/>
      <c r="G82" s="1449"/>
      <c r="H82" s="1449"/>
      <c r="I82" s="1449"/>
      <c r="J82" s="1449"/>
      <c r="K82" s="1449"/>
      <c r="L82" s="1449"/>
      <c r="M82" s="1449"/>
    </row>
    <row r="83" spans="1:13" x14ac:dyDescent="0.2">
      <c r="A83" s="13" t="str">
        <f t="shared" si="29"/>
        <v>Retraite :</v>
      </c>
      <c r="B83" s="1449"/>
      <c r="C83" s="1449"/>
      <c r="D83" s="1449"/>
      <c r="E83" s="1449"/>
      <c r="F83" s="1449"/>
      <c r="G83" s="1449"/>
      <c r="H83" s="1449"/>
      <c r="I83" s="1449"/>
      <c r="J83" s="1449"/>
      <c r="K83" s="1449"/>
      <c r="L83" s="1449"/>
      <c r="M83" s="1449"/>
    </row>
    <row r="84" spans="1:13" x14ac:dyDescent="0.2">
      <c r="A84" s="12" t="str">
        <f t="shared" si="29"/>
        <v>Retraite SS T1</v>
      </c>
      <c r="B84" s="1627">
        <v>1</v>
      </c>
      <c r="C84" s="1627">
        <f t="shared" ref="C84:M92" si="31">+B84</f>
        <v>1</v>
      </c>
      <c r="D84" s="1627">
        <f t="shared" si="31"/>
        <v>1</v>
      </c>
      <c r="E84" s="1627">
        <f t="shared" si="31"/>
        <v>1</v>
      </c>
      <c r="F84" s="1627">
        <f t="shared" si="31"/>
        <v>1</v>
      </c>
      <c r="G84" s="1627">
        <f t="shared" si="31"/>
        <v>1</v>
      </c>
      <c r="H84" s="1627">
        <f t="shared" si="31"/>
        <v>1</v>
      </c>
      <c r="I84" s="1627">
        <f t="shared" si="31"/>
        <v>1</v>
      </c>
      <c r="J84" s="1627">
        <f t="shared" si="31"/>
        <v>1</v>
      </c>
      <c r="K84" s="1627">
        <f t="shared" si="31"/>
        <v>1</v>
      </c>
      <c r="L84" s="1627">
        <f t="shared" si="31"/>
        <v>1</v>
      </c>
      <c r="M84" s="1627">
        <f t="shared" si="31"/>
        <v>1</v>
      </c>
    </row>
    <row r="85" spans="1:13" x14ac:dyDescent="0.2">
      <c r="A85" s="12" t="str">
        <f t="shared" si="29"/>
        <v>Retraite SS Totalité</v>
      </c>
      <c r="B85" s="1627">
        <v>1</v>
      </c>
      <c r="C85" s="1627">
        <f t="shared" si="31"/>
        <v>1</v>
      </c>
      <c r="D85" s="1627">
        <f t="shared" si="31"/>
        <v>1</v>
      </c>
      <c r="E85" s="1627">
        <f t="shared" si="31"/>
        <v>1</v>
      </c>
      <c r="F85" s="1627">
        <f t="shared" si="31"/>
        <v>1</v>
      </c>
      <c r="G85" s="1627">
        <f t="shared" si="31"/>
        <v>1</v>
      </c>
      <c r="H85" s="1627">
        <f t="shared" si="31"/>
        <v>1</v>
      </c>
      <c r="I85" s="1627">
        <f t="shared" si="31"/>
        <v>1</v>
      </c>
      <c r="J85" s="1627">
        <f t="shared" si="31"/>
        <v>1</v>
      </c>
      <c r="K85" s="1627">
        <f t="shared" si="31"/>
        <v>1</v>
      </c>
      <c r="L85" s="1627">
        <f t="shared" si="31"/>
        <v>1</v>
      </c>
      <c r="M85" s="1627">
        <f t="shared" si="31"/>
        <v>1</v>
      </c>
    </row>
    <row r="86" spans="1:13" x14ac:dyDescent="0.2">
      <c r="A86" s="12" t="str">
        <f t="shared" si="29"/>
        <v>Retraite IRCEM T1</v>
      </c>
      <c r="B86" s="1627">
        <v>1</v>
      </c>
      <c r="C86" s="1627">
        <f t="shared" si="31"/>
        <v>1</v>
      </c>
      <c r="D86" s="1627">
        <f t="shared" si="31"/>
        <v>1</v>
      </c>
      <c r="E86" s="1627">
        <f t="shared" si="31"/>
        <v>1</v>
      </c>
      <c r="F86" s="1627">
        <f t="shared" si="31"/>
        <v>1</v>
      </c>
      <c r="G86" s="1627">
        <f t="shared" si="31"/>
        <v>1</v>
      </c>
      <c r="H86" s="1627">
        <f t="shared" si="31"/>
        <v>1</v>
      </c>
      <c r="I86" s="1627">
        <f t="shared" si="31"/>
        <v>1</v>
      </c>
      <c r="J86" s="1627">
        <f t="shared" si="31"/>
        <v>1</v>
      </c>
      <c r="K86" s="1627">
        <f t="shared" si="31"/>
        <v>1</v>
      </c>
      <c r="L86" s="1627">
        <f t="shared" si="31"/>
        <v>1</v>
      </c>
      <c r="M86" s="1627">
        <f t="shared" si="31"/>
        <v>1</v>
      </c>
    </row>
    <row r="87" spans="1:13" x14ac:dyDescent="0.2">
      <c r="A87" s="12" t="str">
        <f t="shared" si="29"/>
        <v>CEG T1</v>
      </c>
      <c r="B87" s="1627">
        <v>1</v>
      </c>
      <c r="C87" s="1627">
        <f t="shared" si="31"/>
        <v>1</v>
      </c>
      <c r="D87" s="1627">
        <f t="shared" si="31"/>
        <v>1</v>
      </c>
      <c r="E87" s="1627">
        <f t="shared" si="31"/>
        <v>1</v>
      </c>
      <c r="F87" s="1627">
        <f t="shared" si="31"/>
        <v>1</v>
      </c>
      <c r="G87" s="1627">
        <f t="shared" si="31"/>
        <v>1</v>
      </c>
      <c r="H87" s="1627">
        <f t="shared" si="31"/>
        <v>1</v>
      </c>
      <c r="I87" s="1627">
        <f t="shared" si="31"/>
        <v>1</v>
      </c>
      <c r="J87" s="1627">
        <f t="shared" si="31"/>
        <v>1</v>
      </c>
      <c r="K87" s="1627">
        <f t="shared" si="31"/>
        <v>1</v>
      </c>
      <c r="L87" s="1627">
        <f t="shared" si="31"/>
        <v>1</v>
      </c>
      <c r="M87" s="1627">
        <f t="shared" si="31"/>
        <v>1</v>
      </c>
    </row>
    <row r="88" spans="1:13" x14ac:dyDescent="0.2">
      <c r="A88" s="12" t="str">
        <f t="shared" si="29"/>
        <v>Retraite IRCEM T1 - CEG T1</v>
      </c>
      <c r="B88" s="1449">
        <f>+AVERAGE(B86:B87)</f>
        <v>1</v>
      </c>
      <c r="C88" s="1449">
        <f t="shared" si="31"/>
        <v>1</v>
      </c>
      <c r="D88" s="1449">
        <f t="shared" si="31"/>
        <v>1</v>
      </c>
      <c r="E88" s="1449">
        <f t="shared" si="31"/>
        <v>1</v>
      </c>
      <c r="F88" s="1449">
        <f t="shared" si="31"/>
        <v>1</v>
      </c>
      <c r="G88" s="1449">
        <f t="shared" si="31"/>
        <v>1</v>
      </c>
      <c r="H88" s="1449">
        <f t="shared" si="31"/>
        <v>1</v>
      </c>
      <c r="I88" s="1449">
        <f t="shared" si="31"/>
        <v>1</v>
      </c>
      <c r="J88" s="1449">
        <f t="shared" si="31"/>
        <v>1</v>
      </c>
      <c r="K88" s="1449">
        <f t="shared" si="31"/>
        <v>1</v>
      </c>
      <c r="L88" s="1449">
        <f t="shared" si="31"/>
        <v>1</v>
      </c>
      <c r="M88" s="1449">
        <f t="shared" si="31"/>
        <v>1</v>
      </c>
    </row>
    <row r="89" spans="1:13" x14ac:dyDescent="0.2">
      <c r="A89" s="12" t="str">
        <f t="shared" si="29"/>
        <v>CET si plafond SS atteint</v>
      </c>
      <c r="B89" s="1627">
        <v>1</v>
      </c>
      <c r="C89" s="1627">
        <f t="shared" si="31"/>
        <v>1</v>
      </c>
      <c r="D89" s="1627">
        <f t="shared" si="31"/>
        <v>1</v>
      </c>
      <c r="E89" s="1627">
        <f t="shared" si="31"/>
        <v>1</v>
      </c>
      <c r="F89" s="1627">
        <f t="shared" si="31"/>
        <v>1</v>
      </c>
      <c r="G89" s="1627">
        <f t="shared" si="31"/>
        <v>1</v>
      </c>
      <c r="H89" s="1627">
        <f t="shared" si="31"/>
        <v>1</v>
      </c>
      <c r="I89" s="1627">
        <f t="shared" si="31"/>
        <v>1</v>
      </c>
      <c r="J89" s="1627">
        <f t="shared" si="31"/>
        <v>1</v>
      </c>
      <c r="K89" s="1627">
        <f t="shared" si="31"/>
        <v>1</v>
      </c>
      <c r="L89" s="1627">
        <f t="shared" si="31"/>
        <v>1</v>
      </c>
      <c r="M89" s="1627">
        <f t="shared" si="31"/>
        <v>1</v>
      </c>
    </row>
    <row r="90" spans="1:13" x14ac:dyDescent="0.2">
      <c r="A90" s="12" t="str">
        <f t="shared" si="29"/>
        <v>Retraite IRCEM T2</v>
      </c>
      <c r="B90" s="1627">
        <v>1</v>
      </c>
      <c r="C90" s="1627">
        <f t="shared" si="31"/>
        <v>1</v>
      </c>
      <c r="D90" s="1627">
        <f t="shared" si="31"/>
        <v>1</v>
      </c>
      <c r="E90" s="1627">
        <f t="shared" si="31"/>
        <v>1</v>
      </c>
      <c r="F90" s="1627">
        <f t="shared" si="31"/>
        <v>1</v>
      </c>
      <c r="G90" s="1627">
        <f t="shared" si="31"/>
        <v>1</v>
      </c>
      <c r="H90" s="1627">
        <f t="shared" si="31"/>
        <v>1</v>
      </c>
      <c r="I90" s="1627">
        <f t="shared" si="31"/>
        <v>1</v>
      </c>
      <c r="J90" s="1627">
        <f t="shared" si="31"/>
        <v>1</v>
      </c>
      <c r="K90" s="1627">
        <f t="shared" si="31"/>
        <v>1</v>
      </c>
      <c r="L90" s="1627">
        <f t="shared" si="31"/>
        <v>1</v>
      </c>
      <c r="M90" s="1627">
        <f t="shared" si="31"/>
        <v>1</v>
      </c>
    </row>
    <row r="91" spans="1:13" x14ac:dyDescent="0.2">
      <c r="A91" s="12" t="str">
        <f t="shared" si="29"/>
        <v>CEG T2</v>
      </c>
      <c r="B91" s="1627">
        <v>1</v>
      </c>
      <c r="C91" s="1627">
        <f t="shared" si="31"/>
        <v>1</v>
      </c>
      <c r="D91" s="1627">
        <f t="shared" si="31"/>
        <v>1</v>
      </c>
      <c r="E91" s="1627">
        <f t="shared" si="31"/>
        <v>1</v>
      </c>
      <c r="F91" s="1627">
        <f t="shared" si="31"/>
        <v>1</v>
      </c>
      <c r="G91" s="1627">
        <f t="shared" si="31"/>
        <v>1</v>
      </c>
      <c r="H91" s="1627">
        <f t="shared" si="31"/>
        <v>1</v>
      </c>
      <c r="I91" s="1627">
        <f t="shared" si="31"/>
        <v>1</v>
      </c>
      <c r="J91" s="1627">
        <f t="shared" si="31"/>
        <v>1</v>
      </c>
      <c r="K91" s="1627">
        <f t="shared" si="31"/>
        <v>1</v>
      </c>
      <c r="L91" s="1627">
        <f t="shared" si="31"/>
        <v>1</v>
      </c>
      <c r="M91" s="1627">
        <f t="shared" si="31"/>
        <v>1</v>
      </c>
    </row>
    <row r="92" spans="1:13" x14ac:dyDescent="0.2">
      <c r="A92" s="12" t="str">
        <f t="shared" si="29"/>
        <v>Retraite IRCEM T2 - CEG T2</v>
      </c>
      <c r="B92" s="1449">
        <f>+AVERAGE(B90:B91)</f>
        <v>1</v>
      </c>
      <c r="C92" s="1449">
        <f t="shared" si="31"/>
        <v>1</v>
      </c>
      <c r="D92" s="1449">
        <f t="shared" si="31"/>
        <v>1</v>
      </c>
      <c r="E92" s="1449">
        <f t="shared" si="31"/>
        <v>1</v>
      </c>
      <c r="F92" s="1449">
        <f t="shared" si="31"/>
        <v>1</v>
      </c>
      <c r="G92" s="1449">
        <f t="shared" si="31"/>
        <v>1</v>
      </c>
      <c r="H92" s="1449">
        <f t="shared" si="31"/>
        <v>1</v>
      </c>
      <c r="I92" s="1449">
        <f t="shared" si="31"/>
        <v>1</v>
      </c>
      <c r="J92" s="1449">
        <f t="shared" si="31"/>
        <v>1</v>
      </c>
      <c r="K92" s="1449">
        <f t="shared" si="31"/>
        <v>1</v>
      </c>
      <c r="L92" s="1449">
        <f t="shared" si="31"/>
        <v>1</v>
      </c>
      <c r="M92" s="1449">
        <f t="shared" si="31"/>
        <v>1</v>
      </c>
    </row>
    <row r="93" spans="1:13" x14ac:dyDescent="0.2">
      <c r="A93" s="13" t="str">
        <f>A24</f>
        <v>Famille</v>
      </c>
      <c r="B93" s="1449"/>
      <c r="C93" s="1449"/>
      <c r="D93" s="1449"/>
      <c r="E93" s="1449"/>
      <c r="F93" s="1449"/>
      <c r="G93" s="1449"/>
      <c r="H93" s="1449"/>
      <c r="I93" s="1449"/>
      <c r="J93" s="1449"/>
      <c r="K93" s="1449"/>
      <c r="L93" s="1449"/>
      <c r="M93" s="1449"/>
    </row>
    <row r="94" spans="1:13" x14ac:dyDescent="0.2">
      <c r="A94" s="13" t="str">
        <f>A25</f>
        <v>Assurance Chômage</v>
      </c>
      <c r="B94" s="1449"/>
      <c r="C94" s="1449"/>
      <c r="D94" s="1449"/>
      <c r="E94" s="1449"/>
      <c r="F94" s="1449"/>
      <c r="G94" s="1449"/>
      <c r="H94" s="1449"/>
      <c r="I94" s="1449"/>
      <c r="J94" s="1449"/>
      <c r="K94" s="1449"/>
      <c r="L94" s="1449"/>
      <c r="M94" s="1449"/>
    </row>
    <row r="95" spans="1:13" x14ac:dyDescent="0.2">
      <c r="A95" s="13" t="str">
        <f>+A59</f>
        <v>Contribution Santé au Travail</v>
      </c>
      <c r="B95" s="1449"/>
      <c r="C95" s="1449"/>
      <c r="D95" s="1449"/>
      <c r="E95" s="1449"/>
      <c r="F95" s="1449"/>
      <c r="G95" s="1449"/>
      <c r="H95" s="1449"/>
      <c r="I95" s="1449"/>
      <c r="J95" s="1449"/>
      <c r="K95" s="1449"/>
      <c r="L95" s="1449"/>
      <c r="M95" s="1449"/>
    </row>
    <row r="96" spans="1:13" x14ac:dyDescent="0.2">
      <c r="A96" s="14" t="str">
        <f t="shared" ref="A96:A101" si="32">A27</f>
        <v>Autres cotisations patronales</v>
      </c>
      <c r="B96" s="1449"/>
      <c r="C96" s="1449"/>
      <c r="D96" s="1449"/>
      <c r="E96" s="1449"/>
      <c r="F96" s="1449"/>
      <c r="G96" s="1449"/>
      <c r="H96" s="1449"/>
      <c r="I96" s="1449"/>
      <c r="J96" s="1449"/>
      <c r="K96" s="1449"/>
      <c r="L96" s="1449"/>
      <c r="M96" s="1449"/>
    </row>
    <row r="97" spans="1:13" x14ac:dyDescent="0.2">
      <c r="A97" s="14" t="str">
        <f t="shared" si="32"/>
        <v>Autres cotisations patronales T1</v>
      </c>
      <c r="B97" s="1449"/>
      <c r="C97" s="1449"/>
      <c r="D97" s="1449"/>
      <c r="E97" s="1449"/>
      <c r="F97" s="1449"/>
      <c r="G97" s="1449"/>
      <c r="H97" s="1449"/>
      <c r="I97" s="1449"/>
      <c r="J97" s="1449"/>
      <c r="K97" s="1449"/>
      <c r="L97" s="1449"/>
      <c r="M97" s="1449"/>
    </row>
    <row r="98" spans="1:13" x14ac:dyDescent="0.2">
      <c r="A98" s="10" t="str">
        <f t="shared" si="32"/>
        <v>CSG déductible de l'IR</v>
      </c>
      <c r="B98" s="1627">
        <v>0.98250000000000004</v>
      </c>
      <c r="C98" s="1627">
        <f>+B98</f>
        <v>0.98250000000000004</v>
      </c>
      <c r="D98" s="1627">
        <f t="shared" ref="D98:M100" si="33">+C98</f>
        <v>0.98250000000000004</v>
      </c>
      <c r="E98" s="1627">
        <f t="shared" si="33"/>
        <v>0.98250000000000004</v>
      </c>
      <c r="F98" s="1627">
        <f t="shared" si="33"/>
        <v>0.98250000000000004</v>
      </c>
      <c r="G98" s="1627">
        <f t="shared" si="33"/>
        <v>0.98250000000000004</v>
      </c>
      <c r="H98" s="1627">
        <f t="shared" si="33"/>
        <v>0.98250000000000004</v>
      </c>
      <c r="I98" s="1627">
        <f t="shared" si="33"/>
        <v>0.98250000000000004</v>
      </c>
      <c r="J98" s="1627">
        <f t="shared" si="33"/>
        <v>0.98250000000000004</v>
      </c>
      <c r="K98" s="1627">
        <f t="shared" si="33"/>
        <v>0.98250000000000004</v>
      </c>
      <c r="L98" s="1627">
        <f t="shared" si="33"/>
        <v>0.98250000000000004</v>
      </c>
      <c r="M98" s="1627">
        <f t="shared" si="33"/>
        <v>0.98250000000000004</v>
      </c>
    </row>
    <row r="99" spans="1:13" x14ac:dyDescent="0.2">
      <c r="A99" s="10" t="str">
        <f t="shared" si="32"/>
        <v>CSG/RDS non déductible de l'IR</v>
      </c>
      <c r="B99" s="1627">
        <v>0.98250000000000004</v>
      </c>
      <c r="C99" s="1627">
        <f>+B99</f>
        <v>0.98250000000000004</v>
      </c>
      <c r="D99" s="1627">
        <f t="shared" si="33"/>
        <v>0.98250000000000004</v>
      </c>
      <c r="E99" s="1627">
        <f t="shared" si="33"/>
        <v>0.98250000000000004</v>
      </c>
      <c r="F99" s="1627">
        <f t="shared" si="33"/>
        <v>0.98250000000000004</v>
      </c>
      <c r="G99" s="1627">
        <f t="shared" si="33"/>
        <v>0.98250000000000004</v>
      </c>
      <c r="H99" s="1627">
        <f t="shared" si="33"/>
        <v>0.98250000000000004</v>
      </c>
      <c r="I99" s="1627">
        <f t="shared" si="33"/>
        <v>0.98250000000000004</v>
      </c>
      <c r="J99" s="1627">
        <f t="shared" si="33"/>
        <v>0.98250000000000004</v>
      </c>
      <c r="K99" s="1627">
        <f t="shared" si="33"/>
        <v>0.98250000000000004</v>
      </c>
      <c r="L99" s="1627">
        <f t="shared" si="33"/>
        <v>0.98250000000000004</v>
      </c>
      <c r="M99" s="1627">
        <f t="shared" si="33"/>
        <v>0.98250000000000004</v>
      </c>
    </row>
    <row r="100" spans="1:13" x14ac:dyDescent="0.2">
      <c r="A100" s="10" t="str">
        <f t="shared" si="32"/>
        <v>CSG/RDS non déd sur rev non imp</v>
      </c>
      <c r="B100" s="1627">
        <v>0.98250000000000004</v>
      </c>
      <c r="C100" s="1627">
        <f>+B100</f>
        <v>0.98250000000000004</v>
      </c>
      <c r="D100" s="1627">
        <f t="shared" si="33"/>
        <v>0.98250000000000004</v>
      </c>
      <c r="E100" s="1627">
        <f t="shared" si="33"/>
        <v>0.98250000000000004</v>
      </c>
      <c r="F100" s="1627">
        <f t="shared" si="33"/>
        <v>0.98250000000000004</v>
      </c>
      <c r="G100" s="1627">
        <f t="shared" si="33"/>
        <v>0.98250000000000004</v>
      </c>
      <c r="H100" s="1627">
        <f t="shared" si="33"/>
        <v>0.98250000000000004</v>
      </c>
      <c r="I100" s="1627">
        <f t="shared" si="33"/>
        <v>0.98250000000000004</v>
      </c>
      <c r="J100" s="1627">
        <f t="shared" si="33"/>
        <v>0.98250000000000004</v>
      </c>
      <c r="K100" s="1627">
        <f t="shared" si="33"/>
        <v>0.98250000000000004</v>
      </c>
      <c r="L100" s="1627">
        <f t="shared" si="33"/>
        <v>0.98250000000000004</v>
      </c>
      <c r="M100" s="1627">
        <f t="shared" si="33"/>
        <v>0.98250000000000004</v>
      </c>
    </row>
    <row r="101" spans="1:13" x14ac:dyDescent="0.2">
      <c r="A101" s="1617" t="str">
        <f t="shared" si="32"/>
        <v>Réduction cot. HC et HS</v>
      </c>
      <c r="B101" s="1618"/>
      <c r="C101" s="1618"/>
      <c r="D101" s="1618"/>
      <c r="E101" s="1618"/>
      <c r="F101" s="1618"/>
      <c r="G101" s="1618"/>
      <c r="H101" s="1618"/>
      <c r="I101" s="1618"/>
      <c r="J101" s="1618"/>
      <c r="K101" s="1618"/>
      <c r="L101" s="1618"/>
      <c r="M101" s="1618"/>
    </row>
    <row r="102" spans="1:13" x14ac:dyDescent="0.2">
      <c r="A102" s="1450"/>
      <c r="B102" s="1450"/>
      <c r="C102" s="1450"/>
      <c r="D102" s="1450"/>
      <c r="E102" s="1450"/>
      <c r="F102" s="1450"/>
      <c r="G102" s="1450"/>
      <c r="H102" s="1450"/>
      <c r="I102" s="1450"/>
      <c r="J102" s="1450"/>
      <c r="K102" s="1450"/>
      <c r="L102" s="1450"/>
      <c r="M102" s="1450"/>
    </row>
    <row r="107" spans="1:13" x14ac:dyDescent="0.2">
      <c r="A107" s="464" t="s">
        <v>1575</v>
      </c>
    </row>
    <row r="109" spans="1:13" x14ac:dyDescent="0.2">
      <c r="B109" s="1441" t="s">
        <v>98</v>
      </c>
      <c r="C109" s="1442" t="s">
        <v>1361</v>
      </c>
      <c r="D109" s="1441" t="s">
        <v>100</v>
      </c>
      <c r="E109" s="1442" t="s">
        <v>101</v>
      </c>
      <c r="F109" s="1441" t="s">
        <v>102</v>
      </c>
      <c r="G109" s="1442" t="s">
        <v>103</v>
      </c>
      <c r="H109" s="1441" t="s">
        <v>104</v>
      </c>
      <c r="I109" s="1442" t="s">
        <v>105</v>
      </c>
      <c r="J109" s="1441" t="s">
        <v>106</v>
      </c>
      <c r="K109" s="1442" t="s">
        <v>107</v>
      </c>
      <c r="L109" s="1441" t="s">
        <v>108</v>
      </c>
      <c r="M109" s="1443" t="s">
        <v>109</v>
      </c>
    </row>
    <row r="110" spans="1:13" x14ac:dyDescent="0.2">
      <c r="A110" s="1308"/>
      <c r="B110" s="1308">
        <f>+B75</f>
        <v>45658</v>
      </c>
      <c r="C110" s="1308">
        <f t="shared" ref="C110:M110" si="34">+C75</f>
        <v>45689</v>
      </c>
      <c r="D110" s="1308">
        <f t="shared" si="34"/>
        <v>45717</v>
      </c>
      <c r="E110" s="1308">
        <f t="shared" si="34"/>
        <v>45748</v>
      </c>
      <c r="F110" s="1308">
        <f t="shared" si="34"/>
        <v>45778</v>
      </c>
      <c r="G110" s="1308">
        <f t="shared" si="34"/>
        <v>45809</v>
      </c>
      <c r="H110" s="1308">
        <f t="shared" si="34"/>
        <v>45839</v>
      </c>
      <c r="I110" s="1308">
        <f t="shared" si="34"/>
        <v>45870</v>
      </c>
      <c r="J110" s="1308">
        <f t="shared" si="34"/>
        <v>45901</v>
      </c>
      <c r="K110" s="1308">
        <f t="shared" si="34"/>
        <v>45931</v>
      </c>
      <c r="L110" s="1308">
        <f t="shared" si="34"/>
        <v>45962</v>
      </c>
      <c r="M110" s="1308">
        <f t="shared" si="34"/>
        <v>45992</v>
      </c>
    </row>
    <row r="111" spans="1:13" ht="25.5" x14ac:dyDescent="0.2">
      <c r="B111" s="1621" t="s">
        <v>492</v>
      </c>
      <c r="C111" s="1621" t="s">
        <v>492</v>
      </c>
      <c r="D111" s="1621" t="s">
        <v>492</v>
      </c>
      <c r="E111" s="1621" t="s">
        <v>492</v>
      </c>
      <c r="F111" s="1621" t="s">
        <v>492</v>
      </c>
      <c r="G111" s="1621" t="s">
        <v>492</v>
      </c>
      <c r="H111" s="1621" t="s">
        <v>492</v>
      </c>
      <c r="I111" s="1621" t="s">
        <v>492</v>
      </c>
      <c r="J111" s="1621" t="s">
        <v>492</v>
      </c>
      <c r="K111" s="1621" t="s">
        <v>492</v>
      </c>
      <c r="L111" s="1621" t="s">
        <v>492</v>
      </c>
      <c r="M111" s="1621" t="s">
        <v>492</v>
      </c>
    </row>
    <row r="112" spans="1:13" x14ac:dyDescent="0.2">
      <c r="B112" s="1622" t="s">
        <v>493</v>
      </c>
      <c r="C112" s="1622" t="s">
        <v>493</v>
      </c>
      <c r="D112" s="1622" t="s">
        <v>493</v>
      </c>
      <c r="E112" s="1622" t="s">
        <v>493</v>
      </c>
      <c r="F112" s="1622" t="s">
        <v>493</v>
      </c>
      <c r="G112" s="1622" t="s">
        <v>493</v>
      </c>
      <c r="H112" s="1622" t="s">
        <v>493</v>
      </c>
      <c r="I112" s="1622" t="s">
        <v>493</v>
      </c>
      <c r="J112" s="1622" t="s">
        <v>493</v>
      </c>
      <c r="K112" s="1622" t="s">
        <v>493</v>
      </c>
      <c r="L112" s="1622" t="s">
        <v>493</v>
      </c>
      <c r="M112" s="1622" t="s">
        <v>493</v>
      </c>
    </row>
    <row r="113" spans="1:13" x14ac:dyDescent="0.2">
      <c r="A113" s="1446" t="str">
        <f t="shared" ref="A113:A127" si="35">A9</f>
        <v>Santé :</v>
      </c>
      <c r="B113" s="1626"/>
      <c r="C113" s="1626"/>
      <c r="D113" s="1626"/>
      <c r="E113" s="1626"/>
      <c r="F113" s="1626"/>
      <c r="G113" s="1626"/>
      <c r="H113" s="1626"/>
      <c r="I113" s="1626"/>
      <c r="J113" s="1626"/>
      <c r="K113" s="1626"/>
      <c r="L113" s="1626"/>
      <c r="M113" s="1626"/>
    </row>
    <row r="114" spans="1:13" x14ac:dyDescent="0.2">
      <c r="A114" s="12" t="str">
        <f t="shared" si="35"/>
        <v>Séc. Soc. Maladie invalidité</v>
      </c>
      <c r="B114" s="1627">
        <v>1</v>
      </c>
      <c r="C114" s="1627">
        <f>B114</f>
        <v>1</v>
      </c>
      <c r="D114" s="1627">
        <f t="shared" ref="D114:M117" si="36">C114</f>
        <v>1</v>
      </c>
      <c r="E114" s="1627">
        <f t="shared" si="36"/>
        <v>1</v>
      </c>
      <c r="F114" s="1627">
        <f t="shared" si="36"/>
        <v>1</v>
      </c>
      <c r="G114" s="1627">
        <f t="shared" si="36"/>
        <v>1</v>
      </c>
      <c r="H114" s="1627">
        <f t="shared" si="36"/>
        <v>1</v>
      </c>
      <c r="I114" s="1627">
        <f t="shared" si="36"/>
        <v>1</v>
      </c>
      <c r="J114" s="1627">
        <f t="shared" si="36"/>
        <v>1</v>
      </c>
      <c r="K114" s="1627">
        <f t="shared" si="36"/>
        <v>1</v>
      </c>
      <c r="L114" s="1627">
        <f t="shared" si="36"/>
        <v>1</v>
      </c>
      <c r="M114" s="1627">
        <f t="shared" si="36"/>
        <v>1</v>
      </c>
    </row>
    <row r="115" spans="1:13" x14ac:dyDescent="0.2">
      <c r="A115" s="12" t="str">
        <f t="shared" si="35"/>
        <v>Prévoyance T1</v>
      </c>
      <c r="B115" s="1627">
        <v>1</v>
      </c>
      <c r="C115" s="1627">
        <f>B115</f>
        <v>1</v>
      </c>
      <c r="D115" s="1627">
        <f t="shared" si="36"/>
        <v>1</v>
      </c>
      <c r="E115" s="1627">
        <f t="shared" si="36"/>
        <v>1</v>
      </c>
      <c r="F115" s="1627">
        <f t="shared" si="36"/>
        <v>1</v>
      </c>
      <c r="G115" s="1627">
        <f t="shared" si="36"/>
        <v>1</v>
      </c>
      <c r="H115" s="1627">
        <f t="shared" si="36"/>
        <v>1</v>
      </c>
      <c r="I115" s="1627">
        <f t="shared" si="36"/>
        <v>1</v>
      </c>
      <c r="J115" s="1627">
        <f t="shared" si="36"/>
        <v>1</v>
      </c>
      <c r="K115" s="1627">
        <f t="shared" si="36"/>
        <v>1</v>
      </c>
      <c r="L115" s="1627">
        <f t="shared" si="36"/>
        <v>1</v>
      </c>
      <c r="M115" s="1627">
        <f t="shared" si="36"/>
        <v>1</v>
      </c>
    </row>
    <row r="116" spans="1:13" x14ac:dyDescent="0.2">
      <c r="A116" s="12" t="str">
        <f t="shared" si="35"/>
        <v>Prévoyance T2</v>
      </c>
      <c r="B116" s="1627">
        <v>1</v>
      </c>
      <c r="C116" s="1627">
        <f>B116</f>
        <v>1</v>
      </c>
      <c r="D116" s="1627">
        <f t="shared" si="36"/>
        <v>1</v>
      </c>
      <c r="E116" s="1627">
        <f t="shared" si="36"/>
        <v>1</v>
      </c>
      <c r="F116" s="1627">
        <f t="shared" si="36"/>
        <v>1</v>
      </c>
      <c r="G116" s="1627">
        <f t="shared" si="36"/>
        <v>1</v>
      </c>
      <c r="H116" s="1627">
        <f t="shared" si="36"/>
        <v>1</v>
      </c>
      <c r="I116" s="1627">
        <f t="shared" si="36"/>
        <v>1</v>
      </c>
      <c r="J116" s="1627">
        <f t="shared" si="36"/>
        <v>1</v>
      </c>
      <c r="K116" s="1627">
        <f t="shared" si="36"/>
        <v>1</v>
      </c>
      <c r="L116" s="1627">
        <f t="shared" si="36"/>
        <v>1</v>
      </c>
      <c r="M116" s="1627">
        <f t="shared" si="36"/>
        <v>1</v>
      </c>
    </row>
    <row r="117" spans="1:13" x14ac:dyDescent="0.2">
      <c r="A117" s="13" t="str">
        <f t="shared" si="35"/>
        <v>Accident du travail :</v>
      </c>
      <c r="B117" s="1627">
        <v>1</v>
      </c>
      <c r="C117" s="1627">
        <f>B117</f>
        <v>1</v>
      </c>
      <c r="D117" s="1627">
        <f t="shared" si="36"/>
        <v>1</v>
      </c>
      <c r="E117" s="1627">
        <f t="shared" si="36"/>
        <v>1</v>
      </c>
      <c r="F117" s="1627">
        <f t="shared" si="36"/>
        <v>1</v>
      </c>
      <c r="G117" s="1627">
        <f t="shared" si="36"/>
        <v>1</v>
      </c>
      <c r="H117" s="1627">
        <f t="shared" si="36"/>
        <v>1</v>
      </c>
      <c r="I117" s="1627">
        <f t="shared" si="36"/>
        <v>1</v>
      </c>
      <c r="J117" s="1627">
        <f t="shared" si="36"/>
        <v>1</v>
      </c>
      <c r="K117" s="1627">
        <f t="shared" si="36"/>
        <v>1</v>
      </c>
      <c r="L117" s="1627">
        <f t="shared" si="36"/>
        <v>1</v>
      </c>
      <c r="M117" s="1627">
        <f t="shared" si="36"/>
        <v>1</v>
      </c>
    </row>
    <row r="118" spans="1:13" x14ac:dyDescent="0.2">
      <c r="A118" s="13" t="str">
        <f t="shared" si="35"/>
        <v>Retraite :</v>
      </c>
      <c r="B118" s="1449"/>
      <c r="C118" s="1449"/>
      <c r="D118" s="1449"/>
      <c r="E118" s="1449"/>
      <c r="F118" s="1449"/>
      <c r="G118" s="1449"/>
      <c r="H118" s="1449"/>
      <c r="I118" s="1449"/>
      <c r="J118" s="1449"/>
      <c r="K118" s="1449"/>
      <c r="L118" s="1449"/>
      <c r="M118" s="1449"/>
    </row>
    <row r="119" spans="1:13" x14ac:dyDescent="0.2">
      <c r="A119" s="12" t="str">
        <f t="shared" si="35"/>
        <v>Retraite SS T1</v>
      </c>
      <c r="B119" s="1627">
        <v>1</v>
      </c>
      <c r="C119" s="1627">
        <f t="shared" ref="C119:M127" si="37">B119</f>
        <v>1</v>
      </c>
      <c r="D119" s="1627">
        <f t="shared" si="37"/>
        <v>1</v>
      </c>
      <c r="E119" s="1627">
        <f t="shared" si="37"/>
        <v>1</v>
      </c>
      <c r="F119" s="1627">
        <f t="shared" si="37"/>
        <v>1</v>
      </c>
      <c r="G119" s="1627">
        <f t="shared" si="37"/>
        <v>1</v>
      </c>
      <c r="H119" s="1627">
        <f t="shared" si="37"/>
        <v>1</v>
      </c>
      <c r="I119" s="1627">
        <f t="shared" si="37"/>
        <v>1</v>
      </c>
      <c r="J119" s="1627">
        <f t="shared" si="37"/>
        <v>1</v>
      </c>
      <c r="K119" s="1627">
        <f t="shared" si="37"/>
        <v>1</v>
      </c>
      <c r="L119" s="1627">
        <f t="shared" si="37"/>
        <v>1</v>
      </c>
      <c r="M119" s="1627">
        <f t="shared" si="37"/>
        <v>1</v>
      </c>
    </row>
    <row r="120" spans="1:13" x14ac:dyDescent="0.2">
      <c r="A120" s="12" t="str">
        <f t="shared" si="35"/>
        <v>Retraite SS Totalité</v>
      </c>
      <c r="B120" s="1627">
        <v>1</v>
      </c>
      <c r="C120" s="1627">
        <f t="shared" si="37"/>
        <v>1</v>
      </c>
      <c r="D120" s="1627">
        <f t="shared" si="37"/>
        <v>1</v>
      </c>
      <c r="E120" s="1627">
        <f t="shared" si="37"/>
        <v>1</v>
      </c>
      <c r="F120" s="1627">
        <f t="shared" si="37"/>
        <v>1</v>
      </c>
      <c r="G120" s="1627">
        <f t="shared" si="37"/>
        <v>1</v>
      </c>
      <c r="H120" s="1627">
        <f t="shared" si="37"/>
        <v>1</v>
      </c>
      <c r="I120" s="1627">
        <f t="shared" si="37"/>
        <v>1</v>
      </c>
      <c r="J120" s="1627">
        <f t="shared" si="37"/>
        <v>1</v>
      </c>
      <c r="K120" s="1627">
        <f t="shared" si="37"/>
        <v>1</v>
      </c>
      <c r="L120" s="1627">
        <f t="shared" si="37"/>
        <v>1</v>
      </c>
      <c r="M120" s="1627">
        <f t="shared" si="37"/>
        <v>1</v>
      </c>
    </row>
    <row r="121" spans="1:13" x14ac:dyDescent="0.2">
      <c r="A121" s="12" t="str">
        <f t="shared" si="35"/>
        <v>Retraite IRCEM T1</v>
      </c>
      <c r="B121" s="1627">
        <v>1</v>
      </c>
      <c r="C121" s="1627">
        <f t="shared" si="37"/>
        <v>1</v>
      </c>
      <c r="D121" s="1627">
        <f t="shared" si="37"/>
        <v>1</v>
      </c>
      <c r="E121" s="1627">
        <f t="shared" si="37"/>
        <v>1</v>
      </c>
      <c r="F121" s="1627">
        <f t="shared" si="37"/>
        <v>1</v>
      </c>
      <c r="G121" s="1627">
        <f t="shared" si="37"/>
        <v>1</v>
      </c>
      <c r="H121" s="1627">
        <f t="shared" si="37"/>
        <v>1</v>
      </c>
      <c r="I121" s="1627">
        <f t="shared" si="37"/>
        <v>1</v>
      </c>
      <c r="J121" s="1627">
        <f t="shared" si="37"/>
        <v>1</v>
      </c>
      <c r="K121" s="1627">
        <f t="shared" si="37"/>
        <v>1</v>
      </c>
      <c r="L121" s="1627">
        <f t="shared" si="37"/>
        <v>1</v>
      </c>
      <c r="M121" s="1627">
        <f t="shared" si="37"/>
        <v>1</v>
      </c>
    </row>
    <row r="122" spans="1:13" x14ac:dyDescent="0.2">
      <c r="A122" s="12" t="str">
        <f t="shared" si="35"/>
        <v>CEG T1</v>
      </c>
      <c r="B122" s="1627">
        <v>1</v>
      </c>
      <c r="C122" s="1627">
        <f t="shared" si="37"/>
        <v>1</v>
      </c>
      <c r="D122" s="1627">
        <f t="shared" si="37"/>
        <v>1</v>
      </c>
      <c r="E122" s="1627">
        <f t="shared" si="37"/>
        <v>1</v>
      </c>
      <c r="F122" s="1627">
        <f t="shared" si="37"/>
        <v>1</v>
      </c>
      <c r="G122" s="1627">
        <f t="shared" si="37"/>
        <v>1</v>
      </c>
      <c r="H122" s="1627">
        <f t="shared" si="37"/>
        <v>1</v>
      </c>
      <c r="I122" s="1627">
        <f t="shared" si="37"/>
        <v>1</v>
      </c>
      <c r="J122" s="1627">
        <f t="shared" si="37"/>
        <v>1</v>
      </c>
      <c r="K122" s="1627">
        <f t="shared" si="37"/>
        <v>1</v>
      </c>
      <c r="L122" s="1627">
        <f t="shared" si="37"/>
        <v>1</v>
      </c>
      <c r="M122" s="1627">
        <f t="shared" si="37"/>
        <v>1</v>
      </c>
    </row>
    <row r="123" spans="1:13" x14ac:dyDescent="0.2">
      <c r="A123" s="12" t="str">
        <f t="shared" si="35"/>
        <v>Retraite IRCEM T1 - CEG T1</v>
      </c>
      <c r="B123" s="1449">
        <f>+AVERAGE(B121:B122)</f>
        <v>1</v>
      </c>
      <c r="C123" s="1449">
        <f t="shared" si="37"/>
        <v>1</v>
      </c>
      <c r="D123" s="1449">
        <f t="shared" si="37"/>
        <v>1</v>
      </c>
      <c r="E123" s="1449">
        <f t="shared" si="37"/>
        <v>1</v>
      </c>
      <c r="F123" s="1449">
        <f t="shared" si="37"/>
        <v>1</v>
      </c>
      <c r="G123" s="1449">
        <f t="shared" si="37"/>
        <v>1</v>
      </c>
      <c r="H123" s="1449">
        <f t="shared" si="37"/>
        <v>1</v>
      </c>
      <c r="I123" s="1449">
        <f t="shared" si="37"/>
        <v>1</v>
      </c>
      <c r="J123" s="1449">
        <f t="shared" si="37"/>
        <v>1</v>
      </c>
      <c r="K123" s="1449">
        <f t="shared" si="37"/>
        <v>1</v>
      </c>
      <c r="L123" s="1449">
        <f t="shared" si="37"/>
        <v>1</v>
      </c>
      <c r="M123" s="1449">
        <f t="shared" si="37"/>
        <v>1</v>
      </c>
    </row>
    <row r="124" spans="1:13" x14ac:dyDescent="0.2">
      <c r="A124" s="12" t="str">
        <f t="shared" si="35"/>
        <v>CET si plafond SS atteint</v>
      </c>
      <c r="B124" s="1627">
        <v>1</v>
      </c>
      <c r="C124" s="1627">
        <f t="shared" si="37"/>
        <v>1</v>
      </c>
      <c r="D124" s="1627">
        <f t="shared" si="37"/>
        <v>1</v>
      </c>
      <c r="E124" s="1627">
        <f t="shared" si="37"/>
        <v>1</v>
      </c>
      <c r="F124" s="1627">
        <f t="shared" si="37"/>
        <v>1</v>
      </c>
      <c r="G124" s="1627">
        <f t="shared" si="37"/>
        <v>1</v>
      </c>
      <c r="H124" s="1627">
        <f t="shared" si="37"/>
        <v>1</v>
      </c>
      <c r="I124" s="1627">
        <f t="shared" si="37"/>
        <v>1</v>
      </c>
      <c r="J124" s="1627">
        <f t="shared" si="37"/>
        <v>1</v>
      </c>
      <c r="K124" s="1627">
        <f t="shared" si="37"/>
        <v>1</v>
      </c>
      <c r="L124" s="1627">
        <f t="shared" si="37"/>
        <v>1</v>
      </c>
      <c r="M124" s="1627">
        <f t="shared" si="37"/>
        <v>1</v>
      </c>
    </row>
    <row r="125" spans="1:13" x14ac:dyDescent="0.2">
      <c r="A125" s="12" t="str">
        <f t="shared" si="35"/>
        <v>Retraite IRCEM T2</v>
      </c>
      <c r="B125" s="1627">
        <v>1</v>
      </c>
      <c r="C125" s="1627">
        <f t="shared" si="37"/>
        <v>1</v>
      </c>
      <c r="D125" s="1627">
        <f t="shared" si="37"/>
        <v>1</v>
      </c>
      <c r="E125" s="1627">
        <f t="shared" si="37"/>
        <v>1</v>
      </c>
      <c r="F125" s="1627">
        <f t="shared" si="37"/>
        <v>1</v>
      </c>
      <c r="G125" s="1627">
        <f t="shared" si="37"/>
        <v>1</v>
      </c>
      <c r="H125" s="1627">
        <f t="shared" si="37"/>
        <v>1</v>
      </c>
      <c r="I125" s="1627">
        <f t="shared" si="37"/>
        <v>1</v>
      </c>
      <c r="J125" s="1627">
        <f t="shared" si="37"/>
        <v>1</v>
      </c>
      <c r="K125" s="1627">
        <f t="shared" si="37"/>
        <v>1</v>
      </c>
      <c r="L125" s="1627">
        <f t="shared" si="37"/>
        <v>1</v>
      </c>
      <c r="M125" s="1627">
        <f t="shared" si="37"/>
        <v>1</v>
      </c>
    </row>
    <row r="126" spans="1:13" x14ac:dyDescent="0.2">
      <c r="A126" s="12" t="str">
        <f t="shared" si="35"/>
        <v>CEG T2</v>
      </c>
      <c r="B126" s="1627">
        <v>1</v>
      </c>
      <c r="C126" s="1627">
        <f t="shared" si="37"/>
        <v>1</v>
      </c>
      <c r="D126" s="1627">
        <f t="shared" si="37"/>
        <v>1</v>
      </c>
      <c r="E126" s="1627">
        <f t="shared" si="37"/>
        <v>1</v>
      </c>
      <c r="F126" s="1627">
        <f t="shared" si="37"/>
        <v>1</v>
      </c>
      <c r="G126" s="1627">
        <f t="shared" si="37"/>
        <v>1</v>
      </c>
      <c r="H126" s="1627">
        <f t="shared" si="37"/>
        <v>1</v>
      </c>
      <c r="I126" s="1627">
        <f t="shared" si="37"/>
        <v>1</v>
      </c>
      <c r="J126" s="1627">
        <f t="shared" si="37"/>
        <v>1</v>
      </c>
      <c r="K126" s="1627">
        <f t="shared" si="37"/>
        <v>1</v>
      </c>
      <c r="L126" s="1627">
        <f t="shared" si="37"/>
        <v>1</v>
      </c>
      <c r="M126" s="1627">
        <f t="shared" si="37"/>
        <v>1</v>
      </c>
    </row>
    <row r="127" spans="1:13" x14ac:dyDescent="0.2">
      <c r="A127" s="12" t="str">
        <f t="shared" si="35"/>
        <v>Retraite IRCEM T2 - CEG T2</v>
      </c>
      <c r="B127" s="1449">
        <f>+AVERAGE(B125:B126)</f>
        <v>1</v>
      </c>
      <c r="C127" s="1449">
        <f t="shared" si="37"/>
        <v>1</v>
      </c>
      <c r="D127" s="1449">
        <f t="shared" si="37"/>
        <v>1</v>
      </c>
      <c r="E127" s="1449">
        <f t="shared" si="37"/>
        <v>1</v>
      </c>
      <c r="F127" s="1449">
        <f t="shared" si="37"/>
        <v>1</v>
      </c>
      <c r="G127" s="1449">
        <f t="shared" si="37"/>
        <v>1</v>
      </c>
      <c r="H127" s="1449">
        <f t="shared" si="37"/>
        <v>1</v>
      </c>
      <c r="I127" s="1449">
        <f t="shared" si="37"/>
        <v>1</v>
      </c>
      <c r="J127" s="1449">
        <f t="shared" si="37"/>
        <v>1</v>
      </c>
      <c r="K127" s="1449">
        <f t="shared" si="37"/>
        <v>1</v>
      </c>
      <c r="L127" s="1449">
        <f t="shared" si="37"/>
        <v>1</v>
      </c>
      <c r="M127" s="1449">
        <f t="shared" si="37"/>
        <v>1</v>
      </c>
    </row>
    <row r="128" spans="1:13" x14ac:dyDescent="0.2">
      <c r="A128" s="13" t="str">
        <f>A24</f>
        <v>Famille</v>
      </c>
      <c r="B128" s="1627">
        <v>1</v>
      </c>
      <c r="C128" s="1627">
        <f>B128</f>
        <v>1</v>
      </c>
      <c r="D128" s="1627">
        <f t="shared" ref="D128:M128" si="38">C128</f>
        <v>1</v>
      </c>
      <c r="E128" s="1627">
        <f t="shared" si="38"/>
        <v>1</v>
      </c>
      <c r="F128" s="1627">
        <f t="shared" si="38"/>
        <v>1</v>
      </c>
      <c r="G128" s="1627">
        <f t="shared" si="38"/>
        <v>1</v>
      </c>
      <c r="H128" s="1627">
        <f t="shared" si="38"/>
        <v>1</v>
      </c>
      <c r="I128" s="1627">
        <f t="shared" si="38"/>
        <v>1</v>
      </c>
      <c r="J128" s="1627">
        <f t="shared" si="38"/>
        <v>1</v>
      </c>
      <c r="K128" s="1627">
        <f t="shared" si="38"/>
        <v>1</v>
      </c>
      <c r="L128" s="1627">
        <f t="shared" si="38"/>
        <v>1</v>
      </c>
      <c r="M128" s="1627">
        <f t="shared" si="38"/>
        <v>1</v>
      </c>
    </row>
    <row r="129" spans="1:13" x14ac:dyDescent="0.2">
      <c r="A129" s="13" t="str">
        <f>A25</f>
        <v>Assurance Chômage</v>
      </c>
      <c r="B129" s="1627">
        <v>1</v>
      </c>
      <c r="C129" s="1627">
        <f>B129</f>
        <v>1</v>
      </c>
      <c r="D129" s="1627">
        <f t="shared" ref="D129:M129" si="39">C129</f>
        <v>1</v>
      </c>
      <c r="E129" s="1627">
        <f t="shared" si="39"/>
        <v>1</v>
      </c>
      <c r="F129" s="1627">
        <f t="shared" si="39"/>
        <v>1</v>
      </c>
      <c r="G129" s="1627">
        <f t="shared" si="39"/>
        <v>1</v>
      </c>
      <c r="H129" s="1627">
        <f t="shared" si="39"/>
        <v>1</v>
      </c>
      <c r="I129" s="1627">
        <f t="shared" si="39"/>
        <v>1</v>
      </c>
      <c r="J129" s="1627">
        <f t="shared" si="39"/>
        <v>1</v>
      </c>
      <c r="K129" s="1627">
        <f t="shared" si="39"/>
        <v>1</v>
      </c>
      <c r="L129" s="1627">
        <f t="shared" si="39"/>
        <v>1</v>
      </c>
      <c r="M129" s="1627">
        <f t="shared" si="39"/>
        <v>1</v>
      </c>
    </row>
    <row r="130" spans="1:13" x14ac:dyDescent="0.2">
      <c r="A130" s="13" t="str">
        <f>+A95</f>
        <v>Contribution Santé au Travail</v>
      </c>
      <c r="B130" s="1627">
        <v>1</v>
      </c>
      <c r="C130" s="1627">
        <f>B130</f>
        <v>1</v>
      </c>
      <c r="D130" s="1627">
        <f t="shared" ref="D130:M130" si="40">C130</f>
        <v>1</v>
      </c>
      <c r="E130" s="1627">
        <f t="shared" si="40"/>
        <v>1</v>
      </c>
      <c r="F130" s="1627">
        <f t="shared" si="40"/>
        <v>1</v>
      </c>
      <c r="G130" s="1627">
        <f t="shared" si="40"/>
        <v>1</v>
      </c>
      <c r="H130" s="1627">
        <f t="shared" si="40"/>
        <v>1</v>
      </c>
      <c r="I130" s="1627">
        <f t="shared" si="40"/>
        <v>1</v>
      </c>
      <c r="J130" s="1627">
        <f t="shared" si="40"/>
        <v>1</v>
      </c>
      <c r="K130" s="1627">
        <f t="shared" si="40"/>
        <v>1</v>
      </c>
      <c r="L130" s="1627">
        <f t="shared" si="40"/>
        <v>1</v>
      </c>
      <c r="M130" s="1627">
        <f t="shared" si="40"/>
        <v>1</v>
      </c>
    </row>
    <row r="131" spans="1:13" x14ac:dyDescent="0.2">
      <c r="A131" s="14" t="str">
        <f t="shared" ref="A131:A136" si="41">A27</f>
        <v>Autres cotisations patronales</v>
      </c>
      <c r="B131" s="1627">
        <v>1</v>
      </c>
      <c r="C131" s="1627">
        <f>B131</f>
        <v>1</v>
      </c>
      <c r="D131" s="1627">
        <f t="shared" ref="D131:M132" si="42">C131</f>
        <v>1</v>
      </c>
      <c r="E131" s="1627">
        <f t="shared" si="42"/>
        <v>1</v>
      </c>
      <c r="F131" s="1627">
        <f t="shared" si="42"/>
        <v>1</v>
      </c>
      <c r="G131" s="1627">
        <f t="shared" si="42"/>
        <v>1</v>
      </c>
      <c r="H131" s="1627">
        <f t="shared" si="42"/>
        <v>1</v>
      </c>
      <c r="I131" s="1627">
        <f t="shared" si="42"/>
        <v>1</v>
      </c>
      <c r="J131" s="1627">
        <f t="shared" si="42"/>
        <v>1</v>
      </c>
      <c r="K131" s="1627">
        <f t="shared" si="42"/>
        <v>1</v>
      </c>
      <c r="L131" s="1627">
        <f t="shared" si="42"/>
        <v>1</v>
      </c>
      <c r="M131" s="1627">
        <f t="shared" si="42"/>
        <v>1</v>
      </c>
    </row>
    <row r="132" spans="1:13" x14ac:dyDescent="0.2">
      <c r="A132" s="14" t="str">
        <f t="shared" si="41"/>
        <v>Autres cotisations patronales T1</v>
      </c>
      <c r="B132" s="1627">
        <v>1</v>
      </c>
      <c r="C132" s="1627">
        <f>B132</f>
        <v>1</v>
      </c>
      <c r="D132" s="1627">
        <f t="shared" si="42"/>
        <v>1</v>
      </c>
      <c r="E132" s="1627">
        <f t="shared" si="42"/>
        <v>1</v>
      </c>
      <c r="F132" s="1627">
        <f t="shared" si="42"/>
        <v>1</v>
      </c>
      <c r="G132" s="1627">
        <f t="shared" si="42"/>
        <v>1</v>
      </c>
      <c r="H132" s="1627">
        <f t="shared" si="42"/>
        <v>1</v>
      </c>
      <c r="I132" s="1627">
        <f t="shared" si="42"/>
        <v>1</v>
      </c>
      <c r="J132" s="1627">
        <f t="shared" si="42"/>
        <v>1</v>
      </c>
      <c r="K132" s="1627">
        <f t="shared" si="42"/>
        <v>1</v>
      </c>
      <c r="L132" s="1627">
        <f t="shared" si="42"/>
        <v>1</v>
      </c>
      <c r="M132" s="1627">
        <f t="shared" si="42"/>
        <v>1</v>
      </c>
    </row>
    <row r="133" spans="1:13" x14ac:dyDescent="0.2">
      <c r="A133" s="10" t="str">
        <f t="shared" si="41"/>
        <v>CSG déductible de l'IR</v>
      </c>
      <c r="B133" s="1449"/>
      <c r="C133" s="1449"/>
      <c r="D133" s="1449"/>
      <c r="E133" s="1449"/>
      <c r="F133" s="1449"/>
      <c r="G133" s="1449"/>
      <c r="H133" s="1449"/>
      <c r="I133" s="1449"/>
      <c r="J133" s="1449"/>
      <c r="K133" s="1449"/>
      <c r="L133" s="1449"/>
      <c r="M133" s="1449"/>
    </row>
    <row r="134" spans="1:13" x14ac:dyDescent="0.2">
      <c r="A134" s="10" t="str">
        <f t="shared" si="41"/>
        <v>CSG/RDS non déductible de l'IR</v>
      </c>
      <c r="B134" s="1449"/>
      <c r="C134" s="1449"/>
      <c r="D134" s="1449"/>
      <c r="E134" s="1449"/>
      <c r="F134" s="1449"/>
      <c r="G134" s="1449"/>
      <c r="H134" s="1449"/>
      <c r="I134" s="1449"/>
      <c r="J134" s="1449"/>
      <c r="K134" s="1449"/>
      <c r="L134" s="1449"/>
      <c r="M134" s="1449"/>
    </row>
    <row r="135" spans="1:13" x14ac:dyDescent="0.2">
      <c r="A135" s="10" t="str">
        <f t="shared" si="41"/>
        <v>CSG/RDS non déd sur rev non imp</v>
      </c>
      <c r="B135" s="1449"/>
      <c r="C135" s="1449"/>
      <c r="D135" s="1449"/>
      <c r="E135" s="1449"/>
      <c r="F135" s="1449"/>
      <c r="G135" s="1449"/>
      <c r="H135" s="1449"/>
      <c r="I135" s="1449"/>
      <c r="J135" s="1449"/>
      <c r="K135" s="1449"/>
      <c r="L135" s="1449"/>
      <c r="M135" s="1449"/>
    </row>
    <row r="136" spans="1:13" x14ac:dyDescent="0.2">
      <c r="A136" s="1617" t="str">
        <f t="shared" si="41"/>
        <v>Réduction cot. HC et HS</v>
      </c>
      <c r="B136" s="1618"/>
      <c r="C136" s="1618"/>
      <c r="D136" s="1618"/>
      <c r="E136" s="1618"/>
      <c r="F136" s="1618"/>
      <c r="G136" s="1618"/>
      <c r="H136" s="1618"/>
      <c r="I136" s="1618"/>
      <c r="J136" s="1618"/>
      <c r="K136" s="1618"/>
      <c r="L136" s="1618"/>
      <c r="M136" s="1618"/>
    </row>
    <row r="137" spans="1:13" x14ac:dyDescent="0.2">
      <c r="A137" s="1450"/>
      <c r="B137" s="1450"/>
      <c r="C137" s="1450"/>
      <c r="D137" s="1450"/>
      <c r="E137" s="1450"/>
      <c r="F137" s="1450"/>
      <c r="G137" s="1450"/>
      <c r="H137" s="1450"/>
      <c r="I137" s="1450"/>
      <c r="J137" s="1450"/>
      <c r="K137" s="1450"/>
      <c r="L137" s="1450"/>
      <c r="M137" s="1450"/>
    </row>
  </sheetData>
  <sheetProtection algorithmName="SHA-512" hashValue="rPxVBogCbuEEHKtN7scGKWBhitkgrT8Ag8P93wCaRWF9Fk2KF+j3lgJhUuRhDkUBKHzg+HJQRILNrcKPpZrBfQ==" saltValue="eKT9PI5sJia69hifAXcllQ=="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A24" sqref="A24"/>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32" t="s">
        <v>818</v>
      </c>
      <c r="B1" s="464"/>
    </row>
    <row r="2" spans="1:11" s="505" customFormat="1" x14ac:dyDescent="0.2">
      <c r="A2" s="505">
        <v>1</v>
      </c>
      <c r="B2" s="505">
        <v>2</v>
      </c>
      <c r="C2" s="505">
        <v>3</v>
      </c>
      <c r="D2" s="505">
        <v>4</v>
      </c>
      <c r="E2" s="505">
        <v>5</v>
      </c>
      <c r="F2" s="505">
        <v>6</v>
      </c>
      <c r="G2" s="505">
        <v>7</v>
      </c>
      <c r="I2" s="505">
        <v>8</v>
      </c>
      <c r="J2" s="505">
        <v>9</v>
      </c>
    </row>
    <row r="3" spans="1:11" ht="60.75" customHeight="1" x14ac:dyDescent="0.2">
      <c r="A3" s="1230" t="s">
        <v>819</v>
      </c>
      <c r="B3" s="1230" t="s">
        <v>820</v>
      </c>
      <c r="C3" s="1230" t="s">
        <v>821</v>
      </c>
      <c r="D3" s="1230" t="s">
        <v>988</v>
      </c>
      <c r="E3" s="1230" t="s">
        <v>987</v>
      </c>
      <c r="F3" s="1231" t="s">
        <v>1285</v>
      </c>
      <c r="G3" s="1230" t="s">
        <v>1659</v>
      </c>
      <c r="H3" s="1551" t="s">
        <v>1671</v>
      </c>
      <c r="I3" s="991" t="s">
        <v>1352</v>
      </c>
      <c r="J3" s="1541" t="s">
        <v>1660</v>
      </c>
      <c r="K3" s="1541" t="s">
        <v>1661</v>
      </c>
    </row>
    <row r="4" spans="1:11" x14ac:dyDescent="0.2">
      <c r="A4" s="533"/>
      <c r="B4" s="533" t="s">
        <v>434</v>
      </c>
      <c r="C4" s="533"/>
      <c r="D4" s="533"/>
      <c r="E4" s="533"/>
      <c r="F4" s="912"/>
      <c r="G4" s="533"/>
      <c r="H4" s="533"/>
      <c r="I4">
        <v>1</v>
      </c>
    </row>
    <row r="5" spans="1:11" x14ac:dyDescent="0.2">
      <c r="A5" s="1089" t="s">
        <v>822</v>
      </c>
      <c r="B5" s="533" t="s">
        <v>823</v>
      </c>
      <c r="C5" s="533" t="s">
        <v>824</v>
      </c>
      <c r="D5" s="11" t="s">
        <v>839</v>
      </c>
      <c r="E5" s="11" t="s">
        <v>146</v>
      </c>
      <c r="F5" s="912"/>
      <c r="G5" s="11" t="s">
        <v>438</v>
      </c>
      <c r="H5" s="11" t="s">
        <v>146</v>
      </c>
      <c r="I5">
        <v>1</v>
      </c>
      <c r="J5" s="1308" t="str">
        <f>+IF(AND(D5="NON",G5="OUI"),"OUI","")</f>
        <v/>
      </c>
      <c r="K5" t="str">
        <f>+IF(AND(D5="NON",H5="OUI"),"OUI","")</f>
        <v/>
      </c>
    </row>
    <row r="6" spans="1:11" x14ac:dyDescent="0.2">
      <c r="A6" s="1089" t="s">
        <v>825</v>
      </c>
      <c r="B6" s="533" t="s">
        <v>827</v>
      </c>
      <c r="C6" s="533" t="s">
        <v>828</v>
      </c>
      <c r="D6" s="11" t="s">
        <v>840</v>
      </c>
      <c r="E6" s="11" t="s">
        <v>438</v>
      </c>
      <c r="F6" s="912"/>
      <c r="G6" s="11" t="s">
        <v>146</v>
      </c>
      <c r="H6" s="11" t="s">
        <v>146</v>
      </c>
      <c r="I6">
        <v>1</v>
      </c>
      <c r="J6" s="1308" t="str">
        <f t="shared" ref="J6:J32" si="0">+IF(AND(D6="NON",G6="OUI"),"OUI","")</f>
        <v/>
      </c>
      <c r="K6" t="str">
        <f t="shared" ref="K6:K32" si="1">+IF(AND(D6="NON",H6="OUI"),"OUI","")</f>
        <v/>
      </c>
    </row>
    <row r="7" spans="1:11" x14ac:dyDescent="0.2">
      <c r="A7" s="1090" t="s">
        <v>1416</v>
      </c>
      <c r="B7" s="912" t="s">
        <v>1417</v>
      </c>
      <c r="C7" s="533" t="s">
        <v>824</v>
      </c>
      <c r="D7" s="11" t="s">
        <v>839</v>
      </c>
      <c r="E7" s="11" t="s">
        <v>146</v>
      </c>
      <c r="F7" s="912"/>
      <c r="G7" s="11" t="s">
        <v>438</v>
      </c>
      <c r="H7" s="11" t="s">
        <v>146</v>
      </c>
      <c r="I7">
        <v>1</v>
      </c>
      <c r="J7" s="1308" t="str">
        <f t="shared" si="0"/>
        <v/>
      </c>
      <c r="K7" t="str">
        <f t="shared" si="1"/>
        <v/>
      </c>
    </row>
    <row r="8" spans="1:11" x14ac:dyDescent="0.2">
      <c r="A8" s="1089" t="s">
        <v>826</v>
      </c>
      <c r="B8" s="533" t="s">
        <v>1289</v>
      </c>
      <c r="C8" s="533" t="s">
        <v>828</v>
      </c>
      <c r="D8" s="11" t="s">
        <v>840</v>
      </c>
      <c r="E8" s="11" t="s">
        <v>438</v>
      </c>
      <c r="F8" s="912" t="s">
        <v>1286</v>
      </c>
      <c r="G8" s="11" t="s">
        <v>146</v>
      </c>
      <c r="H8" s="11" t="s">
        <v>438</v>
      </c>
      <c r="I8">
        <v>1</v>
      </c>
      <c r="J8" s="1308" t="str">
        <f t="shared" si="0"/>
        <v/>
      </c>
      <c r="K8" t="str">
        <f t="shared" si="1"/>
        <v>OUI</v>
      </c>
    </row>
    <row r="9" spans="1:11" x14ac:dyDescent="0.2">
      <c r="A9" s="1310" t="s">
        <v>1521</v>
      </c>
      <c r="B9" s="533" t="s">
        <v>1522</v>
      </c>
      <c r="C9" s="533" t="s">
        <v>828</v>
      </c>
      <c r="D9" s="11" t="s">
        <v>840</v>
      </c>
      <c r="E9" s="11" t="s">
        <v>438</v>
      </c>
      <c r="F9" s="912" t="s">
        <v>1286</v>
      </c>
      <c r="G9" s="11" t="s">
        <v>438</v>
      </c>
      <c r="H9" s="11" t="s">
        <v>146</v>
      </c>
      <c r="I9">
        <v>1</v>
      </c>
      <c r="J9" s="1308" t="str">
        <f t="shared" si="0"/>
        <v>OUI</v>
      </c>
      <c r="K9" t="str">
        <f t="shared" si="1"/>
        <v/>
      </c>
    </row>
    <row r="10" spans="1:11" x14ac:dyDescent="0.2">
      <c r="A10" s="1089" t="s">
        <v>829</v>
      </c>
      <c r="B10" s="533" t="s">
        <v>1291</v>
      </c>
      <c r="C10" s="533" t="s">
        <v>828</v>
      </c>
      <c r="D10" s="11" t="s">
        <v>840</v>
      </c>
      <c r="E10" s="11" t="s">
        <v>438</v>
      </c>
      <c r="F10" s="912" t="s">
        <v>1284</v>
      </c>
      <c r="G10" s="11" t="s">
        <v>146</v>
      </c>
      <c r="H10" s="11" t="s">
        <v>146</v>
      </c>
      <c r="I10">
        <v>1</v>
      </c>
      <c r="J10" s="1308" t="str">
        <f t="shared" si="0"/>
        <v/>
      </c>
      <c r="K10" t="str">
        <f t="shared" si="1"/>
        <v/>
      </c>
    </row>
    <row r="11" spans="1:11" x14ac:dyDescent="0.2">
      <c r="A11" s="1090" t="s">
        <v>1428</v>
      </c>
      <c r="B11" s="912" t="s">
        <v>1429</v>
      </c>
      <c r="C11" s="533" t="s">
        <v>828</v>
      </c>
      <c r="D11" s="11" t="s">
        <v>840</v>
      </c>
      <c r="E11" s="11" t="s">
        <v>438</v>
      </c>
      <c r="F11" s="912" t="s">
        <v>1284</v>
      </c>
      <c r="G11" s="11" t="s">
        <v>146</v>
      </c>
      <c r="H11" s="11" t="s">
        <v>146</v>
      </c>
      <c r="I11">
        <v>1</v>
      </c>
      <c r="J11" s="1308" t="str">
        <f t="shared" si="0"/>
        <v/>
      </c>
      <c r="K11" t="str">
        <f t="shared" si="1"/>
        <v/>
      </c>
    </row>
    <row r="12" spans="1:11" x14ac:dyDescent="0.2">
      <c r="A12" s="1089" t="s">
        <v>830</v>
      </c>
      <c r="B12" s="533" t="s">
        <v>831</v>
      </c>
      <c r="C12" s="533" t="s">
        <v>824</v>
      </c>
      <c r="D12" s="11" t="s">
        <v>839</v>
      </c>
      <c r="E12" s="11" t="s">
        <v>146</v>
      </c>
      <c r="F12" s="912"/>
      <c r="G12" s="11" t="s">
        <v>438</v>
      </c>
      <c r="H12" s="11" t="s">
        <v>146</v>
      </c>
      <c r="I12">
        <v>1</v>
      </c>
      <c r="J12" s="1308" t="str">
        <f t="shared" si="0"/>
        <v/>
      </c>
      <c r="K12" t="str">
        <f t="shared" si="1"/>
        <v/>
      </c>
    </row>
    <row r="13" spans="1:11" x14ac:dyDescent="0.2">
      <c r="A13" s="1089" t="s">
        <v>841</v>
      </c>
      <c r="B13" s="533" t="s">
        <v>832</v>
      </c>
      <c r="C13" s="533" t="s">
        <v>828</v>
      </c>
      <c r="D13" s="11" t="s">
        <v>840</v>
      </c>
      <c r="E13" s="11" t="s">
        <v>438</v>
      </c>
      <c r="F13" s="912"/>
      <c r="G13" s="11" t="s">
        <v>146</v>
      </c>
      <c r="H13" s="11" t="s">
        <v>146</v>
      </c>
      <c r="I13">
        <v>1</v>
      </c>
      <c r="J13" s="1308" t="str">
        <f t="shared" si="0"/>
        <v/>
      </c>
      <c r="K13" t="str">
        <f t="shared" si="1"/>
        <v/>
      </c>
    </row>
    <row r="14" spans="1:11" x14ac:dyDescent="0.2">
      <c r="A14" s="1089" t="s">
        <v>833</v>
      </c>
      <c r="B14" s="533" t="s">
        <v>834</v>
      </c>
      <c r="C14" s="533" t="s">
        <v>835</v>
      </c>
      <c r="D14" s="11" t="s">
        <v>840</v>
      </c>
      <c r="E14" s="11" t="s">
        <v>146</v>
      </c>
      <c r="F14" s="912"/>
      <c r="G14" s="11" t="s">
        <v>146</v>
      </c>
      <c r="H14" s="11" t="s">
        <v>146</v>
      </c>
      <c r="I14">
        <v>1</v>
      </c>
      <c r="J14" s="1308" t="str">
        <f t="shared" si="0"/>
        <v/>
      </c>
      <c r="K14" t="str">
        <f t="shared" si="1"/>
        <v/>
      </c>
    </row>
    <row r="15" spans="1:11" x14ac:dyDescent="0.2">
      <c r="A15" s="1089" t="s">
        <v>836</v>
      </c>
      <c r="B15" s="533" t="s">
        <v>1389</v>
      </c>
      <c r="C15" s="533" t="s">
        <v>835</v>
      </c>
      <c r="D15" s="11" t="s">
        <v>840</v>
      </c>
      <c r="E15" s="11" t="s">
        <v>146</v>
      </c>
      <c r="F15" s="912"/>
      <c r="G15" s="11" t="s">
        <v>146</v>
      </c>
      <c r="H15" s="11" t="s">
        <v>146</v>
      </c>
      <c r="I15">
        <v>1</v>
      </c>
      <c r="J15" s="1308" t="str">
        <f t="shared" si="0"/>
        <v/>
      </c>
      <c r="K15" t="str">
        <f t="shared" si="1"/>
        <v/>
      </c>
    </row>
    <row r="16" spans="1:11" x14ac:dyDescent="0.2">
      <c r="A16" s="1089" t="s">
        <v>837</v>
      </c>
      <c r="B16" s="533" t="s">
        <v>1290</v>
      </c>
      <c r="C16" s="533" t="s">
        <v>835</v>
      </c>
      <c r="D16" s="11" t="s">
        <v>840</v>
      </c>
      <c r="E16" s="11" t="s">
        <v>146</v>
      </c>
      <c r="F16" s="912"/>
      <c r="G16" s="11" t="s">
        <v>146</v>
      </c>
      <c r="H16" s="11" t="s">
        <v>146</v>
      </c>
      <c r="I16">
        <v>1</v>
      </c>
      <c r="J16" s="1308" t="str">
        <f t="shared" si="0"/>
        <v/>
      </c>
      <c r="K16" t="str">
        <f t="shared" si="1"/>
        <v/>
      </c>
    </row>
    <row r="17" spans="1:11" x14ac:dyDescent="0.2">
      <c r="A17" s="1089" t="s">
        <v>842</v>
      </c>
      <c r="B17" s="533" t="s">
        <v>838</v>
      </c>
      <c r="C17" s="533" t="s">
        <v>828</v>
      </c>
      <c r="D17" s="11" t="s">
        <v>840</v>
      </c>
      <c r="E17" s="11" t="s">
        <v>438</v>
      </c>
      <c r="F17" s="912" t="s">
        <v>1286</v>
      </c>
      <c r="G17" s="11" t="s">
        <v>146</v>
      </c>
      <c r="H17" s="11" t="s">
        <v>146</v>
      </c>
      <c r="I17">
        <v>1</v>
      </c>
      <c r="J17" s="1308" t="str">
        <f t="shared" si="0"/>
        <v/>
      </c>
      <c r="K17" t="str">
        <f t="shared" si="1"/>
        <v/>
      </c>
    </row>
    <row r="18" spans="1:11" x14ac:dyDescent="0.2">
      <c r="A18" s="1089" t="s">
        <v>1109</v>
      </c>
      <c r="B18" s="533" t="s">
        <v>1046</v>
      </c>
      <c r="C18" s="533" t="s">
        <v>824</v>
      </c>
      <c r="D18" s="11" t="s">
        <v>839</v>
      </c>
      <c r="E18" s="11" t="s">
        <v>146</v>
      </c>
      <c r="F18" s="912"/>
      <c r="G18" s="11" t="s">
        <v>438</v>
      </c>
      <c r="H18" s="11" t="s">
        <v>146</v>
      </c>
      <c r="I18">
        <v>1</v>
      </c>
      <c r="J18" s="1308" t="str">
        <f t="shared" si="0"/>
        <v/>
      </c>
      <c r="K18" t="str">
        <f t="shared" si="1"/>
        <v/>
      </c>
    </row>
    <row r="19" spans="1:11" x14ac:dyDescent="0.2">
      <c r="A19" s="1090" t="s">
        <v>1269</v>
      </c>
      <c r="B19" s="912" t="s">
        <v>1270</v>
      </c>
      <c r="C19" s="533" t="s">
        <v>828</v>
      </c>
      <c r="D19" s="11" t="s">
        <v>840</v>
      </c>
      <c r="E19" s="11" t="s">
        <v>438</v>
      </c>
      <c r="F19" s="912" t="s">
        <v>1286</v>
      </c>
      <c r="G19" s="11" t="s">
        <v>438</v>
      </c>
      <c r="H19" s="11" t="s">
        <v>146</v>
      </c>
      <c r="I19">
        <v>1</v>
      </c>
      <c r="J19" s="1308" t="str">
        <f t="shared" si="0"/>
        <v>OUI</v>
      </c>
      <c r="K19" t="str">
        <f t="shared" si="1"/>
        <v/>
      </c>
    </row>
    <row r="20" spans="1:11" x14ac:dyDescent="0.2">
      <c r="A20" s="1090" t="s">
        <v>1271</v>
      </c>
      <c r="B20" s="912" t="s">
        <v>1272</v>
      </c>
      <c r="C20" s="533" t="s">
        <v>828</v>
      </c>
      <c r="D20" s="11" t="s">
        <v>840</v>
      </c>
      <c r="E20" s="11" t="s">
        <v>438</v>
      </c>
      <c r="F20" s="912" t="s">
        <v>1286</v>
      </c>
      <c r="G20" s="11" t="s">
        <v>438</v>
      </c>
      <c r="H20" s="11" t="s">
        <v>146</v>
      </c>
      <c r="I20">
        <v>1</v>
      </c>
      <c r="J20" s="1308" t="str">
        <f t="shared" si="0"/>
        <v>OUI</v>
      </c>
      <c r="K20" t="str">
        <f t="shared" si="1"/>
        <v/>
      </c>
    </row>
    <row r="21" spans="1:11" x14ac:dyDescent="0.2">
      <c r="A21" s="1090" t="s">
        <v>1274</v>
      </c>
      <c r="B21" s="912" t="s">
        <v>1273</v>
      </c>
      <c r="C21" s="533" t="s">
        <v>828</v>
      </c>
      <c r="D21" s="11" t="s">
        <v>840</v>
      </c>
      <c r="E21" s="11" t="s">
        <v>438</v>
      </c>
      <c r="F21" s="912" t="s">
        <v>1286</v>
      </c>
      <c r="G21" s="11" t="s">
        <v>438</v>
      </c>
      <c r="H21" s="11" t="s">
        <v>146</v>
      </c>
      <c r="I21">
        <v>1</v>
      </c>
      <c r="J21" s="1308" t="str">
        <f t="shared" si="0"/>
        <v>OUI</v>
      </c>
      <c r="K21" t="str">
        <f t="shared" si="1"/>
        <v/>
      </c>
    </row>
    <row r="22" spans="1:11" x14ac:dyDescent="0.2">
      <c r="A22" s="1090" t="s">
        <v>1444</v>
      </c>
      <c r="B22" s="912" t="s">
        <v>1447</v>
      </c>
      <c r="C22" s="533" t="s">
        <v>824</v>
      </c>
      <c r="D22" s="11" t="s">
        <v>839</v>
      </c>
      <c r="E22" s="11" t="s">
        <v>146</v>
      </c>
      <c r="F22" s="912"/>
      <c r="G22" s="11" t="s">
        <v>438</v>
      </c>
      <c r="H22" s="11" t="s">
        <v>146</v>
      </c>
      <c r="I22">
        <v>1</v>
      </c>
      <c r="J22" s="1308" t="str">
        <f t="shared" si="0"/>
        <v/>
      </c>
      <c r="K22" t="str">
        <f t="shared" si="1"/>
        <v/>
      </c>
    </row>
    <row r="23" spans="1:11" x14ac:dyDescent="0.2">
      <c r="A23" s="1089" t="s">
        <v>1110</v>
      </c>
      <c r="B23" s="533" t="s">
        <v>1388</v>
      </c>
      <c r="C23" s="533" t="s">
        <v>1009</v>
      </c>
      <c r="D23" s="11" t="s">
        <v>839</v>
      </c>
      <c r="E23" s="11" t="s">
        <v>146</v>
      </c>
      <c r="F23" s="912"/>
      <c r="G23" s="11" t="s">
        <v>438</v>
      </c>
      <c r="H23" s="11" t="s">
        <v>146</v>
      </c>
      <c r="I23">
        <v>1</v>
      </c>
      <c r="J23" s="1308" t="str">
        <f t="shared" si="0"/>
        <v/>
      </c>
      <c r="K23" t="str">
        <f t="shared" si="1"/>
        <v/>
      </c>
    </row>
    <row r="24" spans="1:11" x14ac:dyDescent="0.2">
      <c r="A24" s="1089"/>
      <c r="B24" s="1089"/>
      <c r="C24" s="1089"/>
      <c r="D24" s="1091"/>
      <c r="E24" s="1091"/>
      <c r="F24" s="1090"/>
      <c r="G24" s="1091"/>
      <c r="H24" s="1091"/>
      <c r="I24">
        <v>1</v>
      </c>
      <c r="J24" s="1308" t="str">
        <f t="shared" si="0"/>
        <v/>
      </c>
      <c r="K24" t="str">
        <f t="shared" si="1"/>
        <v/>
      </c>
    </row>
    <row r="25" spans="1:11" x14ac:dyDescent="0.2">
      <c r="A25" s="1089"/>
      <c r="B25" s="1089"/>
      <c r="C25" s="1089"/>
      <c r="D25" s="1091"/>
      <c r="E25" s="1091"/>
      <c r="F25" s="1090"/>
      <c r="G25" s="1091"/>
      <c r="H25" s="1091"/>
      <c r="I25">
        <v>1</v>
      </c>
      <c r="J25" s="1308" t="str">
        <f t="shared" si="0"/>
        <v/>
      </c>
      <c r="K25" t="str">
        <f t="shared" si="1"/>
        <v/>
      </c>
    </row>
    <row r="26" spans="1:11" x14ac:dyDescent="0.2">
      <c r="A26" s="1089"/>
      <c r="B26" s="1089"/>
      <c r="C26" s="1089"/>
      <c r="D26" s="1091"/>
      <c r="E26" s="1091"/>
      <c r="F26" s="1090"/>
      <c r="G26" s="1091"/>
      <c r="H26" s="1091"/>
      <c r="I26">
        <v>1</v>
      </c>
      <c r="J26" s="1308" t="str">
        <f t="shared" si="0"/>
        <v/>
      </c>
      <c r="K26" t="str">
        <f t="shared" si="1"/>
        <v/>
      </c>
    </row>
    <row r="27" spans="1:11" x14ac:dyDescent="0.2">
      <c r="A27" s="1089"/>
      <c r="B27" s="1089"/>
      <c r="C27" s="1089"/>
      <c r="D27" s="1091"/>
      <c r="E27" s="1091"/>
      <c r="F27" s="1090"/>
      <c r="G27" s="1091"/>
      <c r="H27" s="1091"/>
      <c r="I27">
        <v>1</v>
      </c>
      <c r="J27" s="1308" t="str">
        <f t="shared" si="0"/>
        <v/>
      </c>
      <c r="K27" t="str">
        <f t="shared" si="1"/>
        <v/>
      </c>
    </row>
    <row r="28" spans="1:11" x14ac:dyDescent="0.2">
      <c r="A28" s="1089"/>
      <c r="B28" s="1089"/>
      <c r="C28" s="1089"/>
      <c r="D28" s="1091"/>
      <c r="E28" s="1091"/>
      <c r="F28" s="1090"/>
      <c r="G28" s="1091"/>
      <c r="H28" s="1091"/>
      <c r="I28">
        <v>1</v>
      </c>
      <c r="J28" s="1308" t="str">
        <f t="shared" si="0"/>
        <v/>
      </c>
      <c r="K28" t="str">
        <f t="shared" si="1"/>
        <v/>
      </c>
    </row>
    <row r="29" spans="1:11" x14ac:dyDescent="0.2">
      <c r="A29" s="1089"/>
      <c r="B29" s="1089"/>
      <c r="C29" s="1089"/>
      <c r="D29" s="1091"/>
      <c r="E29" s="1091"/>
      <c r="F29" s="1090"/>
      <c r="G29" s="1091"/>
      <c r="H29" s="1091"/>
      <c r="I29">
        <v>1</v>
      </c>
      <c r="J29" s="1308" t="str">
        <f t="shared" si="0"/>
        <v/>
      </c>
      <c r="K29" t="str">
        <f t="shared" si="1"/>
        <v/>
      </c>
    </row>
    <row r="30" spans="1:11" x14ac:dyDescent="0.2">
      <c r="A30" s="1089"/>
      <c r="B30" s="1089"/>
      <c r="C30" s="1089"/>
      <c r="D30" s="1091"/>
      <c r="E30" s="1091"/>
      <c r="F30" s="1090"/>
      <c r="G30" s="1091"/>
      <c r="H30" s="1091"/>
      <c r="I30">
        <v>1</v>
      </c>
      <c r="J30" s="1308" t="str">
        <f t="shared" si="0"/>
        <v/>
      </c>
      <c r="K30" t="str">
        <f t="shared" si="1"/>
        <v/>
      </c>
    </row>
    <row r="31" spans="1:11" x14ac:dyDescent="0.2">
      <c r="A31" s="1089"/>
      <c r="B31" s="1089"/>
      <c r="C31" s="1089"/>
      <c r="D31" s="1091"/>
      <c r="E31" s="1091"/>
      <c r="F31" s="1090"/>
      <c r="G31" s="1091"/>
      <c r="H31" s="1091"/>
      <c r="I31">
        <v>1</v>
      </c>
      <c r="J31" s="1308" t="str">
        <f t="shared" si="0"/>
        <v/>
      </c>
      <c r="K31" t="str">
        <f t="shared" si="1"/>
        <v/>
      </c>
    </row>
    <row r="32" spans="1:11" x14ac:dyDescent="0.2">
      <c r="A32" s="1089"/>
      <c r="B32" s="1089"/>
      <c r="C32" s="1089"/>
      <c r="D32" s="1091"/>
      <c r="E32" s="1091"/>
      <c r="F32" s="1090"/>
      <c r="G32" s="1091"/>
      <c r="H32" s="1091"/>
      <c r="I32">
        <v>1</v>
      </c>
      <c r="J32" s="1308" t="str">
        <f t="shared" si="0"/>
        <v/>
      </c>
      <c r="K32" t="str">
        <f t="shared" si="1"/>
        <v/>
      </c>
    </row>
    <row r="33" spans="1:2" hidden="1" x14ac:dyDescent="0.2">
      <c r="A33" t="str">
        <f>+S.CAL!BJ3</f>
        <v>CP Acq</v>
      </c>
      <c r="B33" t="s">
        <v>1445</v>
      </c>
    </row>
    <row r="34" spans="1:2" hidden="1" x14ac:dyDescent="0.2">
      <c r="A34" t="str">
        <f>+S.CAL!BJ4</f>
        <v>CP Ant</v>
      </c>
      <c r="B34" t="s">
        <v>1446</v>
      </c>
    </row>
  </sheetData>
  <sheetProtection algorithmName="SHA-512" hashValue="QWl4l2UL7aY9CQZTiy9s+Yeu03nZxLgjgK9CEZXKqy/a/eK+YL0aVYN/yPvcuHwEpjBMPlPEfybUbwS1gdQGHw==" saltValue="PRqGOOBcbakD/3KY01WpFw==" spinCount="100000" sheet="1" objects="1" scenarios="1" formatCells="0" formatColumns="0" formatRows="0" insertColumns="0" insertRows="0" insertHyperlink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U897"/>
  <sheetViews>
    <sheetView topLeftCell="HS1" workbookViewId="0">
      <selection activeCell="FV1" sqref="FV1"/>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26" width="11.42578125" style="16" hidden="1" customWidth="1" outlineLevel="1"/>
    <col min="227" max="227" width="11.42578125" style="16" collapsed="1"/>
    <col min="228" max="16384" width="11.42578125" style="16"/>
  </cols>
  <sheetData>
    <row r="1" spans="1:211 16375:16375" x14ac:dyDescent="0.2">
      <c r="A1" s="27" t="s">
        <v>247</v>
      </c>
      <c r="B1" s="27" t="s">
        <v>239</v>
      </c>
      <c r="C1" s="27" t="s">
        <v>238</v>
      </c>
      <c r="D1" s="27" t="s">
        <v>249</v>
      </c>
      <c r="E1" s="16" t="s">
        <v>240</v>
      </c>
      <c r="F1" s="27" t="s">
        <v>47</v>
      </c>
      <c r="G1" s="16" t="s">
        <v>1597</v>
      </c>
      <c r="L1" s="16" t="s">
        <v>247</v>
      </c>
      <c r="M1" s="16" t="s">
        <v>353</v>
      </c>
      <c r="P1" s="16" t="s">
        <v>432</v>
      </c>
      <c r="S1" s="16" t="s">
        <v>435</v>
      </c>
      <c r="V1" s="16" t="s">
        <v>437</v>
      </c>
      <c r="Z1" s="16" t="s">
        <v>440</v>
      </c>
      <c r="AA1" s="16" t="s">
        <v>441</v>
      </c>
      <c r="AB1" s="16" t="s">
        <v>442</v>
      </c>
      <c r="AC1" s="16" t="s">
        <v>918</v>
      </c>
      <c r="AD1" s="16" t="s">
        <v>443</v>
      </c>
      <c r="AE1" s="16" t="s">
        <v>444</v>
      </c>
      <c r="AF1" s="16" t="s">
        <v>445</v>
      </c>
      <c r="AG1" s="16" t="s">
        <v>446</v>
      </c>
      <c r="AH1" s="16" t="s">
        <v>447</v>
      </c>
      <c r="AI1" s="16" t="s">
        <v>710</v>
      </c>
      <c r="AJ1" s="16" t="s">
        <v>724</v>
      </c>
      <c r="AK1" s="16" t="s">
        <v>610</v>
      </c>
      <c r="AL1" s="16" t="s">
        <v>919</v>
      </c>
      <c r="AM1" s="16" t="s">
        <v>928</v>
      </c>
      <c r="AN1" s="16" t="s">
        <v>929</v>
      </c>
      <c r="AO1" s="16" t="s">
        <v>1343</v>
      </c>
      <c r="AP1" s="16" t="s">
        <v>1632</v>
      </c>
      <c r="AQ1" s="16" t="s">
        <v>1633</v>
      </c>
      <c r="AR1" s="25" t="s">
        <v>1638</v>
      </c>
      <c r="AS1" s="25" t="s">
        <v>1636</v>
      </c>
      <c r="AT1" s="25" t="s">
        <v>1639</v>
      </c>
      <c r="AU1" s="25" t="s">
        <v>1722</v>
      </c>
      <c r="AV1" s="25" t="s">
        <v>54</v>
      </c>
      <c r="AY1" s="16" t="s">
        <v>453</v>
      </c>
      <c r="BC1" s="16" t="s">
        <v>461</v>
      </c>
      <c r="BG1" s="16" t="s">
        <v>527</v>
      </c>
      <c r="BJ1" s="16" t="s">
        <v>697</v>
      </c>
      <c r="BM1" s="16" t="s">
        <v>709</v>
      </c>
      <c r="BP1" s="16" t="s">
        <v>723</v>
      </c>
      <c r="BR1" s="16" t="s">
        <v>757</v>
      </c>
      <c r="BY1" s="16" t="s">
        <v>228</v>
      </c>
      <c r="BZ1" s="16" t="s">
        <v>229</v>
      </c>
      <c r="CA1" s="16" t="s">
        <v>230</v>
      </c>
      <c r="CB1" s="16" t="s">
        <v>231</v>
      </c>
      <c r="CC1" s="16" t="s">
        <v>533</v>
      </c>
      <c r="CD1" s="16" t="s">
        <v>534</v>
      </c>
      <c r="CE1" s="16" t="s">
        <v>535</v>
      </c>
      <c r="CF1" s="16" t="s">
        <v>536</v>
      </c>
      <c r="CI1" s="16" t="s">
        <v>880</v>
      </c>
      <c r="CK1" s="16" t="s">
        <v>881</v>
      </c>
      <c r="CM1" s="16" t="s">
        <v>914</v>
      </c>
      <c r="CP1" s="16" t="s">
        <v>179</v>
      </c>
      <c r="CR1" s="16" t="s">
        <v>945</v>
      </c>
      <c r="CV1" s="16" t="s">
        <v>433</v>
      </c>
      <c r="CY1" s="16" t="s">
        <v>1045</v>
      </c>
      <c r="DB1" s="16" t="s">
        <v>1171</v>
      </c>
      <c r="DE1" s="16" t="s">
        <v>1195</v>
      </c>
      <c r="DH1" s="16" t="s">
        <v>1193</v>
      </c>
      <c r="DK1" s="80"/>
      <c r="DL1" s="80"/>
      <c r="DM1" s="80"/>
      <c r="DN1" s="80"/>
      <c r="DO1" s="80"/>
      <c r="DP1" s="80"/>
      <c r="DQ1" s="80"/>
      <c r="DR1" s="80"/>
      <c r="DS1" s="80"/>
      <c r="DT1" s="80"/>
      <c r="DU1" s="80"/>
      <c r="DV1" s="80"/>
      <c r="DW1" s="80"/>
      <c r="DX1" s="80"/>
      <c r="DZ1" s="16" t="s">
        <v>1208</v>
      </c>
      <c r="ED1" s="16" t="s">
        <v>257</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880</v>
      </c>
      <c r="EP1" s="16" t="s">
        <v>1261</v>
      </c>
      <c r="ET1" s="16" t="s">
        <v>1283</v>
      </c>
      <c r="EY1" s="16" t="s">
        <v>433</v>
      </c>
      <c r="FB1" s="16" t="s">
        <v>1320</v>
      </c>
      <c r="FC1" s="16" t="s">
        <v>1321</v>
      </c>
      <c r="FD1" s="16" t="s">
        <v>31</v>
      </c>
      <c r="FE1" s="16" t="s">
        <v>1319</v>
      </c>
      <c r="FF1" s="16" t="s">
        <v>1278</v>
      </c>
      <c r="FG1" s="16" t="s">
        <v>1281</v>
      </c>
      <c r="FH1" s="16" t="s">
        <v>669</v>
      </c>
      <c r="FL1" s="16" t="s">
        <v>1378</v>
      </c>
      <c r="FM1" s="16" t="s">
        <v>1376</v>
      </c>
      <c r="FO1" s="16" t="s">
        <v>1460</v>
      </c>
      <c r="FP1" s="16">
        <v>1</v>
      </c>
      <c r="FT1" s="16" t="s">
        <v>1608</v>
      </c>
      <c r="FZ1" s="16" t="s">
        <v>1489</v>
      </c>
      <c r="GC1" s="16" t="s">
        <v>1619</v>
      </c>
      <c r="GD1" s="16" t="s">
        <v>1630</v>
      </c>
      <c r="GG1" s="16" t="s">
        <v>1640</v>
      </c>
      <c r="GL1" s="16" t="s">
        <v>1705</v>
      </c>
      <c r="GM1" s="16">
        <v>2</v>
      </c>
      <c r="GN1" s="16">
        <v>3</v>
      </c>
      <c r="GO1" s="16">
        <v>4</v>
      </c>
      <c r="GP1" s="16">
        <v>5</v>
      </c>
      <c r="GQ1" s="16">
        <v>6</v>
      </c>
      <c r="GR1" s="16">
        <v>7</v>
      </c>
      <c r="GS1" s="16">
        <v>8</v>
      </c>
      <c r="GT1" s="16">
        <v>9</v>
      </c>
      <c r="GU1" s="16">
        <v>10</v>
      </c>
      <c r="GV1" s="16">
        <v>11</v>
      </c>
      <c r="XEU1" s="24" t="s">
        <v>1496</v>
      </c>
    </row>
    <row r="2" spans="1:211 16375:16375" x14ac:dyDescent="0.2">
      <c r="A2" s="16" t="s">
        <v>259</v>
      </c>
      <c r="C2" s="27"/>
      <c r="D2" s="27"/>
      <c r="F2" s="34"/>
      <c r="G2" s="16">
        <f t="shared" ref="G2:G65" si="5">+IF(OR(F2=0,F2=""),0,1)</f>
        <v>0</v>
      </c>
      <c r="L2" s="16" t="str">
        <f>+$P$3&amp;N2</f>
        <v>A préciserASem</v>
      </c>
      <c r="N2" s="16" t="s">
        <v>552</v>
      </c>
      <c r="Q2" s="16" t="s">
        <v>434</v>
      </c>
      <c r="T2" s="16" t="s">
        <v>433</v>
      </c>
      <c r="W2" s="16" t="s">
        <v>434</v>
      </c>
      <c r="Z2" s="16" t="s">
        <v>363</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362</v>
      </c>
      <c r="BD2" s="16" t="s">
        <v>434</v>
      </c>
      <c r="BG2" s="16">
        <f>+Identification!B60</f>
        <v>2025</v>
      </c>
      <c r="BK2" s="16" t="s">
        <v>434</v>
      </c>
      <c r="BM2" s="16" t="s">
        <v>362</v>
      </c>
      <c r="BP2" s="16" t="s">
        <v>362</v>
      </c>
      <c r="BS2" s="16" t="s">
        <v>434</v>
      </c>
      <c r="BX2" s="16" t="str">
        <f t="shared" ref="BX2:BX65" si="6">A2</f>
        <v>A préciserA1</v>
      </c>
      <c r="CM2" s="16" t="s">
        <v>177</v>
      </c>
      <c r="CP2" s="16" t="s">
        <v>217</v>
      </c>
      <c r="CS2" s="16" t="s">
        <v>434</v>
      </c>
      <c r="CU2" s="16" t="s">
        <v>977</v>
      </c>
      <c r="CZ2" s="16" t="s">
        <v>434</v>
      </c>
      <c r="DB2" s="749">
        <f>+Identification!B61</f>
        <v>45658</v>
      </c>
      <c r="DC2" s="16">
        <f>+Janvier!$DP$8</f>
        <v>0</v>
      </c>
      <c r="DE2" s="863">
        <f>+Identification!B61</f>
        <v>45658</v>
      </c>
      <c r="DH2" s="19" t="s">
        <v>1194</v>
      </c>
      <c r="DI2" s="867" t="s">
        <v>1211</v>
      </c>
      <c r="DJ2" s="19" t="s">
        <v>1210</v>
      </c>
      <c r="DK2" s="865" t="s">
        <v>237</v>
      </c>
      <c r="DL2" s="865" t="s">
        <v>1207</v>
      </c>
      <c r="DM2" s="865" t="s">
        <v>1209</v>
      </c>
      <c r="DN2" s="19" t="s">
        <v>1206</v>
      </c>
      <c r="DO2" s="19" t="s">
        <v>1196</v>
      </c>
      <c r="DP2" s="19" t="s">
        <v>1197</v>
      </c>
      <c r="DQ2" s="19" t="s">
        <v>1198</v>
      </c>
      <c r="DR2" s="19" t="s">
        <v>1199</v>
      </c>
      <c r="DS2" s="19" t="s">
        <v>1200</v>
      </c>
      <c r="DT2" s="19" t="s">
        <v>1201</v>
      </c>
      <c r="DU2" s="19" t="s">
        <v>1202</v>
      </c>
      <c r="DV2" s="19" t="s">
        <v>1203</v>
      </c>
      <c r="DW2" s="19" t="s">
        <v>1204</v>
      </c>
      <c r="DX2" s="19" t="s">
        <v>1205</v>
      </c>
      <c r="EC2" s="749"/>
      <c r="ED2" s="749"/>
      <c r="EE2" s="16">
        <f t="shared" si="0"/>
        <v>0</v>
      </c>
      <c r="EF2" s="16">
        <f t="shared" si="1"/>
        <v>0</v>
      </c>
      <c r="EG2" s="16">
        <f t="shared" si="2"/>
        <v>0</v>
      </c>
      <c r="EH2" s="16">
        <f t="shared" si="3"/>
        <v>0</v>
      </c>
      <c r="EI2" s="16">
        <f t="shared" si="4"/>
        <v>0</v>
      </c>
      <c r="EM2" s="16">
        <v>1</v>
      </c>
      <c r="EN2" s="16" t="s">
        <v>882</v>
      </c>
      <c r="EP2" s="16" t="s">
        <v>1260</v>
      </c>
      <c r="EX2" s="16" t="s">
        <v>1286</v>
      </c>
      <c r="FB2" s="16" t="str">
        <f>+IF(FE2=$EX$2,FE2&amp;FF2&amp;FG2,"")</f>
        <v/>
      </c>
      <c r="FC2" s="16" t="str">
        <f>+IF(FE2=$EX$3,FE2&amp;FF2&amp;FG2,"")</f>
        <v/>
      </c>
      <c r="FD2" s="30">
        <f>+Base!$A$5</f>
        <v>45658</v>
      </c>
      <c r="FE2" s="30" t="str">
        <f>+IFERROR(VLOOKUP(FD2,BDD,71,FALSE),"")</f>
        <v/>
      </c>
      <c r="FF2" s="30" t="str">
        <f>IFERROR(+VLOOKUP(FD2,BDD,72,FALSE),"")</f>
        <v/>
      </c>
      <c r="FG2" s="30" t="str">
        <f>+IFERROR(VLOOKUP(FD2,BDD,73,FALSE),"")</f>
        <v/>
      </c>
      <c r="FH2" s="30" t="str">
        <f>+IFERROR(VLOOKUP(FD2,BDD,74,FALSE),"")</f>
        <v/>
      </c>
      <c r="FL2" s="16" t="s">
        <v>363</v>
      </c>
      <c r="FM2" s="16" t="s">
        <v>840</v>
      </c>
      <c r="FO2" s="16" t="s">
        <v>1419</v>
      </c>
      <c r="FP2" s="16">
        <v>2</v>
      </c>
      <c r="FT2" s="16"/>
      <c r="FW2" s="16" t="s">
        <v>1581</v>
      </c>
      <c r="FX2" s="16" t="s">
        <v>1582</v>
      </c>
      <c r="FZ2" s="16" t="s">
        <v>1497</v>
      </c>
      <c r="GC2" s="16" t="s">
        <v>1620</v>
      </c>
      <c r="GD2" s="16" t="s">
        <v>438</v>
      </c>
      <c r="GG2" s="16" t="s">
        <v>1264</v>
      </c>
      <c r="GH2" s="16" t="s">
        <v>970</v>
      </c>
      <c r="GL2" s="16" t="s">
        <v>1264</v>
      </c>
      <c r="GQ2" s="16" t="s">
        <v>1706</v>
      </c>
      <c r="GR2" s="16" t="s">
        <v>1707</v>
      </c>
      <c r="GS2" s="16" t="s">
        <v>1708</v>
      </c>
      <c r="GT2" s="16" t="s">
        <v>1709</v>
      </c>
      <c r="GU2" s="16" t="s">
        <v>1710</v>
      </c>
      <c r="GV2" s="16" t="s">
        <v>1711</v>
      </c>
      <c r="HA2" s="16" t="s">
        <v>1713</v>
      </c>
      <c r="HC2" s="16" t="s">
        <v>438</v>
      </c>
    </row>
    <row r="3" spans="1:211 16375:16375" x14ac:dyDescent="0.2">
      <c r="A3" s="16" t="s">
        <v>260</v>
      </c>
      <c r="C3" s="27"/>
      <c r="D3" s="27"/>
      <c r="F3" s="34"/>
      <c r="G3" s="16">
        <f t="shared" si="5"/>
        <v>0</v>
      </c>
      <c r="L3" s="16" t="str">
        <f t="shared" ref="L3:L9" si="7">+$P$3&amp;N3</f>
        <v>A préciserBSem</v>
      </c>
      <c r="N3" s="16" t="s">
        <v>553</v>
      </c>
      <c r="P3" s="16" t="s">
        <v>363</v>
      </c>
      <c r="S3" s="16" t="s">
        <v>36</v>
      </c>
      <c r="V3" s="16" t="s">
        <v>146</v>
      </c>
      <c r="Z3" s="16" t="s">
        <v>456</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452</v>
      </c>
      <c r="BC3" s="16" t="s">
        <v>1533</v>
      </c>
      <c r="BG3" s="16">
        <f>+BG2+1</f>
        <v>2026</v>
      </c>
      <c r="BJ3" s="16" t="s">
        <v>758</v>
      </c>
      <c r="BM3" s="16" t="s">
        <v>1238</v>
      </c>
      <c r="BP3" s="16" t="s">
        <v>452</v>
      </c>
      <c r="BR3" s="16" t="s">
        <v>36</v>
      </c>
      <c r="BX3" s="16" t="str">
        <f t="shared" si="6"/>
        <v>A préciserA2</v>
      </c>
      <c r="CI3" s="16" t="s">
        <v>882</v>
      </c>
      <c r="CJ3" s="16">
        <v>1</v>
      </c>
      <c r="CK3" s="16">
        <v>2015</v>
      </c>
      <c r="CM3" s="16" t="s">
        <v>913</v>
      </c>
      <c r="CR3" s="16" t="s">
        <v>888</v>
      </c>
      <c r="CU3" s="16" t="s">
        <v>978</v>
      </c>
      <c r="CY3" s="16" t="str">
        <f t="shared" ref="CY3:CY16" si="8">P4</f>
        <v>Fiche info</v>
      </c>
      <c r="DB3" s="749">
        <f>DATE(YEAR(DB2),MONTH(DB2)+1,DAY(DB2))</f>
        <v>45689</v>
      </c>
      <c r="DC3" s="16">
        <f>+Février!$DP$8</f>
        <v>0</v>
      </c>
      <c r="DE3" s="863">
        <f>DATE(YEAR(DE2),MONTH(DE2)+1,DAY(DE2))</f>
        <v>45689</v>
      </c>
      <c r="DH3" s="749">
        <f>+Identification!B61</f>
        <v>45658</v>
      </c>
      <c r="DI3" s="866" t="str">
        <f>+IF(DJ3&lt;&gt;"",DJ3,$P$3)</f>
        <v>Fiche info</v>
      </c>
      <c r="DJ3" s="866"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49"/>
      <c r="ED3" s="749"/>
      <c r="EE3" s="16">
        <f t="shared" si="0"/>
        <v>0</v>
      </c>
      <c r="EF3" s="16">
        <f t="shared" si="1"/>
        <v>0</v>
      </c>
      <c r="EG3" s="16">
        <f t="shared" si="2"/>
        <v>0</v>
      </c>
      <c r="EH3" s="16">
        <f t="shared" si="3"/>
        <v>0</v>
      </c>
      <c r="EI3" s="16">
        <f t="shared" si="4"/>
        <v>0</v>
      </c>
      <c r="EM3" s="16">
        <v>2</v>
      </c>
      <c r="EN3" s="16" t="s">
        <v>883</v>
      </c>
      <c r="ET3" s="16" t="str">
        <f>+'Liste des Libellés'!A8</f>
        <v>MLAM</v>
      </c>
      <c r="EU3" s="16" t="str">
        <f>+'Liste des Libellés'!B8</f>
        <v>Maladie de l'Ass. Mat.</v>
      </c>
      <c r="EX3" s="16" t="s">
        <v>1284</v>
      </c>
      <c r="FB3" s="16" t="str">
        <f t="shared" ref="FB3:FB66" si="11">+IF(FE3=$EX$2,FE3&amp;FF3&amp;FG3,"")</f>
        <v/>
      </c>
      <c r="FC3" s="16" t="str">
        <f t="shared" ref="FC3:FC66" si="12">+IF(FE3=$EX$3,FE3&amp;FF3&amp;FG3,"")</f>
        <v/>
      </c>
      <c r="FD3" s="30">
        <f>+Base!$A$5</f>
        <v>45658</v>
      </c>
      <c r="FE3" s="30" t="str">
        <f>+IFERROR(VLOOKUP(FD3,BDD,75,FALSE),"")</f>
        <v/>
      </c>
      <c r="FF3" s="30" t="str">
        <f>+IFERROR(VLOOKUP(FD3,BDD,76,FALSE),"")</f>
        <v/>
      </c>
      <c r="FG3" s="30" t="str">
        <f>IFERROR(+VLOOKUP(FD3,BDD,77,FALSE),"")</f>
        <v/>
      </c>
      <c r="FH3" s="30" t="str">
        <f>+IFERROR(VLOOKUP(FD3,BDD,78,FALSE),"")</f>
        <v/>
      </c>
      <c r="FL3" s="16" t="s">
        <v>456</v>
      </c>
      <c r="FM3" s="16" t="s">
        <v>840</v>
      </c>
      <c r="FO3" s="16" t="s">
        <v>1418</v>
      </c>
      <c r="FP3" s="16">
        <v>3</v>
      </c>
      <c r="FT3" s="16" t="s">
        <v>474</v>
      </c>
      <c r="FW3" s="16" t="str">
        <f>Janvier!GB20</f>
        <v>12025</v>
      </c>
      <c r="FX3" s="16">
        <f>Janvier!GC20+Report!D37</f>
        <v>0</v>
      </c>
      <c r="GC3" s="16" t="s">
        <v>1621</v>
      </c>
      <c r="GD3" s="16" t="s">
        <v>438</v>
      </c>
      <c r="GG3" s="30">
        <f>+Régularisation!$D$7</f>
        <v>45658</v>
      </c>
      <c r="GH3" s="16">
        <f>+Régularisation!$F$96</f>
        <v>0</v>
      </c>
      <c r="GL3" s="30">
        <f>+'Retenue Janv'!D13</f>
        <v>45658</v>
      </c>
      <c r="GQ3" s="58">
        <f>+'Retenue Janv'!BJ53</f>
        <v>0</v>
      </c>
      <c r="GR3" s="58">
        <f>+'Retenue Janv'!BJ61</f>
        <v>0</v>
      </c>
      <c r="GS3" s="58">
        <f>+'Retenue Janv'!BJ56</f>
        <v>0</v>
      </c>
      <c r="GT3" s="58">
        <f>+'Retenue Janv'!BJ64</f>
        <v>0</v>
      </c>
      <c r="GU3" s="58">
        <f>+GQ3-GS3</f>
        <v>0</v>
      </c>
      <c r="GV3" s="58">
        <f>+GR3-GT3</f>
        <v>0</v>
      </c>
      <c r="HA3" s="16" t="s">
        <v>1714</v>
      </c>
      <c r="HC3" s="16" t="s">
        <v>146</v>
      </c>
    </row>
    <row r="4" spans="1:211 16375:16375" x14ac:dyDescent="0.2">
      <c r="A4" s="16" t="s">
        <v>261</v>
      </c>
      <c r="C4" s="27"/>
      <c r="D4" s="27"/>
      <c r="F4" s="34"/>
      <c r="G4" s="16">
        <f t="shared" si="5"/>
        <v>0</v>
      </c>
      <c r="L4" s="16" t="str">
        <f t="shared" si="7"/>
        <v>A préciserCSem</v>
      </c>
      <c r="N4" s="16" t="s">
        <v>554</v>
      </c>
      <c r="P4" s="16" t="s">
        <v>237</v>
      </c>
      <c r="S4" s="16" t="s">
        <v>436</v>
      </c>
      <c r="V4" s="16" t="s">
        <v>438</v>
      </c>
      <c r="Z4" s="16" t="s">
        <v>237</v>
      </c>
      <c r="AA4" s="16">
        <f>+'Fiche info'!C64</f>
        <v>0</v>
      </c>
      <c r="AB4" s="16">
        <f>+'Fiche info'!C67</f>
        <v>11.88</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0.78120000000000001</v>
      </c>
      <c r="AP4" s="16">
        <f>+'Fiche info'!M1</f>
        <v>0</v>
      </c>
      <c r="AQ4" s="16">
        <f>+'Fiche info'!EG4</f>
        <v>0</v>
      </c>
      <c r="AR4" s="27">
        <f>+'Fiche info'!N37</f>
        <v>0</v>
      </c>
      <c r="AS4" s="27">
        <f>+'Fiche info'!EG1</f>
        <v>0</v>
      </c>
      <c r="AT4" s="27">
        <f>+'Fiche info'!EG3</f>
        <v>0</v>
      </c>
      <c r="AU4" s="27">
        <f>+'Fiche info'!W37</f>
        <v>0</v>
      </c>
      <c r="AV4" s="27" t="str">
        <f>+'Fiche info'!W38</f>
        <v>NON</v>
      </c>
      <c r="BC4" s="16" t="s">
        <v>1534</v>
      </c>
      <c r="BJ4" s="16" t="s">
        <v>708</v>
      </c>
      <c r="BM4" s="16" t="s">
        <v>452</v>
      </c>
      <c r="BQ4" s="16" t="s">
        <v>433</v>
      </c>
      <c r="BR4" s="16" t="s">
        <v>436</v>
      </c>
      <c r="BX4" s="16" t="str">
        <f t="shared" si="6"/>
        <v>A préciserA3</v>
      </c>
      <c r="CI4" s="16" t="s">
        <v>883</v>
      </c>
      <c r="CJ4" s="16">
        <v>2</v>
      </c>
      <c r="CK4" s="16">
        <v>2016</v>
      </c>
      <c r="CM4" s="16" t="s">
        <v>912</v>
      </c>
      <c r="CR4" s="16" t="s">
        <v>889</v>
      </c>
      <c r="CY4" s="16" t="str">
        <f t="shared" si="8"/>
        <v>Fiche info Avenant 1</v>
      </c>
      <c r="DB4" s="749">
        <f>DATE(YEAR(DB2),MONTH(DB2)+2,DAY(DB2))</f>
        <v>45717</v>
      </c>
      <c r="DC4" s="16">
        <f>+Mars!$DP$8</f>
        <v>0</v>
      </c>
      <c r="DE4" s="863">
        <f>DATE(YEAR(DE2),MONTH(DE2)+2,DAY(DE2))</f>
        <v>45717</v>
      </c>
      <c r="DH4" s="749">
        <f>DATE(YEAR(DH3),MONTH(DH3)+1,DAY(DH3))</f>
        <v>45689</v>
      </c>
      <c r="DI4" s="866" t="str">
        <f t="shared" ref="DI4:DI8" si="13">+IF(AND(DJ4="",DI3&lt;&gt;$P$3),DI3,IF(DJ4&lt;&gt;"",DJ4,$P$3))</f>
        <v>Fiche info</v>
      </c>
      <c r="DJ4" s="866"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4">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49"/>
      <c r="ED4" s="749"/>
      <c r="EE4" s="16">
        <f t="shared" si="0"/>
        <v>0</v>
      </c>
      <c r="EF4" s="16">
        <f t="shared" si="1"/>
        <v>0</v>
      </c>
      <c r="EG4" s="16">
        <f t="shared" si="2"/>
        <v>0</v>
      </c>
      <c r="EH4" s="16">
        <f t="shared" si="3"/>
        <v>0</v>
      </c>
      <c r="EI4" s="16">
        <f t="shared" si="4"/>
        <v>0</v>
      </c>
      <c r="EM4" s="16">
        <v>3</v>
      </c>
      <c r="EN4" s="16" t="s">
        <v>884</v>
      </c>
      <c r="ET4" s="16" t="str">
        <f>+'Liste des Libellés'!A10</f>
        <v>CVP</v>
      </c>
      <c r="EU4" s="16" t="str">
        <f>+'Liste des Libellés'!B10</f>
        <v>Congé convenance personnelle</v>
      </c>
      <c r="FB4" s="16" t="str">
        <f t="shared" si="11"/>
        <v/>
      </c>
      <c r="FC4" s="16" t="str">
        <f t="shared" si="12"/>
        <v/>
      </c>
      <c r="FD4" s="30">
        <f>+Base!$A$5</f>
        <v>45658</v>
      </c>
      <c r="FE4" s="30" t="str">
        <f>+IFERROR(VLOOKUP(FD4,BDD,79,FALSE),"")</f>
        <v/>
      </c>
      <c r="FF4" s="30" t="str">
        <f>IFERROR(+VLOOKUP(FD4,BDD,80,FALSE),"")</f>
        <v/>
      </c>
      <c r="FG4" s="30" t="str">
        <f>+IFERROR(VLOOKUP(FD4,BDD,81,FALSE),"")</f>
        <v/>
      </c>
      <c r="FH4" s="30" t="str">
        <f>+IFERROR(VLOOKUP(FD4,BDD,82,FALSE),"")</f>
        <v/>
      </c>
      <c r="FL4" s="16" t="s">
        <v>237</v>
      </c>
      <c r="FM4" s="16" t="s">
        <v>840</v>
      </c>
      <c r="FW4" s="16" t="str">
        <f>Janvier!GB21</f>
        <v>12025</v>
      </c>
      <c r="FX4" s="16">
        <f>Janvier!GC21</f>
        <v>0</v>
      </c>
      <c r="GC4" s="16" t="s">
        <v>1622</v>
      </c>
      <c r="GD4" s="16" t="s">
        <v>146</v>
      </c>
      <c r="GG4" s="30">
        <f>+Régularisation!$G$7</f>
        <v>45689</v>
      </c>
      <c r="GH4" s="16">
        <f>+Régularisation!$I$96</f>
        <v>0</v>
      </c>
      <c r="GL4" s="30">
        <f>+'Retenue Fev'!D13</f>
        <v>45689</v>
      </c>
      <c r="GQ4" s="58">
        <f>+'Retenue Fev'!BJ53</f>
        <v>0</v>
      </c>
      <c r="GR4" s="58">
        <f>+'Retenue Fev'!BJ61</f>
        <v>0</v>
      </c>
      <c r="GS4" s="58">
        <f>+'Retenue Fev'!BJ56</f>
        <v>0</v>
      </c>
      <c r="GT4" s="58">
        <f>+'Retenue Fev'!BJ64</f>
        <v>0</v>
      </c>
      <c r="GU4" s="58">
        <f t="shared" ref="GU4:GV14" si="15">+GQ4-GS4</f>
        <v>0</v>
      </c>
      <c r="GV4" s="58">
        <f t="shared" si="15"/>
        <v>0</v>
      </c>
    </row>
    <row r="5" spans="1:211 16375:16375" x14ac:dyDescent="0.2">
      <c r="A5" s="16" t="s">
        <v>262</v>
      </c>
      <c r="C5" s="27"/>
      <c r="D5" s="27"/>
      <c r="F5" s="34"/>
      <c r="G5" s="16">
        <f t="shared" si="5"/>
        <v>0</v>
      </c>
      <c r="L5" s="16" t="str">
        <f t="shared" si="7"/>
        <v>A préciserDSem</v>
      </c>
      <c r="N5" s="16" t="s">
        <v>555</v>
      </c>
      <c r="P5" s="16" t="s">
        <v>252</v>
      </c>
      <c r="Z5" s="16" t="s">
        <v>252</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1535</v>
      </c>
      <c r="BX5" s="16" t="str">
        <f t="shared" si="6"/>
        <v>A préciserA4</v>
      </c>
      <c r="CI5" s="16" t="s">
        <v>884</v>
      </c>
      <c r="CJ5" s="16">
        <v>3</v>
      </c>
      <c r="CK5" s="16">
        <v>2017</v>
      </c>
      <c r="CR5" s="16" t="s">
        <v>890</v>
      </c>
      <c r="CY5" s="16" t="str">
        <f t="shared" si="8"/>
        <v>Fiche info Avenant 2</v>
      </c>
      <c r="DB5" s="749">
        <f>DATE(YEAR(DB2),MONTH(DB2)+3,DAY(DB2))</f>
        <v>45748</v>
      </c>
      <c r="DC5" s="16">
        <f>+Avril!$DP$8</f>
        <v>0</v>
      </c>
      <c r="DE5" s="863">
        <f>DATE(YEAR(DE2),MONTH(DE2)+3,DAY(DE2))</f>
        <v>45748</v>
      </c>
      <c r="DH5" s="749">
        <f>DATE(YEAR(DH3),MONTH(DH3)+2,DAY(DH3))</f>
        <v>45717</v>
      </c>
      <c r="DI5" s="866" t="str">
        <f t="shared" si="13"/>
        <v>Fiche info</v>
      </c>
      <c r="DJ5" s="866" t="str">
        <f t="shared" ref="DJ5:DJ14" si="16">IF(DM5&lt;&gt;99,DM5,IFERROR(INDEX(DK5:DM5,1,MATCH("f*",DK5:DM5,0)),""))</f>
        <v/>
      </c>
      <c r="DK5" s="16">
        <f>+IF((DATE(YEAR(Mars!AJ4),MONTH(Mars!AJ4),1)=DATE(YEAR(Mars!X3),MONTH(Mars!X3),1)),S.CAL!P4,99)</f>
        <v>99</v>
      </c>
      <c r="DL5" s="16">
        <f t="shared" si="9"/>
        <v>99</v>
      </c>
      <c r="DM5" s="16">
        <f>IF(Mars!$BZ$2=0,99,Mars!$BZ$2)</f>
        <v>99</v>
      </c>
      <c r="DN5" s="16" t="str">
        <f t="shared" si="14"/>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49"/>
      <c r="ED5" s="749"/>
      <c r="EE5" s="16">
        <f t="shared" si="0"/>
        <v>0</v>
      </c>
      <c r="EF5" s="16">
        <f t="shared" si="1"/>
        <v>0</v>
      </c>
      <c r="EG5" s="16">
        <f t="shared" si="2"/>
        <v>0</v>
      </c>
      <c r="EH5" s="16">
        <f t="shared" si="3"/>
        <v>0</v>
      </c>
      <c r="EI5" s="16">
        <f t="shared" si="4"/>
        <v>0</v>
      </c>
      <c r="EM5" s="16">
        <v>4</v>
      </c>
      <c r="EN5" s="16" t="s">
        <v>885</v>
      </c>
      <c r="ET5" s="16" t="str">
        <f>+'Liste des Libellés'!A19</f>
        <v>CMAT</v>
      </c>
      <c r="EU5" s="16" t="str">
        <f>+'Liste des Libellés'!B19</f>
        <v>Congés de Maternité</v>
      </c>
      <c r="FB5" s="16" t="str">
        <f t="shared" si="11"/>
        <v/>
      </c>
      <c r="FC5" s="16" t="str">
        <f t="shared" si="12"/>
        <v/>
      </c>
      <c r="FD5" s="30">
        <f>+Base!$A$5</f>
        <v>45658</v>
      </c>
      <c r="FE5" s="30" t="str">
        <f>+IFERROR(VLOOKUP(FD5,BDD,83,FALSE),"")</f>
        <v/>
      </c>
      <c r="FF5" s="30" t="str">
        <f>+IFERROR(VLOOKUP(FD5,BDD,84,FALSE),"")</f>
        <v/>
      </c>
      <c r="FG5" s="30" t="str">
        <f>+IFERROR(VLOOKUP(FD5,BDD,85,FALSE),"")</f>
        <v/>
      </c>
      <c r="FH5" s="30" t="str">
        <f>+IFERROR(VLOOKUP(FD5,BDD,86,FALSE),"")</f>
        <v/>
      </c>
      <c r="FL5" s="16" t="s">
        <v>252</v>
      </c>
      <c r="FM5" s="16" t="s">
        <v>840</v>
      </c>
      <c r="FW5" s="16" t="str">
        <f>Janvier!GB22</f>
        <v>12025</v>
      </c>
      <c r="FX5" s="16">
        <f>Janvier!GC22</f>
        <v>0</v>
      </c>
      <c r="GC5" s="16" t="s">
        <v>1623</v>
      </c>
      <c r="GD5" s="16" t="s">
        <v>146</v>
      </c>
      <c r="GG5" s="30">
        <f>+Régularisation!$J$7</f>
        <v>45717</v>
      </c>
      <c r="GH5" s="16">
        <f>+Régularisation!$L$96</f>
        <v>0</v>
      </c>
      <c r="GL5" s="30">
        <f>+'Retenue Mars'!D13</f>
        <v>45717</v>
      </c>
      <c r="GQ5" s="58">
        <f>+'Retenue Mars'!BJ53</f>
        <v>0</v>
      </c>
      <c r="GR5" s="58">
        <f>+'Retenue Mars'!BJ61</f>
        <v>0</v>
      </c>
      <c r="GS5" s="58">
        <f>+'Retenue Mars'!BJ56</f>
        <v>0</v>
      </c>
      <c r="GT5" s="58">
        <f>+'Retenue Mars'!BJ64</f>
        <v>0</v>
      </c>
      <c r="GU5" s="58">
        <f t="shared" si="15"/>
        <v>0</v>
      </c>
      <c r="GV5" s="58">
        <f t="shared" si="15"/>
        <v>0</v>
      </c>
    </row>
    <row r="6" spans="1:211 16375:16375" x14ac:dyDescent="0.2">
      <c r="A6" s="16" t="s">
        <v>263</v>
      </c>
      <c r="C6" s="27"/>
      <c r="D6" s="27"/>
      <c r="F6" s="34"/>
      <c r="G6" s="16">
        <f t="shared" si="5"/>
        <v>0</v>
      </c>
      <c r="L6" s="16" t="str">
        <f t="shared" si="7"/>
        <v>A préciserESem</v>
      </c>
      <c r="N6" s="16" t="s">
        <v>556</v>
      </c>
      <c r="P6" s="16" t="s">
        <v>253</v>
      </c>
      <c r="Z6" s="16" t="s">
        <v>253</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885</v>
      </c>
      <c r="CJ6" s="16">
        <v>4</v>
      </c>
      <c r="CK6" s="16">
        <v>2018</v>
      </c>
      <c r="CR6" s="16" t="s">
        <v>891</v>
      </c>
      <c r="CY6" s="16" t="str">
        <f t="shared" si="8"/>
        <v>Fiche info Avenant 3</v>
      </c>
      <c r="DB6" s="749">
        <f>DATE(YEAR(DB2),MONTH(DB2)+4,DAY(DB2))</f>
        <v>45778</v>
      </c>
      <c r="DC6" s="16">
        <f>+Mai!$DP$8</f>
        <v>0</v>
      </c>
      <c r="DE6" s="863">
        <f>DATE(YEAR(DE2),MONTH(DE2)+4,DAY(DE2))</f>
        <v>45778</v>
      </c>
      <c r="DH6" s="749">
        <f>DATE(YEAR(DH3),MONTH(DH3)+3,DAY(DH3))</f>
        <v>45748</v>
      </c>
      <c r="DI6" s="866" t="str">
        <f t="shared" si="13"/>
        <v>Fiche info</v>
      </c>
      <c r="DJ6" s="866" t="str">
        <f t="shared" si="16"/>
        <v/>
      </c>
      <c r="DK6" s="16">
        <f>+IF((DATE(YEAR(Avril!AJ4),MONTH(Avril!AJ4),1)=DATE(YEAR(Avril!X3),MONTH(Avril!X3),1)),S.CAL!P4,99)</f>
        <v>99</v>
      </c>
      <c r="DL6" s="16">
        <f t="shared" si="9"/>
        <v>99</v>
      </c>
      <c r="DM6" s="16">
        <f>IF(Avril!$BZ$2=0,99,Avril!$BZ$2)</f>
        <v>99</v>
      </c>
      <c r="DN6" s="16" t="str">
        <f t="shared" si="14"/>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49"/>
      <c r="ED6" s="749"/>
      <c r="EE6" s="16">
        <f t="shared" si="0"/>
        <v>0</v>
      </c>
      <c r="EF6" s="16">
        <f t="shared" si="1"/>
        <v>0</v>
      </c>
      <c r="EG6" s="16">
        <f t="shared" si="2"/>
        <v>0</v>
      </c>
      <c r="EH6" s="16">
        <f t="shared" si="3"/>
        <v>0</v>
      </c>
      <c r="EI6" s="16">
        <f t="shared" si="4"/>
        <v>0</v>
      </c>
      <c r="EM6" s="16">
        <v>5</v>
      </c>
      <c r="EN6" s="16" t="s">
        <v>886</v>
      </c>
      <c r="ET6" s="16" t="str">
        <f>+'Liste des Libellés'!A20</f>
        <v>CPAT</v>
      </c>
      <c r="EU6" s="16" t="str">
        <f>+'Liste des Libellés'!B20</f>
        <v>Congés de Paternité</v>
      </c>
      <c r="FB6" s="16" t="str">
        <f t="shared" si="11"/>
        <v/>
      </c>
      <c r="FC6" s="16" t="str">
        <f t="shared" si="12"/>
        <v/>
      </c>
      <c r="FD6" s="30">
        <f>+Base!$A$6</f>
        <v>45689</v>
      </c>
      <c r="FE6" s="30" t="str">
        <f>+IFERROR(VLOOKUP(FD6,BDD,71,FALSE),"")</f>
        <v/>
      </c>
      <c r="FF6" s="30" t="str">
        <f>IFERROR(+VLOOKUP(FD6,BDD,72,FALSE),"")</f>
        <v/>
      </c>
      <c r="FG6" s="30" t="str">
        <f>+IFERROR(VLOOKUP(FD6,BDD,73,FALSE),"")</f>
        <v/>
      </c>
      <c r="FH6" s="30" t="str">
        <f>+IFERROR(VLOOKUP(FD6,BDD,74,FALSE),"")</f>
        <v/>
      </c>
      <c r="FL6" s="16" t="s">
        <v>253</v>
      </c>
      <c r="FM6" s="16" t="s">
        <v>840</v>
      </c>
      <c r="FW6" s="16" t="str">
        <f>Janvier!GB23</f>
        <v>12025</v>
      </c>
      <c r="FX6" s="16">
        <f>Janvier!GC23</f>
        <v>0</v>
      </c>
      <c r="GG6" s="30">
        <f>+Régularisation!$M$7</f>
        <v>45748</v>
      </c>
      <c r="GH6" s="16">
        <f>+Régularisation!$O$96</f>
        <v>0</v>
      </c>
      <c r="GL6" s="30">
        <f>+'Retenue Avril'!D13</f>
        <v>45748</v>
      </c>
      <c r="GQ6" s="58">
        <f>+'Retenue Avril'!BJ53</f>
        <v>0</v>
      </c>
      <c r="GR6" s="58">
        <f>+'Retenue Avril'!BJ61</f>
        <v>0</v>
      </c>
      <c r="GS6" s="58">
        <f>+'Retenue Avril'!BJ56</f>
        <v>0</v>
      </c>
      <c r="GT6" s="58">
        <f>+'Retenue Avril'!BJ64</f>
        <v>0</v>
      </c>
      <c r="GU6" s="58">
        <f t="shared" si="15"/>
        <v>0</v>
      </c>
      <c r="GV6" s="58">
        <f t="shared" si="15"/>
        <v>0</v>
      </c>
    </row>
    <row r="7" spans="1:211 16375:16375" x14ac:dyDescent="0.2">
      <c r="A7" s="16" t="s">
        <v>264</v>
      </c>
      <c r="C7" s="27"/>
      <c r="D7" s="27"/>
      <c r="F7" s="34"/>
      <c r="G7" s="16">
        <f t="shared" si="5"/>
        <v>0</v>
      </c>
      <c r="L7" s="16" t="str">
        <f t="shared" si="7"/>
        <v>A préciserFSem</v>
      </c>
      <c r="N7" s="16" t="s">
        <v>557</v>
      </c>
      <c r="P7" s="16" t="s">
        <v>254</v>
      </c>
      <c r="Z7" s="16" t="s">
        <v>254</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886</v>
      </c>
      <c r="CJ7" s="16">
        <v>5</v>
      </c>
      <c r="CK7" s="16">
        <v>2019</v>
      </c>
      <c r="CR7" s="16" t="s">
        <v>892</v>
      </c>
      <c r="CY7" s="16" t="str">
        <f t="shared" si="8"/>
        <v>Fiche info Avenant 4</v>
      </c>
      <c r="DB7" s="749">
        <f>DATE(YEAR(DB2),MONTH(DB2)+5,DAY(DB2))</f>
        <v>45809</v>
      </c>
      <c r="DC7" s="16">
        <f>+Juin!$DP$8</f>
        <v>0</v>
      </c>
      <c r="DE7" s="863">
        <f>DATE(YEAR(DE2),MONTH(DE2)+5,DAY(DE2))</f>
        <v>45809</v>
      </c>
      <c r="DH7" s="749">
        <f>DATE(YEAR(DH3),MONTH(DH3)+4,DAY(DH3))</f>
        <v>45778</v>
      </c>
      <c r="DI7" s="866" t="str">
        <f t="shared" si="13"/>
        <v>Fiche info</v>
      </c>
      <c r="DJ7" s="866" t="str">
        <f t="shared" si="16"/>
        <v/>
      </c>
      <c r="DK7" s="16">
        <f>+IF((DATE(YEAR(Mai!AJ4),MONTH(Mai!AJ4),1)=DATE(YEAR(Mai!X3),MONTH(Mai!X3),1)),S.CAL!P4,99)</f>
        <v>99</v>
      </c>
      <c r="DL7" s="16">
        <f t="shared" si="9"/>
        <v>99</v>
      </c>
      <c r="DM7" s="16">
        <f>IF(Mai!$BZ$2=0,99,Mai!$BZ$2)</f>
        <v>99</v>
      </c>
      <c r="DN7" s="16" t="str">
        <f t="shared" si="14"/>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49"/>
      <c r="ED7" s="749"/>
      <c r="EE7" s="16">
        <f t="shared" si="0"/>
        <v>0</v>
      </c>
      <c r="EF7" s="16">
        <f t="shared" si="1"/>
        <v>0</v>
      </c>
      <c r="EG7" s="16">
        <f t="shared" si="2"/>
        <v>0</v>
      </c>
      <c r="EH7" s="16">
        <f t="shared" si="3"/>
        <v>0</v>
      </c>
      <c r="EI7" s="16">
        <f t="shared" si="4"/>
        <v>0</v>
      </c>
      <c r="EM7" s="16">
        <v>6</v>
      </c>
      <c r="EN7" s="16" t="s">
        <v>887</v>
      </c>
      <c r="ET7" s="16" t="str">
        <f>+'Liste des Libellés'!A21</f>
        <v>CADOP</v>
      </c>
      <c r="EU7" s="16" t="str">
        <f>+'Liste des Libellés'!B21</f>
        <v>Congé d’adoption</v>
      </c>
      <c r="FB7" s="16" t="str">
        <f t="shared" si="11"/>
        <v/>
      </c>
      <c r="FC7" s="16" t="str">
        <f t="shared" si="12"/>
        <v/>
      </c>
      <c r="FD7" s="30">
        <f>+Base!$A$6</f>
        <v>45689</v>
      </c>
      <c r="FE7" s="30" t="str">
        <f>+IFERROR(VLOOKUP(FD7,BDD,75,FALSE),"")</f>
        <v/>
      </c>
      <c r="FF7" s="30" t="str">
        <f>+IFERROR(VLOOKUP(FD7,BDD,76,FALSE),"")</f>
        <v/>
      </c>
      <c r="FG7" s="30" t="str">
        <f>IFERROR(+VLOOKUP(FD7,BDD,77,FALSE),"")</f>
        <v/>
      </c>
      <c r="FH7" s="30" t="str">
        <f>+IFERROR(VLOOKUP(FD7,BDD,78,FALSE),"")</f>
        <v/>
      </c>
      <c r="FL7" s="16" t="s">
        <v>254</v>
      </c>
      <c r="FM7" s="16" t="s">
        <v>840</v>
      </c>
      <c r="FW7" s="16" t="str">
        <f>Janvier!GB24</f>
        <v>12025</v>
      </c>
      <c r="FX7" s="16">
        <f>Janvier!GC24</f>
        <v>0</v>
      </c>
      <c r="GG7" s="30">
        <f>+Régularisation!$P$7</f>
        <v>45778</v>
      </c>
      <c r="GH7" s="16">
        <f>+Régularisation!$R$96</f>
        <v>0</v>
      </c>
      <c r="GL7" s="30">
        <f>+'Retenue Mai'!D13</f>
        <v>45778</v>
      </c>
      <c r="GQ7" s="58">
        <f>+'Retenue Mai'!BJ53</f>
        <v>0</v>
      </c>
      <c r="GR7" s="58">
        <f>+'Retenue Mai'!BJ61</f>
        <v>0</v>
      </c>
      <c r="GS7" s="58">
        <f>+'Retenue Mai'!BJ56</f>
        <v>0</v>
      </c>
      <c r="GT7" s="58">
        <f>+'Retenue Mai'!BJ64</f>
        <v>0</v>
      </c>
      <c r="GU7" s="58">
        <f t="shared" si="15"/>
        <v>0</v>
      </c>
      <c r="GV7" s="58">
        <f t="shared" si="15"/>
        <v>0</v>
      </c>
    </row>
    <row r="8" spans="1:211 16375:16375" x14ac:dyDescent="0.2">
      <c r="A8" s="16" t="s">
        <v>265</v>
      </c>
      <c r="C8" s="27"/>
      <c r="D8" s="27"/>
      <c r="F8" s="34"/>
      <c r="G8" s="16">
        <f t="shared" si="5"/>
        <v>0</v>
      </c>
      <c r="L8" s="16" t="str">
        <f t="shared" si="7"/>
        <v>A préciserGSem</v>
      </c>
      <c r="N8" s="16" t="s">
        <v>558</v>
      </c>
      <c r="P8" s="16" t="s">
        <v>255</v>
      </c>
      <c r="Z8" s="16" t="s">
        <v>255</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887</v>
      </c>
      <c r="CJ8" s="16">
        <v>6</v>
      </c>
      <c r="CK8" s="16">
        <v>2020</v>
      </c>
      <c r="CR8" s="16" t="s">
        <v>893</v>
      </c>
      <c r="CY8" s="16" t="str">
        <f t="shared" si="8"/>
        <v>Fiche info Avenant 5</v>
      </c>
      <c r="DB8" s="749">
        <f>DATE(YEAR(DB2),MONTH(DB2)+6,DAY(DB2))</f>
        <v>45839</v>
      </c>
      <c r="DC8" s="16">
        <f>+Juillet!$DP$8</f>
        <v>0</v>
      </c>
      <c r="DE8" s="863">
        <f>DATE(YEAR(DE2),MONTH(DE2)+6,DAY(DE2))</f>
        <v>45839</v>
      </c>
      <c r="DH8" s="749">
        <f>DATE(YEAR(DH3),MONTH(DH3)+5,DAY(DH3))</f>
        <v>45809</v>
      </c>
      <c r="DI8" s="866" t="str">
        <f t="shared" si="13"/>
        <v>Fiche info</v>
      </c>
      <c r="DJ8" s="866" t="str">
        <f t="shared" si="16"/>
        <v/>
      </c>
      <c r="DK8" s="16">
        <f>+IF((DATE(YEAR(Juin!AJ4),MONTH(Juin!AJ4),1)=DATE(YEAR(Juin!X3),MONTH(Juin!X3),1)),S.CAL!P4,99)</f>
        <v>99</v>
      </c>
      <c r="DL8" s="16">
        <f t="shared" si="9"/>
        <v>99</v>
      </c>
      <c r="DM8" s="16">
        <f>IF(Juin!$BZ$2=0,99,Juin!$BZ$2)</f>
        <v>99</v>
      </c>
      <c r="DN8" s="16" t="str">
        <f t="shared" si="14"/>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49"/>
      <c r="ED8" s="749"/>
      <c r="EE8" s="16">
        <f t="shared" si="0"/>
        <v>0</v>
      </c>
      <c r="EF8" s="16">
        <f t="shared" si="1"/>
        <v>0</v>
      </c>
      <c r="EG8" s="16">
        <f t="shared" si="2"/>
        <v>0</v>
      </c>
      <c r="EH8" s="16">
        <f t="shared" si="3"/>
        <v>0</v>
      </c>
      <c r="EI8" s="16">
        <f t="shared" si="4"/>
        <v>0</v>
      </c>
      <c r="EM8" s="16">
        <v>7</v>
      </c>
      <c r="EN8" s="16" t="s">
        <v>888</v>
      </c>
      <c r="ET8" s="16" t="str">
        <f>+IF('Liste des Libellés'!A24=0,"",'Liste des Libellés'!A24)</f>
        <v/>
      </c>
      <c r="EU8" s="16" t="str">
        <f>+IF('Liste des Libellés'!B24=0,"",'Liste des Libellés'!B24)</f>
        <v/>
      </c>
      <c r="FB8" s="16" t="str">
        <f t="shared" si="11"/>
        <v/>
      </c>
      <c r="FC8" s="16" t="str">
        <f t="shared" si="12"/>
        <v/>
      </c>
      <c r="FD8" s="30">
        <f>+Base!$A$6</f>
        <v>45689</v>
      </c>
      <c r="FE8" s="30" t="str">
        <f>+IFERROR(VLOOKUP(FD8,BDD,79,FALSE),"")</f>
        <v/>
      </c>
      <c r="FF8" s="30" t="str">
        <f>IFERROR(+VLOOKUP(FD8,BDD,80,FALSE),"")</f>
        <v/>
      </c>
      <c r="FG8" s="30" t="str">
        <f>+IFERROR(VLOOKUP(FD8,BDD,81,FALSE),"")</f>
        <v/>
      </c>
      <c r="FH8" s="30" t="str">
        <f>+IFERROR(VLOOKUP(FD8,BDD,82,FALSE),"")</f>
        <v/>
      </c>
      <c r="FL8" s="16" t="s">
        <v>255</v>
      </c>
      <c r="FM8" s="16" t="s">
        <v>840</v>
      </c>
      <c r="FW8" s="16" t="str">
        <f>Janvier!GB25</f>
        <v>22025</v>
      </c>
      <c r="FX8" s="16">
        <f>Janvier!GC25</f>
        <v>0</v>
      </c>
      <c r="GG8" s="30">
        <f>+Régularisation!$S$7</f>
        <v>45809</v>
      </c>
      <c r="GH8" s="16">
        <f>+Régularisation!$U$96</f>
        <v>0</v>
      </c>
      <c r="GL8" s="30">
        <f>+'Retenue Juin'!D13</f>
        <v>45809</v>
      </c>
      <c r="GQ8" s="58">
        <f>+'Retenue Juin'!BJ53</f>
        <v>0</v>
      </c>
      <c r="GR8" s="58">
        <f>+'Retenue Juin'!BJ61</f>
        <v>0</v>
      </c>
      <c r="GS8" s="58">
        <f>+'Retenue Juin'!BJ56</f>
        <v>0</v>
      </c>
      <c r="GT8" s="58">
        <f>+'Retenue Juin'!BJ64</f>
        <v>0</v>
      </c>
      <c r="GU8" s="58">
        <f t="shared" si="15"/>
        <v>0</v>
      </c>
      <c r="GV8" s="58">
        <f t="shared" si="15"/>
        <v>0</v>
      </c>
    </row>
    <row r="9" spans="1:211 16375:16375" x14ac:dyDescent="0.2">
      <c r="A9" s="16" t="s">
        <v>266</v>
      </c>
      <c r="C9" s="27"/>
      <c r="D9" s="27"/>
      <c r="F9" s="34"/>
      <c r="G9" s="16">
        <f t="shared" si="5"/>
        <v>0</v>
      </c>
      <c r="L9" s="16" t="str">
        <f t="shared" si="7"/>
        <v>A préciserHSem</v>
      </c>
      <c r="N9" s="16" t="s">
        <v>559</v>
      </c>
      <c r="P9" s="16" t="s">
        <v>256</v>
      </c>
      <c r="Z9" s="16" t="s">
        <v>256</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888</v>
      </c>
      <c r="CJ9" s="16">
        <v>7</v>
      </c>
      <c r="CK9" s="16">
        <v>2021</v>
      </c>
      <c r="CY9" s="16" t="str">
        <f t="shared" si="8"/>
        <v>Fiche info CDD C.Durée</v>
      </c>
      <c r="DB9" s="749">
        <f>DATE(YEAR(DB2),MONTH(DB2)+7,DAY(DB2))</f>
        <v>45870</v>
      </c>
      <c r="DC9" s="16">
        <f>+Aout!$DP$8</f>
        <v>0</v>
      </c>
      <c r="DE9" s="863">
        <f>DATE(YEAR(DE2),MONTH(DE2)+7,DAY(DE2))</f>
        <v>45870</v>
      </c>
      <c r="DH9" s="749">
        <f>DATE(YEAR(DH3),MONTH(DH3)+6,DAY(DH3))</f>
        <v>45839</v>
      </c>
      <c r="DI9" s="866" t="str">
        <f t="shared" ref="DI9:DI14" si="17">+IF(AND(DJ9="",DI8&lt;&gt;$P$3),DI8,IF(DJ9&lt;&gt;"",DJ9,$P$3))</f>
        <v>Fiche info</v>
      </c>
      <c r="DJ9" s="866" t="str">
        <f t="shared" si="16"/>
        <v/>
      </c>
      <c r="DK9" s="16">
        <f>+IF((DATE(YEAR(Juillet!AJ4),MONTH(Juillet!AJ4),1)=DATE(YEAR(Juillet!X3),MONTH(Juillet!X3),1)),S.CAL!P4,99)</f>
        <v>99</v>
      </c>
      <c r="DL9" s="16">
        <f t="shared" si="9"/>
        <v>99</v>
      </c>
      <c r="DM9" s="16">
        <f>IF(Juillet!$BZ$2=0,99,Juillet!$BZ$2)</f>
        <v>99</v>
      </c>
      <c r="DN9" s="16" t="str">
        <f t="shared" si="14"/>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49"/>
      <c r="ED9" s="749"/>
      <c r="EE9" s="16">
        <f t="shared" si="0"/>
        <v>0</v>
      </c>
      <c r="EF9" s="16">
        <f t="shared" si="1"/>
        <v>0</v>
      </c>
      <c r="EG9" s="16">
        <f t="shared" si="2"/>
        <v>0</v>
      </c>
      <c r="EH9" s="16">
        <f t="shared" si="3"/>
        <v>0</v>
      </c>
      <c r="EI9" s="16">
        <f t="shared" si="4"/>
        <v>0</v>
      </c>
      <c r="EM9" s="16">
        <v>8</v>
      </c>
      <c r="EN9" s="16" t="s">
        <v>889</v>
      </c>
      <c r="ET9" s="16" t="str">
        <f>+IF('Liste des Libellés'!A25=0,"",'Liste des Libellés'!A25)</f>
        <v/>
      </c>
      <c r="EU9" s="16" t="str">
        <f>+IF('Liste des Libellés'!B25=0,"",'Liste des Libellés'!B25)</f>
        <v/>
      </c>
      <c r="FB9" s="16" t="str">
        <f t="shared" si="11"/>
        <v/>
      </c>
      <c r="FC9" s="16" t="str">
        <f t="shared" si="12"/>
        <v/>
      </c>
      <c r="FD9" s="30">
        <f>+Base!$A$6</f>
        <v>45689</v>
      </c>
      <c r="FE9" s="30" t="str">
        <f>+IFERROR(VLOOKUP(FD9,BDD,83,FALSE),"")</f>
        <v/>
      </c>
      <c r="FF9" s="30" t="str">
        <f>+IFERROR(VLOOKUP(FD9,BDD,84,FALSE),"")</f>
        <v/>
      </c>
      <c r="FG9" s="30" t="str">
        <f>+IFERROR(VLOOKUP(FD9,BDD,85,FALSE),"")</f>
        <v/>
      </c>
      <c r="FH9" s="30" t="str">
        <f>+IFERROR(VLOOKUP(FD9,BDD,86,FALSE),"")</f>
        <v/>
      </c>
      <c r="FL9" s="16" t="s">
        <v>256</v>
      </c>
      <c r="FM9" s="16" t="s">
        <v>840</v>
      </c>
      <c r="FW9" s="16" t="str">
        <f>Janvier!GB26</f>
        <v>22025</v>
      </c>
      <c r="FX9" s="16">
        <f>Janvier!GC26</f>
        <v>0</v>
      </c>
      <c r="GG9" s="30">
        <f>+Régularisation!$V$7</f>
        <v>45839</v>
      </c>
      <c r="GH9" s="16">
        <f>+Régularisation!$X$96</f>
        <v>0</v>
      </c>
      <c r="GL9" s="30">
        <f>+'Retenue Juil'!D13</f>
        <v>45839</v>
      </c>
      <c r="GQ9" s="58">
        <f>+'Retenue Juil'!BJ53</f>
        <v>0</v>
      </c>
      <c r="GR9" s="58">
        <f>+'Retenue Juil'!BJ61</f>
        <v>0</v>
      </c>
      <c r="GS9" s="58">
        <f>+'Retenue Juil'!BJ56</f>
        <v>0</v>
      </c>
      <c r="GT9" s="58">
        <f>+'Retenue Juil'!BJ64</f>
        <v>0</v>
      </c>
      <c r="GU9" s="58">
        <f t="shared" si="15"/>
        <v>0</v>
      </c>
      <c r="GV9" s="58">
        <f t="shared" si="15"/>
        <v>0</v>
      </c>
    </row>
    <row r="10" spans="1:211 16375:16375" x14ac:dyDescent="0.2">
      <c r="A10" s="16" t="s">
        <v>267</v>
      </c>
      <c r="C10" s="27"/>
      <c r="D10" s="27"/>
      <c r="F10" s="34"/>
      <c r="G10" s="16">
        <f t="shared" si="5"/>
        <v>0</v>
      </c>
      <c r="L10" s="16" t="s">
        <v>424</v>
      </c>
      <c r="P10" s="16" t="s">
        <v>549</v>
      </c>
      <c r="Z10" s="16" t="s">
        <v>549</v>
      </c>
      <c r="AA10" s="16">
        <f>+'Fiche info CDD C.Durée'!C64</f>
        <v>0</v>
      </c>
      <c r="AB10" s="16">
        <f>+'Fiche info CDD C.Durée'!C67</f>
        <v>11.88</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v>0</v>
      </c>
      <c r="AK10" s="34">
        <f>+'Fiche info CDD C.Durée'!E52</f>
        <v>0</v>
      </c>
      <c r="AL10" s="16" t="str">
        <f>+'Fiche info CDD C.Durée'!$W$31</f>
        <v>NON</v>
      </c>
      <c r="AM10" s="16">
        <f>+'Fiche info CDD C.Durée'!$W$35</f>
        <v>0</v>
      </c>
      <c r="AN10" s="127">
        <f>+'Fiche info CDD C.Durée'!$W$34</f>
        <v>0</v>
      </c>
      <c r="AO10" s="16">
        <f>+'Fiche info CDD C.Durée'!N29</f>
        <v>0.78120000000000001</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889</v>
      </c>
      <c r="CJ10" s="16">
        <v>8</v>
      </c>
      <c r="CK10" s="16">
        <v>2022</v>
      </c>
      <c r="CY10" s="16" t="str">
        <f t="shared" si="8"/>
        <v>Fiche info CDD_ Avenant 1</v>
      </c>
      <c r="DB10" s="749">
        <f>DATE(YEAR(DB2),MONTH(DB2)+8,DAY(DB2))</f>
        <v>45901</v>
      </c>
      <c r="DC10" s="16">
        <f>+Septembre!$DP$8</f>
        <v>0</v>
      </c>
      <c r="DE10" s="863">
        <f>DATE(YEAR(DE2),MONTH(DE2)+8,DAY(DE2))</f>
        <v>45901</v>
      </c>
      <c r="DH10" s="749">
        <f>DATE(YEAR(DH3),MONTH(DH3)+7,DAY(DH3))</f>
        <v>45870</v>
      </c>
      <c r="DI10" s="866" t="str">
        <f t="shared" si="17"/>
        <v>Fiche info</v>
      </c>
      <c r="DJ10" s="866" t="str">
        <f t="shared" si="16"/>
        <v/>
      </c>
      <c r="DK10" s="16">
        <f>+IF((DATE(YEAR(Aout!AJ4),MONTH(Aout!AJ4),1)=DATE(YEAR(Aout!X3),MONTH(Aout!X3),1)),S.CAL!P4,99)</f>
        <v>99</v>
      </c>
      <c r="DL10" s="16">
        <f t="shared" si="9"/>
        <v>99</v>
      </c>
      <c r="DM10" s="16">
        <f>IF(Aout!$BZ$2=0,99,Aout!$BZ$2)</f>
        <v>99</v>
      </c>
      <c r="DN10" s="16" t="str">
        <f t="shared" si="14"/>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49"/>
      <c r="ED10" s="749"/>
      <c r="EE10" s="16">
        <f t="shared" si="0"/>
        <v>0</v>
      </c>
      <c r="EF10" s="16">
        <f t="shared" si="1"/>
        <v>0</v>
      </c>
      <c r="EG10" s="16">
        <f t="shared" si="2"/>
        <v>0</v>
      </c>
      <c r="EH10" s="16">
        <f t="shared" si="3"/>
        <v>0</v>
      </c>
      <c r="EI10" s="16">
        <f t="shared" si="4"/>
        <v>0</v>
      </c>
      <c r="EM10" s="16">
        <v>9</v>
      </c>
      <c r="EN10" s="16" t="s">
        <v>890</v>
      </c>
      <c r="ET10" s="16" t="str">
        <f>+IF('Liste des Libellés'!A26=0,"",'Liste des Libellés'!A26)</f>
        <v/>
      </c>
      <c r="EU10" s="16" t="str">
        <f>+IF('Liste des Libellés'!B26=0,"",'Liste des Libellés'!B26)</f>
        <v/>
      </c>
      <c r="FB10" s="16" t="str">
        <f t="shared" si="11"/>
        <v/>
      </c>
      <c r="FC10" s="16" t="str">
        <f t="shared" si="12"/>
        <v/>
      </c>
      <c r="FD10" s="30">
        <f>+Base!$A$7</f>
        <v>45717</v>
      </c>
      <c r="FE10" s="30" t="str">
        <f>+IFERROR(VLOOKUP(FD10,BDD,71,FALSE),"")</f>
        <v/>
      </c>
      <c r="FF10" s="30" t="str">
        <f>IFERROR(+VLOOKUP(FD10,BDD,72,FALSE),"")</f>
        <v/>
      </c>
      <c r="FG10" s="30" t="str">
        <f>+IFERROR(VLOOKUP(FD10,BDD,73,FALSE),"")</f>
        <v/>
      </c>
      <c r="FH10" s="30" t="str">
        <f>+IFERROR(VLOOKUP(FD10,BDD,74,FALSE),"")</f>
        <v/>
      </c>
      <c r="FL10" s="16" t="s">
        <v>549</v>
      </c>
      <c r="FM10" s="16" t="s">
        <v>839</v>
      </c>
      <c r="FW10" s="16" t="str">
        <f>Janvier!GB27</f>
        <v>22025</v>
      </c>
      <c r="FX10" s="16">
        <f>Janvier!GC27</f>
        <v>0</v>
      </c>
      <c r="GG10" s="30">
        <f>+Régularisation!$Y$7</f>
        <v>45870</v>
      </c>
      <c r="GH10" s="16">
        <f>+Régularisation!$AA$96</f>
        <v>0</v>
      </c>
      <c r="GL10" s="30">
        <f>+'Retenue Aout'!D13</f>
        <v>45870</v>
      </c>
      <c r="GQ10" s="58">
        <f>+'Retenue Aout'!BJ53</f>
        <v>0</v>
      </c>
      <c r="GR10" s="58">
        <f>+'Retenue Aout'!BJ61</f>
        <v>0</v>
      </c>
      <c r="GS10" s="58">
        <f>+'Retenue Aout'!BJ56</f>
        <v>0</v>
      </c>
      <c r="GT10" s="58">
        <f>+'Retenue Aout'!BJ64</f>
        <v>0</v>
      </c>
      <c r="GU10" s="58">
        <f t="shared" si="15"/>
        <v>0</v>
      </c>
      <c r="GV10" s="58">
        <f t="shared" si="15"/>
        <v>0</v>
      </c>
    </row>
    <row r="11" spans="1:211 16375:16375" x14ac:dyDescent="0.2">
      <c r="A11" s="16" t="s">
        <v>268</v>
      </c>
      <c r="C11" s="27"/>
      <c r="D11" s="27"/>
      <c r="F11" s="34"/>
      <c r="G11" s="16">
        <f t="shared" si="5"/>
        <v>0</v>
      </c>
      <c r="L11" s="16" t="s">
        <v>425</v>
      </c>
      <c r="P11" s="16" t="s">
        <v>550</v>
      </c>
      <c r="Z11" s="16" t="s">
        <v>550</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v>0</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890</v>
      </c>
      <c r="CJ11" s="16">
        <v>9</v>
      </c>
      <c r="CK11" s="16">
        <v>2023</v>
      </c>
      <c r="CY11" s="16" t="str">
        <f t="shared" si="8"/>
        <v>Fiche info CDD_ Avenant 2</v>
      </c>
      <c r="DB11" s="749">
        <f>DATE(YEAR(DB2),MONTH(DB2)+9,DAY(DB2))</f>
        <v>45931</v>
      </c>
      <c r="DC11" s="16">
        <f>+Octobre!$DP$8</f>
        <v>0</v>
      </c>
      <c r="DE11" s="863">
        <f>DATE(YEAR(DE2),MONTH(DE2)+9,DAY(DE2))</f>
        <v>45931</v>
      </c>
      <c r="DH11" s="749">
        <f>DATE(YEAR(DH3),MONTH(DH3)+8,DAY(DH3))</f>
        <v>45901</v>
      </c>
      <c r="DI11" s="866" t="str">
        <f t="shared" si="17"/>
        <v>Fiche info</v>
      </c>
      <c r="DJ11" s="866" t="str">
        <f t="shared" si="16"/>
        <v/>
      </c>
      <c r="DK11" s="16">
        <f>+IF((DATE(YEAR(Septembre!AJ4),MONTH(Septembre!AJ4),1)=DATE(YEAR(Septembre!X3),MONTH(Septembre!X3),1)),S.CAL!P4,99)</f>
        <v>99</v>
      </c>
      <c r="DL11" s="16">
        <f t="shared" si="9"/>
        <v>99</v>
      </c>
      <c r="DM11" s="16">
        <f>IF(Septembre!$BZ$2=0,99,Septembre!$BZ$2)</f>
        <v>99</v>
      </c>
      <c r="DN11" s="16" t="str">
        <f t="shared" si="14"/>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49"/>
      <c r="ED11" s="749"/>
      <c r="EE11" s="16">
        <f t="shared" si="0"/>
        <v>0</v>
      </c>
      <c r="EF11" s="16">
        <f t="shared" si="1"/>
        <v>0</v>
      </c>
      <c r="EG11" s="16">
        <f t="shared" si="2"/>
        <v>0</v>
      </c>
      <c r="EH11" s="16">
        <f t="shared" si="3"/>
        <v>0</v>
      </c>
      <c r="EI11" s="16">
        <f t="shared" si="4"/>
        <v>0</v>
      </c>
      <c r="EM11" s="16">
        <v>10</v>
      </c>
      <c r="EN11" s="16" t="s">
        <v>891</v>
      </c>
      <c r="ET11" s="16" t="str">
        <f>+IF('Liste des Libellés'!A27=0,"",'Liste des Libellés'!A27)</f>
        <v/>
      </c>
      <c r="EU11" s="16" t="str">
        <f>+IF('Liste des Libellés'!B27=0,"",'Liste des Libellés'!B27)</f>
        <v/>
      </c>
      <c r="FB11" s="16" t="str">
        <f t="shared" si="11"/>
        <v/>
      </c>
      <c r="FC11" s="16" t="str">
        <f t="shared" si="12"/>
        <v/>
      </c>
      <c r="FD11" s="30">
        <f>+Base!$A$7</f>
        <v>45717</v>
      </c>
      <c r="FE11" s="30" t="str">
        <f>+IFERROR(VLOOKUP(FD11,BDD,75,FALSE),"")</f>
        <v/>
      </c>
      <c r="FF11" s="30" t="str">
        <f>+IFERROR(VLOOKUP(FD11,BDD,76,FALSE),"")</f>
        <v/>
      </c>
      <c r="FG11" s="30" t="str">
        <f>IFERROR(+VLOOKUP(FD11,BDD,77,FALSE),"")</f>
        <v/>
      </c>
      <c r="FH11" s="30" t="str">
        <f>+IFERROR(VLOOKUP(FD11,BDD,78,FALSE),"")</f>
        <v/>
      </c>
      <c r="FL11" s="16" t="s">
        <v>550</v>
      </c>
      <c r="FM11" s="16" t="s">
        <v>839</v>
      </c>
      <c r="FW11" s="16" t="str">
        <f>Janvier!GB28</f>
        <v>22025</v>
      </c>
      <c r="FX11" s="16">
        <f>Janvier!GC28</f>
        <v>0</v>
      </c>
      <c r="GG11" s="30">
        <f>+Régularisation!$AB$7</f>
        <v>45901</v>
      </c>
      <c r="GH11" s="16">
        <f>+Régularisation!$AD$96</f>
        <v>0</v>
      </c>
      <c r="GL11" s="30">
        <f>+'Retenue Sept'!D13</f>
        <v>45901</v>
      </c>
      <c r="GQ11" s="58">
        <f>+'Retenue Sept'!BJ53</f>
        <v>0</v>
      </c>
      <c r="GR11" s="58">
        <f>+'Retenue Sept'!BJ61</f>
        <v>0</v>
      </c>
      <c r="GS11" s="58">
        <f>+'Retenue Sept'!BJ56</f>
        <v>0</v>
      </c>
      <c r="GT11" s="58">
        <f>+'Retenue Sept'!BJ64</f>
        <v>0</v>
      </c>
      <c r="GU11" s="58">
        <f t="shared" si="15"/>
        <v>0</v>
      </c>
      <c r="GV11" s="58">
        <f t="shared" si="15"/>
        <v>0</v>
      </c>
    </row>
    <row r="12" spans="1:211 16375:16375" x14ac:dyDescent="0.2">
      <c r="A12" s="16" t="s">
        <v>269</v>
      </c>
      <c r="C12" s="27"/>
      <c r="D12" s="27"/>
      <c r="F12" s="34"/>
      <c r="G12" s="16">
        <f t="shared" si="5"/>
        <v>0</v>
      </c>
      <c r="L12" s="16" t="s">
        <v>426</v>
      </c>
      <c r="P12" s="16" t="s">
        <v>551</v>
      </c>
      <c r="Z12" s="16" t="s">
        <v>551</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v>0</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891</v>
      </c>
      <c r="CJ12" s="16">
        <v>10</v>
      </c>
      <c r="CK12" s="16">
        <v>2024</v>
      </c>
      <c r="CY12" s="16" t="str">
        <f t="shared" si="8"/>
        <v>Fiche info Avenant 6</v>
      </c>
      <c r="DB12" s="749">
        <f>DATE(YEAR(DB2),MONTH(DB2)+10,DAY(DB2))</f>
        <v>45962</v>
      </c>
      <c r="DC12" s="16">
        <f>+Novembre!$DP$8</f>
        <v>0</v>
      </c>
      <c r="DE12" s="863">
        <f>DATE(YEAR(DE2),MONTH(DE2)+10,DAY(DE2))</f>
        <v>45962</v>
      </c>
      <c r="DH12" s="749">
        <f>DATE(YEAR(DH3),MONTH(DH3)+9,DAY(DH3))</f>
        <v>45931</v>
      </c>
      <c r="DI12" s="866" t="str">
        <f t="shared" si="17"/>
        <v>Fiche info</v>
      </c>
      <c r="DJ12" s="866" t="str">
        <f t="shared" si="16"/>
        <v/>
      </c>
      <c r="DK12" s="16">
        <f>+IF((DATE(YEAR(Octobre!AJ4),MONTH(Octobre!AJ4),1)=DATE(YEAR(Octobre!X3),MONTH(Octobre!X3),1)),S.CAL!P4,99)</f>
        <v>99</v>
      </c>
      <c r="DL12" s="16">
        <f t="shared" si="9"/>
        <v>99</v>
      </c>
      <c r="DM12" s="16">
        <f>IF(Octobre!$BZ$2=0,99,Octobre!$BZ$2)</f>
        <v>99</v>
      </c>
      <c r="DN12" s="16" t="str">
        <f t="shared" si="14"/>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49"/>
      <c r="ED12" s="749"/>
      <c r="EE12" s="16">
        <f t="shared" si="0"/>
        <v>0</v>
      </c>
      <c r="EF12" s="16">
        <f t="shared" si="1"/>
        <v>0</v>
      </c>
      <c r="EG12" s="16">
        <f t="shared" si="2"/>
        <v>0</v>
      </c>
      <c r="EH12" s="16">
        <f t="shared" si="3"/>
        <v>0</v>
      </c>
      <c r="EI12" s="16">
        <f t="shared" si="4"/>
        <v>0</v>
      </c>
      <c r="EM12" s="16">
        <v>11</v>
      </c>
      <c r="EN12" s="16" t="s">
        <v>892</v>
      </c>
      <c r="ET12" s="16" t="str">
        <f>+IF('Liste des Libellés'!A28=0,"",'Liste des Libellés'!A28)</f>
        <v/>
      </c>
      <c r="EU12" s="16" t="str">
        <f>+IF('Liste des Libellés'!B28=0,"",'Liste des Libellés'!B28)</f>
        <v/>
      </c>
      <c r="FB12" s="16" t="str">
        <f t="shared" si="11"/>
        <v/>
      </c>
      <c r="FC12" s="16" t="str">
        <f t="shared" si="12"/>
        <v/>
      </c>
      <c r="FD12" s="30">
        <f>+Base!$A$7</f>
        <v>45717</v>
      </c>
      <c r="FE12" s="30" t="str">
        <f>+IFERROR(VLOOKUP(FD12,BDD,79,FALSE),"")</f>
        <v/>
      </c>
      <c r="FF12" s="30" t="str">
        <f>IFERROR(+VLOOKUP(FD12,BDD,80,FALSE),"")</f>
        <v/>
      </c>
      <c r="FG12" s="30" t="str">
        <f>+IFERROR(VLOOKUP(FD12,BDD,81,FALSE),"")</f>
        <v/>
      </c>
      <c r="FH12" s="30" t="str">
        <f>+IFERROR(VLOOKUP(FD12,BDD,82,FALSE),"")</f>
        <v/>
      </c>
      <c r="FL12" s="16" t="s">
        <v>551</v>
      </c>
      <c r="FM12" s="16" t="s">
        <v>839</v>
      </c>
      <c r="FW12" s="16" t="str">
        <f>Janvier!GB29</f>
        <v>22025</v>
      </c>
      <c r="FX12" s="16">
        <f>Janvier!GC29</f>
        <v>0</v>
      </c>
      <c r="GG12" s="30">
        <f>+Régularisation!$AE$7</f>
        <v>45931</v>
      </c>
      <c r="GH12" s="16">
        <f>+Régularisation!$AG$96</f>
        <v>0</v>
      </c>
      <c r="GL12" s="30">
        <f>+'Retenue Oct'!D13</f>
        <v>45931</v>
      </c>
      <c r="GQ12" s="58">
        <f>+'Retenue Oct'!BJ53</f>
        <v>0</v>
      </c>
      <c r="GR12" s="58">
        <f>+'Retenue Oct'!BJ61</f>
        <v>0</v>
      </c>
      <c r="GS12" s="58">
        <f>+'Retenue Oct'!BJ56</f>
        <v>0</v>
      </c>
      <c r="GT12" s="58">
        <f>+'Retenue Oct'!BJ64</f>
        <v>0</v>
      </c>
      <c r="GU12" s="58">
        <f t="shared" si="15"/>
        <v>0</v>
      </c>
      <c r="GV12" s="58">
        <f t="shared" si="15"/>
        <v>0</v>
      </c>
    </row>
    <row r="13" spans="1:211 16375:16375" x14ac:dyDescent="0.2">
      <c r="A13" s="16" t="s">
        <v>270</v>
      </c>
      <c r="C13" s="27"/>
      <c r="D13" s="27"/>
      <c r="F13" s="34"/>
      <c r="G13" s="16">
        <f t="shared" si="5"/>
        <v>0</v>
      </c>
      <c r="L13" s="16" t="s">
        <v>427</v>
      </c>
      <c r="P13" s="16" t="s">
        <v>767</v>
      </c>
      <c r="Z13" s="16" t="s">
        <v>767</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892</v>
      </c>
      <c r="CJ13" s="16">
        <v>11</v>
      </c>
      <c r="CK13" s="16">
        <v>2025</v>
      </c>
      <c r="CY13" s="16" t="str">
        <f t="shared" si="8"/>
        <v>Fiche info Avenant 7</v>
      </c>
      <c r="DB13" s="749">
        <f>DATE(YEAR(DB2),MONTH(DB2)+11,DAY(DB2))</f>
        <v>45992</v>
      </c>
      <c r="DC13" s="16">
        <f>+Décembre!$DP$8</f>
        <v>0</v>
      </c>
      <c r="DE13" s="863">
        <f>DATE(YEAR(DE2),MONTH(DE2)+11,DAY(DE2))</f>
        <v>45992</v>
      </c>
      <c r="DH13" s="749">
        <f>DATE(YEAR(DH3),MONTH(DH3)+10,DAY(DH3))</f>
        <v>45962</v>
      </c>
      <c r="DI13" s="866" t="str">
        <f t="shared" si="17"/>
        <v>Fiche info</v>
      </c>
      <c r="DJ13" s="866" t="str">
        <f t="shared" si="16"/>
        <v/>
      </c>
      <c r="DK13" s="16">
        <f>+IF((DATE(YEAR(Novembre!AJ4),MONTH(Novembre!AJ4),1)=DATE(YEAR(Novembre!X3),MONTH(Novembre!X3),1)),S.CAL!P4,99)</f>
        <v>99</v>
      </c>
      <c r="DL13" s="16">
        <f t="shared" si="9"/>
        <v>99</v>
      </c>
      <c r="DM13" s="16">
        <f>IF(Novembre!$BZ$2=0,99,Novembre!$BZ$2)</f>
        <v>99</v>
      </c>
      <c r="DN13" s="16" t="str">
        <f t="shared" si="14"/>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49"/>
      <c r="ED13" s="749"/>
      <c r="EE13" s="16">
        <f t="shared" si="0"/>
        <v>0</v>
      </c>
      <c r="EF13" s="16">
        <f t="shared" si="1"/>
        <v>0</v>
      </c>
      <c r="EG13" s="16">
        <f t="shared" si="2"/>
        <v>0</v>
      </c>
      <c r="EH13" s="16">
        <f t="shared" si="3"/>
        <v>0</v>
      </c>
      <c r="EI13" s="16">
        <f t="shared" si="4"/>
        <v>0</v>
      </c>
      <c r="EM13" s="16">
        <v>12</v>
      </c>
      <c r="EN13" s="16" t="s">
        <v>893</v>
      </c>
      <c r="ET13" s="16" t="str">
        <f>+IF('Liste des Libellés'!A29=0,"",'Liste des Libellés'!A29)</f>
        <v/>
      </c>
      <c r="EU13" s="16" t="str">
        <f>+IF('Liste des Libellés'!B29=0,"",'Liste des Libellés'!B29)</f>
        <v/>
      </c>
      <c r="FB13" s="16" t="str">
        <f t="shared" si="11"/>
        <v/>
      </c>
      <c r="FC13" s="16" t="str">
        <f t="shared" si="12"/>
        <v/>
      </c>
      <c r="FD13" s="30">
        <f>+Base!$A$7</f>
        <v>45717</v>
      </c>
      <c r="FE13" s="30" t="str">
        <f>+IFERROR(VLOOKUP(FD13,BDD,83,FALSE),"")</f>
        <v/>
      </c>
      <c r="FF13" s="30" t="str">
        <f>+IFERROR(VLOOKUP(FD13,BDD,84,FALSE),"")</f>
        <v/>
      </c>
      <c r="FG13" s="30" t="str">
        <f>+IFERROR(VLOOKUP(FD13,BDD,85,FALSE),"")</f>
        <v/>
      </c>
      <c r="FH13" s="30" t="str">
        <f>+IFERROR(VLOOKUP(FD13,BDD,86,FALSE),"")</f>
        <v/>
      </c>
      <c r="FL13" s="16" t="s">
        <v>767</v>
      </c>
      <c r="FM13" s="16" t="s">
        <v>840</v>
      </c>
      <c r="FW13" s="16" t="str">
        <f>Janvier!GB30</f>
        <v>22025</v>
      </c>
      <c r="FX13" s="16">
        <f>Janvier!GC30</f>
        <v>0</v>
      </c>
      <c r="GG13" s="30">
        <f>+Régularisation!$AH$7</f>
        <v>45962</v>
      </c>
      <c r="GH13" s="16">
        <f>+Régularisation!$AJ$96</f>
        <v>0</v>
      </c>
      <c r="GL13" s="30">
        <f>+'Retenue Nov'!D13</f>
        <v>45962</v>
      </c>
      <c r="GQ13" s="58">
        <f>+'Retenue Nov'!BJ53</f>
        <v>0</v>
      </c>
      <c r="GR13" s="58">
        <f>+'Retenue Nov'!BJ61</f>
        <v>0</v>
      </c>
      <c r="GS13" s="58">
        <f>+'Retenue Nov'!BJ56</f>
        <v>0</v>
      </c>
      <c r="GT13" s="58">
        <f>+'Retenue Nov'!BJ64</f>
        <v>0</v>
      </c>
      <c r="GU13" s="58">
        <f t="shared" si="15"/>
        <v>0</v>
      </c>
      <c r="GV13" s="58">
        <f t="shared" si="15"/>
        <v>0</v>
      </c>
    </row>
    <row r="14" spans="1:211 16375:16375" x14ac:dyDescent="0.2">
      <c r="A14" s="16" t="s">
        <v>271</v>
      </c>
      <c r="C14" s="27"/>
      <c r="D14" s="27"/>
      <c r="F14" s="34"/>
      <c r="G14" s="16">
        <f t="shared" si="5"/>
        <v>0</v>
      </c>
      <c r="L14" s="16" t="s">
        <v>428</v>
      </c>
      <c r="P14" s="16" t="s">
        <v>768</v>
      </c>
      <c r="Z14" s="16" t="s">
        <v>768</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893</v>
      </c>
      <c r="CJ14" s="16">
        <v>12</v>
      </c>
      <c r="CK14" s="16">
        <v>2026</v>
      </c>
      <c r="CY14" s="16" t="str">
        <f t="shared" si="8"/>
        <v>Fiche info Avenant 8</v>
      </c>
      <c r="DH14" s="749">
        <f>DATE(YEAR(DH3),MONTH(DH3)+11,DAY(DH3))</f>
        <v>45992</v>
      </c>
      <c r="DI14" s="866" t="str">
        <f t="shared" si="17"/>
        <v>Fiche info</v>
      </c>
      <c r="DJ14" s="866" t="str">
        <f t="shared" si="16"/>
        <v/>
      </c>
      <c r="DK14" s="16">
        <f>+IF((DATE(YEAR(Décembre!AJ4),MONTH(Décembre!AJ4),1)=DATE(YEAR(Décembre!X3),MONTH(Décembre!X3),1)),S.CAL!P4,99)</f>
        <v>99</v>
      </c>
      <c r="DL14" s="16">
        <f t="shared" si="9"/>
        <v>99</v>
      </c>
      <c r="DM14" s="16">
        <f>IF(Décembre!$BZ$2=0,99,Décembre!$BZ$2)</f>
        <v>99</v>
      </c>
      <c r="DN14" s="16" t="str">
        <f t="shared" si="14"/>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45748</v>
      </c>
      <c r="FE14" s="30" t="str">
        <f>+IFERROR(VLOOKUP(FD14,BDD,71,FALSE),"")</f>
        <v/>
      </c>
      <c r="FF14" s="30" t="str">
        <f>IFERROR(+VLOOKUP(FD14,BDD,72,FALSE),"")</f>
        <v/>
      </c>
      <c r="FG14" s="30" t="str">
        <f>+IFERROR(VLOOKUP(FD14,BDD,73,FALSE),"")</f>
        <v/>
      </c>
      <c r="FH14" s="30" t="str">
        <f>+IFERROR(VLOOKUP(FD14,BDD,74,FALSE),"")</f>
        <v/>
      </c>
      <c r="FL14" s="16" t="s">
        <v>768</v>
      </c>
      <c r="FM14" s="16" t="s">
        <v>840</v>
      </c>
      <c r="FW14" s="16" t="str">
        <f>Janvier!GB31</f>
        <v>22025</v>
      </c>
      <c r="FX14" s="16">
        <f>Janvier!GC31</f>
        <v>0</v>
      </c>
      <c r="GG14" s="30">
        <f>+Régularisation!$AK$7</f>
        <v>45992</v>
      </c>
      <c r="GH14" s="16">
        <f>+Régularisation!$AM$96</f>
        <v>0</v>
      </c>
      <c r="GL14" s="30">
        <f>+'Retenue Déc'!D13</f>
        <v>45992</v>
      </c>
      <c r="GQ14" s="58">
        <f>+'Retenue Déc'!BJ53</f>
        <v>0</v>
      </c>
      <c r="GR14" s="58">
        <f>+'Retenue Déc'!BJ61</f>
        <v>0</v>
      </c>
      <c r="GS14" s="58">
        <f>+'Retenue Déc'!BJ56</f>
        <v>0</v>
      </c>
      <c r="GT14" s="58">
        <f>+'Retenue Déc'!BJ64</f>
        <v>0</v>
      </c>
      <c r="GU14" s="58">
        <f t="shared" si="15"/>
        <v>0</v>
      </c>
      <c r="GV14" s="58">
        <f t="shared" si="15"/>
        <v>0</v>
      </c>
    </row>
    <row r="15" spans="1:211 16375:16375" x14ac:dyDescent="0.2">
      <c r="A15" s="16" t="s">
        <v>272</v>
      </c>
      <c r="C15" s="27"/>
      <c r="D15" s="27"/>
      <c r="F15" s="34"/>
      <c r="G15" s="16">
        <f t="shared" si="5"/>
        <v>0</v>
      </c>
      <c r="L15" s="16" t="s">
        <v>429</v>
      </c>
      <c r="P15" s="16" t="s">
        <v>769</v>
      </c>
      <c r="Z15" s="16" t="s">
        <v>769</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45748</v>
      </c>
      <c r="FE15" s="30" t="str">
        <f>+IFERROR(VLOOKUP(FD15,BDD,75,FALSE),"")</f>
        <v/>
      </c>
      <c r="FF15" s="30" t="str">
        <f>+IFERROR(VLOOKUP(FD15,BDD,76,FALSE),"")</f>
        <v/>
      </c>
      <c r="FG15" s="30" t="str">
        <f>IFERROR(+VLOOKUP(FD15,BDD,77,FALSE),"")</f>
        <v/>
      </c>
      <c r="FH15" s="30" t="str">
        <f>+IFERROR(VLOOKUP(FD15,BDD,78,FALSE),"")</f>
        <v/>
      </c>
      <c r="FL15" s="16" t="s">
        <v>769</v>
      </c>
      <c r="FM15" s="16" t="s">
        <v>840</v>
      </c>
      <c r="FW15" s="16" t="str">
        <f>Janvier!GB32</f>
        <v>32025</v>
      </c>
      <c r="FX15" s="16">
        <f>Janvier!GC32</f>
        <v>0</v>
      </c>
    </row>
    <row r="16" spans="1:211 16375:16375" x14ac:dyDescent="0.2">
      <c r="A16" s="16" t="s">
        <v>273</v>
      </c>
      <c r="C16" s="27"/>
      <c r="D16" s="27"/>
      <c r="F16" s="34"/>
      <c r="G16" s="16">
        <f t="shared" si="5"/>
        <v>0</v>
      </c>
      <c r="L16" s="16" t="s">
        <v>430</v>
      </c>
      <c r="P16" s="16" t="s">
        <v>770</v>
      </c>
      <c r="Z16" s="16" t="s">
        <v>770</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45748</v>
      </c>
      <c r="FE16" s="30" t="str">
        <f>+IFERROR(VLOOKUP(FD16,BDD,79,FALSE),"")</f>
        <v/>
      </c>
      <c r="FF16" s="30" t="str">
        <f>IFERROR(+VLOOKUP(FD16,BDD,80,FALSE),"")</f>
        <v/>
      </c>
      <c r="FG16" s="30" t="str">
        <f>+IFERROR(VLOOKUP(FD16,BDD,81,FALSE),"")</f>
        <v/>
      </c>
      <c r="FH16" s="30" t="str">
        <f>+IFERROR(VLOOKUP(FD16,BDD,82,FALSE),"")</f>
        <v/>
      </c>
      <c r="FL16" s="16" t="s">
        <v>770</v>
      </c>
      <c r="FM16" s="16" t="s">
        <v>840</v>
      </c>
      <c r="FW16" s="16" t="str">
        <f>Janvier!GB33</f>
        <v>32025</v>
      </c>
      <c r="FX16" s="16">
        <f>Janvier!GC33</f>
        <v>0</v>
      </c>
    </row>
    <row r="17" spans="1:180" x14ac:dyDescent="0.2">
      <c r="A17" s="16" t="s">
        <v>274</v>
      </c>
      <c r="C17" s="27"/>
      <c r="D17" s="27"/>
      <c r="F17" s="34"/>
      <c r="G17" s="16">
        <f t="shared" si="5"/>
        <v>0</v>
      </c>
      <c r="L17" s="16" t="s">
        <v>431</v>
      </c>
      <c r="P17" s="16" t="s">
        <v>771</v>
      </c>
      <c r="Z17" s="16" t="s">
        <v>771</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45748</v>
      </c>
      <c r="FE17" s="30" t="str">
        <f>+IFERROR(VLOOKUP(FD17,BDD,83,FALSE),"")</f>
        <v/>
      </c>
      <c r="FF17" s="30" t="str">
        <f>+IFERROR(VLOOKUP(FD17,BDD,84,FALSE),"")</f>
        <v/>
      </c>
      <c r="FG17" s="30" t="str">
        <f>+IFERROR(VLOOKUP(FD17,BDD,85,FALSE),"")</f>
        <v/>
      </c>
      <c r="FH17" s="30" t="str">
        <f>+IFERROR(VLOOKUP(FD17,BDD,86,FALSE),"")</f>
        <v/>
      </c>
      <c r="FL17" s="16" t="s">
        <v>771</v>
      </c>
      <c r="FM17" s="16" t="s">
        <v>840</v>
      </c>
      <c r="FW17" s="16" t="str">
        <f>Janvier!GB34</f>
        <v>32025</v>
      </c>
      <c r="FX17" s="16">
        <f>Janvier!GC34</f>
        <v>0</v>
      </c>
    </row>
    <row r="18" spans="1:180" x14ac:dyDescent="0.2">
      <c r="A18" s="16" t="s">
        <v>275</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45778</v>
      </c>
      <c r="FE18" s="30" t="str">
        <f>+IFERROR(VLOOKUP(FD18,BDD,71,FALSE),"")</f>
        <v/>
      </c>
      <c r="FF18" s="30" t="str">
        <f>IFERROR(+VLOOKUP(FD18,BDD,72,FALSE),"")</f>
        <v/>
      </c>
      <c r="FG18" s="30" t="str">
        <f>+IFERROR(VLOOKUP(FD18,BDD,73,FALSE),"")</f>
        <v/>
      </c>
      <c r="FH18" s="30" t="str">
        <f>+IFERROR(VLOOKUP(FD18,BDD,74,FALSE),"")</f>
        <v/>
      </c>
      <c r="FW18" s="16" t="str">
        <f>Janvier!GB35</f>
        <v>32025</v>
      </c>
      <c r="FX18" s="16">
        <f>Janvier!GC35</f>
        <v>0</v>
      </c>
    </row>
    <row r="19" spans="1:180" x14ac:dyDescent="0.2">
      <c r="A19" s="16" t="s">
        <v>276</v>
      </c>
      <c r="C19" s="27"/>
      <c r="D19" s="27"/>
      <c r="F19" s="34"/>
      <c r="G19" s="16">
        <f t="shared" si="5"/>
        <v>0</v>
      </c>
      <c r="L19" s="16" t="str">
        <f t="shared" ref="L19:L25" si="18">+$P$4&amp;N3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45778</v>
      </c>
      <c r="FE19" s="30" t="str">
        <f>+IFERROR(VLOOKUP(FD19,BDD,75,FALSE),"")</f>
        <v/>
      </c>
      <c r="FF19" s="30" t="str">
        <f>+IFERROR(VLOOKUP(FD19,BDD,76,FALSE),"")</f>
        <v/>
      </c>
      <c r="FG19" s="30" t="str">
        <f>IFERROR(+VLOOKUP(FD19,BDD,77,FALSE),"")</f>
        <v/>
      </c>
      <c r="FH19" s="30" t="str">
        <f>+IFERROR(VLOOKUP(FD19,BDD,78,FALSE),"")</f>
        <v/>
      </c>
      <c r="FW19" s="16" t="str">
        <f>Janvier!GB36</f>
        <v>32025</v>
      </c>
      <c r="FX19" s="16">
        <f>Janvier!GC36</f>
        <v>0</v>
      </c>
    </row>
    <row r="20" spans="1:180" x14ac:dyDescent="0.2">
      <c r="A20" s="16" t="s">
        <v>277</v>
      </c>
      <c r="C20" s="27"/>
      <c r="D20" s="27"/>
      <c r="F20" s="34"/>
      <c r="G20" s="16">
        <f t="shared" si="5"/>
        <v>0</v>
      </c>
      <c r="L20" s="16" t="str">
        <f t="shared" si="18"/>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45778</v>
      </c>
      <c r="FE20" s="30" t="str">
        <f>+IFERROR(VLOOKUP(FD20,BDD,79,FALSE),"")</f>
        <v/>
      </c>
      <c r="FF20" s="30" t="str">
        <f>IFERROR(+VLOOKUP(FD20,BDD,80,FALSE),"")</f>
        <v/>
      </c>
      <c r="FG20" s="30" t="str">
        <f>+IFERROR(VLOOKUP(FD20,BDD,81,FALSE),"")</f>
        <v/>
      </c>
      <c r="FH20" s="30" t="str">
        <f>+IFERROR(VLOOKUP(FD20,BDD,82,FALSE),"")</f>
        <v/>
      </c>
      <c r="FW20" s="16" t="str">
        <f>Janvier!GB37</f>
        <v>32025</v>
      </c>
      <c r="FX20" s="16">
        <f>Janvier!GC37</f>
        <v>0</v>
      </c>
    </row>
    <row r="21" spans="1:180" x14ac:dyDescent="0.2">
      <c r="A21" s="16" t="s">
        <v>278</v>
      </c>
      <c r="C21" s="27"/>
      <c r="D21" s="27"/>
      <c r="F21" s="34"/>
      <c r="G21" s="16">
        <f t="shared" si="5"/>
        <v>0</v>
      </c>
      <c r="L21" s="16" t="str">
        <f t="shared" si="18"/>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45778</v>
      </c>
      <c r="FE21" s="30" t="str">
        <f>+IFERROR(VLOOKUP(FD21,BDD,83,FALSE),"")</f>
        <v/>
      </c>
      <c r="FF21" s="30" t="str">
        <f>+IFERROR(VLOOKUP(FD21,BDD,84,FALSE),"")</f>
        <v/>
      </c>
      <c r="FG21" s="30" t="str">
        <f>+IFERROR(VLOOKUP(FD21,BDD,85,FALSE),"")</f>
        <v/>
      </c>
      <c r="FH21" s="30" t="str">
        <f>+IFERROR(VLOOKUP(FD21,BDD,86,FALSE),"")</f>
        <v/>
      </c>
      <c r="FW21" s="16" t="str">
        <f>Janvier!GB38</f>
        <v>32025</v>
      </c>
      <c r="FX21" s="16">
        <f>Janvier!GC38</f>
        <v>0</v>
      </c>
    </row>
    <row r="22" spans="1:180" x14ac:dyDescent="0.2">
      <c r="A22" s="16" t="s">
        <v>279</v>
      </c>
      <c r="C22" s="27"/>
      <c r="D22" s="27"/>
      <c r="F22" s="34"/>
      <c r="G22" s="16">
        <f t="shared" si="5"/>
        <v>0</v>
      </c>
      <c r="L22" s="16" t="str">
        <f t="shared" si="18"/>
        <v>Fiche infoESem</v>
      </c>
      <c r="M22" s="16">
        <f>IF('Fiche info'!$BC$19=0,0,'Fiche info'!$BC$19)</f>
        <v>0</v>
      </c>
      <c r="BX22" s="16" t="str">
        <f t="shared" si="6"/>
        <v>A préciserC7</v>
      </c>
      <c r="CK22" s="16">
        <v>2034</v>
      </c>
      <c r="DJ22" s="868"/>
      <c r="EE22" s="16">
        <f t="shared" si="0"/>
        <v>0</v>
      </c>
      <c r="EF22" s="16">
        <f t="shared" si="1"/>
        <v>0</v>
      </c>
      <c r="EG22" s="16">
        <f t="shared" si="2"/>
        <v>0</v>
      </c>
      <c r="EH22" s="16">
        <f t="shared" si="3"/>
        <v>0</v>
      </c>
      <c r="EI22" s="16">
        <f t="shared" si="4"/>
        <v>0</v>
      </c>
      <c r="FB22" s="16" t="str">
        <f t="shared" si="11"/>
        <v/>
      </c>
      <c r="FC22" s="16" t="str">
        <f t="shared" si="12"/>
        <v/>
      </c>
      <c r="FD22" s="30">
        <f>+Base!$A$10</f>
        <v>45809</v>
      </c>
      <c r="FE22" s="30" t="str">
        <f>+IFERROR(VLOOKUP(FD22,BDD,71,FALSE),"")</f>
        <v/>
      </c>
      <c r="FF22" s="30" t="str">
        <f>IFERROR(+VLOOKUP(FD22,BDD,72,FALSE),"")</f>
        <v/>
      </c>
      <c r="FG22" s="30" t="str">
        <f>+IFERROR(VLOOKUP(FD22,BDD,73,FALSE),"")</f>
        <v/>
      </c>
      <c r="FH22" s="30" t="str">
        <f>+IFERROR(VLOOKUP(FD22,BDD,74,FALSE),"")</f>
        <v/>
      </c>
      <c r="FW22" s="16" t="str">
        <f>Janvier!GB39</f>
        <v>42025</v>
      </c>
      <c r="FX22" s="16">
        <f>Janvier!GC39</f>
        <v>0</v>
      </c>
    </row>
    <row r="23" spans="1:180" x14ac:dyDescent="0.2">
      <c r="A23" s="16" t="s">
        <v>280</v>
      </c>
      <c r="C23" s="27"/>
      <c r="D23" s="27"/>
      <c r="F23" s="34"/>
      <c r="G23" s="16">
        <f t="shared" si="5"/>
        <v>0</v>
      </c>
      <c r="L23" s="16" t="str">
        <f t="shared" si="18"/>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45809</v>
      </c>
      <c r="FE23" s="30" t="str">
        <f>+IFERROR(VLOOKUP(FD23,BDD,75,FALSE),"")</f>
        <v/>
      </c>
      <c r="FF23" s="30" t="str">
        <f>+IFERROR(VLOOKUP(FD23,BDD,76,FALSE),"")</f>
        <v/>
      </c>
      <c r="FG23" s="30" t="str">
        <f>IFERROR(+VLOOKUP(FD23,BDD,77,FALSE),"")</f>
        <v/>
      </c>
      <c r="FH23" s="30" t="str">
        <f>+IFERROR(VLOOKUP(FD23,BDD,78,FALSE),"")</f>
        <v/>
      </c>
      <c r="FW23" s="16" t="str">
        <f>Janvier!GB40</f>
        <v>42025</v>
      </c>
      <c r="FX23" s="16">
        <f>Janvier!GC40</f>
        <v>0</v>
      </c>
    </row>
    <row r="24" spans="1:180" x14ac:dyDescent="0.2">
      <c r="A24" s="16" t="s">
        <v>281</v>
      </c>
      <c r="C24" s="27"/>
      <c r="D24" s="27"/>
      <c r="F24" s="34"/>
      <c r="G24" s="16">
        <f t="shared" si="5"/>
        <v>0</v>
      </c>
      <c r="L24" s="16" t="str">
        <f t="shared" si="18"/>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45809</v>
      </c>
      <c r="FE24" s="30" t="str">
        <f>+IFERROR(VLOOKUP(FD24,BDD,79,FALSE),"")</f>
        <v/>
      </c>
      <c r="FF24" s="30" t="str">
        <f>IFERROR(+VLOOKUP(FD24,BDD,80,FALSE),"")</f>
        <v/>
      </c>
      <c r="FG24" s="30" t="str">
        <f>+IFERROR(VLOOKUP(FD24,BDD,81,FALSE),"")</f>
        <v/>
      </c>
      <c r="FH24" s="30" t="str">
        <f>+IFERROR(VLOOKUP(FD24,BDD,82,FALSE),"")</f>
        <v/>
      </c>
      <c r="FW24" s="16" t="str">
        <f>Janvier!GB41</f>
        <v>42025</v>
      </c>
      <c r="FX24" s="16">
        <f>Janvier!GC41</f>
        <v>0</v>
      </c>
    </row>
    <row r="25" spans="1:180" x14ac:dyDescent="0.2">
      <c r="A25" s="16" t="s">
        <v>282</v>
      </c>
      <c r="C25" s="27"/>
      <c r="D25" s="27"/>
      <c r="F25" s="34"/>
      <c r="G25" s="16">
        <f t="shared" si="5"/>
        <v>0</v>
      </c>
      <c r="L25" s="16" t="str">
        <f t="shared" si="18"/>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45809</v>
      </c>
      <c r="FE25" s="30" t="str">
        <f>+IFERROR(VLOOKUP(FD25,BDD,83,FALSE),"")</f>
        <v/>
      </c>
      <c r="FF25" s="30" t="str">
        <f>+IFERROR(VLOOKUP(FD25,BDD,84,FALSE),"")</f>
        <v/>
      </c>
      <c r="FG25" s="30" t="str">
        <f>+IFERROR(VLOOKUP(FD25,BDD,85,FALSE),"")</f>
        <v/>
      </c>
      <c r="FH25" s="30" t="str">
        <f>+IFERROR(VLOOKUP(FD25,BDD,86,FALSE),"")</f>
        <v/>
      </c>
      <c r="FW25" s="16" t="str">
        <f>Janvier!GB42</f>
        <v>42025</v>
      </c>
      <c r="FX25" s="16">
        <f>Janvier!GC42</f>
        <v>0</v>
      </c>
    </row>
    <row r="26" spans="1:180" x14ac:dyDescent="0.2">
      <c r="A26" s="16" t="s">
        <v>283</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45839</v>
      </c>
      <c r="FE26" s="30" t="str">
        <f>+IFERROR(VLOOKUP(FD26,BDD,71,FALSE),"")</f>
        <v/>
      </c>
      <c r="FF26" s="30" t="str">
        <f>IFERROR(+VLOOKUP(FD26,BDD,72,FALSE),"")</f>
        <v/>
      </c>
      <c r="FG26" s="30" t="str">
        <f>+IFERROR(VLOOKUP(FD26,BDD,73,FALSE),"")</f>
        <v/>
      </c>
      <c r="FH26" s="30" t="str">
        <f>+IFERROR(VLOOKUP(FD26,BDD,74,FALSE),"")</f>
        <v/>
      </c>
      <c r="FW26" s="16" t="str">
        <f>Janvier!GB43</f>
        <v>42025</v>
      </c>
      <c r="FX26" s="16">
        <f>Janvier!GC43</f>
        <v>0</v>
      </c>
    </row>
    <row r="27" spans="1:180" x14ac:dyDescent="0.2">
      <c r="A27" s="16" t="s">
        <v>284</v>
      </c>
      <c r="C27" s="27"/>
      <c r="D27" s="27"/>
      <c r="F27" s="34"/>
      <c r="G27" s="16">
        <f t="shared" si="5"/>
        <v>0</v>
      </c>
      <c r="L27" s="16" t="str">
        <f t="shared" ref="L27:L33" si="19">+$P$5&amp;N3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45839</v>
      </c>
      <c r="FE27" s="30" t="str">
        <f>+IFERROR(VLOOKUP(FD27,BDD,75,FALSE),"")</f>
        <v/>
      </c>
      <c r="FF27" s="30" t="str">
        <f>+IFERROR(VLOOKUP(FD27,BDD,76,FALSE),"")</f>
        <v/>
      </c>
      <c r="FG27" s="30" t="str">
        <f>IFERROR(+VLOOKUP(FD27,BDD,77,FALSE),"")</f>
        <v/>
      </c>
      <c r="FH27" s="30" t="str">
        <f>+IFERROR(VLOOKUP(FD27,BDD,78,FALSE),"")</f>
        <v/>
      </c>
      <c r="FW27" s="16" t="str">
        <f>Janvier!GB44</f>
        <v>42025</v>
      </c>
      <c r="FX27" s="16">
        <f>Janvier!GC44</f>
        <v>0</v>
      </c>
    </row>
    <row r="28" spans="1:180" x14ac:dyDescent="0.2">
      <c r="A28" s="16" t="s">
        <v>285</v>
      </c>
      <c r="C28" s="27"/>
      <c r="D28" s="27"/>
      <c r="G28" s="16">
        <f t="shared" si="5"/>
        <v>0</v>
      </c>
      <c r="L28" s="16" t="str">
        <f t="shared" si="19"/>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45839</v>
      </c>
      <c r="FE28" s="30" t="str">
        <f>+IFERROR(VLOOKUP(FD28,BDD,79,FALSE),"")</f>
        <v/>
      </c>
      <c r="FF28" s="30" t="str">
        <f>IFERROR(+VLOOKUP(FD28,BDD,80,FALSE),"")</f>
        <v/>
      </c>
      <c r="FG28" s="30" t="str">
        <f>+IFERROR(VLOOKUP(FD28,BDD,81,FALSE),"")</f>
        <v/>
      </c>
      <c r="FH28" s="30" t="str">
        <f>+IFERROR(VLOOKUP(FD28,BDD,82,FALSE),"")</f>
        <v/>
      </c>
      <c r="FW28" s="16" t="str">
        <f>Janvier!GB45</f>
        <v>42025</v>
      </c>
      <c r="FX28" s="16">
        <f>Janvier!GC45</f>
        <v>0</v>
      </c>
    </row>
    <row r="29" spans="1:180" x14ac:dyDescent="0.2">
      <c r="A29" s="16" t="s">
        <v>286</v>
      </c>
      <c r="C29" s="27"/>
      <c r="D29" s="27"/>
      <c r="F29" s="34"/>
      <c r="G29" s="16">
        <f t="shared" si="5"/>
        <v>0</v>
      </c>
      <c r="L29" s="16" t="str">
        <f t="shared" si="19"/>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45839</v>
      </c>
      <c r="FE29" s="30" t="str">
        <f>+IFERROR(VLOOKUP(FD29,BDD,83,FALSE),"")</f>
        <v/>
      </c>
      <c r="FF29" s="30" t="str">
        <f>+IFERROR(VLOOKUP(FD29,BDD,84,FALSE),"")</f>
        <v/>
      </c>
      <c r="FG29" s="30" t="str">
        <f>+IFERROR(VLOOKUP(FD29,BDD,85,FALSE),"")</f>
        <v/>
      </c>
      <c r="FH29" s="30" t="str">
        <f>+IFERROR(VLOOKUP(FD29,BDD,86,FALSE),"")</f>
        <v/>
      </c>
      <c r="FW29" s="16" t="str">
        <f>Janvier!GB46</f>
        <v>52025</v>
      </c>
      <c r="FX29" s="16">
        <f>Janvier!GC46</f>
        <v>0</v>
      </c>
    </row>
    <row r="30" spans="1:180" x14ac:dyDescent="0.2">
      <c r="A30" s="16" t="s">
        <v>287</v>
      </c>
      <c r="C30" s="27"/>
      <c r="D30" s="27"/>
      <c r="F30" s="34"/>
      <c r="G30" s="16">
        <f t="shared" si="5"/>
        <v>0</v>
      </c>
      <c r="L30" s="16" t="str">
        <f t="shared" si="19"/>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45870</v>
      </c>
      <c r="FE30" s="30" t="str">
        <f>+IFERROR(VLOOKUP(FD30,BDD,71,FALSE),"")</f>
        <v/>
      </c>
      <c r="FF30" s="30" t="str">
        <f>IFERROR(+VLOOKUP(FD30,BDD,72,FALSE),"")</f>
        <v/>
      </c>
      <c r="FG30" s="30" t="str">
        <f>+IFERROR(VLOOKUP(FD30,BDD,73,FALSE),"")</f>
        <v/>
      </c>
      <c r="FH30" s="30" t="str">
        <f>+IFERROR(VLOOKUP(FD30,BDD,74,FALSE),"")</f>
        <v/>
      </c>
      <c r="FW30" s="16" t="str">
        <f>Janvier!GB47</f>
        <v>52025</v>
      </c>
      <c r="FX30" s="16">
        <f>Janvier!GC47</f>
        <v>0</v>
      </c>
    </row>
    <row r="31" spans="1:180" x14ac:dyDescent="0.2">
      <c r="A31" s="16" t="s">
        <v>288</v>
      </c>
      <c r="C31" s="27"/>
      <c r="D31" s="27"/>
      <c r="F31" s="34"/>
      <c r="G31" s="16">
        <f t="shared" si="5"/>
        <v>0</v>
      </c>
      <c r="L31" s="16" t="str">
        <f t="shared" si="19"/>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45870</v>
      </c>
      <c r="FE31" s="30" t="str">
        <f>+IFERROR(VLOOKUP(FD31,BDD,75,FALSE),"")</f>
        <v/>
      </c>
      <c r="FF31" s="30" t="str">
        <f>+IFERROR(VLOOKUP(FD31,BDD,76,FALSE),"")</f>
        <v/>
      </c>
      <c r="FG31" s="30" t="str">
        <f>IFERROR(+VLOOKUP(FD31,BDD,77,FALSE),"")</f>
        <v/>
      </c>
      <c r="FH31" s="30" t="str">
        <f>+IFERROR(VLOOKUP(FD31,BDD,78,FALSE),"")</f>
        <v/>
      </c>
      <c r="FW31" s="16" t="str">
        <f>Janvier!GB48</f>
        <v>52025</v>
      </c>
      <c r="FX31" s="16">
        <f>Janvier!GC48</f>
        <v>0</v>
      </c>
    </row>
    <row r="32" spans="1:180" x14ac:dyDescent="0.2">
      <c r="A32" s="16" t="s">
        <v>289</v>
      </c>
      <c r="C32" s="27"/>
      <c r="D32" s="27"/>
      <c r="F32" s="34"/>
      <c r="G32" s="16">
        <f t="shared" si="5"/>
        <v>0</v>
      </c>
      <c r="L32" s="16" t="str">
        <f t="shared" si="19"/>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45870</v>
      </c>
      <c r="FE32" s="30" t="str">
        <f>+IFERROR(VLOOKUP(FD32,BDD,79,FALSE),"")</f>
        <v/>
      </c>
      <c r="FF32" s="30" t="str">
        <f>IFERROR(+VLOOKUP(FD32,BDD,80,FALSE),"")</f>
        <v/>
      </c>
      <c r="FG32" s="30" t="str">
        <f>+IFERROR(VLOOKUP(FD32,BDD,81,FALSE),"")</f>
        <v/>
      </c>
      <c r="FH32" s="30" t="str">
        <f>+IFERROR(VLOOKUP(FD32,BDD,82,FALSE),"")</f>
        <v/>
      </c>
      <c r="FW32" s="16" t="str">
        <f>Janvier!GB49</f>
        <v>52025</v>
      </c>
      <c r="FX32" s="16">
        <f>Janvier!GC49</f>
        <v>0</v>
      </c>
    </row>
    <row r="33" spans="1:180" x14ac:dyDescent="0.2">
      <c r="A33" s="16" t="s">
        <v>290</v>
      </c>
      <c r="C33" s="27"/>
      <c r="D33" s="27"/>
      <c r="F33" s="34"/>
      <c r="G33" s="16">
        <f t="shared" si="5"/>
        <v>0</v>
      </c>
      <c r="L33" s="16" t="str">
        <f t="shared" si="19"/>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45870</v>
      </c>
      <c r="FE33" s="30" t="str">
        <f>+IFERROR(VLOOKUP(FD33,BDD,83,FALSE),"")</f>
        <v/>
      </c>
      <c r="FF33" s="30" t="str">
        <f>+IFERROR(VLOOKUP(FD33,BDD,84,FALSE),"")</f>
        <v/>
      </c>
      <c r="FG33" s="30" t="str">
        <f>+IFERROR(VLOOKUP(FD33,BDD,85,FALSE),"")</f>
        <v/>
      </c>
      <c r="FH33" s="30" t="str">
        <f>+IFERROR(VLOOKUP(FD33,BDD,86,FALSE),"")</f>
        <v/>
      </c>
      <c r="FW33" s="16" t="str">
        <f>Janvier!GB50</f>
        <v>52025</v>
      </c>
      <c r="FX33" s="16">
        <f>Janvier!GC50</f>
        <v>0</v>
      </c>
    </row>
    <row r="34" spans="1:180" x14ac:dyDescent="0.2">
      <c r="A34" s="16" t="s">
        <v>291</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45901</v>
      </c>
      <c r="FE34" s="30" t="str">
        <f>+IFERROR(VLOOKUP(FD34,BDD,71,FALSE),"")</f>
        <v/>
      </c>
      <c r="FF34" s="30" t="str">
        <f>IFERROR(+VLOOKUP(FD34,BDD,72,FALSE),"")</f>
        <v/>
      </c>
      <c r="FG34" s="30" t="str">
        <f>+IFERROR(VLOOKUP(FD34,BDD,73,FALSE),"")</f>
        <v/>
      </c>
      <c r="FH34" s="30" t="str">
        <f>+IFERROR(VLOOKUP(FD34,BDD,74,FALSE),"")</f>
        <v/>
      </c>
      <c r="FW34" s="16" t="str">
        <f>Février!GB20</f>
        <v>52025</v>
      </c>
      <c r="FX34" s="16">
        <f>Février!GC20</f>
        <v>0</v>
      </c>
    </row>
    <row r="35" spans="1:180" x14ac:dyDescent="0.2">
      <c r="A35" s="16" t="s">
        <v>292</v>
      </c>
      <c r="C35" s="27"/>
      <c r="D35" s="27"/>
      <c r="F35" s="34"/>
      <c r="G35" s="16">
        <f t="shared" si="5"/>
        <v>0</v>
      </c>
      <c r="L35" s="16" t="str">
        <f t="shared" ref="L35:L41" si="20">+$P$6&amp;N3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45901</v>
      </c>
      <c r="FE35" s="30" t="str">
        <f>+IFERROR(VLOOKUP(FD35,BDD,75,FALSE),"")</f>
        <v/>
      </c>
      <c r="FF35" s="30" t="str">
        <f>+IFERROR(VLOOKUP(FD35,BDD,76,FALSE),"")</f>
        <v/>
      </c>
      <c r="FG35" s="30" t="str">
        <f>IFERROR(+VLOOKUP(FD35,BDD,77,FALSE),"")</f>
        <v/>
      </c>
      <c r="FH35" s="30" t="str">
        <f>+IFERROR(VLOOKUP(FD35,BDD,78,FALSE),"")</f>
        <v/>
      </c>
      <c r="FW35" s="16" t="str">
        <f>Février!GB21</f>
        <v>52025</v>
      </c>
      <c r="FX35" s="16">
        <f>Février!GC21</f>
        <v>0</v>
      </c>
    </row>
    <row r="36" spans="1:180" x14ac:dyDescent="0.2">
      <c r="A36" s="16" t="s">
        <v>293</v>
      </c>
      <c r="C36" s="27"/>
      <c r="D36" s="27"/>
      <c r="F36" s="34"/>
      <c r="G36" s="16">
        <f t="shared" si="5"/>
        <v>0</v>
      </c>
      <c r="L36" s="16" t="str">
        <f t="shared" si="20"/>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45901</v>
      </c>
      <c r="FE36" s="30" t="str">
        <f>+IFERROR(VLOOKUP(FD36,BDD,79,FALSE),"")</f>
        <v/>
      </c>
      <c r="FF36" s="30" t="str">
        <f>IFERROR(+VLOOKUP(FD36,BDD,80,FALSE),"")</f>
        <v/>
      </c>
      <c r="FG36" s="30" t="str">
        <f>+IFERROR(VLOOKUP(FD36,BDD,81,FALSE),"")</f>
        <v/>
      </c>
      <c r="FH36" s="30" t="str">
        <f>+IFERROR(VLOOKUP(FD36,BDD,82,FALSE),"")</f>
        <v/>
      </c>
      <c r="FW36" s="16" t="str">
        <f>Février!GB22</f>
        <v>62025</v>
      </c>
      <c r="FX36" s="16">
        <f>Février!GC22</f>
        <v>0</v>
      </c>
    </row>
    <row r="37" spans="1:180" x14ac:dyDescent="0.2">
      <c r="A37" s="16" t="s">
        <v>294</v>
      </c>
      <c r="C37" s="27"/>
      <c r="D37" s="27"/>
      <c r="F37" s="34"/>
      <c r="G37" s="16">
        <f t="shared" si="5"/>
        <v>0</v>
      </c>
      <c r="L37" s="16" t="str">
        <f t="shared" si="20"/>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45901</v>
      </c>
      <c r="FE37" s="30" t="str">
        <f>+IFERROR(VLOOKUP(FD37,BDD,83,FALSE),"")</f>
        <v/>
      </c>
      <c r="FF37" s="30" t="str">
        <f>+IFERROR(VLOOKUP(FD37,BDD,84,FALSE),"")</f>
        <v/>
      </c>
      <c r="FG37" s="30" t="str">
        <f>+IFERROR(VLOOKUP(FD37,BDD,85,FALSE),"")</f>
        <v/>
      </c>
      <c r="FH37" s="30" t="str">
        <f>+IFERROR(VLOOKUP(FD37,BDD,86,FALSE),"")</f>
        <v/>
      </c>
      <c r="FW37" s="16" t="str">
        <f>Février!GB23</f>
        <v>62025</v>
      </c>
      <c r="FX37" s="16">
        <f>Février!GC23</f>
        <v>0</v>
      </c>
    </row>
    <row r="38" spans="1:180" x14ac:dyDescent="0.2">
      <c r="A38" s="16" t="s">
        <v>295</v>
      </c>
      <c r="C38" s="27"/>
      <c r="D38" s="27"/>
      <c r="F38" s="34"/>
      <c r="G38" s="16">
        <f t="shared" si="5"/>
        <v>0</v>
      </c>
      <c r="L38" s="16" t="str">
        <f t="shared" si="20"/>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45931</v>
      </c>
      <c r="FE38" s="30" t="str">
        <f>+IFERROR(VLOOKUP(FD38,BDD,71,FALSE),"")</f>
        <v/>
      </c>
      <c r="FF38" s="30" t="str">
        <f>IFERROR(+VLOOKUP(FD38,BDD,72,FALSE),"")</f>
        <v/>
      </c>
      <c r="FG38" s="30" t="str">
        <f>+IFERROR(VLOOKUP(FD38,BDD,73,FALSE),"")</f>
        <v/>
      </c>
      <c r="FH38" s="30" t="str">
        <f>+IFERROR(VLOOKUP(FD38,BDD,74,FALSE),"")</f>
        <v/>
      </c>
      <c r="FW38" s="16" t="str">
        <f>Février!GB24</f>
        <v>62025</v>
      </c>
      <c r="FX38" s="16">
        <f>Février!GC24</f>
        <v>0</v>
      </c>
    </row>
    <row r="39" spans="1:180" x14ac:dyDescent="0.2">
      <c r="A39" s="16" t="s">
        <v>296</v>
      </c>
      <c r="C39" s="27"/>
      <c r="D39" s="27"/>
      <c r="F39" s="34"/>
      <c r="G39" s="16">
        <f t="shared" si="5"/>
        <v>0</v>
      </c>
      <c r="L39" s="16" t="str">
        <f t="shared" si="20"/>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45931</v>
      </c>
      <c r="FE39" s="30" t="str">
        <f>+IFERROR(VLOOKUP(FD39,BDD,75,FALSE),"")</f>
        <v/>
      </c>
      <c r="FF39" s="30" t="str">
        <f>+IFERROR(VLOOKUP(FD39,BDD,76,FALSE),"")</f>
        <v/>
      </c>
      <c r="FG39" s="30" t="str">
        <f>IFERROR(+VLOOKUP(FD39,BDD,77,FALSE),"")</f>
        <v/>
      </c>
      <c r="FH39" s="30" t="str">
        <f>+IFERROR(VLOOKUP(FD39,BDD,78,FALSE),"")</f>
        <v/>
      </c>
      <c r="FW39" s="16" t="str">
        <f>Février!GB25</f>
        <v>62025</v>
      </c>
      <c r="FX39" s="16">
        <f>Février!GC25</f>
        <v>0</v>
      </c>
    </row>
    <row r="40" spans="1:180" x14ac:dyDescent="0.2">
      <c r="A40" s="16" t="s">
        <v>297</v>
      </c>
      <c r="C40" s="27"/>
      <c r="D40" s="27"/>
      <c r="F40" s="34"/>
      <c r="G40" s="16">
        <f t="shared" si="5"/>
        <v>0</v>
      </c>
      <c r="L40" s="16" t="str">
        <f t="shared" si="20"/>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45931</v>
      </c>
      <c r="FE40" s="30" t="str">
        <f>+IFERROR(VLOOKUP(FD40,BDD,79,FALSE),"")</f>
        <v/>
      </c>
      <c r="FF40" s="30" t="str">
        <f>IFERROR(+VLOOKUP(FD40,BDD,80,FALSE),"")</f>
        <v/>
      </c>
      <c r="FG40" s="30" t="str">
        <f>+IFERROR(VLOOKUP(FD40,BDD,81,FALSE),"")</f>
        <v/>
      </c>
      <c r="FH40" s="30" t="str">
        <f>+IFERROR(VLOOKUP(FD40,BDD,82,FALSE),"")</f>
        <v/>
      </c>
      <c r="FW40" s="16" t="str">
        <f>Février!GB26</f>
        <v>62025</v>
      </c>
      <c r="FX40" s="16">
        <f>Février!GC26</f>
        <v>0</v>
      </c>
    </row>
    <row r="41" spans="1:180" x14ac:dyDescent="0.2">
      <c r="A41" s="16" t="s">
        <v>298</v>
      </c>
      <c r="C41" s="27"/>
      <c r="D41" s="27"/>
      <c r="F41" s="34"/>
      <c r="G41" s="16">
        <f t="shared" si="5"/>
        <v>0</v>
      </c>
      <c r="L41" s="16" t="str">
        <f t="shared" si="20"/>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45931</v>
      </c>
      <c r="FE41" s="30" t="str">
        <f>+IFERROR(VLOOKUP(FD41,BDD,83,FALSE),"")</f>
        <v/>
      </c>
      <c r="FF41" s="30" t="str">
        <f>+IFERROR(VLOOKUP(FD41,BDD,84,FALSE),"")</f>
        <v/>
      </c>
      <c r="FG41" s="30" t="str">
        <f>+IFERROR(VLOOKUP(FD41,BDD,85,FALSE),"")</f>
        <v/>
      </c>
      <c r="FH41" s="30" t="str">
        <f>+IFERROR(VLOOKUP(FD41,BDD,86,FALSE),"")</f>
        <v/>
      </c>
      <c r="FW41" s="16" t="str">
        <f>Février!GB27</f>
        <v>62025</v>
      </c>
      <c r="FX41" s="16">
        <f>Février!GC27</f>
        <v>0</v>
      </c>
    </row>
    <row r="42" spans="1:180" x14ac:dyDescent="0.2">
      <c r="A42" s="16" t="s">
        <v>299</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45962</v>
      </c>
      <c r="FE42" s="30" t="str">
        <f>+IFERROR(VLOOKUP(FD42,BDD,71,FALSE),"")</f>
        <v/>
      </c>
      <c r="FF42" s="30" t="str">
        <f>IFERROR(+VLOOKUP(FD42,BDD,72,FALSE),"")</f>
        <v/>
      </c>
      <c r="FG42" s="30" t="str">
        <f>+IFERROR(VLOOKUP(FD42,BDD,73,FALSE),"")</f>
        <v/>
      </c>
      <c r="FH42" s="30" t="str">
        <f>+IFERROR(VLOOKUP(FD42,BDD,74,FALSE),"")</f>
        <v/>
      </c>
      <c r="FW42" s="16" t="str">
        <f>Février!GB28</f>
        <v>62025</v>
      </c>
      <c r="FX42" s="16">
        <f>Février!GC28</f>
        <v>0</v>
      </c>
    </row>
    <row r="43" spans="1:180" x14ac:dyDescent="0.2">
      <c r="A43" s="16" t="s">
        <v>300</v>
      </c>
      <c r="C43" s="27"/>
      <c r="D43" s="27"/>
      <c r="F43" s="34"/>
      <c r="G43" s="16">
        <f t="shared" si="5"/>
        <v>0</v>
      </c>
      <c r="L43" s="16" t="str">
        <f t="shared" ref="L43:L49" si="21">+$P$7&amp;N3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45962</v>
      </c>
      <c r="FE43" s="30" t="str">
        <f>+IFERROR(VLOOKUP(FD43,BDD,75,FALSE),"")</f>
        <v/>
      </c>
      <c r="FF43" s="30" t="str">
        <f>+IFERROR(VLOOKUP(FD43,BDD,76,FALSE),"")</f>
        <v/>
      </c>
      <c r="FG43" s="30" t="str">
        <f>IFERROR(+VLOOKUP(FD43,BDD,77,FALSE),"")</f>
        <v/>
      </c>
      <c r="FH43" s="30" t="str">
        <f>+IFERROR(VLOOKUP(FD43,BDD,78,FALSE),"")</f>
        <v/>
      </c>
      <c r="FW43" s="16" t="str">
        <f>Février!GB29</f>
        <v>72025</v>
      </c>
      <c r="FX43" s="16">
        <f>Février!GC29</f>
        <v>0</v>
      </c>
    </row>
    <row r="44" spans="1:180" x14ac:dyDescent="0.2">
      <c r="A44" s="16" t="s">
        <v>301</v>
      </c>
      <c r="C44" s="27"/>
      <c r="D44" s="27"/>
      <c r="F44" s="34"/>
      <c r="G44" s="16">
        <f t="shared" si="5"/>
        <v>0</v>
      </c>
      <c r="L44" s="16" t="str">
        <f t="shared" si="21"/>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45962</v>
      </c>
      <c r="FE44" s="30" t="str">
        <f>+IFERROR(VLOOKUP(FD44,BDD,79,FALSE),"")</f>
        <v/>
      </c>
      <c r="FF44" s="30" t="str">
        <f>IFERROR(+VLOOKUP(FD44,BDD,80,FALSE),"")</f>
        <v/>
      </c>
      <c r="FG44" s="30" t="str">
        <f>+IFERROR(VLOOKUP(FD44,BDD,81,FALSE),"")</f>
        <v/>
      </c>
      <c r="FH44" s="30" t="str">
        <f>+IFERROR(VLOOKUP(FD44,BDD,82,FALSE),"")</f>
        <v/>
      </c>
      <c r="FW44" s="16" t="str">
        <f>Février!GB30</f>
        <v>72025</v>
      </c>
      <c r="FX44" s="16">
        <f>Février!GC30</f>
        <v>0</v>
      </c>
    </row>
    <row r="45" spans="1:180" x14ac:dyDescent="0.2">
      <c r="A45" s="16" t="s">
        <v>302</v>
      </c>
      <c r="C45" s="27"/>
      <c r="D45" s="27"/>
      <c r="F45" s="34"/>
      <c r="G45" s="16">
        <f t="shared" si="5"/>
        <v>0</v>
      </c>
      <c r="L45" s="16" t="str">
        <f t="shared" si="21"/>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45962</v>
      </c>
      <c r="FE45" s="30" t="str">
        <f>+IFERROR(VLOOKUP(FD45,BDD,83,FALSE),"")</f>
        <v/>
      </c>
      <c r="FF45" s="30" t="str">
        <f>+IFERROR(VLOOKUP(FD45,BDD,84,FALSE),"")</f>
        <v/>
      </c>
      <c r="FG45" s="30" t="str">
        <f>+IFERROR(VLOOKUP(FD45,BDD,85,FALSE),"")</f>
        <v/>
      </c>
      <c r="FH45" s="30" t="str">
        <f>+IFERROR(VLOOKUP(FD45,BDD,86,FALSE),"")</f>
        <v/>
      </c>
      <c r="FW45" s="16" t="str">
        <f>Février!GB31</f>
        <v>72025</v>
      </c>
      <c r="FX45" s="16">
        <f>Février!GC31</f>
        <v>0</v>
      </c>
    </row>
    <row r="46" spans="1:180" x14ac:dyDescent="0.2">
      <c r="A46" s="16" t="s">
        <v>303</v>
      </c>
      <c r="C46" s="27"/>
      <c r="D46" s="27"/>
      <c r="F46" s="34"/>
      <c r="G46" s="16">
        <f t="shared" si="5"/>
        <v>0</v>
      </c>
      <c r="L46" s="16" t="str">
        <f t="shared" si="21"/>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45992</v>
      </c>
      <c r="FE46" s="30" t="str">
        <f>+IFERROR(VLOOKUP(FD46,BDD,71,FALSE),"")</f>
        <v/>
      </c>
      <c r="FF46" s="30" t="str">
        <f>IFERROR(+VLOOKUP(FD46,BDD,72,FALSE),"")</f>
        <v/>
      </c>
      <c r="FG46" s="30" t="str">
        <f>+IFERROR(VLOOKUP(FD46,BDD,73,FALSE),"")</f>
        <v/>
      </c>
      <c r="FH46" s="30" t="str">
        <f>+IFERROR(VLOOKUP(FD46,BDD,74,FALSE),"")</f>
        <v/>
      </c>
      <c r="FW46" s="16" t="str">
        <f>Février!GB32</f>
        <v>72025</v>
      </c>
      <c r="FX46" s="16">
        <f>Février!GC32</f>
        <v>0</v>
      </c>
    </row>
    <row r="47" spans="1:180" x14ac:dyDescent="0.2">
      <c r="A47" s="16" t="s">
        <v>304</v>
      </c>
      <c r="C47" s="27"/>
      <c r="D47" s="27"/>
      <c r="F47" s="34"/>
      <c r="G47" s="16">
        <f t="shared" si="5"/>
        <v>0</v>
      </c>
      <c r="L47" s="16" t="str">
        <f t="shared" si="21"/>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45992</v>
      </c>
      <c r="FE47" s="30" t="str">
        <f>+IFERROR(VLOOKUP(FD47,BDD,75,FALSE),"")</f>
        <v/>
      </c>
      <c r="FF47" s="30" t="str">
        <f>+IFERROR(VLOOKUP(FD47,BDD,76,FALSE),"")</f>
        <v/>
      </c>
      <c r="FG47" s="30" t="str">
        <f>IFERROR(+VLOOKUP(FD47,BDD,77,FALSE),"")</f>
        <v/>
      </c>
      <c r="FH47" s="30" t="str">
        <f>+IFERROR(VLOOKUP(FD47,BDD,78,FALSE),"")</f>
        <v/>
      </c>
      <c r="FW47" s="16" t="str">
        <f>Février!GB33</f>
        <v>72025</v>
      </c>
      <c r="FX47" s="16">
        <f>Février!GC33</f>
        <v>0</v>
      </c>
    </row>
    <row r="48" spans="1:180" x14ac:dyDescent="0.2">
      <c r="A48" s="16" t="s">
        <v>305</v>
      </c>
      <c r="C48" s="27"/>
      <c r="D48" s="27"/>
      <c r="F48" s="34"/>
      <c r="G48" s="16">
        <f t="shared" si="5"/>
        <v>0</v>
      </c>
      <c r="L48" s="16" t="str">
        <f t="shared" si="21"/>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45992</v>
      </c>
      <c r="FE48" s="30" t="str">
        <f>+IFERROR(VLOOKUP(FD48,BDD,79,FALSE),"")</f>
        <v/>
      </c>
      <c r="FF48" s="30" t="str">
        <f>IFERROR(+VLOOKUP(FD48,BDD,80,FALSE),"")</f>
        <v/>
      </c>
      <c r="FG48" s="30" t="str">
        <f>+IFERROR(VLOOKUP(FD48,BDD,81,FALSE),"")</f>
        <v/>
      </c>
      <c r="FH48" s="30" t="str">
        <f>+IFERROR(VLOOKUP(FD48,BDD,82,FALSE),"")</f>
        <v/>
      </c>
      <c r="FW48" s="16" t="str">
        <f>Février!GB34</f>
        <v>72025</v>
      </c>
      <c r="FX48" s="16">
        <f>Février!GC34</f>
        <v>0</v>
      </c>
    </row>
    <row r="49" spans="1:180" x14ac:dyDescent="0.2">
      <c r="A49" s="16" t="s">
        <v>306</v>
      </c>
      <c r="C49" s="27"/>
      <c r="D49" s="27"/>
      <c r="F49" s="34"/>
      <c r="G49" s="16">
        <f t="shared" si="5"/>
        <v>0</v>
      </c>
      <c r="L49" s="16" t="str">
        <f t="shared" si="21"/>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45992</v>
      </c>
      <c r="FE49" s="30" t="str">
        <f>+IFERROR(VLOOKUP(FD49,BDD,83,FALSE),"")</f>
        <v/>
      </c>
      <c r="FF49" s="30" t="str">
        <f>+IFERROR(VLOOKUP(FD49,BDD,84,FALSE),"")</f>
        <v/>
      </c>
      <c r="FG49" s="30" t="str">
        <f>+IFERROR(VLOOKUP(FD49,BDD,85,FALSE),"")</f>
        <v/>
      </c>
      <c r="FH49" s="30" t="str">
        <f>+IFERROR(VLOOKUP(FD49,BDD,86,FALSE),"")</f>
        <v/>
      </c>
      <c r="FW49" s="16" t="str">
        <f>Février!GB35</f>
        <v>72025</v>
      </c>
      <c r="FX49" s="16">
        <f>Février!GC35</f>
        <v>0</v>
      </c>
    </row>
    <row r="50" spans="1:180" x14ac:dyDescent="0.2">
      <c r="A50" s="16" t="s">
        <v>307</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45627</v>
      </c>
      <c r="FE50" s="30" t="str">
        <f>+IFERROR(VLOOKUP(FD50,BDD,71,FALSE),"")</f>
        <v/>
      </c>
      <c r="FF50" s="30" t="str">
        <f>IFERROR(+VLOOKUP(FD50,BDD,72,FALSE),"")</f>
        <v/>
      </c>
      <c r="FG50" s="30" t="str">
        <f>+IFERROR(VLOOKUP(FD50,BDD,73,FALSE),"")</f>
        <v/>
      </c>
      <c r="FH50" s="30" t="str">
        <f>+IFERROR(VLOOKUP(FD50,BDD,74,FALSE),"")</f>
        <v/>
      </c>
      <c r="FW50" s="16" t="str">
        <f>Février!GB36</f>
        <v>82025</v>
      </c>
      <c r="FX50" s="16">
        <f>Février!GC36</f>
        <v>0</v>
      </c>
    </row>
    <row r="51" spans="1:180" x14ac:dyDescent="0.2">
      <c r="A51" s="16" t="s">
        <v>308</v>
      </c>
      <c r="C51" s="27"/>
      <c r="D51" s="27"/>
      <c r="F51" s="34"/>
      <c r="G51" s="16">
        <f t="shared" si="5"/>
        <v>0</v>
      </c>
      <c r="L51" s="16" t="str">
        <f t="shared" ref="L51:L57" si="22">+$P$8&amp;N3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45627</v>
      </c>
      <c r="FE51" s="30" t="str">
        <f>+IFERROR(VLOOKUP(FD51,BDD,75,FALSE),"")</f>
        <v/>
      </c>
      <c r="FF51" s="30" t="str">
        <f>+IFERROR(VLOOKUP(FD51,BDD,76,FALSE),"")</f>
        <v/>
      </c>
      <c r="FG51" s="30" t="str">
        <f>IFERROR(+VLOOKUP(FD51,BDD,77,FALSE),"")</f>
        <v/>
      </c>
      <c r="FH51" s="30" t="str">
        <f>+IFERROR(VLOOKUP(FD51,BDD,78,FALSE),"")</f>
        <v/>
      </c>
      <c r="FW51" s="16" t="str">
        <f>Février!GB37</f>
        <v>82025</v>
      </c>
      <c r="FX51" s="16">
        <f>Février!GC37</f>
        <v>0</v>
      </c>
    </row>
    <row r="52" spans="1:180" x14ac:dyDescent="0.2">
      <c r="A52" s="16" t="s">
        <v>309</v>
      </c>
      <c r="C52" s="27"/>
      <c r="D52" s="27"/>
      <c r="F52" s="34"/>
      <c r="G52" s="16">
        <f t="shared" si="5"/>
        <v>0</v>
      </c>
      <c r="L52" s="16" t="str">
        <f t="shared" si="22"/>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45627</v>
      </c>
      <c r="FE52" s="30" t="str">
        <f>+IFERROR(VLOOKUP(FD52,BDD,79,FALSE),"")</f>
        <v/>
      </c>
      <c r="FF52" s="30" t="str">
        <f>IFERROR(+VLOOKUP(FD52,BDD,80,FALSE),"")</f>
        <v/>
      </c>
      <c r="FG52" s="30" t="str">
        <f>+IFERROR(VLOOKUP(FD52,BDD,81,FALSE),"")</f>
        <v/>
      </c>
      <c r="FH52" s="30" t="str">
        <f>+IFERROR(VLOOKUP(FD52,BDD,82,FALSE),"")</f>
        <v/>
      </c>
      <c r="FW52" s="16" t="str">
        <f>Février!GB38</f>
        <v>82025</v>
      </c>
      <c r="FX52" s="16">
        <f>Février!GC38</f>
        <v>0</v>
      </c>
    </row>
    <row r="53" spans="1:180" x14ac:dyDescent="0.2">
      <c r="A53" s="16" t="s">
        <v>310</v>
      </c>
      <c r="C53" s="27"/>
      <c r="D53" s="27"/>
      <c r="F53" s="34"/>
      <c r="G53" s="16">
        <f t="shared" si="5"/>
        <v>0</v>
      </c>
      <c r="L53" s="16" t="str">
        <f t="shared" si="22"/>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45627</v>
      </c>
      <c r="FE53" s="30" t="str">
        <f>+IFERROR(VLOOKUP(FD53,BDD,83,FALSE),"")</f>
        <v/>
      </c>
      <c r="FF53" s="30" t="str">
        <f>+IFERROR(VLOOKUP(FD53,BDD,84,FALSE),"")</f>
        <v/>
      </c>
      <c r="FG53" s="30" t="str">
        <f>+IFERROR(VLOOKUP(FD53,BDD,85,FALSE),"")</f>
        <v/>
      </c>
      <c r="FH53" s="30" t="str">
        <f>+IFERROR(VLOOKUP(FD53,BDD,86,FALSE),"")</f>
        <v/>
      </c>
      <c r="FW53" s="16" t="str">
        <f>Février!GB39</f>
        <v>82025</v>
      </c>
      <c r="FX53" s="16">
        <f>Février!GC39</f>
        <v>0</v>
      </c>
    </row>
    <row r="54" spans="1:180" x14ac:dyDescent="0.2">
      <c r="A54" s="16" t="s">
        <v>311</v>
      </c>
      <c r="C54" s="27"/>
      <c r="D54" s="27"/>
      <c r="F54" s="34"/>
      <c r="G54" s="16">
        <f t="shared" si="5"/>
        <v>0</v>
      </c>
      <c r="L54" s="16" t="str">
        <f t="shared" si="22"/>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45597</v>
      </c>
      <c r="FE54" s="30" t="str">
        <f>+IFERROR(VLOOKUP(FD54,BDD,71,FALSE),"")</f>
        <v/>
      </c>
      <c r="FF54" s="30" t="str">
        <f>IFERROR(+VLOOKUP(FD54,BDD,72,FALSE),"")</f>
        <v/>
      </c>
      <c r="FG54" s="30" t="str">
        <f>+IFERROR(VLOOKUP(FD54,BDD,73,FALSE),"")</f>
        <v/>
      </c>
      <c r="FH54" s="30" t="str">
        <f>+IFERROR(VLOOKUP(FD54,BDD,74,FALSE),"")</f>
        <v/>
      </c>
      <c r="FW54" s="16" t="str">
        <f>Février!GB40</f>
        <v>82025</v>
      </c>
      <c r="FX54" s="16">
        <f>Février!GC40</f>
        <v>0</v>
      </c>
    </row>
    <row r="55" spans="1:180" x14ac:dyDescent="0.2">
      <c r="A55" s="16" t="s">
        <v>312</v>
      </c>
      <c r="C55" s="27"/>
      <c r="D55" s="27"/>
      <c r="F55" s="34"/>
      <c r="G55" s="16">
        <f t="shared" si="5"/>
        <v>0</v>
      </c>
      <c r="L55" s="16" t="str">
        <f t="shared" si="22"/>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45597</v>
      </c>
      <c r="FE55" s="30" t="str">
        <f>+IFERROR(VLOOKUP(FD55,BDD,75,FALSE),"")</f>
        <v/>
      </c>
      <c r="FF55" s="30" t="str">
        <f>+IFERROR(VLOOKUP(FD55,BDD,76,FALSE),"")</f>
        <v/>
      </c>
      <c r="FG55" s="30" t="str">
        <f>IFERROR(+VLOOKUP(FD55,BDD,77,FALSE),"")</f>
        <v/>
      </c>
      <c r="FH55" s="30" t="str">
        <f>+IFERROR(VLOOKUP(FD55,BDD,78,FALSE),"")</f>
        <v/>
      </c>
      <c r="FW55" s="16" t="str">
        <f>Février!GB41</f>
        <v>82025</v>
      </c>
      <c r="FX55" s="16">
        <f>Février!GC41</f>
        <v>0</v>
      </c>
    </row>
    <row r="56" spans="1:180" x14ac:dyDescent="0.2">
      <c r="A56" s="16" t="s">
        <v>313</v>
      </c>
      <c r="C56" s="27"/>
      <c r="D56" s="27"/>
      <c r="F56" s="34"/>
      <c r="G56" s="16">
        <f t="shared" si="5"/>
        <v>0</v>
      </c>
      <c r="L56" s="16" t="str">
        <f t="shared" si="22"/>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45597</v>
      </c>
      <c r="FE56" s="30" t="str">
        <f>+IFERROR(VLOOKUP(FD56,BDD,79,FALSE),"")</f>
        <v/>
      </c>
      <c r="FF56" s="30" t="str">
        <f>IFERROR(+VLOOKUP(FD56,BDD,80,FALSE),"")</f>
        <v/>
      </c>
      <c r="FG56" s="30" t="str">
        <f>+IFERROR(VLOOKUP(FD56,BDD,81,FALSE),"")</f>
        <v/>
      </c>
      <c r="FH56" s="30" t="str">
        <f>+IFERROR(VLOOKUP(FD56,BDD,82,FALSE),"")</f>
        <v/>
      </c>
      <c r="FW56" s="16" t="str">
        <f>Février!GB42</f>
        <v>82025</v>
      </c>
      <c r="FX56" s="16">
        <f>Février!GC42</f>
        <v>0</v>
      </c>
    </row>
    <row r="57" spans="1:180" x14ac:dyDescent="0.2">
      <c r="A57" s="16" t="s">
        <v>314</v>
      </c>
      <c r="C57" s="27"/>
      <c r="D57" s="27"/>
      <c r="F57" s="34"/>
      <c r="G57" s="16">
        <f t="shared" si="5"/>
        <v>0</v>
      </c>
      <c r="L57" s="16" t="str">
        <f t="shared" si="22"/>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45597</v>
      </c>
      <c r="FE57" s="30" t="str">
        <f>+IFERROR(VLOOKUP(FD57,BDD,83,FALSE),"")</f>
        <v/>
      </c>
      <c r="FF57" s="30" t="str">
        <f>+IFERROR(VLOOKUP(FD57,BDD,84,FALSE),"")</f>
        <v/>
      </c>
      <c r="FG57" s="30" t="str">
        <f>+IFERROR(VLOOKUP(FD57,BDD,85,FALSE),"")</f>
        <v/>
      </c>
      <c r="FH57" s="30" t="str">
        <f>+IFERROR(VLOOKUP(FD57,BDD,86,FALSE),"")</f>
        <v/>
      </c>
      <c r="FW57" s="16" t="str">
        <f>Février!GB43</f>
        <v>92025</v>
      </c>
      <c r="FX57" s="16">
        <f>Février!GC43</f>
        <v>0</v>
      </c>
    </row>
    <row r="58" spans="1:180" x14ac:dyDescent="0.2">
      <c r="A58" s="16" t="s">
        <v>368</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45566</v>
      </c>
      <c r="FE58" s="30" t="str">
        <f>+IFERROR(VLOOKUP(FD58,BDD,71,FALSE),"")</f>
        <v/>
      </c>
      <c r="FF58" s="30" t="str">
        <f>IFERROR(+VLOOKUP(FD58,BDD,72,FALSE),"")</f>
        <v/>
      </c>
      <c r="FG58" s="30" t="str">
        <f>+IFERROR(VLOOKUP(FD58,BDD,73,FALSE),"")</f>
        <v/>
      </c>
      <c r="FH58" s="30" t="str">
        <f>+IFERROR(VLOOKUP(FD58,BDD,74,FALSE),"")</f>
        <v/>
      </c>
      <c r="FW58" s="16" t="str">
        <f>Février!GB44</f>
        <v>92025</v>
      </c>
      <c r="FX58" s="16">
        <f>Février!GC44</f>
        <v>0</v>
      </c>
    </row>
    <row r="59" spans="1:180" x14ac:dyDescent="0.2">
      <c r="A59" s="16" t="s">
        <v>369</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3">+DATE(YEAR(FD55),MONTH(FD55)-1,DAY(FD55))</f>
        <v>45566</v>
      </c>
      <c r="FE59" s="30" t="str">
        <f>+IFERROR(VLOOKUP(FD59,BDD,75,FALSE),"")</f>
        <v/>
      </c>
      <c r="FF59" s="30" t="str">
        <f>+IFERROR(VLOOKUP(FD59,BDD,76,FALSE),"")</f>
        <v/>
      </c>
      <c r="FG59" s="30" t="str">
        <f>IFERROR(+VLOOKUP(FD59,BDD,77,FALSE),"")</f>
        <v/>
      </c>
      <c r="FH59" s="30" t="str">
        <f>+IFERROR(VLOOKUP(FD59,BDD,78,FALSE),"")</f>
        <v/>
      </c>
      <c r="FW59" s="16" t="str">
        <f>Février!GB45</f>
        <v>92025</v>
      </c>
      <c r="FX59" s="16">
        <f>Février!GC45</f>
        <v>0</v>
      </c>
    </row>
    <row r="60" spans="1:180" x14ac:dyDescent="0.2">
      <c r="A60" s="16" t="s">
        <v>370</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3"/>
        <v>45566</v>
      </c>
      <c r="FE60" s="30" t="str">
        <f>+IFERROR(VLOOKUP(FD60,BDD,79,FALSE),"")</f>
        <v/>
      </c>
      <c r="FF60" s="30" t="str">
        <f>IFERROR(+VLOOKUP(FD60,BDD,80,FALSE),"")</f>
        <v/>
      </c>
      <c r="FG60" s="30" t="str">
        <f>+IFERROR(VLOOKUP(FD60,BDD,81,FALSE),"")</f>
        <v/>
      </c>
      <c r="FH60" s="30" t="str">
        <f>+IFERROR(VLOOKUP(FD60,BDD,82,FALSE),"")</f>
        <v/>
      </c>
      <c r="FW60" s="16" t="str">
        <f>Février!GB46</f>
        <v>92025</v>
      </c>
      <c r="FX60" s="16">
        <f>Février!GC46</f>
        <v>0</v>
      </c>
    </row>
    <row r="61" spans="1:180" x14ac:dyDescent="0.2">
      <c r="A61" s="16" t="s">
        <v>371</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3"/>
        <v>45566</v>
      </c>
      <c r="FE61" s="30" t="str">
        <f>+IFERROR(VLOOKUP(FD61,BDD,83,FALSE),"")</f>
        <v/>
      </c>
      <c r="FF61" s="30" t="str">
        <f>+IFERROR(VLOOKUP(FD61,BDD,84,FALSE),"")</f>
        <v/>
      </c>
      <c r="FG61" s="30" t="str">
        <f>+IFERROR(VLOOKUP(FD61,BDD,85,FALSE),"")</f>
        <v/>
      </c>
      <c r="FH61" s="30" t="str">
        <f>+IFERROR(VLOOKUP(FD61,BDD,86,FALSE),"")</f>
        <v/>
      </c>
      <c r="FW61" s="16" t="str">
        <f>Février!GB47</f>
        <v>92025</v>
      </c>
      <c r="FX61" s="16">
        <f>Février!GC47</f>
        <v>0</v>
      </c>
    </row>
    <row r="62" spans="1:180" x14ac:dyDescent="0.2">
      <c r="A62" s="16" t="s">
        <v>372</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3"/>
        <v>45536</v>
      </c>
      <c r="FE62" s="30" t="str">
        <f>+IFERROR(VLOOKUP(FD62,BDD,71,FALSE),"")</f>
        <v/>
      </c>
      <c r="FF62" s="30" t="str">
        <f>IFERROR(+VLOOKUP(FD62,BDD,72,FALSE),"")</f>
        <v/>
      </c>
      <c r="FG62" s="30" t="str">
        <f>+IFERROR(VLOOKUP(FD62,BDD,73,FALSE),"")</f>
        <v/>
      </c>
      <c r="FH62" s="30" t="str">
        <f>+IFERROR(VLOOKUP(FD62,BDD,74,FALSE),"")</f>
        <v/>
      </c>
      <c r="FW62" s="16" t="str">
        <f>Février!GB48</f>
        <v>2025</v>
      </c>
      <c r="FX62" s="16">
        <f>Février!GC48</f>
        <v>0</v>
      </c>
    </row>
    <row r="63" spans="1:180" x14ac:dyDescent="0.2">
      <c r="A63" s="16" t="s">
        <v>373</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3"/>
        <v>45536</v>
      </c>
      <c r="FE63" s="30" t="str">
        <f>+IFERROR(VLOOKUP(FD63,BDD,75,FALSE),"")</f>
        <v/>
      </c>
      <c r="FF63" s="30" t="str">
        <f>+IFERROR(VLOOKUP(FD63,BDD,76,FALSE),"")</f>
        <v/>
      </c>
      <c r="FG63" s="30" t="str">
        <f>IFERROR(+VLOOKUP(FD63,BDD,77,FALSE),"")</f>
        <v/>
      </c>
      <c r="FH63" s="30" t="str">
        <f>+IFERROR(VLOOKUP(FD63,BDD,78,FALSE),"")</f>
        <v/>
      </c>
      <c r="FW63" s="16" t="str">
        <f>Février!GB49</f>
        <v>2025</v>
      </c>
      <c r="FX63" s="16">
        <f>Février!GC49</f>
        <v>0</v>
      </c>
    </row>
    <row r="64" spans="1:180" x14ac:dyDescent="0.2">
      <c r="A64" s="16" t="s">
        <v>374</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3"/>
        <v>45536</v>
      </c>
      <c r="FE64" s="30" t="str">
        <f>+IFERROR(VLOOKUP(FD64,BDD,79,FALSE),"")</f>
        <v/>
      </c>
      <c r="FF64" s="30" t="str">
        <f>IFERROR(+VLOOKUP(FD64,BDD,80,FALSE),"")</f>
        <v/>
      </c>
      <c r="FG64" s="30" t="str">
        <f>+IFERROR(VLOOKUP(FD64,BDD,81,FALSE),"")</f>
        <v/>
      </c>
      <c r="FH64" s="30" t="str">
        <f>+IFERROR(VLOOKUP(FD64,BDD,82,FALSE),"")</f>
        <v/>
      </c>
      <c r="FW64" s="16" t="str">
        <f>Février!GB50</f>
        <v>2025</v>
      </c>
      <c r="FX64" s="16">
        <f>Février!GC50</f>
        <v>0</v>
      </c>
    </row>
    <row r="65" spans="1:180" x14ac:dyDescent="0.2">
      <c r="A65" s="16" t="s">
        <v>375</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4">B65</f>
        <v>0</v>
      </c>
      <c r="EF65" s="16">
        <f t="shared" ref="EF65:EF128" si="25">C65</f>
        <v>0</v>
      </c>
      <c r="EG65" s="16">
        <f t="shared" ref="EG65:EG128" si="26">D65</f>
        <v>0</v>
      </c>
      <c r="EH65" s="16">
        <f t="shared" ref="EH65:EH128" si="27">E65</f>
        <v>0</v>
      </c>
      <c r="EI65" s="16">
        <f t="shared" ref="EI65:EI128" si="28">F65</f>
        <v>0</v>
      </c>
      <c r="FB65" s="16" t="str">
        <f t="shared" si="11"/>
        <v/>
      </c>
      <c r="FC65" s="16" t="str">
        <f t="shared" si="12"/>
        <v/>
      </c>
      <c r="FD65" s="30">
        <f t="shared" si="23"/>
        <v>45536</v>
      </c>
      <c r="FE65" s="30" t="str">
        <f>+IFERROR(VLOOKUP(FD65,BDD,83,FALSE),"")</f>
        <v/>
      </c>
      <c r="FF65" s="30" t="str">
        <f>+IFERROR(VLOOKUP(FD65,BDD,84,FALSE),"")</f>
        <v/>
      </c>
      <c r="FG65" s="30" t="str">
        <f>+IFERROR(VLOOKUP(FD65,BDD,85,FALSE),"")</f>
        <v/>
      </c>
      <c r="FH65" s="30" t="str">
        <f>+IFERROR(VLOOKUP(FD65,BDD,86,FALSE),"")</f>
        <v/>
      </c>
      <c r="FW65" s="16" t="str">
        <f>Mars!GB20</f>
        <v>92025</v>
      </c>
      <c r="FX65" s="16">
        <f>Mars!GC20</f>
        <v>0</v>
      </c>
    </row>
    <row r="66" spans="1:180" x14ac:dyDescent="0.2">
      <c r="A66" s="16" t="s">
        <v>376</v>
      </c>
      <c r="C66" s="27"/>
      <c r="D66" s="27"/>
      <c r="F66" s="34"/>
      <c r="G66" s="16">
        <f t="shared" ref="G66:G129" si="29">+IF(OR(F66=0,F66=""),0,1)</f>
        <v>0</v>
      </c>
      <c r="L66" s="16" t="str">
        <f>+$P$10&amp;N2</f>
        <v>Fiche info CDD C.DuréeASem</v>
      </c>
      <c r="M66" s="16">
        <f>IF('Fiche info CDD C.Durée'!$K$19=0,0,'Fiche info CDD C.Durée'!$K$19)</f>
        <v>0</v>
      </c>
      <c r="BX66" s="16" t="str">
        <f t="shared" ref="BX66:BX129" si="30">A66</f>
        <v>Contrat finiB2</v>
      </c>
      <c r="EE66" s="16">
        <f t="shared" si="24"/>
        <v>0</v>
      </c>
      <c r="EF66" s="16">
        <f t="shared" si="25"/>
        <v>0</v>
      </c>
      <c r="EG66" s="16">
        <f t="shared" si="26"/>
        <v>0</v>
      </c>
      <c r="EH66" s="16">
        <f t="shared" si="27"/>
        <v>0</v>
      </c>
      <c r="EI66" s="16">
        <f t="shared" si="28"/>
        <v>0</v>
      </c>
      <c r="FB66" s="16" t="str">
        <f t="shared" si="11"/>
        <v/>
      </c>
      <c r="FC66" s="16" t="str">
        <f t="shared" si="12"/>
        <v/>
      </c>
      <c r="FD66" s="30">
        <f t="shared" si="23"/>
        <v>45505</v>
      </c>
      <c r="FE66" s="30" t="str">
        <f>+IFERROR(VLOOKUP(FD66,BDD,71,FALSE),"")</f>
        <v/>
      </c>
      <c r="FF66" s="30" t="str">
        <f>IFERROR(+VLOOKUP(FD66,BDD,72,FALSE),"")</f>
        <v/>
      </c>
      <c r="FG66" s="30" t="str">
        <f>+IFERROR(VLOOKUP(FD66,BDD,73,FALSE),"")</f>
        <v/>
      </c>
      <c r="FH66" s="30" t="str">
        <f>+IFERROR(VLOOKUP(FD66,BDD,74,FALSE),"")</f>
        <v/>
      </c>
      <c r="FW66" s="16" t="str">
        <f>Mars!GB21</f>
        <v>92025</v>
      </c>
      <c r="FX66" s="16">
        <f>Mars!GC21</f>
        <v>0</v>
      </c>
    </row>
    <row r="67" spans="1:180" x14ac:dyDescent="0.2">
      <c r="A67" s="16" t="s">
        <v>377</v>
      </c>
      <c r="C67" s="27"/>
      <c r="D67" s="27"/>
      <c r="F67" s="34"/>
      <c r="G67" s="16">
        <f t="shared" si="29"/>
        <v>0</v>
      </c>
      <c r="L67" s="16" t="str">
        <f t="shared" ref="L67:L73" si="31">+$P$10&amp;N3</f>
        <v>Fiche info CDD C.DuréeBSem</v>
      </c>
      <c r="M67" s="16">
        <f>IF('Fiche info CDD C.Durée'!$V$19=0,0,'Fiche info CDD C.Durée'!$V$19)</f>
        <v>0</v>
      </c>
      <c r="BX67" s="16" t="str">
        <f t="shared" si="30"/>
        <v>Contrat finiB3</v>
      </c>
      <c r="EE67" s="16">
        <f t="shared" si="24"/>
        <v>0</v>
      </c>
      <c r="EF67" s="16">
        <f t="shared" si="25"/>
        <v>0</v>
      </c>
      <c r="EG67" s="16">
        <f t="shared" si="26"/>
        <v>0</v>
      </c>
      <c r="EH67" s="16">
        <f t="shared" si="27"/>
        <v>0</v>
      </c>
      <c r="EI67" s="16">
        <f t="shared" si="28"/>
        <v>0</v>
      </c>
      <c r="FB67" s="16" t="str">
        <f t="shared" ref="FB67:FB130" si="32">+IF(FE67=$EX$2,FE67&amp;FF67&amp;FG67,"")</f>
        <v/>
      </c>
      <c r="FC67" s="16" t="str">
        <f t="shared" ref="FC67:FC130" si="33">+IF(FE67=$EX$3,FE67&amp;FF67&amp;FG67,"")</f>
        <v/>
      </c>
      <c r="FD67" s="30">
        <f t="shared" si="23"/>
        <v>45505</v>
      </c>
      <c r="FE67" s="30" t="str">
        <f>+IFERROR(VLOOKUP(FD67,BDD,75,FALSE),"")</f>
        <v/>
      </c>
      <c r="FF67" s="30" t="str">
        <f>+IFERROR(VLOOKUP(FD67,BDD,76,FALSE),"")</f>
        <v/>
      </c>
      <c r="FG67" s="30" t="str">
        <f>IFERROR(+VLOOKUP(FD67,BDD,77,FALSE),"")</f>
        <v/>
      </c>
      <c r="FH67" s="30" t="str">
        <f>+IFERROR(VLOOKUP(FD67,BDD,78,FALSE),"")</f>
        <v/>
      </c>
      <c r="FW67" s="16" t="str">
        <f>Mars!GB22</f>
        <v>102025</v>
      </c>
      <c r="FX67" s="16">
        <f>Mars!GC22</f>
        <v>0</v>
      </c>
    </row>
    <row r="68" spans="1:180" x14ac:dyDescent="0.2">
      <c r="A68" s="16" t="s">
        <v>378</v>
      </c>
      <c r="C68" s="27"/>
      <c r="D68" s="27"/>
      <c r="F68" s="34"/>
      <c r="G68" s="16">
        <f t="shared" si="29"/>
        <v>0</v>
      </c>
      <c r="L68" s="16" t="str">
        <f t="shared" si="31"/>
        <v>Fiche info CDD C.DuréeCSem</v>
      </c>
      <c r="M68" s="16">
        <f>IF('Fiche info CDD C.Durée'!$AG$19=0,0,'Fiche info CDD C.Durée'!$AG$19)</f>
        <v>0</v>
      </c>
      <c r="BX68" s="16" t="str">
        <f t="shared" si="30"/>
        <v>Contrat finiB4</v>
      </c>
      <c r="EE68" s="16">
        <f t="shared" si="24"/>
        <v>0</v>
      </c>
      <c r="EF68" s="16">
        <f t="shared" si="25"/>
        <v>0</v>
      </c>
      <c r="EG68" s="16">
        <f t="shared" si="26"/>
        <v>0</v>
      </c>
      <c r="EH68" s="16">
        <f t="shared" si="27"/>
        <v>0</v>
      </c>
      <c r="EI68" s="16">
        <f t="shared" si="28"/>
        <v>0</v>
      </c>
      <c r="FB68" s="16" t="str">
        <f t="shared" si="32"/>
        <v/>
      </c>
      <c r="FC68" s="16" t="str">
        <f t="shared" si="33"/>
        <v/>
      </c>
      <c r="FD68" s="30">
        <f t="shared" si="23"/>
        <v>45505</v>
      </c>
      <c r="FE68" s="30" t="str">
        <f>+IFERROR(VLOOKUP(FD68,BDD,79,FALSE),"")</f>
        <v/>
      </c>
      <c r="FF68" s="30" t="str">
        <f>IFERROR(+VLOOKUP(FD68,BDD,80,FALSE),"")</f>
        <v/>
      </c>
      <c r="FG68" s="30" t="str">
        <f>+IFERROR(VLOOKUP(FD68,BDD,81,FALSE),"")</f>
        <v/>
      </c>
      <c r="FH68" s="30" t="str">
        <f>+IFERROR(VLOOKUP(FD68,BDD,82,FALSE),"")</f>
        <v/>
      </c>
      <c r="FW68" s="16" t="str">
        <f>Mars!GB23</f>
        <v>102025</v>
      </c>
      <c r="FX68" s="16">
        <f>Mars!GC23</f>
        <v>0</v>
      </c>
    </row>
    <row r="69" spans="1:180" x14ac:dyDescent="0.2">
      <c r="A69" s="16" t="s">
        <v>379</v>
      </c>
      <c r="C69" s="27"/>
      <c r="D69" s="27"/>
      <c r="F69" s="34"/>
      <c r="G69" s="16">
        <f t="shared" si="29"/>
        <v>0</v>
      </c>
      <c r="L69" s="16" t="str">
        <f t="shared" si="31"/>
        <v>Fiche info CDD C.DuréeDSem</v>
      </c>
      <c r="M69" s="16">
        <f>IF('Fiche info CDD C.Durée'!$AR$19=0,0,'Fiche info CDD C.Durée'!$AR$19)</f>
        <v>0</v>
      </c>
      <c r="BX69" s="16" t="str">
        <f t="shared" si="30"/>
        <v>Contrat finiB5</v>
      </c>
      <c r="EE69" s="16">
        <f t="shared" si="24"/>
        <v>0</v>
      </c>
      <c r="EF69" s="16">
        <f t="shared" si="25"/>
        <v>0</v>
      </c>
      <c r="EG69" s="16">
        <f t="shared" si="26"/>
        <v>0</v>
      </c>
      <c r="EH69" s="16">
        <f t="shared" si="27"/>
        <v>0</v>
      </c>
      <c r="EI69" s="16">
        <f t="shared" si="28"/>
        <v>0</v>
      </c>
      <c r="FB69" s="16" t="str">
        <f t="shared" si="32"/>
        <v/>
      </c>
      <c r="FC69" s="16" t="str">
        <f t="shared" si="33"/>
        <v/>
      </c>
      <c r="FD69" s="30">
        <f t="shared" si="23"/>
        <v>45505</v>
      </c>
      <c r="FE69" s="30" t="str">
        <f>+IFERROR(VLOOKUP(FD69,BDD,83,FALSE),"")</f>
        <v/>
      </c>
      <c r="FF69" s="30" t="str">
        <f>+IFERROR(VLOOKUP(FD69,BDD,84,FALSE),"")</f>
        <v/>
      </c>
      <c r="FG69" s="30" t="str">
        <f>+IFERROR(VLOOKUP(FD69,BDD,85,FALSE),"")</f>
        <v/>
      </c>
      <c r="FH69" s="30" t="str">
        <f>+IFERROR(VLOOKUP(FD69,BDD,86,FALSE),"")</f>
        <v/>
      </c>
      <c r="FW69" s="16" t="str">
        <f>Mars!GB24</f>
        <v>102025</v>
      </c>
      <c r="FX69" s="16">
        <f>Mars!GC24</f>
        <v>0</v>
      </c>
    </row>
    <row r="70" spans="1:180" x14ac:dyDescent="0.2">
      <c r="A70" s="16" t="s">
        <v>380</v>
      </c>
      <c r="C70" s="27"/>
      <c r="D70" s="27"/>
      <c r="F70" s="34"/>
      <c r="G70" s="16">
        <f t="shared" si="29"/>
        <v>0</v>
      </c>
      <c r="L70" s="16" t="str">
        <f t="shared" si="31"/>
        <v>Fiche info CDD C.DuréeESem</v>
      </c>
      <c r="M70" s="16">
        <f>IF('Fiche info CDD C.Durée'!$BC$19=0,0,'Fiche info CDD C.Durée'!$BC$19)</f>
        <v>0</v>
      </c>
      <c r="BX70" s="16" t="str">
        <f t="shared" si="30"/>
        <v>Contrat finiB6</v>
      </c>
      <c r="EE70" s="16">
        <f t="shared" si="24"/>
        <v>0</v>
      </c>
      <c r="EF70" s="16">
        <f t="shared" si="25"/>
        <v>0</v>
      </c>
      <c r="EG70" s="16">
        <f t="shared" si="26"/>
        <v>0</v>
      </c>
      <c r="EH70" s="16">
        <f t="shared" si="27"/>
        <v>0</v>
      </c>
      <c r="EI70" s="16">
        <f t="shared" si="28"/>
        <v>0</v>
      </c>
      <c r="FB70" s="16" t="str">
        <f t="shared" si="32"/>
        <v/>
      </c>
      <c r="FC70" s="16" t="str">
        <f t="shared" si="33"/>
        <v/>
      </c>
      <c r="FD70" s="30">
        <f t="shared" si="23"/>
        <v>45474</v>
      </c>
      <c r="FE70" s="30" t="str">
        <f>+IFERROR(VLOOKUP(FD70,BDD,71,FALSE),"")</f>
        <v/>
      </c>
      <c r="FF70" s="30" t="str">
        <f>IFERROR(+VLOOKUP(FD70,BDD,72,FALSE),"")</f>
        <v/>
      </c>
      <c r="FG70" s="30" t="str">
        <f>+IFERROR(VLOOKUP(FD70,BDD,73,FALSE),"")</f>
        <v/>
      </c>
      <c r="FH70" s="30" t="str">
        <f>+IFERROR(VLOOKUP(FD70,BDD,74,FALSE),"")</f>
        <v/>
      </c>
      <c r="FW70" s="16" t="str">
        <f>Mars!GB25</f>
        <v>102025</v>
      </c>
      <c r="FX70" s="16">
        <f>Mars!GC25</f>
        <v>0</v>
      </c>
    </row>
    <row r="71" spans="1:180" x14ac:dyDescent="0.2">
      <c r="A71" s="16" t="s">
        <v>381</v>
      </c>
      <c r="C71" s="27"/>
      <c r="D71" s="27"/>
      <c r="F71" s="34"/>
      <c r="G71" s="16">
        <f t="shared" si="29"/>
        <v>0</v>
      </c>
      <c r="L71" s="16" t="str">
        <f t="shared" si="31"/>
        <v>Fiche info CDD C.DuréeFSem</v>
      </c>
      <c r="M71" s="16">
        <f>IF('Fiche info CDD C.Durée'!$BN$19=0,0,'Fiche info CDD C.Durée'!$BN$19)</f>
        <v>0</v>
      </c>
      <c r="BX71" s="16" t="str">
        <f t="shared" si="30"/>
        <v>Contrat finiB7</v>
      </c>
      <c r="EE71" s="16">
        <f t="shared" si="24"/>
        <v>0</v>
      </c>
      <c r="EF71" s="16">
        <f t="shared" si="25"/>
        <v>0</v>
      </c>
      <c r="EG71" s="16">
        <f t="shared" si="26"/>
        <v>0</v>
      </c>
      <c r="EH71" s="16">
        <f t="shared" si="27"/>
        <v>0</v>
      </c>
      <c r="EI71" s="16">
        <f t="shared" si="28"/>
        <v>0</v>
      </c>
      <c r="FB71" s="16" t="str">
        <f t="shared" si="32"/>
        <v/>
      </c>
      <c r="FC71" s="16" t="str">
        <f t="shared" si="33"/>
        <v/>
      </c>
      <c r="FD71" s="30">
        <f t="shared" si="23"/>
        <v>45474</v>
      </c>
      <c r="FE71" s="30" t="str">
        <f>+IFERROR(VLOOKUP(FD71,BDD,75,FALSE),"")</f>
        <v/>
      </c>
      <c r="FF71" s="30" t="str">
        <f>+IFERROR(VLOOKUP(FD71,BDD,76,FALSE),"")</f>
        <v/>
      </c>
      <c r="FG71" s="30" t="str">
        <f>IFERROR(+VLOOKUP(FD71,BDD,77,FALSE),"")</f>
        <v/>
      </c>
      <c r="FH71" s="30" t="str">
        <f>+IFERROR(VLOOKUP(FD71,BDD,78,FALSE),"")</f>
        <v/>
      </c>
      <c r="FW71" s="16" t="str">
        <f>Mars!GB26</f>
        <v>102025</v>
      </c>
      <c r="FX71" s="16">
        <f>Mars!GC26</f>
        <v>0</v>
      </c>
    </row>
    <row r="72" spans="1:180" x14ac:dyDescent="0.2">
      <c r="A72" s="16" t="s">
        <v>382</v>
      </c>
      <c r="C72" s="27"/>
      <c r="D72" s="27"/>
      <c r="F72" s="34"/>
      <c r="G72" s="16">
        <f t="shared" si="29"/>
        <v>0</v>
      </c>
      <c r="L72" s="16" t="str">
        <f t="shared" si="31"/>
        <v>Fiche info CDD C.DuréeGSem</v>
      </c>
      <c r="M72" s="16">
        <f>IF('Fiche info CDD C.Durée'!$BY$19=0,0,'Fiche info CDD C.Durée'!$BY$19)</f>
        <v>0</v>
      </c>
      <c r="BX72" s="16" t="str">
        <f t="shared" si="30"/>
        <v>Contrat finiC1</v>
      </c>
      <c r="EE72" s="16">
        <f t="shared" si="24"/>
        <v>0</v>
      </c>
      <c r="EF72" s="16">
        <f t="shared" si="25"/>
        <v>0</v>
      </c>
      <c r="EG72" s="16">
        <f t="shared" si="26"/>
        <v>0</v>
      </c>
      <c r="EH72" s="16">
        <f t="shared" si="27"/>
        <v>0</v>
      </c>
      <c r="EI72" s="16">
        <f t="shared" si="28"/>
        <v>0</v>
      </c>
      <c r="FB72" s="16" t="str">
        <f t="shared" si="32"/>
        <v/>
      </c>
      <c r="FC72" s="16" t="str">
        <f t="shared" si="33"/>
        <v/>
      </c>
      <c r="FD72" s="30">
        <f t="shared" si="23"/>
        <v>45474</v>
      </c>
      <c r="FE72" s="30" t="str">
        <f>+IFERROR(VLOOKUP(FD72,BDD,79,FALSE),"")</f>
        <v/>
      </c>
      <c r="FF72" s="30" t="str">
        <f>IFERROR(+VLOOKUP(FD72,BDD,80,FALSE),"")</f>
        <v/>
      </c>
      <c r="FG72" s="30" t="str">
        <f>+IFERROR(VLOOKUP(FD72,BDD,81,FALSE),"")</f>
        <v/>
      </c>
      <c r="FH72" s="30" t="str">
        <f>+IFERROR(VLOOKUP(FD72,BDD,82,FALSE),"")</f>
        <v/>
      </c>
      <c r="FW72" s="16" t="str">
        <f>Mars!GB27</f>
        <v>102025</v>
      </c>
      <c r="FX72" s="16">
        <f>Mars!GC27</f>
        <v>0</v>
      </c>
    </row>
    <row r="73" spans="1:180" x14ac:dyDescent="0.2">
      <c r="A73" s="16" t="s">
        <v>383</v>
      </c>
      <c r="C73" s="27"/>
      <c r="D73" s="27"/>
      <c r="F73" s="34"/>
      <c r="G73" s="16">
        <f t="shared" si="29"/>
        <v>0</v>
      </c>
      <c r="L73" s="16" t="str">
        <f t="shared" si="31"/>
        <v>Fiche info CDD C.DuréeHSem</v>
      </c>
      <c r="M73" s="16">
        <f>IF('Fiche info CDD C.Durée'!$CJ$19=0,0,'Fiche info CDD C.Durée'!$CJ$19)</f>
        <v>0</v>
      </c>
      <c r="BX73" s="16" t="str">
        <f t="shared" si="30"/>
        <v>Contrat finiC2</v>
      </c>
      <c r="EE73" s="16">
        <f t="shared" si="24"/>
        <v>0</v>
      </c>
      <c r="EF73" s="16">
        <f t="shared" si="25"/>
        <v>0</v>
      </c>
      <c r="EG73" s="16">
        <f t="shared" si="26"/>
        <v>0</v>
      </c>
      <c r="EH73" s="16">
        <f t="shared" si="27"/>
        <v>0</v>
      </c>
      <c r="EI73" s="16">
        <f t="shared" si="28"/>
        <v>0</v>
      </c>
      <c r="FB73" s="16" t="str">
        <f t="shared" si="32"/>
        <v/>
      </c>
      <c r="FC73" s="16" t="str">
        <f t="shared" si="33"/>
        <v/>
      </c>
      <c r="FD73" s="30">
        <f t="shared" si="23"/>
        <v>45474</v>
      </c>
      <c r="FE73" s="30" t="str">
        <f>+IFERROR(VLOOKUP(FD73,BDD,83,FALSE),"")</f>
        <v/>
      </c>
      <c r="FF73" s="30" t="str">
        <f>+IFERROR(VLOOKUP(FD73,BDD,84,FALSE),"")</f>
        <v/>
      </c>
      <c r="FG73" s="30" t="str">
        <f>+IFERROR(VLOOKUP(FD73,BDD,85,FALSE),"")</f>
        <v/>
      </c>
      <c r="FH73" s="30" t="str">
        <f>+IFERROR(VLOOKUP(FD73,BDD,86,FALSE),"")</f>
        <v/>
      </c>
      <c r="FW73" s="16" t="str">
        <f>Mars!GB28</f>
        <v>102025</v>
      </c>
      <c r="FX73" s="16">
        <f>Mars!GC28</f>
        <v>0</v>
      </c>
    </row>
    <row r="74" spans="1:180" x14ac:dyDescent="0.2">
      <c r="A74" s="16" t="s">
        <v>384</v>
      </c>
      <c r="C74" s="27"/>
      <c r="D74" s="27"/>
      <c r="F74" s="34"/>
      <c r="G74" s="16">
        <f t="shared" si="29"/>
        <v>0</v>
      </c>
      <c r="L74" s="16" t="str">
        <f>+$P$11&amp;N2</f>
        <v>Fiche info CDD_ Avenant 1ASem</v>
      </c>
      <c r="M74" s="16">
        <f>IF('Fiche info CDD_ Avenant 1'!$K$19=0,0,'Fiche info CDD_ Avenant 1'!$K$19)</f>
        <v>0</v>
      </c>
      <c r="BX74" s="16" t="str">
        <f t="shared" si="30"/>
        <v>Contrat finiC3</v>
      </c>
      <c r="EE74" s="16">
        <f t="shared" si="24"/>
        <v>0</v>
      </c>
      <c r="EF74" s="16">
        <f t="shared" si="25"/>
        <v>0</v>
      </c>
      <c r="EG74" s="16">
        <f t="shared" si="26"/>
        <v>0</v>
      </c>
      <c r="EH74" s="16">
        <f t="shared" si="27"/>
        <v>0</v>
      </c>
      <c r="EI74" s="16">
        <f t="shared" si="28"/>
        <v>0</v>
      </c>
      <c r="FB74" s="16" t="str">
        <f t="shared" si="32"/>
        <v/>
      </c>
      <c r="FC74" s="16" t="str">
        <f t="shared" si="33"/>
        <v/>
      </c>
      <c r="FD74" s="30">
        <f t="shared" si="23"/>
        <v>45444</v>
      </c>
      <c r="FE74" s="30" t="str">
        <f>+IFERROR(VLOOKUP(FD74,BDD,71,FALSE),"")</f>
        <v/>
      </c>
      <c r="FF74" s="30" t="str">
        <f>IFERROR(+VLOOKUP(FD74,BDD,72,FALSE),"")</f>
        <v/>
      </c>
      <c r="FG74" s="30" t="str">
        <f>+IFERROR(VLOOKUP(FD74,BDD,73,FALSE),"")</f>
        <v/>
      </c>
      <c r="FH74" s="30" t="str">
        <f>+IFERROR(VLOOKUP(FD74,BDD,74,FALSE),"")</f>
        <v/>
      </c>
      <c r="FW74" s="16" t="str">
        <f>Mars!GB29</f>
        <v>112025</v>
      </c>
      <c r="FX74" s="16">
        <f>Mars!GC29</f>
        <v>0</v>
      </c>
    </row>
    <row r="75" spans="1:180" x14ac:dyDescent="0.2">
      <c r="A75" s="16" t="s">
        <v>385</v>
      </c>
      <c r="C75" s="27"/>
      <c r="D75" s="27"/>
      <c r="F75" s="34"/>
      <c r="G75" s="16">
        <f t="shared" si="29"/>
        <v>0</v>
      </c>
      <c r="L75" s="16" t="str">
        <f t="shared" ref="L75:L81" si="34">+$P$11&amp;N3</f>
        <v>Fiche info CDD_ Avenant 1BSem</v>
      </c>
      <c r="M75" s="16">
        <f>IF('Fiche info CDD_ Avenant 1'!$V$19=0,0,'Fiche info CDD_ Avenant 1'!$V$19)</f>
        <v>0</v>
      </c>
      <c r="BX75" s="16" t="str">
        <f t="shared" si="30"/>
        <v>Contrat finiC4</v>
      </c>
      <c r="EE75" s="16">
        <f t="shared" si="24"/>
        <v>0</v>
      </c>
      <c r="EF75" s="16">
        <f t="shared" si="25"/>
        <v>0</v>
      </c>
      <c r="EG75" s="16">
        <f t="shared" si="26"/>
        <v>0</v>
      </c>
      <c r="EH75" s="16">
        <f t="shared" si="27"/>
        <v>0</v>
      </c>
      <c r="EI75" s="16">
        <f t="shared" si="28"/>
        <v>0</v>
      </c>
      <c r="FB75" s="16" t="str">
        <f t="shared" si="32"/>
        <v/>
      </c>
      <c r="FC75" s="16" t="str">
        <f t="shared" si="33"/>
        <v/>
      </c>
      <c r="FD75" s="30">
        <f t="shared" si="23"/>
        <v>45444</v>
      </c>
      <c r="FE75" s="30" t="str">
        <f>+IFERROR(VLOOKUP(FD75,BDD,75,FALSE),"")</f>
        <v/>
      </c>
      <c r="FF75" s="30" t="str">
        <f>+IFERROR(VLOOKUP(FD75,BDD,76,FALSE),"")</f>
        <v/>
      </c>
      <c r="FG75" s="30" t="str">
        <f>IFERROR(+VLOOKUP(FD75,BDD,77,FALSE),"")</f>
        <v/>
      </c>
      <c r="FH75" s="30" t="str">
        <f>+IFERROR(VLOOKUP(FD75,BDD,78,FALSE),"")</f>
        <v/>
      </c>
      <c r="FW75" s="16" t="str">
        <f>Mars!GB30</f>
        <v>112025</v>
      </c>
      <c r="FX75" s="16">
        <f>Mars!GC30</f>
        <v>0</v>
      </c>
    </row>
    <row r="76" spans="1:180" x14ac:dyDescent="0.2">
      <c r="A76" s="16" t="s">
        <v>386</v>
      </c>
      <c r="C76" s="27"/>
      <c r="D76" s="27"/>
      <c r="F76" s="34"/>
      <c r="G76" s="16">
        <f t="shared" si="29"/>
        <v>0</v>
      </c>
      <c r="L76" s="16" t="str">
        <f t="shared" si="34"/>
        <v>Fiche info CDD_ Avenant 1CSem</v>
      </c>
      <c r="M76" s="16">
        <f>IF('Fiche info CDD_ Avenant 1'!$AG$19=0,0,'Fiche info CDD_ Avenant 1'!$AG$19)</f>
        <v>0</v>
      </c>
      <c r="BX76" s="16" t="str">
        <f t="shared" si="30"/>
        <v>Contrat finiC5</v>
      </c>
      <c r="EE76" s="16">
        <f t="shared" si="24"/>
        <v>0</v>
      </c>
      <c r="EF76" s="16">
        <f t="shared" si="25"/>
        <v>0</v>
      </c>
      <c r="EG76" s="16">
        <f t="shared" si="26"/>
        <v>0</v>
      </c>
      <c r="EH76" s="16">
        <f t="shared" si="27"/>
        <v>0</v>
      </c>
      <c r="EI76" s="16">
        <f t="shared" si="28"/>
        <v>0</v>
      </c>
      <c r="FB76" s="16" t="str">
        <f t="shared" si="32"/>
        <v/>
      </c>
      <c r="FC76" s="16" t="str">
        <f t="shared" si="33"/>
        <v/>
      </c>
      <c r="FD76" s="30">
        <f t="shared" si="23"/>
        <v>45444</v>
      </c>
      <c r="FE76" s="30" t="str">
        <f>+IFERROR(VLOOKUP(FD76,BDD,79,FALSE),"")</f>
        <v/>
      </c>
      <c r="FF76" s="30" t="str">
        <f>IFERROR(+VLOOKUP(FD76,BDD,80,FALSE),"")</f>
        <v/>
      </c>
      <c r="FG76" s="30" t="str">
        <f>+IFERROR(VLOOKUP(FD76,BDD,81,FALSE),"")</f>
        <v/>
      </c>
      <c r="FH76" s="30" t="str">
        <f>+IFERROR(VLOOKUP(FD76,BDD,82,FALSE),"")</f>
        <v/>
      </c>
      <c r="FW76" s="16" t="str">
        <f>Mars!GB31</f>
        <v>112025</v>
      </c>
      <c r="FX76" s="16">
        <f>Mars!GC31</f>
        <v>0</v>
      </c>
    </row>
    <row r="77" spans="1:180" x14ac:dyDescent="0.2">
      <c r="A77" s="16" t="s">
        <v>387</v>
      </c>
      <c r="C77" s="27"/>
      <c r="D77" s="27"/>
      <c r="F77" s="34"/>
      <c r="G77" s="16">
        <f t="shared" si="29"/>
        <v>0</v>
      </c>
      <c r="L77" s="16" t="str">
        <f t="shared" si="34"/>
        <v>Fiche info CDD_ Avenant 1DSem</v>
      </c>
      <c r="M77" s="16">
        <f>IF('Fiche info CDD_ Avenant 1'!$AR$19=0,0,'Fiche info CDD_ Avenant 1'!$AR$19)</f>
        <v>0</v>
      </c>
      <c r="BX77" s="16" t="str">
        <f t="shared" si="30"/>
        <v>Contrat finiC6</v>
      </c>
      <c r="EE77" s="16">
        <f t="shared" si="24"/>
        <v>0</v>
      </c>
      <c r="EF77" s="16">
        <f t="shared" si="25"/>
        <v>0</v>
      </c>
      <c r="EG77" s="16">
        <f t="shared" si="26"/>
        <v>0</v>
      </c>
      <c r="EH77" s="16">
        <f t="shared" si="27"/>
        <v>0</v>
      </c>
      <c r="EI77" s="16">
        <f t="shared" si="28"/>
        <v>0</v>
      </c>
      <c r="FB77" s="16" t="str">
        <f t="shared" si="32"/>
        <v/>
      </c>
      <c r="FC77" s="16" t="str">
        <f t="shared" si="33"/>
        <v/>
      </c>
      <c r="FD77" s="30">
        <f t="shared" si="23"/>
        <v>45444</v>
      </c>
      <c r="FE77" s="30" t="str">
        <f>+IFERROR(VLOOKUP(FD77,BDD,83,FALSE),"")</f>
        <v/>
      </c>
      <c r="FF77" s="30" t="str">
        <f>+IFERROR(VLOOKUP(FD77,BDD,84,FALSE),"")</f>
        <v/>
      </c>
      <c r="FG77" s="30" t="str">
        <f>+IFERROR(VLOOKUP(FD77,BDD,85,FALSE),"")</f>
        <v/>
      </c>
      <c r="FH77" s="30" t="str">
        <f>+IFERROR(VLOOKUP(FD77,BDD,86,FALSE),"")</f>
        <v/>
      </c>
      <c r="FW77" s="16" t="str">
        <f>Mars!GB32</f>
        <v>112025</v>
      </c>
      <c r="FX77" s="16">
        <f>Mars!GC32</f>
        <v>0</v>
      </c>
    </row>
    <row r="78" spans="1:180" x14ac:dyDescent="0.2">
      <c r="A78" s="16" t="s">
        <v>388</v>
      </c>
      <c r="C78" s="27"/>
      <c r="D78" s="27"/>
      <c r="F78" s="34"/>
      <c r="G78" s="16">
        <f t="shared" si="29"/>
        <v>0</v>
      </c>
      <c r="L78" s="16" t="str">
        <f t="shared" si="34"/>
        <v>Fiche info CDD_ Avenant 1ESem</v>
      </c>
      <c r="M78" s="16">
        <f>IF('Fiche info CDD_ Avenant 1'!$BC$19=0,0,'Fiche info CDD_ Avenant 1'!$BC$19)</f>
        <v>0</v>
      </c>
      <c r="BX78" s="16" t="str">
        <f t="shared" si="30"/>
        <v>Contrat finiC7</v>
      </c>
      <c r="EE78" s="16">
        <f t="shared" si="24"/>
        <v>0</v>
      </c>
      <c r="EF78" s="16">
        <f t="shared" si="25"/>
        <v>0</v>
      </c>
      <c r="EG78" s="16">
        <f t="shared" si="26"/>
        <v>0</v>
      </c>
      <c r="EH78" s="16">
        <f t="shared" si="27"/>
        <v>0</v>
      </c>
      <c r="EI78" s="16">
        <f t="shared" si="28"/>
        <v>0</v>
      </c>
      <c r="FB78" s="16" t="str">
        <f t="shared" si="32"/>
        <v/>
      </c>
      <c r="FC78" s="16" t="str">
        <f t="shared" si="33"/>
        <v/>
      </c>
      <c r="FD78" s="30">
        <f t="shared" si="23"/>
        <v>45413</v>
      </c>
      <c r="FE78" s="30" t="str">
        <f>+IFERROR(VLOOKUP(FD78,BDD,71,FALSE),"")</f>
        <v/>
      </c>
      <c r="FF78" s="30" t="str">
        <f>IFERROR(+VLOOKUP(FD78,BDD,72,FALSE),"")</f>
        <v/>
      </c>
      <c r="FG78" s="30" t="str">
        <f>+IFERROR(VLOOKUP(FD78,BDD,73,FALSE),"")</f>
        <v/>
      </c>
      <c r="FH78" s="30" t="str">
        <f>+IFERROR(VLOOKUP(FD78,BDD,74,FALSE),"")</f>
        <v/>
      </c>
      <c r="FW78" s="16" t="str">
        <f>Mars!GB33</f>
        <v>112025</v>
      </c>
      <c r="FX78" s="16">
        <f>Mars!GC33</f>
        <v>0</v>
      </c>
    </row>
    <row r="79" spans="1:180" x14ac:dyDescent="0.2">
      <c r="A79" s="16" t="s">
        <v>389</v>
      </c>
      <c r="C79" s="27"/>
      <c r="D79" s="27"/>
      <c r="F79" s="34"/>
      <c r="G79" s="16">
        <f t="shared" si="29"/>
        <v>0</v>
      </c>
      <c r="L79" s="16" t="str">
        <f t="shared" si="34"/>
        <v>Fiche info CDD_ Avenant 1FSem</v>
      </c>
      <c r="M79" s="16">
        <f>IF('Fiche info CDD_ Avenant 1'!$BN$19=0,0,'Fiche info CDD_ Avenant 1'!$BN$19)</f>
        <v>0</v>
      </c>
      <c r="BX79" s="16" t="str">
        <f t="shared" si="30"/>
        <v>Contrat finiD1</v>
      </c>
      <c r="EE79" s="16">
        <f t="shared" si="24"/>
        <v>0</v>
      </c>
      <c r="EF79" s="16">
        <f t="shared" si="25"/>
        <v>0</v>
      </c>
      <c r="EG79" s="16">
        <f t="shared" si="26"/>
        <v>0</v>
      </c>
      <c r="EH79" s="16">
        <f t="shared" si="27"/>
        <v>0</v>
      </c>
      <c r="EI79" s="16">
        <f t="shared" si="28"/>
        <v>0</v>
      </c>
      <c r="FB79" s="16" t="str">
        <f t="shared" si="32"/>
        <v/>
      </c>
      <c r="FC79" s="16" t="str">
        <f t="shared" si="33"/>
        <v/>
      </c>
      <c r="FD79" s="30">
        <f t="shared" si="23"/>
        <v>45413</v>
      </c>
      <c r="FE79" s="30" t="str">
        <f>+IFERROR(VLOOKUP(FD79,BDD,75,FALSE),"")</f>
        <v/>
      </c>
      <c r="FF79" s="30" t="str">
        <f>+IFERROR(VLOOKUP(FD79,BDD,76,FALSE),"")</f>
        <v/>
      </c>
      <c r="FG79" s="30" t="str">
        <f>IFERROR(+VLOOKUP(FD79,BDD,77,FALSE),"")</f>
        <v/>
      </c>
      <c r="FH79" s="30" t="str">
        <f>+IFERROR(VLOOKUP(FD79,BDD,78,FALSE),"")</f>
        <v/>
      </c>
      <c r="FW79" s="16" t="str">
        <f>Mars!GB34</f>
        <v>112025</v>
      </c>
      <c r="FX79" s="16">
        <f>Mars!GC34</f>
        <v>0</v>
      </c>
    </row>
    <row r="80" spans="1:180" x14ac:dyDescent="0.2">
      <c r="A80" s="16" t="s">
        <v>390</v>
      </c>
      <c r="C80" s="27"/>
      <c r="D80" s="27"/>
      <c r="F80" s="34"/>
      <c r="G80" s="16">
        <f t="shared" si="29"/>
        <v>0</v>
      </c>
      <c r="L80" s="16" t="str">
        <f t="shared" si="34"/>
        <v>Fiche info CDD_ Avenant 1GSem</v>
      </c>
      <c r="M80" s="16">
        <f>IF('Fiche info CDD_ Avenant 1'!$BY$19=0,0,'Fiche info CDD_ Avenant 1'!$BY$19)</f>
        <v>0</v>
      </c>
      <c r="BX80" s="16" t="str">
        <f t="shared" si="30"/>
        <v>Contrat finiD2</v>
      </c>
      <c r="EE80" s="16">
        <f t="shared" si="24"/>
        <v>0</v>
      </c>
      <c r="EF80" s="16">
        <f t="shared" si="25"/>
        <v>0</v>
      </c>
      <c r="EG80" s="16">
        <f t="shared" si="26"/>
        <v>0</v>
      </c>
      <c r="EH80" s="16">
        <f t="shared" si="27"/>
        <v>0</v>
      </c>
      <c r="EI80" s="16">
        <f t="shared" si="28"/>
        <v>0</v>
      </c>
      <c r="FB80" s="16" t="str">
        <f t="shared" si="32"/>
        <v/>
      </c>
      <c r="FC80" s="16" t="str">
        <f t="shared" si="33"/>
        <v/>
      </c>
      <c r="FD80" s="30">
        <f t="shared" si="23"/>
        <v>45413</v>
      </c>
      <c r="FE80" s="30" t="str">
        <f>+IFERROR(VLOOKUP(FD80,BDD,79,FALSE),"")</f>
        <v/>
      </c>
      <c r="FF80" s="30" t="str">
        <f>IFERROR(+VLOOKUP(FD80,BDD,80,FALSE),"")</f>
        <v/>
      </c>
      <c r="FG80" s="30" t="str">
        <f>+IFERROR(VLOOKUP(FD80,BDD,81,FALSE),"")</f>
        <v/>
      </c>
      <c r="FH80" s="30" t="str">
        <f>+IFERROR(VLOOKUP(FD80,BDD,82,FALSE),"")</f>
        <v/>
      </c>
      <c r="FW80" s="16" t="str">
        <f>Mars!GB35</f>
        <v>112025</v>
      </c>
      <c r="FX80" s="16">
        <f>Mars!GC35</f>
        <v>0</v>
      </c>
    </row>
    <row r="81" spans="1:180" x14ac:dyDescent="0.2">
      <c r="A81" s="16" t="s">
        <v>391</v>
      </c>
      <c r="C81" s="27"/>
      <c r="D81" s="27"/>
      <c r="F81" s="34"/>
      <c r="G81" s="16">
        <f t="shared" si="29"/>
        <v>0</v>
      </c>
      <c r="L81" s="16" t="str">
        <f t="shared" si="34"/>
        <v>Fiche info CDD_ Avenant 1HSem</v>
      </c>
      <c r="M81" s="16">
        <f>IF('Fiche info CDD_ Avenant 1'!$CJ$19=0,0,'Fiche info CDD_ Avenant 1'!$CJ$19)</f>
        <v>0</v>
      </c>
      <c r="BX81" s="16" t="str">
        <f t="shared" si="30"/>
        <v>Contrat finiD3</v>
      </c>
      <c r="EE81" s="16">
        <f t="shared" si="24"/>
        <v>0</v>
      </c>
      <c r="EF81" s="16">
        <f t="shared" si="25"/>
        <v>0</v>
      </c>
      <c r="EG81" s="16">
        <f t="shared" si="26"/>
        <v>0</v>
      </c>
      <c r="EH81" s="16">
        <f t="shared" si="27"/>
        <v>0</v>
      </c>
      <c r="EI81" s="16">
        <f t="shared" si="28"/>
        <v>0</v>
      </c>
      <c r="FB81" s="16" t="str">
        <f t="shared" si="32"/>
        <v/>
      </c>
      <c r="FC81" s="16" t="str">
        <f t="shared" si="33"/>
        <v/>
      </c>
      <c r="FD81" s="30">
        <f t="shared" si="23"/>
        <v>45413</v>
      </c>
      <c r="FE81" s="30" t="str">
        <f>+IFERROR(VLOOKUP(FD81,BDD,83,FALSE),"")</f>
        <v/>
      </c>
      <c r="FF81" s="30" t="str">
        <f>+IFERROR(VLOOKUP(FD81,BDD,84,FALSE),"")</f>
        <v/>
      </c>
      <c r="FG81" s="30" t="str">
        <f>+IFERROR(VLOOKUP(FD81,BDD,85,FALSE),"")</f>
        <v/>
      </c>
      <c r="FH81" s="30" t="str">
        <f>+IFERROR(VLOOKUP(FD81,BDD,86,FALSE),"")</f>
        <v/>
      </c>
      <c r="FW81" s="16" t="str">
        <f>Mars!GB36</f>
        <v>122025</v>
      </c>
      <c r="FX81" s="16">
        <f>Mars!GC36</f>
        <v>0</v>
      </c>
    </row>
    <row r="82" spans="1:180" x14ac:dyDescent="0.2">
      <c r="A82" s="16" t="s">
        <v>392</v>
      </c>
      <c r="C82" s="27"/>
      <c r="D82" s="27"/>
      <c r="F82" s="34"/>
      <c r="G82" s="16">
        <f t="shared" si="29"/>
        <v>0</v>
      </c>
      <c r="L82" s="16" t="str">
        <f>+$P$12&amp;N2</f>
        <v>Fiche info CDD_ Avenant 2ASem</v>
      </c>
      <c r="M82" s="16">
        <f>IF('Fiche info CDD_ Avenant 2'!$K$19=0,0,'Fiche info CDD_ Avenant 2'!$K$19)</f>
        <v>0</v>
      </c>
      <c r="BX82" s="16" t="str">
        <f t="shared" si="30"/>
        <v>Contrat finiD4</v>
      </c>
      <c r="EE82" s="16">
        <f t="shared" si="24"/>
        <v>0</v>
      </c>
      <c r="EF82" s="16">
        <f t="shared" si="25"/>
        <v>0</v>
      </c>
      <c r="EG82" s="16">
        <f t="shared" si="26"/>
        <v>0</v>
      </c>
      <c r="EH82" s="16">
        <f t="shared" si="27"/>
        <v>0</v>
      </c>
      <c r="EI82" s="16">
        <f t="shared" si="28"/>
        <v>0</v>
      </c>
      <c r="FB82" s="16" t="str">
        <f t="shared" si="32"/>
        <v/>
      </c>
      <c r="FC82" s="16" t="str">
        <f t="shared" si="33"/>
        <v/>
      </c>
      <c r="FD82" s="30">
        <f t="shared" si="23"/>
        <v>45383</v>
      </c>
      <c r="FE82" s="30" t="str">
        <f>+IFERROR(VLOOKUP(FD82,BDD,71,FALSE),"")</f>
        <v/>
      </c>
      <c r="FF82" s="30" t="str">
        <f>IFERROR(+VLOOKUP(FD82,BDD,72,FALSE),"")</f>
        <v/>
      </c>
      <c r="FG82" s="30" t="str">
        <f>+IFERROR(VLOOKUP(FD82,BDD,73,FALSE),"")</f>
        <v/>
      </c>
      <c r="FH82" s="30" t="str">
        <f>+IFERROR(VLOOKUP(FD82,BDD,74,FALSE),"")</f>
        <v/>
      </c>
      <c r="FW82" s="16" t="str">
        <f>Mars!GB37</f>
        <v>122025</v>
      </c>
      <c r="FX82" s="16">
        <f>Mars!GC37</f>
        <v>0</v>
      </c>
    </row>
    <row r="83" spans="1:180" x14ac:dyDescent="0.2">
      <c r="A83" s="16" t="s">
        <v>393</v>
      </c>
      <c r="C83" s="27"/>
      <c r="D83" s="27"/>
      <c r="F83" s="34"/>
      <c r="G83" s="16">
        <f t="shared" si="29"/>
        <v>0</v>
      </c>
      <c r="L83" s="16" t="str">
        <f t="shared" ref="L83:L88" si="35">+$P$12&amp;N3</f>
        <v>Fiche info CDD_ Avenant 2BSem</v>
      </c>
      <c r="M83" s="16">
        <f>IF('Fiche info CDD_ Avenant 2'!$V$19=0,0,'Fiche info CDD_ Avenant 2'!$V$19)</f>
        <v>0</v>
      </c>
      <c r="BX83" s="16" t="str">
        <f t="shared" si="30"/>
        <v>Contrat finiD5</v>
      </c>
      <c r="EE83" s="16">
        <f t="shared" si="24"/>
        <v>0</v>
      </c>
      <c r="EF83" s="16">
        <f t="shared" si="25"/>
        <v>0</v>
      </c>
      <c r="EG83" s="16">
        <f t="shared" si="26"/>
        <v>0</v>
      </c>
      <c r="EH83" s="16">
        <f t="shared" si="27"/>
        <v>0</v>
      </c>
      <c r="EI83" s="16">
        <f t="shared" si="28"/>
        <v>0</v>
      </c>
      <c r="FB83" s="16" t="str">
        <f t="shared" si="32"/>
        <v/>
      </c>
      <c r="FC83" s="16" t="str">
        <f t="shared" si="33"/>
        <v/>
      </c>
      <c r="FD83" s="30">
        <f t="shared" si="23"/>
        <v>45383</v>
      </c>
      <c r="FE83" s="30" t="str">
        <f>+IFERROR(VLOOKUP(FD83,BDD,75,FALSE),"")</f>
        <v/>
      </c>
      <c r="FF83" s="30" t="str">
        <f>+IFERROR(VLOOKUP(FD83,BDD,76,FALSE),"")</f>
        <v/>
      </c>
      <c r="FG83" s="30" t="str">
        <f>IFERROR(+VLOOKUP(FD83,BDD,77,FALSE),"")</f>
        <v/>
      </c>
      <c r="FH83" s="30" t="str">
        <f>+IFERROR(VLOOKUP(FD83,BDD,78,FALSE),"")</f>
        <v/>
      </c>
      <c r="FW83" s="16" t="str">
        <f>Mars!GB38</f>
        <v>122025</v>
      </c>
      <c r="FX83" s="16">
        <f>Mars!GC38</f>
        <v>0</v>
      </c>
    </row>
    <row r="84" spans="1:180" x14ac:dyDescent="0.2">
      <c r="A84" s="16" t="s">
        <v>394</v>
      </c>
      <c r="C84" s="27"/>
      <c r="D84" s="27"/>
      <c r="F84" s="34"/>
      <c r="G84" s="16">
        <f t="shared" si="29"/>
        <v>0</v>
      </c>
      <c r="L84" s="16" t="str">
        <f t="shared" si="35"/>
        <v>Fiche info CDD_ Avenant 2CSem</v>
      </c>
      <c r="M84" s="16">
        <f>IF('Fiche info CDD_ Avenant 2'!$AG$19=0,0,'Fiche info CDD_ Avenant 2'!$AG$19)</f>
        <v>0</v>
      </c>
      <c r="BX84" s="16" t="str">
        <f t="shared" si="30"/>
        <v>Contrat finiD6</v>
      </c>
      <c r="EE84" s="16">
        <f t="shared" si="24"/>
        <v>0</v>
      </c>
      <c r="EF84" s="16">
        <f t="shared" si="25"/>
        <v>0</v>
      </c>
      <c r="EG84" s="16">
        <f t="shared" si="26"/>
        <v>0</v>
      </c>
      <c r="EH84" s="16">
        <f t="shared" si="27"/>
        <v>0</v>
      </c>
      <c r="EI84" s="16">
        <f t="shared" si="28"/>
        <v>0</v>
      </c>
      <c r="FB84" s="16" t="str">
        <f t="shared" si="32"/>
        <v/>
      </c>
      <c r="FC84" s="16" t="str">
        <f t="shared" si="33"/>
        <v/>
      </c>
      <c r="FD84" s="30">
        <f t="shared" si="23"/>
        <v>45383</v>
      </c>
      <c r="FE84" s="30" t="str">
        <f>+IFERROR(VLOOKUP(FD84,BDD,79,FALSE),"")</f>
        <v/>
      </c>
      <c r="FF84" s="30" t="str">
        <f>IFERROR(+VLOOKUP(FD84,BDD,80,FALSE),"")</f>
        <v/>
      </c>
      <c r="FG84" s="30" t="str">
        <f>+IFERROR(VLOOKUP(FD84,BDD,81,FALSE),"")</f>
        <v/>
      </c>
      <c r="FH84" s="30" t="str">
        <f>+IFERROR(VLOOKUP(FD84,BDD,82,FALSE),"")</f>
        <v/>
      </c>
      <c r="FW84" s="16" t="str">
        <f>Mars!GB39</f>
        <v>122025</v>
      </c>
      <c r="FX84" s="16">
        <f>Mars!GC39</f>
        <v>0</v>
      </c>
    </row>
    <row r="85" spans="1:180" x14ac:dyDescent="0.2">
      <c r="A85" s="16" t="s">
        <v>395</v>
      </c>
      <c r="C85" s="27"/>
      <c r="D85" s="27"/>
      <c r="F85" s="34"/>
      <c r="G85" s="16">
        <f t="shared" si="29"/>
        <v>0</v>
      </c>
      <c r="L85" s="16" t="str">
        <f t="shared" si="35"/>
        <v>Fiche info CDD_ Avenant 2DSem</v>
      </c>
      <c r="M85" s="16">
        <f>IF('Fiche info CDD_ Avenant 2'!$AR$19=0,0,'Fiche info CDD_ Avenant 2'!$AR$19)</f>
        <v>0</v>
      </c>
      <c r="BX85" s="16" t="str">
        <f t="shared" si="30"/>
        <v>Contrat finiD7</v>
      </c>
      <c r="EE85" s="16">
        <f t="shared" si="24"/>
        <v>0</v>
      </c>
      <c r="EF85" s="16">
        <f t="shared" si="25"/>
        <v>0</v>
      </c>
      <c r="EG85" s="16">
        <f t="shared" si="26"/>
        <v>0</v>
      </c>
      <c r="EH85" s="16">
        <f t="shared" si="27"/>
        <v>0</v>
      </c>
      <c r="EI85" s="16">
        <f t="shared" si="28"/>
        <v>0</v>
      </c>
      <c r="FB85" s="16" t="str">
        <f t="shared" si="32"/>
        <v/>
      </c>
      <c r="FC85" s="16" t="str">
        <f t="shared" si="33"/>
        <v/>
      </c>
      <c r="FD85" s="30">
        <f t="shared" si="23"/>
        <v>45383</v>
      </c>
      <c r="FE85" s="30" t="str">
        <f>+IFERROR(VLOOKUP(FD85,BDD,83,FALSE),"")</f>
        <v/>
      </c>
      <c r="FF85" s="30" t="str">
        <f>+IFERROR(VLOOKUP(FD85,BDD,84,FALSE),"")</f>
        <v/>
      </c>
      <c r="FG85" s="30" t="str">
        <f>+IFERROR(VLOOKUP(FD85,BDD,85,FALSE),"")</f>
        <v/>
      </c>
      <c r="FH85" s="30" t="str">
        <f>+IFERROR(VLOOKUP(FD85,BDD,86,FALSE),"")</f>
        <v/>
      </c>
      <c r="FW85" s="16" t="str">
        <f>Mars!GB40</f>
        <v>122025</v>
      </c>
      <c r="FX85" s="16">
        <f>Mars!GC40</f>
        <v>0</v>
      </c>
    </row>
    <row r="86" spans="1:180" x14ac:dyDescent="0.2">
      <c r="A86" s="16" t="s">
        <v>396</v>
      </c>
      <c r="C86" s="27"/>
      <c r="D86" s="27"/>
      <c r="F86" s="34"/>
      <c r="G86" s="16">
        <f t="shared" si="29"/>
        <v>0</v>
      </c>
      <c r="L86" s="16" t="str">
        <f t="shared" si="35"/>
        <v>Fiche info CDD_ Avenant 2ESem</v>
      </c>
      <c r="M86" s="16">
        <f>IF('Fiche info CDD_ Avenant 2'!$BC$19=0,0,'Fiche info CDD_ Avenant 2'!$BC$19)</f>
        <v>0</v>
      </c>
      <c r="BX86" s="16" t="str">
        <f t="shared" si="30"/>
        <v>Contrat finiE1</v>
      </c>
      <c r="EE86" s="16">
        <f t="shared" si="24"/>
        <v>0</v>
      </c>
      <c r="EF86" s="16">
        <f t="shared" si="25"/>
        <v>0</v>
      </c>
      <c r="EG86" s="16">
        <f t="shared" si="26"/>
        <v>0</v>
      </c>
      <c r="EH86" s="16">
        <f t="shared" si="27"/>
        <v>0</v>
      </c>
      <c r="EI86" s="16">
        <f t="shared" si="28"/>
        <v>0</v>
      </c>
      <c r="FB86" s="16" t="str">
        <f t="shared" si="32"/>
        <v/>
      </c>
      <c r="FC86" s="16" t="str">
        <f t="shared" si="33"/>
        <v/>
      </c>
      <c r="FD86" s="30">
        <f t="shared" si="23"/>
        <v>45352</v>
      </c>
      <c r="FE86" s="30" t="str">
        <f>+IFERROR(VLOOKUP(FD86,BDD,71,FALSE),"")</f>
        <v/>
      </c>
      <c r="FF86" s="30" t="str">
        <f>IFERROR(+VLOOKUP(FD86,BDD,72,FALSE),"")</f>
        <v/>
      </c>
      <c r="FG86" s="30" t="str">
        <f>+IFERROR(VLOOKUP(FD86,BDD,73,FALSE),"")</f>
        <v/>
      </c>
      <c r="FH86" s="30" t="str">
        <f>+IFERROR(VLOOKUP(FD86,BDD,74,FALSE),"")</f>
        <v/>
      </c>
      <c r="FW86" s="16" t="str">
        <f>Mars!GB41</f>
        <v>122025</v>
      </c>
      <c r="FX86" s="16">
        <f>Mars!GC41</f>
        <v>0</v>
      </c>
    </row>
    <row r="87" spans="1:180" x14ac:dyDescent="0.2">
      <c r="A87" s="16" t="s">
        <v>397</v>
      </c>
      <c r="C87" s="27"/>
      <c r="D87" s="27"/>
      <c r="F87" s="34"/>
      <c r="G87" s="16">
        <f t="shared" si="29"/>
        <v>0</v>
      </c>
      <c r="L87" s="16" t="str">
        <f t="shared" si="35"/>
        <v>Fiche info CDD_ Avenant 2FSem</v>
      </c>
      <c r="M87" s="16">
        <f>IF('Fiche info CDD_ Avenant 2'!$BN$19=0,0,'Fiche info CDD_ Avenant 2'!$BN$19)</f>
        <v>0</v>
      </c>
      <c r="BX87" s="16" t="str">
        <f t="shared" si="30"/>
        <v>Contrat finiE2</v>
      </c>
      <c r="EE87" s="16">
        <f t="shared" si="24"/>
        <v>0</v>
      </c>
      <c r="EF87" s="16">
        <f t="shared" si="25"/>
        <v>0</v>
      </c>
      <c r="EG87" s="16">
        <f t="shared" si="26"/>
        <v>0</v>
      </c>
      <c r="EH87" s="16">
        <f t="shared" si="27"/>
        <v>0</v>
      </c>
      <c r="EI87" s="16">
        <f t="shared" si="28"/>
        <v>0</v>
      </c>
      <c r="FB87" s="16" t="str">
        <f t="shared" si="32"/>
        <v/>
      </c>
      <c r="FC87" s="16" t="str">
        <f t="shared" si="33"/>
        <v/>
      </c>
      <c r="FD87" s="30">
        <f t="shared" si="23"/>
        <v>45352</v>
      </c>
      <c r="FE87" s="30" t="str">
        <f>+IFERROR(VLOOKUP(FD87,BDD,75,FALSE),"")</f>
        <v/>
      </c>
      <c r="FF87" s="30" t="str">
        <f>+IFERROR(VLOOKUP(FD87,BDD,76,FALSE),"")</f>
        <v/>
      </c>
      <c r="FG87" s="30" t="str">
        <f>IFERROR(+VLOOKUP(FD87,BDD,77,FALSE),"")</f>
        <v/>
      </c>
      <c r="FH87" s="30" t="str">
        <f>+IFERROR(VLOOKUP(FD87,BDD,78,FALSE),"")</f>
        <v/>
      </c>
      <c r="FW87" s="16" t="str">
        <f>Mars!GB42</f>
        <v>122025</v>
      </c>
      <c r="FX87" s="16">
        <f>Mars!GC42</f>
        <v>0</v>
      </c>
    </row>
    <row r="88" spans="1:180" x14ac:dyDescent="0.2">
      <c r="A88" s="16" t="s">
        <v>398</v>
      </c>
      <c r="C88" s="27"/>
      <c r="D88" s="27"/>
      <c r="F88" s="34"/>
      <c r="G88" s="16">
        <f t="shared" si="29"/>
        <v>0</v>
      </c>
      <c r="L88" s="16" t="str">
        <f t="shared" si="35"/>
        <v>Fiche info CDD_ Avenant 2GSem</v>
      </c>
      <c r="M88" s="16">
        <f>IF('Fiche info CDD_ Avenant 2'!$BY$19=0,0,'Fiche info CDD_ Avenant 2'!$BY$19)</f>
        <v>0</v>
      </c>
      <c r="BX88" s="16" t="str">
        <f t="shared" si="30"/>
        <v>Contrat finiE3</v>
      </c>
      <c r="EE88" s="16">
        <f t="shared" si="24"/>
        <v>0</v>
      </c>
      <c r="EF88" s="16">
        <f t="shared" si="25"/>
        <v>0</v>
      </c>
      <c r="EG88" s="16">
        <f t="shared" si="26"/>
        <v>0</v>
      </c>
      <c r="EH88" s="16">
        <f t="shared" si="27"/>
        <v>0</v>
      </c>
      <c r="EI88" s="16">
        <f t="shared" si="28"/>
        <v>0</v>
      </c>
      <c r="FB88" s="16" t="str">
        <f t="shared" si="32"/>
        <v/>
      </c>
      <c r="FC88" s="16" t="str">
        <f t="shared" si="33"/>
        <v/>
      </c>
      <c r="FD88" s="30">
        <f t="shared" si="23"/>
        <v>45352</v>
      </c>
      <c r="FE88" s="30" t="str">
        <f>+IFERROR(VLOOKUP(FD88,BDD,79,FALSE),"")</f>
        <v/>
      </c>
      <c r="FF88" s="30" t="str">
        <f>IFERROR(+VLOOKUP(FD88,BDD,80,FALSE),"")</f>
        <v/>
      </c>
      <c r="FG88" s="30" t="str">
        <f>+IFERROR(VLOOKUP(FD88,BDD,81,FALSE),"")</f>
        <v/>
      </c>
      <c r="FH88" s="30" t="str">
        <f>+IFERROR(VLOOKUP(FD88,BDD,82,FALSE),"")</f>
        <v/>
      </c>
      <c r="FW88" s="16" t="str">
        <f>Mars!GB43</f>
        <v>132025</v>
      </c>
      <c r="FX88" s="16">
        <f>Mars!GC43</f>
        <v>0</v>
      </c>
    </row>
    <row r="89" spans="1:180" x14ac:dyDescent="0.2">
      <c r="A89" s="16" t="s">
        <v>399</v>
      </c>
      <c r="C89" s="27"/>
      <c r="D89" s="27"/>
      <c r="F89" s="34"/>
      <c r="G89" s="16">
        <f t="shared" si="29"/>
        <v>0</v>
      </c>
      <c r="L89" s="16" t="str">
        <f>+$P$12&amp;N9</f>
        <v>Fiche info CDD_ Avenant 2HSem</v>
      </c>
      <c r="M89" s="16">
        <f>IF('Fiche info CDD_ Avenant 2'!$CJ$19=0,0,'Fiche info CDD_ Avenant 2'!$CJ$19)</f>
        <v>0</v>
      </c>
      <c r="BX89" s="16" t="str">
        <f t="shared" si="30"/>
        <v>Contrat finiE4</v>
      </c>
      <c r="EE89" s="16">
        <f t="shared" si="24"/>
        <v>0</v>
      </c>
      <c r="EF89" s="16">
        <f t="shared" si="25"/>
        <v>0</v>
      </c>
      <c r="EG89" s="16">
        <f t="shared" si="26"/>
        <v>0</v>
      </c>
      <c r="EH89" s="16">
        <f t="shared" si="27"/>
        <v>0</v>
      </c>
      <c r="EI89" s="16">
        <f t="shared" si="28"/>
        <v>0</v>
      </c>
      <c r="FB89" s="16" t="str">
        <f t="shared" si="32"/>
        <v/>
      </c>
      <c r="FC89" s="16" t="str">
        <f t="shared" si="33"/>
        <v/>
      </c>
      <c r="FD89" s="30">
        <f t="shared" si="23"/>
        <v>45352</v>
      </c>
      <c r="FE89" s="30" t="str">
        <f>+IFERROR(VLOOKUP(FD89,BDD,83,FALSE),"")</f>
        <v/>
      </c>
      <c r="FF89" s="30" t="str">
        <f>+IFERROR(VLOOKUP(FD89,BDD,84,FALSE),"")</f>
        <v/>
      </c>
      <c r="FG89" s="30" t="str">
        <f>+IFERROR(VLOOKUP(FD89,BDD,85,FALSE),"")</f>
        <v/>
      </c>
      <c r="FH89" s="30" t="str">
        <f>+IFERROR(VLOOKUP(FD89,BDD,86,FALSE),"")</f>
        <v/>
      </c>
      <c r="FW89" s="16" t="str">
        <f>Mars!GB44</f>
        <v>132025</v>
      </c>
      <c r="FX89" s="16">
        <f>Mars!GC44</f>
        <v>0</v>
      </c>
    </row>
    <row r="90" spans="1:180" x14ac:dyDescent="0.2">
      <c r="A90" s="16" t="s">
        <v>400</v>
      </c>
      <c r="C90" s="27"/>
      <c r="D90" s="27"/>
      <c r="F90" s="34"/>
      <c r="G90" s="16">
        <f t="shared" si="29"/>
        <v>0</v>
      </c>
      <c r="L90" s="16" t="str">
        <f>+$P$13&amp;$N$2</f>
        <v>Fiche info Avenant 6ASem</v>
      </c>
      <c r="M90" s="16">
        <f>IF('Fiche info Avenant 6'!$K$19=0,0,'Fiche info Avenant 6'!$K$19)</f>
        <v>0</v>
      </c>
      <c r="BX90" s="16" t="str">
        <f t="shared" si="30"/>
        <v>Contrat finiE5</v>
      </c>
      <c r="EE90" s="16">
        <f t="shared" si="24"/>
        <v>0</v>
      </c>
      <c r="EF90" s="16">
        <f t="shared" si="25"/>
        <v>0</v>
      </c>
      <c r="EG90" s="16">
        <f t="shared" si="26"/>
        <v>0</v>
      </c>
      <c r="EH90" s="16">
        <f t="shared" si="27"/>
        <v>0</v>
      </c>
      <c r="EI90" s="16">
        <f t="shared" si="28"/>
        <v>0</v>
      </c>
      <c r="FB90" s="16" t="str">
        <f t="shared" si="32"/>
        <v/>
      </c>
      <c r="FC90" s="16" t="str">
        <f t="shared" si="33"/>
        <v/>
      </c>
      <c r="FD90" s="30">
        <f t="shared" si="23"/>
        <v>45323</v>
      </c>
      <c r="FE90" s="30" t="str">
        <f>+IFERROR(VLOOKUP(FD90,BDD,71,FALSE),"")</f>
        <v/>
      </c>
      <c r="FF90" s="30" t="str">
        <f>IFERROR(+VLOOKUP(FD90,BDD,72,FALSE),"")</f>
        <v/>
      </c>
      <c r="FG90" s="30" t="str">
        <f>+IFERROR(VLOOKUP(FD90,BDD,73,FALSE),"")</f>
        <v/>
      </c>
      <c r="FH90" s="30" t="str">
        <f>+IFERROR(VLOOKUP(FD90,BDD,74,FALSE),"")</f>
        <v/>
      </c>
      <c r="FW90" s="16" t="str">
        <f>Mars!GB45</f>
        <v>132025</v>
      </c>
      <c r="FX90" s="16">
        <f>Mars!GC45</f>
        <v>0</v>
      </c>
    </row>
    <row r="91" spans="1:180" x14ac:dyDescent="0.2">
      <c r="A91" s="16" t="s">
        <v>401</v>
      </c>
      <c r="C91" s="27"/>
      <c r="D91" s="27"/>
      <c r="F91" s="34"/>
      <c r="G91" s="16">
        <f t="shared" si="29"/>
        <v>0</v>
      </c>
      <c r="L91" s="16" t="str">
        <f>+$P$13&amp;$N$3</f>
        <v>Fiche info Avenant 6BSem</v>
      </c>
      <c r="M91" s="16">
        <f>IF('Fiche info Avenant 6'!$V$19=0,0,'Fiche info Avenant 6'!$V$19)</f>
        <v>0</v>
      </c>
      <c r="BX91" s="16" t="str">
        <f t="shared" si="30"/>
        <v>Contrat finiE6</v>
      </c>
      <c r="EE91" s="16">
        <f t="shared" si="24"/>
        <v>0</v>
      </c>
      <c r="EF91" s="16">
        <f t="shared" si="25"/>
        <v>0</v>
      </c>
      <c r="EG91" s="16">
        <f t="shared" si="26"/>
        <v>0</v>
      </c>
      <c r="EH91" s="16">
        <f t="shared" si="27"/>
        <v>0</v>
      </c>
      <c r="EI91" s="16">
        <f t="shared" si="28"/>
        <v>0</v>
      </c>
      <c r="FB91" s="16" t="str">
        <f t="shared" si="32"/>
        <v/>
      </c>
      <c r="FC91" s="16" t="str">
        <f t="shared" si="33"/>
        <v/>
      </c>
      <c r="FD91" s="30">
        <f t="shared" si="23"/>
        <v>45323</v>
      </c>
      <c r="FE91" s="30" t="str">
        <f>+IFERROR(VLOOKUP(FD91,BDD,75,FALSE),"")</f>
        <v/>
      </c>
      <c r="FF91" s="30" t="str">
        <f>+IFERROR(VLOOKUP(FD91,BDD,76,FALSE),"")</f>
        <v/>
      </c>
      <c r="FG91" s="30" t="str">
        <f>IFERROR(+VLOOKUP(FD91,BDD,77,FALSE),"")</f>
        <v/>
      </c>
      <c r="FH91" s="30" t="str">
        <f>+IFERROR(VLOOKUP(FD91,BDD,78,FALSE),"")</f>
        <v/>
      </c>
      <c r="FW91" s="16" t="str">
        <f>Mars!GB46</f>
        <v>132025</v>
      </c>
      <c r="FX91" s="16">
        <f>Mars!GC46</f>
        <v>0</v>
      </c>
    </row>
    <row r="92" spans="1:180" x14ac:dyDescent="0.2">
      <c r="A92" s="16" t="s">
        <v>402</v>
      </c>
      <c r="C92" s="27"/>
      <c r="D92" s="27"/>
      <c r="F92" s="34"/>
      <c r="G92" s="16">
        <f t="shared" si="29"/>
        <v>0</v>
      </c>
      <c r="L92" s="16" t="str">
        <f>+$P$13&amp;$N$4</f>
        <v>Fiche info Avenant 6CSem</v>
      </c>
      <c r="M92" s="16">
        <f>IF('Fiche info Avenant 6'!$AG$19=0,0,'Fiche info Avenant 6'!$AG$19)</f>
        <v>0</v>
      </c>
      <c r="BX92" s="16" t="str">
        <f t="shared" si="30"/>
        <v>Contrat finiE7</v>
      </c>
      <c r="EE92" s="16">
        <f t="shared" si="24"/>
        <v>0</v>
      </c>
      <c r="EF92" s="16">
        <f t="shared" si="25"/>
        <v>0</v>
      </c>
      <c r="EG92" s="16">
        <f t="shared" si="26"/>
        <v>0</v>
      </c>
      <c r="EH92" s="16">
        <f t="shared" si="27"/>
        <v>0</v>
      </c>
      <c r="EI92" s="16">
        <f t="shared" si="28"/>
        <v>0</v>
      </c>
      <c r="FB92" s="16" t="str">
        <f t="shared" si="32"/>
        <v/>
      </c>
      <c r="FC92" s="16" t="str">
        <f t="shared" si="33"/>
        <v/>
      </c>
      <c r="FD92" s="30">
        <f t="shared" si="23"/>
        <v>45323</v>
      </c>
      <c r="FE92" s="30" t="str">
        <f>+IFERROR(VLOOKUP(FD92,BDD,79,FALSE),"")</f>
        <v/>
      </c>
      <c r="FF92" s="30" t="str">
        <f>IFERROR(+VLOOKUP(FD92,BDD,80,FALSE),"")</f>
        <v/>
      </c>
      <c r="FG92" s="30" t="str">
        <f>+IFERROR(VLOOKUP(FD92,BDD,81,FALSE),"")</f>
        <v/>
      </c>
      <c r="FH92" s="30" t="str">
        <f>+IFERROR(VLOOKUP(FD92,BDD,82,FALSE),"")</f>
        <v/>
      </c>
      <c r="FW92" s="16" t="str">
        <f>Mars!GB47</f>
        <v>132025</v>
      </c>
      <c r="FX92" s="16">
        <f>Mars!GC47</f>
        <v>0</v>
      </c>
    </row>
    <row r="93" spans="1:180" x14ac:dyDescent="0.2">
      <c r="A93" s="16" t="s">
        <v>403</v>
      </c>
      <c r="C93" s="27"/>
      <c r="D93" s="27"/>
      <c r="F93" s="34"/>
      <c r="G93" s="16">
        <f t="shared" si="29"/>
        <v>0</v>
      </c>
      <c r="L93" s="16" t="str">
        <f>+$P$13&amp;$N$5</f>
        <v>Fiche info Avenant 6DSem</v>
      </c>
      <c r="M93" s="16">
        <f>IF('Fiche info Avenant 6'!$AR$19=0,0,'Fiche info Avenant 6'!$AR$19)</f>
        <v>0</v>
      </c>
      <c r="BX93" s="16" t="str">
        <f t="shared" si="30"/>
        <v>Contrat finiF1</v>
      </c>
      <c r="EE93" s="16">
        <f t="shared" si="24"/>
        <v>0</v>
      </c>
      <c r="EF93" s="16">
        <f t="shared" si="25"/>
        <v>0</v>
      </c>
      <c r="EG93" s="16">
        <f t="shared" si="26"/>
        <v>0</v>
      </c>
      <c r="EH93" s="16">
        <f t="shared" si="27"/>
        <v>0</v>
      </c>
      <c r="EI93" s="16">
        <f t="shared" si="28"/>
        <v>0</v>
      </c>
      <c r="FB93" s="16" t="str">
        <f t="shared" si="32"/>
        <v/>
      </c>
      <c r="FC93" s="16" t="str">
        <f t="shared" si="33"/>
        <v/>
      </c>
      <c r="FD93" s="30">
        <f t="shared" si="23"/>
        <v>45323</v>
      </c>
      <c r="FE93" s="30" t="str">
        <f>+IFERROR(VLOOKUP(FD93,BDD,83,FALSE),"")</f>
        <v/>
      </c>
      <c r="FF93" s="30" t="str">
        <f>+IFERROR(VLOOKUP(FD93,BDD,84,FALSE),"")</f>
        <v/>
      </c>
      <c r="FG93" s="30" t="str">
        <f>+IFERROR(VLOOKUP(FD93,BDD,85,FALSE),"")</f>
        <v/>
      </c>
      <c r="FH93" s="30" t="str">
        <f>+IFERROR(VLOOKUP(FD93,BDD,86,FALSE),"")</f>
        <v/>
      </c>
      <c r="FW93" s="16" t="str">
        <f>Mars!GB48</f>
        <v>132025</v>
      </c>
      <c r="FX93" s="16">
        <f>Mars!GC48</f>
        <v>0</v>
      </c>
    </row>
    <row r="94" spans="1:180" x14ac:dyDescent="0.2">
      <c r="A94" s="16" t="s">
        <v>404</v>
      </c>
      <c r="C94" s="27"/>
      <c r="D94" s="27"/>
      <c r="F94" s="34"/>
      <c r="G94" s="16">
        <f t="shared" si="29"/>
        <v>0</v>
      </c>
      <c r="L94" s="16" t="str">
        <f>+$P$13&amp;$N$6</f>
        <v>Fiche info Avenant 6ESem</v>
      </c>
      <c r="M94" s="16">
        <f>IF('Fiche info Avenant 6'!$BC$19=0,0,'Fiche info Avenant 6'!$BC$19)</f>
        <v>0</v>
      </c>
      <c r="BX94" s="16" t="str">
        <f t="shared" si="30"/>
        <v>Contrat finiF2</v>
      </c>
      <c r="EE94" s="16">
        <f t="shared" si="24"/>
        <v>0</v>
      </c>
      <c r="EF94" s="16">
        <f t="shared" si="25"/>
        <v>0</v>
      </c>
      <c r="EG94" s="16">
        <f t="shared" si="26"/>
        <v>0</v>
      </c>
      <c r="EH94" s="16">
        <f t="shared" si="27"/>
        <v>0</v>
      </c>
      <c r="EI94" s="16">
        <f t="shared" si="28"/>
        <v>0</v>
      </c>
      <c r="FB94" s="16" t="str">
        <f t="shared" si="32"/>
        <v/>
      </c>
      <c r="FC94" s="16" t="str">
        <f t="shared" si="33"/>
        <v/>
      </c>
      <c r="FD94" s="30">
        <f t="shared" si="23"/>
        <v>45292</v>
      </c>
      <c r="FE94" s="30" t="str">
        <f>+IFERROR(VLOOKUP(FD94,BDD,71,FALSE),"")</f>
        <v/>
      </c>
      <c r="FF94" s="30" t="str">
        <f>IFERROR(+VLOOKUP(FD94,BDD,72,FALSE),"")</f>
        <v/>
      </c>
      <c r="FG94" s="30" t="str">
        <f>+IFERROR(VLOOKUP(FD94,BDD,73,FALSE),"")</f>
        <v/>
      </c>
      <c r="FH94" s="30" t="str">
        <f>+IFERROR(VLOOKUP(FD94,BDD,74,FALSE),"")</f>
        <v/>
      </c>
      <c r="FW94" s="16" t="str">
        <f>Mars!GB49</f>
        <v>132025</v>
      </c>
      <c r="FX94" s="16">
        <f>Mars!GC49</f>
        <v>0</v>
      </c>
    </row>
    <row r="95" spans="1:180" x14ac:dyDescent="0.2">
      <c r="A95" s="16" t="s">
        <v>405</v>
      </c>
      <c r="C95" s="27"/>
      <c r="D95" s="27"/>
      <c r="F95" s="34"/>
      <c r="G95" s="16">
        <f t="shared" si="29"/>
        <v>0</v>
      </c>
      <c r="L95" s="16" t="str">
        <f>+$P$13&amp;$N$7</f>
        <v>Fiche info Avenant 6FSem</v>
      </c>
      <c r="M95" s="16">
        <f>IF('Fiche info Avenant 6'!$BN$19=0,0,'Fiche info Avenant 6'!$BN$19)</f>
        <v>0</v>
      </c>
      <c r="BX95" s="16" t="str">
        <f t="shared" si="30"/>
        <v>Contrat finiF3</v>
      </c>
      <c r="EE95" s="16">
        <f t="shared" si="24"/>
        <v>0</v>
      </c>
      <c r="EF95" s="16">
        <f t="shared" si="25"/>
        <v>0</v>
      </c>
      <c r="EG95" s="16">
        <f t="shared" si="26"/>
        <v>0</v>
      </c>
      <c r="EH95" s="16">
        <f t="shared" si="27"/>
        <v>0</v>
      </c>
      <c r="EI95" s="16">
        <f t="shared" si="28"/>
        <v>0</v>
      </c>
      <c r="FB95" s="16" t="str">
        <f t="shared" si="32"/>
        <v/>
      </c>
      <c r="FC95" s="16" t="str">
        <f t="shared" si="33"/>
        <v/>
      </c>
      <c r="FD95" s="30">
        <f t="shared" si="23"/>
        <v>45292</v>
      </c>
      <c r="FE95" s="30" t="str">
        <f>+IFERROR(VLOOKUP(FD95,BDD,75,FALSE),"")</f>
        <v/>
      </c>
      <c r="FF95" s="30" t="str">
        <f>+IFERROR(VLOOKUP(FD95,BDD,76,FALSE),"")</f>
        <v/>
      </c>
      <c r="FG95" s="30" t="str">
        <f>IFERROR(+VLOOKUP(FD95,BDD,77,FALSE),"")</f>
        <v/>
      </c>
      <c r="FH95" s="30" t="str">
        <f>+IFERROR(VLOOKUP(FD95,BDD,78,FALSE),"")</f>
        <v/>
      </c>
      <c r="FW95" s="16" t="str">
        <f>Mars!GB50</f>
        <v>142025</v>
      </c>
      <c r="FX95" s="16">
        <f>Mars!GC50</f>
        <v>0</v>
      </c>
    </row>
    <row r="96" spans="1:180" x14ac:dyDescent="0.2">
      <c r="A96" s="16" t="s">
        <v>406</v>
      </c>
      <c r="C96" s="27"/>
      <c r="D96" s="27"/>
      <c r="F96" s="34"/>
      <c r="G96" s="16">
        <f t="shared" si="29"/>
        <v>0</v>
      </c>
      <c r="L96" s="16" t="str">
        <f>+$P$13&amp;$N$8</f>
        <v>Fiche info Avenant 6GSem</v>
      </c>
      <c r="M96" s="16">
        <f>IF('Fiche info Avenant 6'!$BY$19=0,0,'Fiche info Avenant 6'!$BY$19)</f>
        <v>0</v>
      </c>
      <c r="BX96" s="16" t="str">
        <f t="shared" si="30"/>
        <v>Contrat finiF4</v>
      </c>
      <c r="EE96" s="16">
        <f t="shared" si="24"/>
        <v>0</v>
      </c>
      <c r="EF96" s="16">
        <f t="shared" si="25"/>
        <v>0</v>
      </c>
      <c r="EG96" s="16">
        <f t="shared" si="26"/>
        <v>0</v>
      </c>
      <c r="EH96" s="16">
        <f t="shared" si="27"/>
        <v>0</v>
      </c>
      <c r="EI96" s="16">
        <f t="shared" si="28"/>
        <v>0</v>
      </c>
      <c r="FB96" s="16" t="str">
        <f t="shared" si="32"/>
        <v/>
      </c>
      <c r="FC96" s="16" t="str">
        <f t="shared" si="33"/>
        <v/>
      </c>
      <c r="FD96" s="30">
        <f t="shared" si="23"/>
        <v>45292</v>
      </c>
      <c r="FE96" s="30" t="str">
        <f>+IFERROR(VLOOKUP(FD96,BDD,79,FALSE),"")</f>
        <v/>
      </c>
      <c r="FF96" s="30" t="str">
        <f>IFERROR(+VLOOKUP(FD96,BDD,80,FALSE),"")</f>
        <v/>
      </c>
      <c r="FG96" s="30" t="str">
        <f>+IFERROR(VLOOKUP(FD96,BDD,81,FALSE),"")</f>
        <v/>
      </c>
      <c r="FH96" s="30" t="str">
        <f>+IFERROR(VLOOKUP(FD96,BDD,82,FALSE),"")</f>
        <v/>
      </c>
      <c r="FW96" s="16" t="str">
        <f>Avril!GB20</f>
        <v>142025</v>
      </c>
      <c r="FX96" s="16">
        <f>Avril!GC20</f>
        <v>0</v>
      </c>
    </row>
    <row r="97" spans="1:180" x14ac:dyDescent="0.2">
      <c r="A97" s="16" t="s">
        <v>407</v>
      </c>
      <c r="C97" s="27"/>
      <c r="D97" s="27"/>
      <c r="F97" s="34"/>
      <c r="G97" s="16">
        <f t="shared" si="29"/>
        <v>0</v>
      </c>
      <c r="L97" s="16" t="str">
        <f>+$P$13&amp;$N$9</f>
        <v>Fiche info Avenant 6HSem</v>
      </c>
      <c r="M97" s="16">
        <f>IF('Fiche info Avenant 6'!$CJ$19=0,0,'Fiche info Avenant 6'!$CJ$19)</f>
        <v>0</v>
      </c>
      <c r="BX97" s="16" t="str">
        <f t="shared" si="30"/>
        <v>Contrat finiF5</v>
      </c>
      <c r="EE97" s="16">
        <f t="shared" si="24"/>
        <v>0</v>
      </c>
      <c r="EF97" s="16">
        <f t="shared" si="25"/>
        <v>0</v>
      </c>
      <c r="EG97" s="16">
        <f t="shared" si="26"/>
        <v>0</v>
      </c>
      <c r="EH97" s="16">
        <f t="shared" si="27"/>
        <v>0</v>
      </c>
      <c r="EI97" s="16">
        <f t="shared" si="28"/>
        <v>0</v>
      </c>
      <c r="FB97" s="16" t="str">
        <f t="shared" si="32"/>
        <v/>
      </c>
      <c r="FC97" s="16" t="str">
        <f t="shared" si="33"/>
        <v/>
      </c>
      <c r="FD97" s="30">
        <f t="shared" si="23"/>
        <v>45292</v>
      </c>
      <c r="FE97" s="30" t="str">
        <f>+IFERROR(VLOOKUP(FD97,BDD,83,FALSE),"")</f>
        <v/>
      </c>
      <c r="FF97" s="30" t="str">
        <f>+IFERROR(VLOOKUP(FD97,BDD,84,FALSE),"")</f>
        <v/>
      </c>
      <c r="FG97" s="30" t="str">
        <f>+IFERROR(VLOOKUP(FD97,BDD,85,FALSE),"")</f>
        <v/>
      </c>
      <c r="FH97" s="30" t="str">
        <f>+IFERROR(VLOOKUP(FD97,BDD,86,FALSE),"")</f>
        <v/>
      </c>
      <c r="FW97" s="16" t="str">
        <f>Avril!GB21</f>
        <v>142025</v>
      </c>
      <c r="FX97" s="16">
        <f>Avril!GC21</f>
        <v>0</v>
      </c>
    </row>
    <row r="98" spans="1:180" x14ac:dyDescent="0.2">
      <c r="A98" s="16" t="s">
        <v>408</v>
      </c>
      <c r="C98" s="27"/>
      <c r="D98" s="27"/>
      <c r="F98" s="34"/>
      <c r="G98" s="16">
        <f t="shared" si="29"/>
        <v>0</v>
      </c>
      <c r="L98" s="16" t="str">
        <f>+$P$14&amp;$N$2</f>
        <v>Fiche info Avenant 7ASem</v>
      </c>
      <c r="M98" s="16">
        <f>IF('Fiche info Avenant 7'!$K$19=0,0,'Fiche info Avenant 7'!$K$19)</f>
        <v>0</v>
      </c>
      <c r="BX98" s="16" t="str">
        <f t="shared" si="30"/>
        <v>Contrat finiF6</v>
      </c>
      <c r="EE98" s="16">
        <f t="shared" si="24"/>
        <v>0</v>
      </c>
      <c r="EF98" s="16">
        <f t="shared" si="25"/>
        <v>0</v>
      </c>
      <c r="EG98" s="16">
        <f t="shared" si="26"/>
        <v>0</v>
      </c>
      <c r="EH98" s="16">
        <f t="shared" si="27"/>
        <v>0</v>
      </c>
      <c r="EI98" s="16">
        <f t="shared" si="28"/>
        <v>0</v>
      </c>
      <c r="FB98" s="16" t="str">
        <f t="shared" si="32"/>
        <v/>
      </c>
      <c r="FC98" s="16" t="str">
        <f t="shared" si="33"/>
        <v/>
      </c>
      <c r="FD98" s="30">
        <f t="shared" si="23"/>
        <v>45261</v>
      </c>
      <c r="FE98" s="30" t="str">
        <f>+IFERROR(VLOOKUP(FD98,BDD,71,FALSE),"")</f>
        <v/>
      </c>
      <c r="FF98" s="30" t="str">
        <f>IFERROR(+VLOOKUP(FD98,BDD,72,FALSE),"")</f>
        <v/>
      </c>
      <c r="FG98" s="30" t="str">
        <f>+IFERROR(VLOOKUP(FD98,BDD,73,FALSE),"")</f>
        <v/>
      </c>
      <c r="FH98" s="30" t="str">
        <f>+IFERROR(VLOOKUP(FD98,BDD,74,FALSE),"")</f>
        <v/>
      </c>
      <c r="FW98" s="16" t="str">
        <f>Avril!GB22</f>
        <v>142025</v>
      </c>
      <c r="FX98" s="16">
        <f>Avril!GC22</f>
        <v>0</v>
      </c>
    </row>
    <row r="99" spans="1:180" x14ac:dyDescent="0.2">
      <c r="A99" s="16" t="s">
        <v>409</v>
      </c>
      <c r="C99" s="27"/>
      <c r="D99" s="27"/>
      <c r="F99" s="34"/>
      <c r="G99" s="16">
        <f t="shared" si="29"/>
        <v>0</v>
      </c>
      <c r="L99" s="16" t="str">
        <f>+$P$14&amp;$N$3</f>
        <v>Fiche info Avenant 7BSem</v>
      </c>
      <c r="M99" s="16">
        <f>IF('Fiche info Avenant 7'!$V$19=0,0,'Fiche info Avenant 7'!$V$19)</f>
        <v>0</v>
      </c>
      <c r="BX99" s="16" t="str">
        <f t="shared" si="30"/>
        <v>Contrat finiF7</v>
      </c>
      <c r="EE99" s="16">
        <f t="shared" si="24"/>
        <v>0</v>
      </c>
      <c r="EF99" s="16">
        <f t="shared" si="25"/>
        <v>0</v>
      </c>
      <c r="EG99" s="16">
        <f t="shared" si="26"/>
        <v>0</v>
      </c>
      <c r="EH99" s="16">
        <f t="shared" si="27"/>
        <v>0</v>
      </c>
      <c r="EI99" s="16">
        <f t="shared" si="28"/>
        <v>0</v>
      </c>
      <c r="FB99" s="16" t="str">
        <f t="shared" si="32"/>
        <v/>
      </c>
      <c r="FC99" s="16" t="str">
        <f t="shared" si="33"/>
        <v/>
      </c>
      <c r="FD99" s="30">
        <f t="shared" si="23"/>
        <v>45261</v>
      </c>
      <c r="FE99" s="30" t="str">
        <f>+IFERROR(VLOOKUP(FD99,BDD,75,FALSE),"")</f>
        <v/>
      </c>
      <c r="FF99" s="30" t="str">
        <f>+IFERROR(VLOOKUP(FD99,BDD,76,FALSE),"")</f>
        <v/>
      </c>
      <c r="FG99" s="30" t="str">
        <f>IFERROR(+VLOOKUP(FD99,BDD,77,FALSE),"")</f>
        <v/>
      </c>
      <c r="FH99" s="30" t="str">
        <f>+IFERROR(VLOOKUP(FD99,BDD,78,FALSE),"")</f>
        <v/>
      </c>
      <c r="FW99" s="16" t="str">
        <f>Avril!GB23</f>
        <v>142025</v>
      </c>
      <c r="FX99" s="16">
        <f>Avril!GC23</f>
        <v>0</v>
      </c>
    </row>
    <row r="100" spans="1:180" x14ac:dyDescent="0.2">
      <c r="A100" s="16" t="s">
        <v>410</v>
      </c>
      <c r="C100" s="27"/>
      <c r="D100" s="27"/>
      <c r="F100" s="34"/>
      <c r="G100" s="16">
        <f t="shared" si="29"/>
        <v>0</v>
      </c>
      <c r="L100" s="16" t="str">
        <f>+$P$14&amp;$N$4</f>
        <v>Fiche info Avenant 7CSem</v>
      </c>
      <c r="M100" s="16">
        <f>IF('Fiche info Avenant 7'!$AG$19=0,0,'Fiche info Avenant 7'!$AG$19)</f>
        <v>0</v>
      </c>
      <c r="BX100" s="16" t="str">
        <f t="shared" si="30"/>
        <v>Contrat finiG1</v>
      </c>
      <c r="EE100" s="16">
        <f t="shared" si="24"/>
        <v>0</v>
      </c>
      <c r="EF100" s="16">
        <f t="shared" si="25"/>
        <v>0</v>
      </c>
      <c r="EG100" s="16">
        <f t="shared" si="26"/>
        <v>0</v>
      </c>
      <c r="EH100" s="16">
        <f t="shared" si="27"/>
        <v>0</v>
      </c>
      <c r="EI100" s="16">
        <f t="shared" si="28"/>
        <v>0</v>
      </c>
      <c r="FB100" s="16" t="str">
        <f t="shared" si="32"/>
        <v/>
      </c>
      <c r="FC100" s="16" t="str">
        <f t="shared" si="33"/>
        <v/>
      </c>
      <c r="FD100" s="30">
        <f t="shared" si="23"/>
        <v>45261</v>
      </c>
      <c r="FE100" s="30" t="str">
        <f>+IFERROR(VLOOKUP(FD100,BDD,79,FALSE),"")</f>
        <v/>
      </c>
      <c r="FF100" s="30" t="str">
        <f>IFERROR(+VLOOKUP(FD100,BDD,80,FALSE),"")</f>
        <v/>
      </c>
      <c r="FG100" s="30" t="str">
        <f>+IFERROR(VLOOKUP(FD100,BDD,81,FALSE),"")</f>
        <v/>
      </c>
      <c r="FH100" s="30" t="str">
        <f>+IFERROR(VLOOKUP(FD100,BDD,82,FALSE),"")</f>
        <v/>
      </c>
      <c r="FW100" s="16" t="str">
        <f>Avril!GB24</f>
        <v>142025</v>
      </c>
      <c r="FX100" s="16">
        <f>Avril!GC24</f>
        <v>0</v>
      </c>
    </row>
    <row r="101" spans="1:180" x14ac:dyDescent="0.2">
      <c r="A101" s="16" t="s">
        <v>411</v>
      </c>
      <c r="C101" s="27"/>
      <c r="D101" s="27"/>
      <c r="F101" s="34"/>
      <c r="G101" s="16">
        <f t="shared" si="29"/>
        <v>0</v>
      </c>
      <c r="L101" s="16" t="str">
        <f>+$P$14&amp;$N$5</f>
        <v>Fiche info Avenant 7DSem</v>
      </c>
      <c r="M101" s="16">
        <f>IF('Fiche info Avenant 7'!$AR$19=0,0,'Fiche info Avenant 7'!$AR$19)</f>
        <v>0</v>
      </c>
      <c r="BX101" s="16" t="str">
        <f t="shared" si="30"/>
        <v>Contrat finiG2</v>
      </c>
      <c r="EE101" s="16">
        <f t="shared" si="24"/>
        <v>0</v>
      </c>
      <c r="EF101" s="16">
        <f t="shared" si="25"/>
        <v>0</v>
      </c>
      <c r="EG101" s="16">
        <f t="shared" si="26"/>
        <v>0</v>
      </c>
      <c r="EH101" s="16">
        <f t="shared" si="27"/>
        <v>0</v>
      </c>
      <c r="EI101" s="16">
        <f t="shared" si="28"/>
        <v>0</v>
      </c>
      <c r="FB101" s="16" t="str">
        <f t="shared" si="32"/>
        <v/>
      </c>
      <c r="FC101" s="16" t="str">
        <f t="shared" si="33"/>
        <v/>
      </c>
      <c r="FD101" s="30">
        <f t="shared" si="23"/>
        <v>45261</v>
      </c>
      <c r="FE101" s="30" t="str">
        <f>+IFERROR(VLOOKUP(FD101,BDD,83,FALSE),"")</f>
        <v/>
      </c>
      <c r="FF101" s="30" t="str">
        <f>+IFERROR(VLOOKUP(FD101,BDD,84,FALSE),"")</f>
        <v/>
      </c>
      <c r="FG101" s="30" t="str">
        <f>+IFERROR(VLOOKUP(FD101,BDD,85,FALSE),"")</f>
        <v/>
      </c>
      <c r="FH101" s="30" t="str">
        <f>+IFERROR(VLOOKUP(FD101,BDD,86,FALSE),"")</f>
        <v/>
      </c>
      <c r="FW101" s="16" t="str">
        <f>Avril!GB25</f>
        <v>142025</v>
      </c>
      <c r="FX101" s="16">
        <f>Avril!GC25</f>
        <v>0</v>
      </c>
    </row>
    <row r="102" spans="1:180" x14ac:dyDescent="0.2">
      <c r="A102" s="16" t="s">
        <v>412</v>
      </c>
      <c r="C102" s="27"/>
      <c r="D102" s="27"/>
      <c r="F102" s="34"/>
      <c r="G102" s="16">
        <f t="shared" si="29"/>
        <v>0</v>
      </c>
      <c r="L102" s="16" t="str">
        <f>+$P$14&amp;$N$6</f>
        <v>Fiche info Avenant 7ESem</v>
      </c>
      <c r="M102" s="16">
        <f>IF('Fiche info Avenant 7'!$BC$19=0,0,'Fiche info Avenant 7'!$BC$19)</f>
        <v>0</v>
      </c>
      <c r="BX102" s="16" t="str">
        <f t="shared" si="30"/>
        <v>Contrat finiG3</v>
      </c>
      <c r="EE102" s="16">
        <f t="shared" si="24"/>
        <v>0</v>
      </c>
      <c r="EF102" s="16">
        <f t="shared" si="25"/>
        <v>0</v>
      </c>
      <c r="EG102" s="16">
        <f t="shared" si="26"/>
        <v>0</v>
      </c>
      <c r="EH102" s="16">
        <f t="shared" si="27"/>
        <v>0</v>
      </c>
      <c r="EI102" s="16">
        <f t="shared" si="28"/>
        <v>0</v>
      </c>
      <c r="FB102" s="16" t="str">
        <f t="shared" si="32"/>
        <v/>
      </c>
      <c r="FC102" s="16" t="str">
        <f t="shared" si="33"/>
        <v/>
      </c>
      <c r="FD102" s="30">
        <f t="shared" si="23"/>
        <v>45231</v>
      </c>
      <c r="FE102" s="30" t="str">
        <f>+IFERROR(VLOOKUP(FD102,BDD,71,FALSE),"")</f>
        <v/>
      </c>
      <c r="FF102" s="30" t="str">
        <f>IFERROR(+VLOOKUP(FD102,BDD,72,FALSE),"")</f>
        <v/>
      </c>
      <c r="FG102" s="30" t="str">
        <f>+IFERROR(VLOOKUP(FD102,BDD,73,FALSE),"")</f>
        <v/>
      </c>
      <c r="FH102" s="30" t="str">
        <f>+IFERROR(VLOOKUP(FD102,BDD,74,FALSE),"")</f>
        <v/>
      </c>
      <c r="FW102" s="16" t="str">
        <f>Avril!GB26</f>
        <v>152025</v>
      </c>
      <c r="FX102" s="16">
        <f>Avril!GC26</f>
        <v>0</v>
      </c>
    </row>
    <row r="103" spans="1:180" x14ac:dyDescent="0.2">
      <c r="A103" s="16" t="s">
        <v>413</v>
      </c>
      <c r="C103" s="27"/>
      <c r="D103" s="27"/>
      <c r="F103" s="34"/>
      <c r="G103" s="16">
        <f t="shared" si="29"/>
        <v>0</v>
      </c>
      <c r="L103" s="16" t="str">
        <f>+$P$14&amp;$N$7</f>
        <v>Fiche info Avenant 7FSem</v>
      </c>
      <c r="M103" s="16">
        <f>IF('Fiche info Avenant 7'!$BN$19=0,0,'Fiche info Avenant 7'!$BN$19)</f>
        <v>0</v>
      </c>
      <c r="BX103" s="16" t="str">
        <f t="shared" si="30"/>
        <v>Contrat finiG4</v>
      </c>
      <c r="EE103" s="16">
        <f t="shared" si="24"/>
        <v>0</v>
      </c>
      <c r="EF103" s="16">
        <f t="shared" si="25"/>
        <v>0</v>
      </c>
      <c r="EG103" s="16">
        <f t="shared" si="26"/>
        <v>0</v>
      </c>
      <c r="EH103" s="16">
        <f t="shared" si="27"/>
        <v>0</v>
      </c>
      <c r="EI103" s="16">
        <f t="shared" si="28"/>
        <v>0</v>
      </c>
      <c r="FB103" s="16" t="str">
        <f t="shared" si="32"/>
        <v/>
      </c>
      <c r="FC103" s="16" t="str">
        <f t="shared" si="33"/>
        <v/>
      </c>
      <c r="FD103" s="30">
        <f t="shared" si="23"/>
        <v>45231</v>
      </c>
      <c r="FE103" s="30" t="str">
        <f>+IFERROR(VLOOKUP(FD103,BDD,75,FALSE),"")</f>
        <v/>
      </c>
      <c r="FF103" s="30" t="str">
        <f>+IFERROR(VLOOKUP(FD103,BDD,76,FALSE),"")</f>
        <v/>
      </c>
      <c r="FG103" s="30" t="str">
        <f>IFERROR(+VLOOKUP(FD103,BDD,77,FALSE),"")</f>
        <v/>
      </c>
      <c r="FH103" s="30" t="str">
        <f>+IFERROR(VLOOKUP(FD103,BDD,78,FALSE),"")</f>
        <v/>
      </c>
      <c r="FW103" s="16" t="str">
        <f>Avril!GB27</f>
        <v>152025</v>
      </c>
      <c r="FX103" s="16">
        <f>Avril!GC27</f>
        <v>0</v>
      </c>
    </row>
    <row r="104" spans="1:180" x14ac:dyDescent="0.2">
      <c r="A104" s="16" t="s">
        <v>414</v>
      </c>
      <c r="C104" s="27"/>
      <c r="D104" s="27"/>
      <c r="F104" s="34"/>
      <c r="G104" s="16">
        <f t="shared" si="29"/>
        <v>0</v>
      </c>
      <c r="L104" s="16" t="str">
        <f>+$P$14&amp;$N$8</f>
        <v>Fiche info Avenant 7GSem</v>
      </c>
      <c r="M104" s="16">
        <f>IF('Fiche info Avenant 7'!$BY$19=0,0,'Fiche info Avenant 7'!$BY$19)</f>
        <v>0</v>
      </c>
      <c r="BX104" s="16" t="str">
        <f t="shared" si="30"/>
        <v>Contrat finiG5</v>
      </c>
      <c r="EE104" s="16">
        <f t="shared" si="24"/>
        <v>0</v>
      </c>
      <c r="EF104" s="16">
        <f t="shared" si="25"/>
        <v>0</v>
      </c>
      <c r="EG104" s="16">
        <f t="shared" si="26"/>
        <v>0</v>
      </c>
      <c r="EH104" s="16">
        <f t="shared" si="27"/>
        <v>0</v>
      </c>
      <c r="EI104" s="16">
        <f t="shared" si="28"/>
        <v>0</v>
      </c>
      <c r="FB104" s="16" t="str">
        <f t="shared" si="32"/>
        <v/>
      </c>
      <c r="FC104" s="16" t="str">
        <f t="shared" si="33"/>
        <v/>
      </c>
      <c r="FD104" s="30">
        <f t="shared" si="23"/>
        <v>45231</v>
      </c>
      <c r="FE104" s="30" t="str">
        <f>+IFERROR(VLOOKUP(FD104,BDD,79,FALSE),"")</f>
        <v/>
      </c>
      <c r="FF104" s="30" t="str">
        <f>IFERROR(+VLOOKUP(FD104,BDD,80,FALSE),"")</f>
        <v/>
      </c>
      <c r="FG104" s="30" t="str">
        <f>+IFERROR(VLOOKUP(FD104,BDD,81,FALSE),"")</f>
        <v/>
      </c>
      <c r="FH104" s="30" t="str">
        <f>+IFERROR(VLOOKUP(FD104,BDD,82,FALSE),"")</f>
        <v/>
      </c>
      <c r="FW104" s="16" t="str">
        <f>Avril!GB28</f>
        <v>152025</v>
      </c>
      <c r="FX104" s="16">
        <f>Avril!GC28</f>
        <v>0</v>
      </c>
    </row>
    <row r="105" spans="1:180" x14ac:dyDescent="0.2">
      <c r="A105" s="16" t="s">
        <v>415</v>
      </c>
      <c r="C105" s="27"/>
      <c r="D105" s="27"/>
      <c r="F105" s="34"/>
      <c r="G105" s="16">
        <f t="shared" si="29"/>
        <v>0</v>
      </c>
      <c r="L105" s="16" t="str">
        <f>+$P$14&amp;$N$9</f>
        <v>Fiche info Avenant 7HSem</v>
      </c>
      <c r="M105" s="16">
        <f>IF('Fiche info Avenant 7'!$CJ$19=0,0,'Fiche info Avenant 7'!$CJ$19)</f>
        <v>0</v>
      </c>
      <c r="BX105" s="16" t="str">
        <f t="shared" si="30"/>
        <v>Contrat finiG6</v>
      </c>
      <c r="EE105" s="16">
        <f t="shared" si="24"/>
        <v>0</v>
      </c>
      <c r="EF105" s="16">
        <f t="shared" si="25"/>
        <v>0</v>
      </c>
      <c r="EG105" s="16">
        <f t="shared" si="26"/>
        <v>0</v>
      </c>
      <c r="EH105" s="16">
        <f t="shared" si="27"/>
        <v>0</v>
      </c>
      <c r="EI105" s="16">
        <f t="shared" si="28"/>
        <v>0</v>
      </c>
      <c r="FB105" s="16" t="str">
        <f t="shared" si="32"/>
        <v/>
      </c>
      <c r="FC105" s="16" t="str">
        <f t="shared" si="33"/>
        <v/>
      </c>
      <c r="FD105" s="30">
        <f t="shared" si="23"/>
        <v>45231</v>
      </c>
      <c r="FE105" s="30" t="str">
        <f>+IFERROR(VLOOKUP(FD105,BDD,83,FALSE),"")</f>
        <v/>
      </c>
      <c r="FF105" s="30" t="str">
        <f>+IFERROR(VLOOKUP(FD105,BDD,84,FALSE),"")</f>
        <v/>
      </c>
      <c r="FG105" s="30" t="str">
        <f>+IFERROR(VLOOKUP(FD105,BDD,85,FALSE),"")</f>
        <v/>
      </c>
      <c r="FH105" s="30" t="str">
        <f>+IFERROR(VLOOKUP(FD105,BDD,86,FALSE),"")</f>
        <v/>
      </c>
      <c r="FW105" s="16" t="str">
        <f>Avril!GB29</f>
        <v>152025</v>
      </c>
      <c r="FX105" s="16">
        <f>Avril!GC29</f>
        <v>0</v>
      </c>
    </row>
    <row r="106" spans="1:180" x14ac:dyDescent="0.2">
      <c r="A106" s="16" t="s">
        <v>416</v>
      </c>
      <c r="C106" s="27"/>
      <c r="D106" s="27"/>
      <c r="F106" s="34"/>
      <c r="G106" s="16">
        <f t="shared" si="29"/>
        <v>0</v>
      </c>
      <c r="L106" s="16" t="str">
        <f>+$P$15&amp;$N$2</f>
        <v>Fiche info Avenant 8ASem</v>
      </c>
      <c r="M106" s="16">
        <f>IF('Fiche info Avenant 8'!$K$19=0,0,'Fiche info Avenant 8'!$K$19)</f>
        <v>0</v>
      </c>
      <c r="BX106" s="16" t="str">
        <f t="shared" si="30"/>
        <v>Contrat finiG7</v>
      </c>
      <c r="EE106" s="16">
        <f t="shared" si="24"/>
        <v>0</v>
      </c>
      <c r="EF106" s="16">
        <f t="shared" si="25"/>
        <v>0</v>
      </c>
      <c r="EG106" s="16">
        <f t="shared" si="26"/>
        <v>0</v>
      </c>
      <c r="EH106" s="16">
        <f t="shared" si="27"/>
        <v>0</v>
      </c>
      <c r="EI106" s="16">
        <f t="shared" si="28"/>
        <v>0</v>
      </c>
      <c r="FB106" s="16" t="str">
        <f t="shared" si="32"/>
        <v/>
      </c>
      <c r="FC106" s="16" t="str">
        <f t="shared" si="33"/>
        <v/>
      </c>
      <c r="FD106" s="30">
        <f t="shared" si="23"/>
        <v>45200</v>
      </c>
      <c r="FE106" s="30" t="str">
        <f>+IFERROR(VLOOKUP(FD106,BDD,71,FALSE),"")</f>
        <v/>
      </c>
      <c r="FF106" s="30" t="str">
        <f>IFERROR(+VLOOKUP(FD106,BDD,72,FALSE),"")</f>
        <v/>
      </c>
      <c r="FG106" s="30" t="str">
        <f>+IFERROR(VLOOKUP(FD106,BDD,73,FALSE),"")</f>
        <v/>
      </c>
      <c r="FH106" s="30" t="str">
        <f>+IFERROR(VLOOKUP(FD106,BDD,74,FALSE),"")</f>
        <v/>
      </c>
      <c r="FW106" s="16" t="str">
        <f>Avril!GB30</f>
        <v>152025</v>
      </c>
      <c r="FX106" s="16">
        <f>Avril!GC30</f>
        <v>0</v>
      </c>
    </row>
    <row r="107" spans="1:180" x14ac:dyDescent="0.2">
      <c r="A107" s="16" t="s">
        <v>417</v>
      </c>
      <c r="C107" s="27"/>
      <c r="D107" s="27"/>
      <c r="F107" s="34"/>
      <c r="G107" s="16">
        <f t="shared" si="29"/>
        <v>0</v>
      </c>
      <c r="L107" s="16" t="str">
        <f>+$P$15&amp;$N$3</f>
        <v>Fiche info Avenant 8BSem</v>
      </c>
      <c r="M107" s="16">
        <f>IF('Fiche info Avenant 8'!$V$19=0,0,'Fiche info Avenant 8'!$V$19)</f>
        <v>0</v>
      </c>
      <c r="BX107" s="16" t="str">
        <f t="shared" si="30"/>
        <v>Contrat finiH1</v>
      </c>
      <c r="EE107" s="16">
        <f t="shared" si="24"/>
        <v>0</v>
      </c>
      <c r="EF107" s="16">
        <f t="shared" si="25"/>
        <v>0</v>
      </c>
      <c r="EG107" s="16">
        <f t="shared" si="26"/>
        <v>0</v>
      </c>
      <c r="EH107" s="16">
        <f t="shared" si="27"/>
        <v>0</v>
      </c>
      <c r="EI107" s="16">
        <f t="shared" si="28"/>
        <v>0</v>
      </c>
      <c r="FB107" s="16" t="str">
        <f t="shared" si="32"/>
        <v/>
      </c>
      <c r="FC107" s="16" t="str">
        <f t="shared" si="33"/>
        <v/>
      </c>
      <c r="FD107" s="30">
        <f t="shared" si="23"/>
        <v>45200</v>
      </c>
      <c r="FE107" s="30" t="str">
        <f>+IFERROR(VLOOKUP(FD107,BDD,75,FALSE),"")</f>
        <v/>
      </c>
      <c r="FF107" s="30" t="str">
        <f>+IFERROR(VLOOKUP(FD107,BDD,76,FALSE),"")</f>
        <v/>
      </c>
      <c r="FG107" s="30" t="str">
        <f>IFERROR(+VLOOKUP(FD107,BDD,77,FALSE),"")</f>
        <v/>
      </c>
      <c r="FH107" s="30" t="str">
        <f>+IFERROR(VLOOKUP(FD107,BDD,78,FALSE),"")</f>
        <v/>
      </c>
      <c r="FW107" s="16" t="str">
        <f>Avril!GB31</f>
        <v>152025</v>
      </c>
      <c r="FX107" s="16">
        <f>Avril!GC31</f>
        <v>0</v>
      </c>
    </row>
    <row r="108" spans="1:180" x14ac:dyDescent="0.2">
      <c r="A108" s="16" t="s">
        <v>418</v>
      </c>
      <c r="C108" s="27"/>
      <c r="D108" s="27"/>
      <c r="F108" s="34"/>
      <c r="G108" s="16">
        <f t="shared" si="29"/>
        <v>0</v>
      </c>
      <c r="L108" s="16" t="str">
        <f>+$P$15&amp;$N$4</f>
        <v>Fiche info Avenant 8CSem</v>
      </c>
      <c r="M108" s="16">
        <f>IF('Fiche info Avenant 8'!$AG$19=0,0,'Fiche info Avenant 8'!$AG$19)</f>
        <v>0</v>
      </c>
      <c r="BX108" s="16" t="str">
        <f t="shared" si="30"/>
        <v>Contrat finiH2</v>
      </c>
      <c r="EE108" s="16">
        <f t="shared" si="24"/>
        <v>0</v>
      </c>
      <c r="EF108" s="16">
        <f t="shared" si="25"/>
        <v>0</v>
      </c>
      <c r="EG108" s="16">
        <f t="shared" si="26"/>
        <v>0</v>
      </c>
      <c r="EH108" s="16">
        <f t="shared" si="27"/>
        <v>0</v>
      </c>
      <c r="EI108" s="16">
        <f t="shared" si="28"/>
        <v>0</v>
      </c>
      <c r="FB108" s="16" t="str">
        <f t="shared" si="32"/>
        <v/>
      </c>
      <c r="FC108" s="16" t="str">
        <f t="shared" si="33"/>
        <v/>
      </c>
      <c r="FD108" s="30">
        <f t="shared" si="23"/>
        <v>45200</v>
      </c>
      <c r="FE108" s="30" t="str">
        <f>+IFERROR(VLOOKUP(FD108,BDD,79,FALSE),"")</f>
        <v/>
      </c>
      <c r="FF108" s="30" t="str">
        <f>IFERROR(+VLOOKUP(FD108,BDD,80,FALSE),"")</f>
        <v/>
      </c>
      <c r="FG108" s="30" t="str">
        <f>+IFERROR(VLOOKUP(FD108,BDD,81,FALSE),"")</f>
        <v/>
      </c>
      <c r="FH108" s="30" t="str">
        <f>+IFERROR(VLOOKUP(FD108,BDD,82,FALSE),"")</f>
        <v/>
      </c>
      <c r="FW108" s="16" t="str">
        <f>Avril!GB32</f>
        <v>152025</v>
      </c>
      <c r="FX108" s="16">
        <f>Avril!GC32</f>
        <v>0</v>
      </c>
    </row>
    <row r="109" spans="1:180" x14ac:dyDescent="0.2">
      <c r="A109" s="16" t="s">
        <v>419</v>
      </c>
      <c r="C109" s="27"/>
      <c r="D109" s="27"/>
      <c r="F109" s="34"/>
      <c r="G109" s="16">
        <f t="shared" si="29"/>
        <v>0</v>
      </c>
      <c r="L109" s="16" t="str">
        <f>+$P$15&amp;$N$5</f>
        <v>Fiche info Avenant 8DSem</v>
      </c>
      <c r="M109" s="16">
        <f>IF('Fiche info Avenant 8'!$AR$19=0,0,'Fiche info Avenant 8'!$AR$19)</f>
        <v>0</v>
      </c>
      <c r="BX109" s="16" t="str">
        <f t="shared" si="30"/>
        <v>Contrat finiH3</v>
      </c>
      <c r="EE109" s="16">
        <f t="shared" si="24"/>
        <v>0</v>
      </c>
      <c r="EF109" s="16">
        <f t="shared" si="25"/>
        <v>0</v>
      </c>
      <c r="EG109" s="16">
        <f t="shared" si="26"/>
        <v>0</v>
      </c>
      <c r="EH109" s="16">
        <f t="shared" si="27"/>
        <v>0</v>
      </c>
      <c r="EI109" s="16">
        <f t="shared" si="28"/>
        <v>0</v>
      </c>
      <c r="FB109" s="16" t="str">
        <f t="shared" si="32"/>
        <v/>
      </c>
      <c r="FC109" s="16" t="str">
        <f t="shared" si="33"/>
        <v/>
      </c>
      <c r="FD109" s="30">
        <f t="shared" si="23"/>
        <v>45200</v>
      </c>
      <c r="FE109" s="30" t="str">
        <f>+IFERROR(VLOOKUP(FD109,BDD,83,FALSE),"")</f>
        <v/>
      </c>
      <c r="FF109" s="30" t="str">
        <f>+IFERROR(VLOOKUP(FD109,BDD,84,FALSE),"")</f>
        <v/>
      </c>
      <c r="FG109" s="30" t="str">
        <f>+IFERROR(VLOOKUP(FD109,BDD,85,FALSE),"")</f>
        <v/>
      </c>
      <c r="FH109" s="30" t="str">
        <f>+IFERROR(VLOOKUP(FD109,BDD,86,FALSE),"")</f>
        <v/>
      </c>
      <c r="FW109" s="16" t="str">
        <f>Avril!GB33</f>
        <v>162025</v>
      </c>
      <c r="FX109" s="16">
        <f>Avril!GC33</f>
        <v>0</v>
      </c>
    </row>
    <row r="110" spans="1:180" x14ac:dyDescent="0.2">
      <c r="A110" s="16" t="s">
        <v>420</v>
      </c>
      <c r="C110" s="27"/>
      <c r="D110" s="27"/>
      <c r="F110" s="34"/>
      <c r="G110" s="16">
        <f t="shared" si="29"/>
        <v>0</v>
      </c>
      <c r="L110" s="16" t="str">
        <f>+$P$15&amp;$N$6</f>
        <v>Fiche info Avenant 8ESem</v>
      </c>
      <c r="M110" s="16">
        <f>IF('Fiche info Avenant 8'!$BC$19=0,0,'Fiche info Avenant 8'!$BC$19)</f>
        <v>0</v>
      </c>
      <c r="BX110" s="16" t="str">
        <f t="shared" si="30"/>
        <v>Contrat finiH4</v>
      </c>
      <c r="EE110" s="16">
        <f t="shared" si="24"/>
        <v>0</v>
      </c>
      <c r="EF110" s="16">
        <f t="shared" si="25"/>
        <v>0</v>
      </c>
      <c r="EG110" s="16">
        <f t="shared" si="26"/>
        <v>0</v>
      </c>
      <c r="EH110" s="16">
        <f t="shared" si="27"/>
        <v>0</v>
      </c>
      <c r="EI110" s="16">
        <f t="shared" si="28"/>
        <v>0</v>
      </c>
      <c r="FB110" s="16" t="str">
        <f t="shared" si="32"/>
        <v/>
      </c>
      <c r="FC110" s="16" t="str">
        <f t="shared" si="33"/>
        <v/>
      </c>
      <c r="FD110" s="30">
        <f t="shared" si="23"/>
        <v>45170</v>
      </c>
      <c r="FE110" s="30" t="str">
        <f>+IFERROR(VLOOKUP(FD110,BDD,71,FALSE),"")</f>
        <v/>
      </c>
      <c r="FF110" s="30" t="str">
        <f>IFERROR(+VLOOKUP(FD110,BDD,72,FALSE),"")</f>
        <v/>
      </c>
      <c r="FG110" s="30" t="str">
        <f>+IFERROR(VLOOKUP(FD110,BDD,73,FALSE),"")</f>
        <v/>
      </c>
      <c r="FH110" s="30" t="str">
        <f>+IFERROR(VLOOKUP(FD110,BDD,74,FALSE),"")</f>
        <v/>
      </c>
      <c r="FW110" s="16" t="str">
        <f>Avril!GB34</f>
        <v>162025</v>
      </c>
      <c r="FX110" s="16">
        <f>Avril!GC34</f>
        <v>0</v>
      </c>
    </row>
    <row r="111" spans="1:180" x14ac:dyDescent="0.2">
      <c r="A111" s="16" t="s">
        <v>421</v>
      </c>
      <c r="C111" s="27"/>
      <c r="D111" s="27"/>
      <c r="F111" s="34"/>
      <c r="G111" s="16">
        <f t="shared" si="29"/>
        <v>0</v>
      </c>
      <c r="L111" s="16" t="str">
        <f>+$P$15&amp;$N$7</f>
        <v>Fiche info Avenant 8FSem</v>
      </c>
      <c r="M111" s="16">
        <f>IF('Fiche info Avenant 8'!$BN$19=0,0,'Fiche info Avenant 8'!$BN$19)</f>
        <v>0</v>
      </c>
      <c r="BX111" s="16" t="str">
        <f t="shared" si="30"/>
        <v>Contrat finiH5</v>
      </c>
      <c r="EE111" s="16">
        <f t="shared" si="24"/>
        <v>0</v>
      </c>
      <c r="EF111" s="16">
        <f t="shared" si="25"/>
        <v>0</v>
      </c>
      <c r="EG111" s="16">
        <f t="shared" si="26"/>
        <v>0</v>
      </c>
      <c r="EH111" s="16">
        <f t="shared" si="27"/>
        <v>0</v>
      </c>
      <c r="EI111" s="16">
        <f t="shared" si="28"/>
        <v>0</v>
      </c>
      <c r="FB111" s="16" t="str">
        <f t="shared" si="32"/>
        <v/>
      </c>
      <c r="FC111" s="16" t="str">
        <f t="shared" si="33"/>
        <v/>
      </c>
      <c r="FD111" s="30">
        <f t="shared" si="23"/>
        <v>45170</v>
      </c>
      <c r="FE111" s="30" t="str">
        <f>+IFERROR(VLOOKUP(FD111,BDD,75,FALSE),"")</f>
        <v/>
      </c>
      <c r="FF111" s="30" t="str">
        <f>+IFERROR(VLOOKUP(FD111,BDD,76,FALSE),"")</f>
        <v/>
      </c>
      <c r="FG111" s="30" t="str">
        <f>IFERROR(+VLOOKUP(FD111,BDD,77,FALSE),"")</f>
        <v/>
      </c>
      <c r="FH111" s="30" t="str">
        <f>+IFERROR(VLOOKUP(FD111,BDD,78,FALSE),"")</f>
        <v/>
      </c>
      <c r="FW111" s="16" t="str">
        <f>Avril!GB35</f>
        <v>162025</v>
      </c>
      <c r="FX111" s="16">
        <f>Avril!GC35</f>
        <v>0</v>
      </c>
    </row>
    <row r="112" spans="1:180" x14ac:dyDescent="0.2">
      <c r="A112" s="16" t="s">
        <v>422</v>
      </c>
      <c r="C112" s="27"/>
      <c r="D112" s="27"/>
      <c r="F112" s="34"/>
      <c r="G112" s="16">
        <f t="shared" si="29"/>
        <v>0</v>
      </c>
      <c r="L112" s="16" t="str">
        <f>+$P$15&amp;$N$8</f>
        <v>Fiche info Avenant 8GSem</v>
      </c>
      <c r="M112" s="16">
        <f>IF('Fiche info Avenant 8'!$BY$19=0,0,'Fiche info Avenant 8'!$BY$19)</f>
        <v>0</v>
      </c>
      <c r="BX112" s="16" t="str">
        <f t="shared" si="30"/>
        <v>Contrat finiH6</v>
      </c>
      <c r="EE112" s="16">
        <f t="shared" si="24"/>
        <v>0</v>
      </c>
      <c r="EF112" s="16">
        <f t="shared" si="25"/>
        <v>0</v>
      </c>
      <c r="EG112" s="16">
        <f t="shared" si="26"/>
        <v>0</v>
      </c>
      <c r="EH112" s="16">
        <f t="shared" si="27"/>
        <v>0</v>
      </c>
      <c r="EI112" s="16">
        <f t="shared" si="28"/>
        <v>0</v>
      </c>
      <c r="FB112" s="16" t="str">
        <f t="shared" si="32"/>
        <v/>
      </c>
      <c r="FC112" s="16" t="str">
        <f t="shared" si="33"/>
        <v/>
      </c>
      <c r="FD112" s="30">
        <f t="shared" si="23"/>
        <v>45170</v>
      </c>
      <c r="FE112" s="30" t="str">
        <f>+IFERROR(VLOOKUP(FD112,BDD,79,FALSE),"")</f>
        <v/>
      </c>
      <c r="FF112" s="30" t="str">
        <f>IFERROR(+VLOOKUP(FD112,BDD,80,FALSE),"")</f>
        <v/>
      </c>
      <c r="FG112" s="30" t="str">
        <f>+IFERROR(VLOOKUP(FD112,BDD,81,FALSE),"")</f>
        <v/>
      </c>
      <c r="FH112" s="30" t="str">
        <f>+IFERROR(VLOOKUP(FD112,BDD,82,FALSE),"")</f>
        <v/>
      </c>
      <c r="FW112" s="16" t="str">
        <f>Avril!GB36</f>
        <v>162025</v>
      </c>
      <c r="FX112" s="16">
        <f>Avril!GC36</f>
        <v>0</v>
      </c>
    </row>
    <row r="113" spans="1:180" x14ac:dyDescent="0.2">
      <c r="A113" s="16" t="s">
        <v>423</v>
      </c>
      <c r="C113" s="27"/>
      <c r="D113" s="27"/>
      <c r="F113" s="34"/>
      <c r="G113" s="16">
        <f t="shared" si="29"/>
        <v>0</v>
      </c>
      <c r="L113" s="16" t="str">
        <f>+$P$15&amp;$N$9</f>
        <v>Fiche info Avenant 8HSem</v>
      </c>
      <c r="M113" s="16">
        <f>IF('Fiche info Avenant 8'!$CJ$19=0,0,'Fiche info Avenant 8'!$CJ$19)</f>
        <v>0</v>
      </c>
      <c r="BX113" s="16" t="str">
        <f t="shared" si="30"/>
        <v>Contrat finiH7</v>
      </c>
      <c r="EE113" s="16">
        <f t="shared" si="24"/>
        <v>0</v>
      </c>
      <c r="EF113" s="16">
        <f t="shared" si="25"/>
        <v>0</v>
      </c>
      <c r="EG113" s="16">
        <f t="shared" si="26"/>
        <v>0</v>
      </c>
      <c r="EH113" s="16">
        <f t="shared" si="27"/>
        <v>0</v>
      </c>
      <c r="EI113" s="16">
        <f t="shared" si="28"/>
        <v>0</v>
      </c>
      <c r="FB113" s="16" t="str">
        <f t="shared" si="32"/>
        <v/>
      </c>
      <c r="FC113" s="16" t="str">
        <f t="shared" si="33"/>
        <v/>
      </c>
      <c r="FD113" s="30">
        <f t="shared" si="23"/>
        <v>45170</v>
      </c>
      <c r="FE113" s="30" t="str">
        <f>+IFERROR(VLOOKUP(FD113,BDD,83,FALSE),"")</f>
        <v/>
      </c>
      <c r="FF113" s="30" t="str">
        <f>+IFERROR(VLOOKUP(FD113,BDD,84,FALSE),"")</f>
        <v/>
      </c>
      <c r="FG113" s="30" t="str">
        <f>+IFERROR(VLOOKUP(FD113,BDD,85,FALSE),"")</f>
        <v/>
      </c>
      <c r="FH113" s="30" t="str">
        <f>+IFERROR(VLOOKUP(FD113,BDD,86,FALSE),"")</f>
        <v/>
      </c>
      <c r="FW113" s="16" t="str">
        <f>Avril!GB37</f>
        <v>162025</v>
      </c>
      <c r="FX113" s="16">
        <f>Avril!GC37</f>
        <v>0</v>
      </c>
    </row>
    <row r="114" spans="1:180" x14ac:dyDescent="0.2">
      <c r="A114" s="16" t="str">
        <f>+B114&amp;C114&amp;D114</f>
        <v>Fiche infoA1</v>
      </c>
      <c r="B114" s="16" t="str">
        <f>+$Z$4</f>
        <v>Fiche info</v>
      </c>
      <c r="C114" s="27" t="s">
        <v>235</v>
      </c>
      <c r="D114" s="27">
        <v>1</v>
      </c>
      <c r="E114" s="16" t="s">
        <v>17</v>
      </c>
      <c r="F114" s="34" t="str">
        <f>IF('Fiche info'!$K$7=0,"",'Fiche info'!$K$7)</f>
        <v/>
      </c>
      <c r="G114" s="16">
        <f t="shared" si="29"/>
        <v>0</v>
      </c>
      <c r="L114" s="16" t="str">
        <f>+$P$16&amp;$N$2</f>
        <v>Fiche info Avenant 9ASem</v>
      </c>
      <c r="M114" s="16">
        <f>IF('Fiche info Avenant 9'!$K$19=0,0,'Fiche info Avenant 9'!$K$19)</f>
        <v>0</v>
      </c>
      <c r="BX114" s="16" t="str">
        <f t="shared" si="30"/>
        <v>Fiche infoA1</v>
      </c>
      <c r="BY114" s="449">
        <f>'Fiche info'!B7</f>
        <v>0</v>
      </c>
      <c r="BZ114" s="449">
        <f>'Fiche info'!C7</f>
        <v>0</v>
      </c>
      <c r="CA114" s="449">
        <f>'Fiche info'!D7</f>
        <v>0</v>
      </c>
      <c r="CB114" s="449">
        <f>'Fiche info'!E7</f>
        <v>0</v>
      </c>
      <c r="CC114" s="449">
        <f>'Fiche info'!F7</f>
        <v>0</v>
      </c>
      <c r="CD114" s="449">
        <f>'Fiche info'!G7</f>
        <v>0</v>
      </c>
      <c r="CE114" s="449">
        <f>'Fiche info'!H7</f>
        <v>0</v>
      </c>
      <c r="CF114" s="449">
        <f>'Fiche info'!I7</f>
        <v>0</v>
      </c>
      <c r="ED114" s="16" t="str">
        <f>+EE114&amp;EF114</f>
        <v>Fiche infoA</v>
      </c>
      <c r="EE114" s="16" t="str">
        <f t="shared" si="24"/>
        <v>Fiche info</v>
      </c>
      <c r="EF114" s="16" t="str">
        <f t="shared" si="25"/>
        <v>A</v>
      </c>
      <c r="EG114" s="16">
        <f t="shared" si="26"/>
        <v>1</v>
      </c>
      <c r="EH114" s="16" t="str">
        <f t="shared" si="27"/>
        <v>Lundi</v>
      </c>
      <c r="EI114" s="16" t="str">
        <f t="shared" si="28"/>
        <v/>
      </c>
      <c r="FB114" s="16" t="str">
        <f t="shared" si="32"/>
        <v/>
      </c>
      <c r="FC114" s="16" t="str">
        <f t="shared" si="33"/>
        <v/>
      </c>
      <c r="FD114" s="30">
        <f t="shared" si="23"/>
        <v>45139</v>
      </c>
      <c r="FE114" s="30" t="str">
        <f>+IFERROR(VLOOKUP(FD114,BDD,71,FALSE),"")</f>
        <v/>
      </c>
      <c r="FF114" s="30" t="str">
        <f>IFERROR(+VLOOKUP(FD114,BDD,72,FALSE),"")</f>
        <v/>
      </c>
      <c r="FG114" s="30" t="str">
        <f>+IFERROR(VLOOKUP(FD114,BDD,73,FALSE),"")</f>
        <v/>
      </c>
      <c r="FH114" s="30" t="str">
        <f>+IFERROR(VLOOKUP(FD114,BDD,74,FALSE),"")</f>
        <v/>
      </c>
      <c r="FW114" s="16" t="str">
        <f>Avril!GB38</f>
        <v>162025</v>
      </c>
      <c r="FX114" s="16">
        <f>Avril!GC38</f>
        <v>0</v>
      </c>
    </row>
    <row r="115" spans="1:180" x14ac:dyDescent="0.2">
      <c r="A115" s="16" t="str">
        <f t="shared" ref="A115:A169" si="36">+B115&amp;C115&amp;D115</f>
        <v>Fiche infoA2</v>
      </c>
      <c r="B115" s="16" t="str">
        <f t="shared" ref="B115:B169" si="37">+$Z$4</f>
        <v>Fiche info</v>
      </c>
      <c r="C115" s="27" t="s">
        <v>235</v>
      </c>
      <c r="D115" s="27">
        <v>2</v>
      </c>
      <c r="E115" s="16" t="s">
        <v>18</v>
      </c>
      <c r="F115" s="34" t="str">
        <f>IF('Fiche info'!$K$8=0,"",'Fiche info'!$K$8)</f>
        <v/>
      </c>
      <c r="G115" s="16">
        <f t="shared" si="29"/>
        <v>0</v>
      </c>
      <c r="L115" s="16" t="str">
        <f>+$P$16&amp;$N$3</f>
        <v>Fiche info Avenant 9BSem</v>
      </c>
      <c r="M115" s="16">
        <f>IF('Fiche info Avenant 9'!$V$19=0,0,'Fiche info Avenant 9'!$V$19)</f>
        <v>0</v>
      </c>
      <c r="BX115" s="16" t="str">
        <f t="shared" si="30"/>
        <v>Fiche infoA2</v>
      </c>
      <c r="BY115" s="449">
        <f>'Fiche info'!B8</f>
        <v>0</v>
      </c>
      <c r="BZ115" s="449">
        <f>'Fiche info'!C8</f>
        <v>0</v>
      </c>
      <c r="CA115" s="449">
        <f>'Fiche info'!D8</f>
        <v>0</v>
      </c>
      <c r="CB115" s="449">
        <f>'Fiche info'!E8</f>
        <v>0</v>
      </c>
      <c r="CC115" s="449">
        <f>'Fiche info'!F8</f>
        <v>0</v>
      </c>
      <c r="CD115" s="449">
        <f>'Fiche info'!G8</f>
        <v>0</v>
      </c>
      <c r="CE115" s="449">
        <f>'Fiche info'!H8</f>
        <v>0</v>
      </c>
      <c r="CF115" s="449">
        <f>'Fiche info'!I8</f>
        <v>0</v>
      </c>
      <c r="ED115" s="16" t="str">
        <f t="shared" ref="ED115:ED178" si="38">+EE115&amp;EF115</f>
        <v>Fiche infoA</v>
      </c>
      <c r="EE115" s="16" t="str">
        <f t="shared" si="24"/>
        <v>Fiche info</v>
      </c>
      <c r="EF115" s="16" t="str">
        <f t="shared" si="25"/>
        <v>A</v>
      </c>
      <c r="EG115" s="16">
        <f t="shared" si="26"/>
        <v>2</v>
      </c>
      <c r="EH115" s="16" t="str">
        <f t="shared" si="27"/>
        <v>Mardi</v>
      </c>
      <c r="EI115" s="16" t="str">
        <f t="shared" si="28"/>
        <v/>
      </c>
      <c r="FB115" s="16" t="str">
        <f t="shared" si="32"/>
        <v/>
      </c>
      <c r="FC115" s="16" t="str">
        <f t="shared" si="33"/>
        <v/>
      </c>
      <c r="FD115" s="30">
        <f t="shared" si="23"/>
        <v>45139</v>
      </c>
      <c r="FE115" s="30" t="str">
        <f>+IFERROR(VLOOKUP(FD115,BDD,75,FALSE),"")</f>
        <v/>
      </c>
      <c r="FF115" s="30" t="str">
        <f>+IFERROR(VLOOKUP(FD115,BDD,76,FALSE),"")</f>
        <v/>
      </c>
      <c r="FG115" s="30" t="str">
        <f>IFERROR(+VLOOKUP(FD115,BDD,77,FALSE),"")</f>
        <v/>
      </c>
      <c r="FH115" s="30" t="str">
        <f>+IFERROR(VLOOKUP(FD115,BDD,78,FALSE),"")</f>
        <v/>
      </c>
      <c r="FW115" s="16" t="str">
        <f>Avril!GB39</f>
        <v>162025</v>
      </c>
      <c r="FX115" s="16">
        <f>Avril!GC39</f>
        <v>0</v>
      </c>
    </row>
    <row r="116" spans="1:180" x14ac:dyDescent="0.2">
      <c r="A116" s="16" t="str">
        <f t="shared" si="36"/>
        <v>Fiche infoA3</v>
      </c>
      <c r="B116" s="16" t="str">
        <f t="shared" si="37"/>
        <v>Fiche info</v>
      </c>
      <c r="C116" s="27" t="s">
        <v>235</v>
      </c>
      <c r="D116" s="27">
        <v>3</v>
      </c>
      <c r="E116" s="16" t="s">
        <v>19</v>
      </c>
      <c r="F116" s="34" t="str">
        <f>IF('Fiche info'!$K$9=0,"",'Fiche info'!$K$9)</f>
        <v/>
      </c>
      <c r="G116" s="16">
        <f t="shared" si="29"/>
        <v>0</v>
      </c>
      <c r="L116" s="16" t="str">
        <f>+$P$16&amp;$N$4</f>
        <v>Fiche info Avenant 9CSem</v>
      </c>
      <c r="M116" s="16">
        <f>IF('Fiche info Avenant 9'!$AG$19=0,0,'Fiche info Avenant 9'!$AG$19)</f>
        <v>0</v>
      </c>
      <c r="BX116" s="16" t="str">
        <f t="shared" si="30"/>
        <v>Fiche infoA3</v>
      </c>
      <c r="BY116" s="449">
        <f>'Fiche info'!B9</f>
        <v>0</v>
      </c>
      <c r="BZ116" s="449">
        <f>'Fiche info'!C9</f>
        <v>0</v>
      </c>
      <c r="CA116" s="449">
        <f>'Fiche info'!D9</f>
        <v>0</v>
      </c>
      <c r="CB116" s="449">
        <f>'Fiche info'!E9</f>
        <v>0</v>
      </c>
      <c r="CC116" s="449">
        <f>'Fiche info'!F9</f>
        <v>0</v>
      </c>
      <c r="CD116" s="449">
        <f>'Fiche info'!G9</f>
        <v>0</v>
      </c>
      <c r="CE116" s="449">
        <f>'Fiche info'!H9</f>
        <v>0</v>
      </c>
      <c r="CF116" s="449">
        <f>'Fiche info'!I9</f>
        <v>0</v>
      </c>
      <c r="ED116" s="16" t="str">
        <f t="shared" si="38"/>
        <v>Fiche infoA</v>
      </c>
      <c r="EE116" s="16" t="str">
        <f t="shared" si="24"/>
        <v>Fiche info</v>
      </c>
      <c r="EF116" s="16" t="str">
        <f t="shared" si="25"/>
        <v>A</v>
      </c>
      <c r="EG116" s="16">
        <f t="shared" si="26"/>
        <v>3</v>
      </c>
      <c r="EH116" s="16" t="str">
        <f t="shared" si="27"/>
        <v>Mercredi</v>
      </c>
      <c r="EI116" s="16" t="str">
        <f t="shared" si="28"/>
        <v/>
      </c>
      <c r="FB116" s="16" t="str">
        <f t="shared" si="32"/>
        <v/>
      </c>
      <c r="FC116" s="16" t="str">
        <f t="shared" si="33"/>
        <v/>
      </c>
      <c r="FD116" s="30">
        <f t="shared" si="23"/>
        <v>45139</v>
      </c>
      <c r="FE116" s="30" t="str">
        <f>+IFERROR(VLOOKUP(FD116,BDD,79,FALSE),"")</f>
        <v/>
      </c>
      <c r="FF116" s="30" t="str">
        <f>IFERROR(+VLOOKUP(FD116,BDD,80,FALSE),"")</f>
        <v/>
      </c>
      <c r="FG116" s="30" t="str">
        <f>+IFERROR(VLOOKUP(FD116,BDD,81,FALSE),"")</f>
        <v/>
      </c>
      <c r="FH116" s="30" t="str">
        <f>+IFERROR(VLOOKUP(FD116,BDD,82,FALSE),"")</f>
        <v/>
      </c>
      <c r="FW116" s="16" t="str">
        <f>Avril!GB40</f>
        <v>172025</v>
      </c>
      <c r="FX116" s="16">
        <f>Avril!GC40</f>
        <v>0</v>
      </c>
    </row>
    <row r="117" spans="1:180" x14ac:dyDescent="0.2">
      <c r="A117" s="16" t="str">
        <f t="shared" si="36"/>
        <v>Fiche infoA4</v>
      </c>
      <c r="B117" s="16" t="str">
        <f t="shared" si="37"/>
        <v>Fiche info</v>
      </c>
      <c r="C117" s="27" t="s">
        <v>235</v>
      </c>
      <c r="D117" s="27">
        <v>4</v>
      </c>
      <c r="E117" s="16" t="s">
        <v>20</v>
      </c>
      <c r="F117" s="34" t="str">
        <f>IF('Fiche info'!$K$10=0,"",'Fiche info'!$K$10)</f>
        <v/>
      </c>
      <c r="G117" s="16">
        <f t="shared" si="29"/>
        <v>0</v>
      </c>
      <c r="L117" s="16" t="str">
        <f>+$P$16&amp;$N$5</f>
        <v>Fiche info Avenant 9DSem</v>
      </c>
      <c r="M117" s="16">
        <f>IF('Fiche info Avenant 9'!$AR$19=0,0,'Fiche info Avenant 9'!$AR$19)</f>
        <v>0</v>
      </c>
      <c r="BX117" s="16" t="str">
        <f t="shared" si="30"/>
        <v>Fiche infoA4</v>
      </c>
      <c r="BY117" s="449">
        <f>'Fiche info'!B10</f>
        <v>0</v>
      </c>
      <c r="BZ117" s="449">
        <f>'Fiche info'!C10</f>
        <v>0</v>
      </c>
      <c r="CA117" s="449">
        <f>'Fiche info'!D10</f>
        <v>0</v>
      </c>
      <c r="CB117" s="449">
        <f>'Fiche info'!E10</f>
        <v>0</v>
      </c>
      <c r="CC117" s="449">
        <f>'Fiche info'!F10</f>
        <v>0</v>
      </c>
      <c r="CD117" s="449">
        <f>'Fiche info'!G10</f>
        <v>0</v>
      </c>
      <c r="CE117" s="449">
        <f>'Fiche info'!H10</f>
        <v>0</v>
      </c>
      <c r="CF117" s="449">
        <f>'Fiche info'!I10</f>
        <v>0</v>
      </c>
      <c r="ED117" s="16" t="str">
        <f t="shared" si="38"/>
        <v>Fiche infoA</v>
      </c>
      <c r="EE117" s="16" t="str">
        <f t="shared" si="24"/>
        <v>Fiche info</v>
      </c>
      <c r="EF117" s="16" t="str">
        <f t="shared" si="25"/>
        <v>A</v>
      </c>
      <c r="EG117" s="16">
        <f t="shared" si="26"/>
        <v>4</v>
      </c>
      <c r="EH117" s="16" t="str">
        <f t="shared" si="27"/>
        <v>Jeudi</v>
      </c>
      <c r="EI117" s="16" t="str">
        <f t="shared" si="28"/>
        <v/>
      </c>
      <c r="FB117" s="16" t="str">
        <f t="shared" si="32"/>
        <v/>
      </c>
      <c r="FC117" s="16" t="str">
        <f t="shared" si="33"/>
        <v/>
      </c>
      <c r="FD117" s="30">
        <f t="shared" si="23"/>
        <v>45139</v>
      </c>
      <c r="FE117" s="30" t="str">
        <f>+IFERROR(VLOOKUP(FD117,BDD,83,FALSE),"")</f>
        <v/>
      </c>
      <c r="FF117" s="30" t="str">
        <f>+IFERROR(VLOOKUP(FD117,BDD,84,FALSE),"")</f>
        <v/>
      </c>
      <c r="FG117" s="30" t="str">
        <f>+IFERROR(VLOOKUP(FD117,BDD,85,FALSE),"")</f>
        <v/>
      </c>
      <c r="FH117" s="30" t="str">
        <f>+IFERROR(VLOOKUP(FD117,BDD,86,FALSE),"")</f>
        <v/>
      </c>
      <c r="FW117" s="16" t="str">
        <f>Avril!GB41</f>
        <v>172025</v>
      </c>
      <c r="FX117" s="16">
        <f>Avril!GC41</f>
        <v>0</v>
      </c>
    </row>
    <row r="118" spans="1:180" x14ac:dyDescent="0.2">
      <c r="A118" s="16" t="str">
        <f t="shared" si="36"/>
        <v>Fiche infoA5</v>
      </c>
      <c r="B118" s="16" t="str">
        <f t="shared" si="37"/>
        <v>Fiche info</v>
      </c>
      <c r="C118" s="27" t="s">
        <v>235</v>
      </c>
      <c r="D118" s="27">
        <v>5</v>
      </c>
      <c r="E118" s="16" t="s">
        <v>21</v>
      </c>
      <c r="F118" s="34" t="str">
        <f>IF('Fiche info'!$K$11=0,"",'Fiche info'!$K$11)</f>
        <v/>
      </c>
      <c r="G118" s="16">
        <f t="shared" si="29"/>
        <v>0</v>
      </c>
      <c r="L118" s="16" t="str">
        <f>+$P$16&amp;$N$6</f>
        <v>Fiche info Avenant 9ESem</v>
      </c>
      <c r="M118" s="16">
        <f>IF('Fiche info Avenant 9'!$BC$19=0,0,'Fiche info Avenant 9'!$BC$19)</f>
        <v>0</v>
      </c>
      <c r="BX118" s="16" t="str">
        <f t="shared" si="30"/>
        <v>Fiche infoA5</v>
      </c>
      <c r="BY118" s="449">
        <f>'Fiche info'!B11</f>
        <v>0</v>
      </c>
      <c r="BZ118" s="449">
        <f>'Fiche info'!C11</f>
        <v>0</v>
      </c>
      <c r="CA118" s="449">
        <f>'Fiche info'!D11</f>
        <v>0</v>
      </c>
      <c r="CB118" s="449">
        <f>'Fiche info'!E11</f>
        <v>0</v>
      </c>
      <c r="CC118" s="449">
        <f>'Fiche info'!F11</f>
        <v>0</v>
      </c>
      <c r="CD118" s="449">
        <f>'Fiche info'!G11</f>
        <v>0</v>
      </c>
      <c r="CE118" s="449">
        <f>'Fiche info'!H11</f>
        <v>0</v>
      </c>
      <c r="CF118" s="449">
        <f>'Fiche info'!I11</f>
        <v>0</v>
      </c>
      <c r="ED118" s="16" t="str">
        <f t="shared" si="38"/>
        <v>Fiche infoA</v>
      </c>
      <c r="EE118" s="16" t="str">
        <f t="shared" si="24"/>
        <v>Fiche info</v>
      </c>
      <c r="EF118" s="16" t="str">
        <f t="shared" si="25"/>
        <v>A</v>
      </c>
      <c r="EG118" s="16">
        <f t="shared" si="26"/>
        <v>5</v>
      </c>
      <c r="EH118" s="16" t="str">
        <f t="shared" si="27"/>
        <v>Vendredi</v>
      </c>
      <c r="EI118" s="16" t="str">
        <f t="shared" si="28"/>
        <v/>
      </c>
      <c r="FB118" s="16" t="str">
        <f t="shared" si="32"/>
        <v/>
      </c>
      <c r="FC118" s="16" t="str">
        <f t="shared" si="33"/>
        <v/>
      </c>
      <c r="FD118" s="30">
        <f t="shared" si="23"/>
        <v>45108</v>
      </c>
      <c r="FE118" s="30" t="str">
        <f>+IFERROR(VLOOKUP(FD118,BDD,71,FALSE),"")</f>
        <v/>
      </c>
      <c r="FF118" s="30" t="str">
        <f>IFERROR(+VLOOKUP(FD118,BDD,72,FALSE),"")</f>
        <v/>
      </c>
      <c r="FG118" s="30" t="str">
        <f>+IFERROR(VLOOKUP(FD118,BDD,73,FALSE),"")</f>
        <v/>
      </c>
      <c r="FH118" s="30" t="str">
        <f>+IFERROR(VLOOKUP(FD118,BDD,74,FALSE),"")</f>
        <v/>
      </c>
      <c r="FW118" s="16" t="str">
        <f>Avril!GB42</f>
        <v>172025</v>
      </c>
      <c r="FX118" s="16">
        <f>Avril!GC42</f>
        <v>0</v>
      </c>
    </row>
    <row r="119" spans="1:180" x14ac:dyDescent="0.2">
      <c r="A119" s="16" t="str">
        <f t="shared" si="36"/>
        <v>Fiche infoA6</v>
      </c>
      <c r="B119" s="16" t="str">
        <f t="shared" si="37"/>
        <v>Fiche info</v>
      </c>
      <c r="C119" s="27" t="s">
        <v>235</v>
      </c>
      <c r="D119" s="27">
        <v>6</v>
      </c>
      <c r="E119" s="16" t="s">
        <v>193</v>
      </c>
      <c r="F119" s="34" t="str">
        <f>IF('Fiche info'!$K$12=0,"",'Fiche info'!$K$12)</f>
        <v/>
      </c>
      <c r="G119" s="16">
        <f t="shared" si="29"/>
        <v>0</v>
      </c>
      <c r="L119" s="16" t="str">
        <f>+$P$16&amp;$N$7</f>
        <v>Fiche info Avenant 9FSem</v>
      </c>
      <c r="M119" s="16">
        <f>IF('Fiche info Avenant 9'!$BN$19=0,0,'Fiche info Avenant 9'!$BN$19)</f>
        <v>0</v>
      </c>
      <c r="BX119" s="16" t="str">
        <f t="shared" si="30"/>
        <v>Fiche infoA6</v>
      </c>
      <c r="BY119" s="449">
        <f>'Fiche info'!B12</f>
        <v>0</v>
      </c>
      <c r="BZ119" s="449">
        <f>'Fiche info'!C12</f>
        <v>0</v>
      </c>
      <c r="CA119" s="449">
        <f>'Fiche info'!D12</f>
        <v>0</v>
      </c>
      <c r="CB119" s="449">
        <f>'Fiche info'!E12</f>
        <v>0</v>
      </c>
      <c r="CC119" s="449">
        <f>'Fiche info'!F12</f>
        <v>0</v>
      </c>
      <c r="CD119" s="449">
        <f>'Fiche info'!G12</f>
        <v>0</v>
      </c>
      <c r="CE119" s="449">
        <f>'Fiche info'!H12</f>
        <v>0</v>
      </c>
      <c r="CF119" s="449">
        <f>'Fiche info'!I12</f>
        <v>0</v>
      </c>
      <c r="ED119" s="16" t="str">
        <f t="shared" si="38"/>
        <v>Fiche infoA</v>
      </c>
      <c r="EE119" s="16" t="str">
        <f t="shared" si="24"/>
        <v>Fiche info</v>
      </c>
      <c r="EF119" s="16" t="str">
        <f t="shared" si="25"/>
        <v>A</v>
      </c>
      <c r="EG119" s="16">
        <f t="shared" si="26"/>
        <v>6</v>
      </c>
      <c r="EH119" s="16" t="str">
        <f t="shared" si="27"/>
        <v>Samedi</v>
      </c>
      <c r="EI119" s="16" t="str">
        <f t="shared" si="28"/>
        <v/>
      </c>
      <c r="FB119" s="16" t="str">
        <f t="shared" si="32"/>
        <v/>
      </c>
      <c r="FC119" s="16" t="str">
        <f t="shared" si="33"/>
        <v/>
      </c>
      <c r="FD119" s="30">
        <f t="shared" si="23"/>
        <v>45108</v>
      </c>
      <c r="FE119" s="30" t="str">
        <f>+IFERROR(VLOOKUP(FD119,BDD,75,FALSE),"")</f>
        <v/>
      </c>
      <c r="FF119" s="30" t="str">
        <f>+IFERROR(VLOOKUP(FD119,BDD,76,FALSE),"")</f>
        <v/>
      </c>
      <c r="FG119" s="30" t="str">
        <f>IFERROR(+VLOOKUP(FD119,BDD,77,FALSE),"")</f>
        <v/>
      </c>
      <c r="FH119" s="30" t="str">
        <f>+IFERROR(VLOOKUP(FD119,BDD,78,FALSE),"")</f>
        <v/>
      </c>
      <c r="FW119" s="16" t="str">
        <f>Avril!GB43</f>
        <v>172025</v>
      </c>
      <c r="FX119" s="16">
        <f>Avril!GC43</f>
        <v>0</v>
      </c>
    </row>
    <row r="120" spans="1:180" x14ac:dyDescent="0.2">
      <c r="A120" s="16" t="str">
        <f t="shared" si="36"/>
        <v>Fiche infoA7</v>
      </c>
      <c r="B120" s="16" t="str">
        <f t="shared" si="37"/>
        <v>Fiche info</v>
      </c>
      <c r="C120" s="27" t="s">
        <v>235</v>
      </c>
      <c r="D120" s="27">
        <v>7</v>
      </c>
      <c r="E120" s="16" t="s">
        <v>194</v>
      </c>
      <c r="F120" s="34" t="str">
        <f>IF('Fiche info'!$K$13=0,"",'Fiche info'!$K$13)</f>
        <v/>
      </c>
      <c r="G120" s="16">
        <f t="shared" si="29"/>
        <v>0</v>
      </c>
      <c r="L120" s="16" t="str">
        <f>+$P$16&amp;$N$8</f>
        <v>Fiche info Avenant 9GSem</v>
      </c>
      <c r="M120" s="16">
        <f>IF('Fiche info Avenant 9'!$BY$19=0,0,'Fiche info Avenant 9'!$BY$19)</f>
        <v>0</v>
      </c>
      <c r="BX120" s="16" t="str">
        <f t="shared" si="30"/>
        <v>Fiche infoA7</v>
      </c>
      <c r="BY120" s="449">
        <f>'Fiche info'!B13</f>
        <v>0</v>
      </c>
      <c r="BZ120" s="449">
        <f>'Fiche info'!C13</f>
        <v>0</v>
      </c>
      <c r="CA120" s="449">
        <f>'Fiche info'!D13</f>
        <v>0</v>
      </c>
      <c r="CB120" s="449">
        <f>'Fiche info'!E13</f>
        <v>0</v>
      </c>
      <c r="CC120" s="449">
        <f>'Fiche info'!F13</f>
        <v>0</v>
      </c>
      <c r="CD120" s="449">
        <f>'Fiche info'!G13</f>
        <v>0</v>
      </c>
      <c r="CE120" s="449">
        <f>'Fiche info'!H13</f>
        <v>0</v>
      </c>
      <c r="CF120" s="449">
        <f>'Fiche info'!I13</f>
        <v>0</v>
      </c>
      <c r="ED120" s="16" t="str">
        <f t="shared" si="38"/>
        <v>Fiche infoA</v>
      </c>
      <c r="EE120" s="16" t="str">
        <f t="shared" si="24"/>
        <v>Fiche info</v>
      </c>
      <c r="EF120" s="16" t="str">
        <f t="shared" si="25"/>
        <v>A</v>
      </c>
      <c r="EG120" s="16">
        <f t="shared" si="26"/>
        <v>7</v>
      </c>
      <c r="EH120" s="16" t="str">
        <f t="shared" si="27"/>
        <v>Dimanche</v>
      </c>
      <c r="EI120" s="16" t="str">
        <f t="shared" si="28"/>
        <v/>
      </c>
      <c r="FB120" s="16" t="str">
        <f t="shared" si="32"/>
        <v/>
      </c>
      <c r="FC120" s="16" t="str">
        <f t="shared" si="33"/>
        <v/>
      </c>
      <c r="FD120" s="30">
        <f t="shared" si="23"/>
        <v>45108</v>
      </c>
      <c r="FE120" s="30" t="str">
        <f>+IFERROR(VLOOKUP(FD120,BDD,79,FALSE),"")</f>
        <v/>
      </c>
      <c r="FF120" s="30" t="str">
        <f>IFERROR(+VLOOKUP(FD120,BDD,80,FALSE),"")</f>
        <v/>
      </c>
      <c r="FG120" s="30" t="str">
        <f>+IFERROR(VLOOKUP(FD120,BDD,81,FALSE),"")</f>
        <v/>
      </c>
      <c r="FH120" s="30" t="str">
        <f>+IFERROR(VLOOKUP(FD120,BDD,82,FALSE),"")</f>
        <v/>
      </c>
      <c r="FW120" s="16" t="str">
        <f>Avril!GB44</f>
        <v>172025</v>
      </c>
      <c r="FX120" s="16">
        <f>Avril!GC44</f>
        <v>0</v>
      </c>
    </row>
    <row r="121" spans="1:180" x14ac:dyDescent="0.2">
      <c r="A121" s="16" t="str">
        <f t="shared" si="36"/>
        <v>Fiche infoB1</v>
      </c>
      <c r="B121" s="16" t="str">
        <f t="shared" si="37"/>
        <v>Fiche info</v>
      </c>
      <c r="C121" s="27" t="s">
        <v>236</v>
      </c>
      <c r="D121" s="27">
        <v>1</v>
      </c>
      <c r="E121" s="16" t="s">
        <v>17</v>
      </c>
      <c r="F121" s="34" t="str">
        <f>+IF('Fiche info'!$V$7=0,"",'Fiche info'!$V$7)</f>
        <v/>
      </c>
      <c r="G121" s="16">
        <f t="shared" si="29"/>
        <v>0</v>
      </c>
      <c r="L121" s="16" t="str">
        <f>+$P$16&amp;$N$9</f>
        <v>Fiche info Avenant 9HSem</v>
      </c>
      <c r="M121" s="16">
        <f>IF('Fiche info Avenant 9'!$CJ$19=0,0,'Fiche info Avenant 9'!$CJ$19)</f>
        <v>0</v>
      </c>
      <c r="BX121" s="16" t="str">
        <f t="shared" si="30"/>
        <v>Fiche infoB1</v>
      </c>
      <c r="BY121" s="449">
        <f>'Fiche info'!M7</f>
        <v>0</v>
      </c>
      <c r="BZ121" s="449">
        <f>'Fiche info'!N7</f>
        <v>0</v>
      </c>
      <c r="CA121" s="449">
        <f>'Fiche info'!O7</f>
        <v>0</v>
      </c>
      <c r="CB121" s="449">
        <f>'Fiche info'!P7</f>
        <v>0</v>
      </c>
      <c r="CC121" s="449">
        <f>'Fiche info'!Q7</f>
        <v>0</v>
      </c>
      <c r="CD121" s="449">
        <f>'Fiche info'!R7</f>
        <v>0</v>
      </c>
      <c r="CE121" s="449">
        <f>'Fiche info'!S7</f>
        <v>0</v>
      </c>
      <c r="CF121" s="449">
        <f>'Fiche info'!T7</f>
        <v>0</v>
      </c>
      <c r="ED121" s="16" t="str">
        <f t="shared" si="38"/>
        <v>Fiche infoB</v>
      </c>
      <c r="EE121" s="16" t="str">
        <f t="shared" si="24"/>
        <v>Fiche info</v>
      </c>
      <c r="EF121" s="16" t="str">
        <f t="shared" si="25"/>
        <v>B</v>
      </c>
      <c r="EG121" s="16">
        <f t="shared" si="26"/>
        <v>1</v>
      </c>
      <c r="EH121" s="16" t="str">
        <f t="shared" si="27"/>
        <v>Lundi</v>
      </c>
      <c r="EI121" s="16" t="str">
        <f t="shared" si="28"/>
        <v/>
      </c>
      <c r="FB121" s="16" t="str">
        <f t="shared" si="32"/>
        <v/>
      </c>
      <c r="FC121" s="16" t="str">
        <f t="shared" si="33"/>
        <v/>
      </c>
      <c r="FD121" s="30">
        <f t="shared" si="23"/>
        <v>45108</v>
      </c>
      <c r="FE121" s="30" t="str">
        <f>+IFERROR(VLOOKUP(FD121,BDD,83,FALSE),"")</f>
        <v/>
      </c>
      <c r="FF121" s="30" t="str">
        <f>+IFERROR(VLOOKUP(FD121,BDD,84,FALSE),"")</f>
        <v/>
      </c>
      <c r="FG121" s="30" t="str">
        <f>+IFERROR(VLOOKUP(FD121,BDD,85,FALSE),"")</f>
        <v/>
      </c>
      <c r="FH121" s="30" t="str">
        <f>+IFERROR(VLOOKUP(FD121,BDD,86,FALSE),"")</f>
        <v/>
      </c>
      <c r="FW121" s="16" t="str">
        <f>Avril!GB45</f>
        <v>172025</v>
      </c>
      <c r="FX121" s="16">
        <f>Avril!GC45</f>
        <v>0</v>
      </c>
    </row>
    <row r="122" spans="1:180" x14ac:dyDescent="0.2">
      <c r="A122" s="16" t="str">
        <f t="shared" si="36"/>
        <v>Fiche infoB2</v>
      </c>
      <c r="B122" s="16" t="str">
        <f t="shared" si="37"/>
        <v>Fiche info</v>
      </c>
      <c r="C122" s="27" t="s">
        <v>236</v>
      </c>
      <c r="D122" s="27">
        <v>2</v>
      </c>
      <c r="E122" s="16" t="s">
        <v>18</v>
      </c>
      <c r="F122" s="34" t="str">
        <f>+IF('Fiche info'!$V$8=0,"",'Fiche info'!$V$8)</f>
        <v/>
      </c>
      <c r="G122" s="16">
        <f t="shared" si="29"/>
        <v>0</v>
      </c>
      <c r="L122" s="16" t="str">
        <f>+$P$17&amp;$N$2</f>
        <v>Fiche info Avenant 10ASem</v>
      </c>
      <c r="M122" s="16">
        <f>IF('Fiche info Avenant 10'!$K$19=0,0,'Fiche info Avenant 10'!$K$19)</f>
        <v>0</v>
      </c>
      <c r="BX122" s="16" t="str">
        <f t="shared" si="30"/>
        <v>Fiche infoB2</v>
      </c>
      <c r="BY122" s="449">
        <f>'Fiche info'!M8</f>
        <v>0</v>
      </c>
      <c r="BZ122" s="449">
        <f>'Fiche info'!N8</f>
        <v>0</v>
      </c>
      <c r="CA122" s="449">
        <f>'Fiche info'!O8</f>
        <v>0</v>
      </c>
      <c r="CB122" s="449">
        <f>'Fiche info'!P8</f>
        <v>0</v>
      </c>
      <c r="CC122" s="449">
        <f>'Fiche info'!Q8</f>
        <v>0</v>
      </c>
      <c r="CD122" s="449">
        <f>'Fiche info'!R8</f>
        <v>0</v>
      </c>
      <c r="CE122" s="449">
        <f>'Fiche info'!S8</f>
        <v>0</v>
      </c>
      <c r="CF122" s="449">
        <f>'Fiche info'!T8</f>
        <v>0</v>
      </c>
      <c r="ED122" s="16" t="str">
        <f t="shared" si="38"/>
        <v>Fiche infoB</v>
      </c>
      <c r="EE122" s="16" t="str">
        <f t="shared" si="24"/>
        <v>Fiche info</v>
      </c>
      <c r="EF122" s="16" t="str">
        <f t="shared" si="25"/>
        <v>B</v>
      </c>
      <c r="EG122" s="16">
        <f t="shared" si="26"/>
        <v>2</v>
      </c>
      <c r="EH122" s="16" t="str">
        <f t="shared" si="27"/>
        <v>Mardi</v>
      </c>
      <c r="EI122" s="16" t="str">
        <f t="shared" si="28"/>
        <v/>
      </c>
      <c r="FB122" s="16" t="str">
        <f t="shared" si="32"/>
        <v/>
      </c>
      <c r="FC122" s="16" t="str">
        <f t="shared" si="33"/>
        <v/>
      </c>
      <c r="FD122" s="30">
        <f t="shared" si="23"/>
        <v>45078</v>
      </c>
      <c r="FE122" s="30" t="str">
        <f>+IFERROR(VLOOKUP(FD122,BDD,71,FALSE),"")</f>
        <v/>
      </c>
      <c r="FF122" s="30" t="str">
        <f>IFERROR(+VLOOKUP(FD122,BDD,72,FALSE),"")</f>
        <v/>
      </c>
      <c r="FG122" s="30" t="str">
        <f>+IFERROR(VLOOKUP(FD122,BDD,73,FALSE),"")</f>
        <v/>
      </c>
      <c r="FH122" s="30" t="str">
        <f>+IFERROR(VLOOKUP(FD122,BDD,74,FALSE),"")</f>
        <v/>
      </c>
      <c r="FW122" s="16" t="str">
        <f>Avril!GB46</f>
        <v>172025</v>
      </c>
      <c r="FX122" s="16">
        <f>Avril!GC46</f>
        <v>0</v>
      </c>
    </row>
    <row r="123" spans="1:180" x14ac:dyDescent="0.2">
      <c r="A123" s="16" t="str">
        <f t="shared" si="36"/>
        <v>Fiche infoB3</v>
      </c>
      <c r="B123" s="16" t="str">
        <f t="shared" si="37"/>
        <v>Fiche info</v>
      </c>
      <c r="C123" s="27" t="s">
        <v>236</v>
      </c>
      <c r="D123" s="27">
        <v>3</v>
      </c>
      <c r="E123" s="16" t="s">
        <v>19</v>
      </c>
      <c r="F123" s="34" t="str">
        <f>+IF('Fiche info'!$V$9=0,"",'Fiche info'!$V$9)</f>
        <v/>
      </c>
      <c r="G123" s="16">
        <f t="shared" si="29"/>
        <v>0</v>
      </c>
      <c r="L123" s="16" t="str">
        <f>+$P$17&amp;$N$3</f>
        <v>Fiche info Avenant 10BSem</v>
      </c>
      <c r="M123" s="16">
        <f>IF('Fiche info Avenant 10'!$V$19=0,0,'Fiche info Avenant 10'!$V$19)</f>
        <v>0</v>
      </c>
      <c r="BX123" s="16" t="str">
        <f t="shared" si="30"/>
        <v>Fiche infoB3</v>
      </c>
      <c r="BY123" s="449">
        <f>'Fiche info'!M9</f>
        <v>0</v>
      </c>
      <c r="BZ123" s="449">
        <f>'Fiche info'!N9</f>
        <v>0</v>
      </c>
      <c r="CA123" s="449">
        <f>'Fiche info'!O9</f>
        <v>0</v>
      </c>
      <c r="CB123" s="449">
        <f>'Fiche info'!P9</f>
        <v>0</v>
      </c>
      <c r="CC123" s="449">
        <f>'Fiche info'!Q9</f>
        <v>0</v>
      </c>
      <c r="CD123" s="449">
        <f>'Fiche info'!R9</f>
        <v>0</v>
      </c>
      <c r="CE123" s="449">
        <f>'Fiche info'!S9</f>
        <v>0</v>
      </c>
      <c r="CF123" s="449">
        <f>'Fiche info'!T9</f>
        <v>0</v>
      </c>
      <c r="ED123" s="16" t="str">
        <f t="shared" si="38"/>
        <v>Fiche infoB</v>
      </c>
      <c r="EE123" s="16" t="str">
        <f t="shared" si="24"/>
        <v>Fiche info</v>
      </c>
      <c r="EF123" s="16" t="str">
        <f t="shared" si="25"/>
        <v>B</v>
      </c>
      <c r="EG123" s="16">
        <f t="shared" si="26"/>
        <v>3</v>
      </c>
      <c r="EH123" s="16" t="str">
        <f t="shared" si="27"/>
        <v>Mercredi</v>
      </c>
      <c r="EI123" s="16" t="str">
        <f t="shared" si="28"/>
        <v/>
      </c>
      <c r="FB123" s="16" t="str">
        <f t="shared" si="32"/>
        <v/>
      </c>
      <c r="FC123" s="16" t="str">
        <f t="shared" si="33"/>
        <v/>
      </c>
      <c r="FD123" s="30">
        <f t="shared" ref="FD123:FD186" si="39">+DATE(YEAR(FD119),MONTH(FD119)-1,DAY(FD119))</f>
        <v>45078</v>
      </c>
      <c r="FE123" s="30" t="str">
        <f>+IFERROR(VLOOKUP(FD123,BDD,75,FALSE),"")</f>
        <v/>
      </c>
      <c r="FF123" s="30" t="str">
        <f>+IFERROR(VLOOKUP(FD123,BDD,76,FALSE),"")</f>
        <v/>
      </c>
      <c r="FG123" s="30" t="str">
        <f>IFERROR(+VLOOKUP(FD123,BDD,77,FALSE),"")</f>
        <v/>
      </c>
      <c r="FH123" s="30" t="str">
        <f>+IFERROR(VLOOKUP(FD123,BDD,78,FALSE),"")</f>
        <v/>
      </c>
      <c r="FW123" s="16" t="str">
        <f>Avril!GB47</f>
        <v>182025</v>
      </c>
      <c r="FX123" s="16">
        <f>Avril!GC47</f>
        <v>0</v>
      </c>
    </row>
    <row r="124" spans="1:180" x14ac:dyDescent="0.2">
      <c r="A124" s="16" t="str">
        <f t="shared" si="36"/>
        <v>Fiche infoB4</v>
      </c>
      <c r="B124" s="16" t="str">
        <f t="shared" si="37"/>
        <v>Fiche info</v>
      </c>
      <c r="C124" s="27" t="s">
        <v>236</v>
      </c>
      <c r="D124" s="27">
        <v>4</v>
      </c>
      <c r="E124" s="16" t="s">
        <v>20</v>
      </c>
      <c r="F124" s="34" t="str">
        <f>+IF('Fiche info'!$V$10=0,"",'Fiche info'!$V$10)</f>
        <v/>
      </c>
      <c r="G124" s="16">
        <f t="shared" si="29"/>
        <v>0</v>
      </c>
      <c r="L124" s="16" t="str">
        <f>+$P$17&amp;$N$4</f>
        <v>Fiche info Avenant 10CSem</v>
      </c>
      <c r="M124" s="16">
        <f>IF('Fiche info Avenant 10'!$AG$19=0,0,'Fiche info Avenant 10'!$AG$19)</f>
        <v>0</v>
      </c>
      <c r="BX124" s="16" t="str">
        <f t="shared" si="30"/>
        <v>Fiche infoB4</v>
      </c>
      <c r="BY124" s="449">
        <f>'Fiche info'!M10</f>
        <v>0</v>
      </c>
      <c r="BZ124" s="449">
        <f>'Fiche info'!N10</f>
        <v>0</v>
      </c>
      <c r="CA124" s="449">
        <f>'Fiche info'!O10</f>
        <v>0</v>
      </c>
      <c r="CB124" s="449">
        <f>'Fiche info'!P10</f>
        <v>0</v>
      </c>
      <c r="CC124" s="449">
        <f>'Fiche info'!Q10</f>
        <v>0</v>
      </c>
      <c r="CD124" s="449">
        <f>'Fiche info'!R10</f>
        <v>0</v>
      </c>
      <c r="CE124" s="449">
        <f>'Fiche info'!S10</f>
        <v>0</v>
      </c>
      <c r="CF124" s="449">
        <f>'Fiche info'!T10</f>
        <v>0</v>
      </c>
      <c r="ED124" s="16" t="str">
        <f t="shared" si="38"/>
        <v>Fiche infoB</v>
      </c>
      <c r="EE124" s="16" t="str">
        <f t="shared" si="24"/>
        <v>Fiche info</v>
      </c>
      <c r="EF124" s="16" t="str">
        <f t="shared" si="25"/>
        <v>B</v>
      </c>
      <c r="EG124" s="16">
        <f t="shared" si="26"/>
        <v>4</v>
      </c>
      <c r="EH124" s="16" t="str">
        <f t="shared" si="27"/>
        <v>Jeudi</v>
      </c>
      <c r="EI124" s="16" t="str">
        <f t="shared" si="28"/>
        <v/>
      </c>
      <c r="FB124" s="16" t="str">
        <f t="shared" si="32"/>
        <v/>
      </c>
      <c r="FC124" s="16" t="str">
        <f t="shared" si="33"/>
        <v/>
      </c>
      <c r="FD124" s="30">
        <f t="shared" si="39"/>
        <v>45078</v>
      </c>
      <c r="FE124" s="30" t="str">
        <f>+IFERROR(VLOOKUP(FD124,BDD,79,FALSE),"")</f>
        <v/>
      </c>
      <c r="FF124" s="30" t="str">
        <f>IFERROR(+VLOOKUP(FD124,BDD,80,FALSE),"")</f>
        <v/>
      </c>
      <c r="FG124" s="30" t="str">
        <f>+IFERROR(VLOOKUP(FD124,BDD,81,FALSE),"")</f>
        <v/>
      </c>
      <c r="FH124" s="30" t="str">
        <f>+IFERROR(VLOOKUP(FD124,BDD,82,FALSE),"")</f>
        <v/>
      </c>
      <c r="FW124" s="16" t="str">
        <f>Avril!GB48</f>
        <v>182025</v>
      </c>
      <c r="FX124" s="16">
        <f>Avril!GC48</f>
        <v>0</v>
      </c>
    </row>
    <row r="125" spans="1:180" x14ac:dyDescent="0.2">
      <c r="A125" s="16" t="str">
        <f t="shared" si="36"/>
        <v>Fiche infoB5</v>
      </c>
      <c r="B125" s="16" t="str">
        <f t="shared" si="37"/>
        <v>Fiche info</v>
      </c>
      <c r="C125" s="27" t="s">
        <v>236</v>
      </c>
      <c r="D125" s="27">
        <v>5</v>
      </c>
      <c r="E125" s="16" t="s">
        <v>21</v>
      </c>
      <c r="F125" s="34" t="str">
        <f>+IF('Fiche info'!$V$11=0,"",'Fiche info'!$V$11)</f>
        <v/>
      </c>
      <c r="G125" s="16">
        <f t="shared" si="29"/>
        <v>0</v>
      </c>
      <c r="L125" s="16" t="str">
        <f>+$P$17&amp;$N$5</f>
        <v>Fiche info Avenant 10DSem</v>
      </c>
      <c r="M125" s="16">
        <f>IF('Fiche info Avenant 10'!$AR$19=0,0,'Fiche info Avenant 10'!$AR$19)</f>
        <v>0</v>
      </c>
      <c r="BX125" s="16" t="str">
        <f t="shared" si="30"/>
        <v>Fiche infoB5</v>
      </c>
      <c r="BY125" s="449">
        <f>'Fiche info'!M11</f>
        <v>0</v>
      </c>
      <c r="BZ125" s="449">
        <f>'Fiche info'!N11</f>
        <v>0</v>
      </c>
      <c r="CA125" s="449">
        <f>'Fiche info'!O11</f>
        <v>0</v>
      </c>
      <c r="CB125" s="449">
        <f>'Fiche info'!P11</f>
        <v>0</v>
      </c>
      <c r="CC125" s="449">
        <f>'Fiche info'!Q11</f>
        <v>0</v>
      </c>
      <c r="CD125" s="449">
        <f>'Fiche info'!R11</f>
        <v>0</v>
      </c>
      <c r="CE125" s="449">
        <f>'Fiche info'!S11</f>
        <v>0</v>
      </c>
      <c r="CF125" s="449">
        <f>'Fiche info'!T11</f>
        <v>0</v>
      </c>
      <c r="ED125" s="16" t="str">
        <f t="shared" si="38"/>
        <v>Fiche infoB</v>
      </c>
      <c r="EE125" s="16" t="str">
        <f t="shared" si="24"/>
        <v>Fiche info</v>
      </c>
      <c r="EF125" s="16" t="str">
        <f t="shared" si="25"/>
        <v>B</v>
      </c>
      <c r="EG125" s="16">
        <f t="shared" si="26"/>
        <v>5</v>
      </c>
      <c r="EH125" s="16" t="str">
        <f t="shared" si="27"/>
        <v>Vendredi</v>
      </c>
      <c r="EI125" s="16" t="str">
        <f t="shared" si="28"/>
        <v/>
      </c>
      <c r="FB125" s="16" t="str">
        <f t="shared" si="32"/>
        <v/>
      </c>
      <c r="FC125" s="16" t="str">
        <f t="shared" si="33"/>
        <v/>
      </c>
      <c r="FD125" s="30">
        <f t="shared" si="39"/>
        <v>45078</v>
      </c>
      <c r="FE125" s="30" t="str">
        <f>+IFERROR(VLOOKUP(FD125,BDD,83,FALSE),"")</f>
        <v/>
      </c>
      <c r="FF125" s="30" t="str">
        <f>+IFERROR(VLOOKUP(FD125,BDD,84,FALSE),"")</f>
        <v/>
      </c>
      <c r="FG125" s="30" t="str">
        <f>+IFERROR(VLOOKUP(FD125,BDD,85,FALSE),"")</f>
        <v/>
      </c>
      <c r="FH125" s="30" t="str">
        <f>+IFERROR(VLOOKUP(FD125,BDD,86,FALSE),"")</f>
        <v/>
      </c>
      <c r="FW125" s="16" t="str">
        <f>Avril!GB49</f>
        <v>182025</v>
      </c>
      <c r="FX125" s="16">
        <f>Avril!GC49</f>
        <v>0</v>
      </c>
    </row>
    <row r="126" spans="1:180" x14ac:dyDescent="0.2">
      <c r="A126" s="16" t="str">
        <f t="shared" si="36"/>
        <v>Fiche infoB6</v>
      </c>
      <c r="B126" s="16" t="str">
        <f t="shared" si="37"/>
        <v>Fiche info</v>
      </c>
      <c r="C126" s="27" t="s">
        <v>236</v>
      </c>
      <c r="D126" s="27">
        <v>6</v>
      </c>
      <c r="E126" s="16" t="s">
        <v>193</v>
      </c>
      <c r="F126" s="34" t="str">
        <f>+IF('Fiche info'!$V$12=0,"",'Fiche info'!$V$12)</f>
        <v/>
      </c>
      <c r="G126" s="16">
        <f t="shared" si="29"/>
        <v>0</v>
      </c>
      <c r="L126" s="16" t="str">
        <f>+$P$17&amp;$N$6</f>
        <v>Fiche info Avenant 10ESem</v>
      </c>
      <c r="M126" s="16">
        <f>IF('Fiche info Avenant 10'!$BC$19=0,0,'Fiche info Avenant 10'!$BC$19)</f>
        <v>0</v>
      </c>
      <c r="BX126" s="16" t="str">
        <f t="shared" si="30"/>
        <v>Fiche infoB6</v>
      </c>
      <c r="BY126" s="449">
        <f>'Fiche info'!M12</f>
        <v>0</v>
      </c>
      <c r="BZ126" s="449">
        <f>'Fiche info'!N12</f>
        <v>0</v>
      </c>
      <c r="CA126" s="449">
        <f>'Fiche info'!O12</f>
        <v>0</v>
      </c>
      <c r="CB126" s="449">
        <f>'Fiche info'!P12</f>
        <v>0</v>
      </c>
      <c r="CC126" s="449">
        <f>'Fiche info'!Q12</f>
        <v>0</v>
      </c>
      <c r="CD126" s="449">
        <f>'Fiche info'!R12</f>
        <v>0</v>
      </c>
      <c r="CE126" s="449">
        <f>'Fiche info'!S12</f>
        <v>0</v>
      </c>
      <c r="CF126" s="449">
        <f>'Fiche info'!T12</f>
        <v>0</v>
      </c>
      <c r="ED126" s="16" t="str">
        <f t="shared" si="38"/>
        <v>Fiche infoB</v>
      </c>
      <c r="EE126" s="16" t="str">
        <f t="shared" si="24"/>
        <v>Fiche info</v>
      </c>
      <c r="EF126" s="16" t="str">
        <f t="shared" si="25"/>
        <v>B</v>
      </c>
      <c r="EG126" s="16">
        <f t="shared" si="26"/>
        <v>6</v>
      </c>
      <c r="EH126" s="16" t="str">
        <f t="shared" si="27"/>
        <v>Samedi</v>
      </c>
      <c r="EI126" s="16" t="str">
        <f t="shared" si="28"/>
        <v/>
      </c>
      <c r="FB126" s="16" t="str">
        <f t="shared" si="32"/>
        <v/>
      </c>
      <c r="FC126" s="16" t="str">
        <f t="shared" si="33"/>
        <v/>
      </c>
      <c r="FD126" s="30">
        <f t="shared" si="39"/>
        <v>45047</v>
      </c>
      <c r="FE126" s="30" t="str">
        <f>+IFERROR(VLOOKUP(FD126,BDD,71,FALSE),"")</f>
        <v/>
      </c>
      <c r="FF126" s="30" t="str">
        <f>IFERROR(+VLOOKUP(FD126,BDD,72,FALSE),"")</f>
        <v/>
      </c>
      <c r="FG126" s="30" t="str">
        <f>+IFERROR(VLOOKUP(FD126,BDD,73,FALSE),"")</f>
        <v/>
      </c>
      <c r="FH126" s="30" t="str">
        <f>+IFERROR(VLOOKUP(FD126,BDD,74,FALSE),"")</f>
        <v/>
      </c>
      <c r="FW126" s="16" t="str">
        <f>Avril!GB50</f>
        <v>2025</v>
      </c>
      <c r="FX126" s="16">
        <f>Avril!GC50</f>
        <v>0</v>
      </c>
    </row>
    <row r="127" spans="1:180" x14ac:dyDescent="0.2">
      <c r="A127" s="16" t="str">
        <f t="shared" si="36"/>
        <v>Fiche infoB7</v>
      </c>
      <c r="B127" s="16" t="str">
        <f t="shared" si="37"/>
        <v>Fiche info</v>
      </c>
      <c r="C127" s="27" t="s">
        <v>236</v>
      </c>
      <c r="D127" s="27">
        <v>7</v>
      </c>
      <c r="E127" s="16" t="s">
        <v>194</v>
      </c>
      <c r="F127" s="34" t="str">
        <f>+IF('Fiche info'!$V$13=0,"",'Fiche info'!$V$13)</f>
        <v/>
      </c>
      <c r="G127" s="16">
        <f t="shared" si="29"/>
        <v>0</v>
      </c>
      <c r="L127" s="16" t="str">
        <f>+$P$17&amp;$N$7</f>
        <v>Fiche info Avenant 10FSem</v>
      </c>
      <c r="M127" s="16">
        <f>IF('Fiche info Avenant 10'!$BN$19=0,0,'Fiche info Avenant 10'!$BN$19)</f>
        <v>0</v>
      </c>
      <c r="BX127" s="16" t="str">
        <f t="shared" si="30"/>
        <v>Fiche infoB7</v>
      </c>
      <c r="BY127" s="449">
        <f>'Fiche info'!M13</f>
        <v>0</v>
      </c>
      <c r="BZ127" s="449">
        <f>'Fiche info'!N13</f>
        <v>0</v>
      </c>
      <c r="CA127" s="449">
        <f>'Fiche info'!O13</f>
        <v>0</v>
      </c>
      <c r="CB127" s="449">
        <f>'Fiche info'!P13</f>
        <v>0</v>
      </c>
      <c r="CC127" s="449">
        <f>'Fiche info'!Q13</f>
        <v>0</v>
      </c>
      <c r="CD127" s="449">
        <f>'Fiche info'!R13</f>
        <v>0</v>
      </c>
      <c r="CE127" s="449">
        <f>'Fiche info'!S13</f>
        <v>0</v>
      </c>
      <c r="CF127" s="449">
        <f>'Fiche info'!T13</f>
        <v>0</v>
      </c>
      <c r="ED127" s="16" t="str">
        <f t="shared" si="38"/>
        <v>Fiche infoB</v>
      </c>
      <c r="EE127" s="16" t="str">
        <f t="shared" si="24"/>
        <v>Fiche info</v>
      </c>
      <c r="EF127" s="16" t="str">
        <f t="shared" si="25"/>
        <v>B</v>
      </c>
      <c r="EG127" s="16">
        <f t="shared" si="26"/>
        <v>7</v>
      </c>
      <c r="EH127" s="16" t="str">
        <f t="shared" si="27"/>
        <v>Dimanche</v>
      </c>
      <c r="EI127" s="16" t="str">
        <f t="shared" si="28"/>
        <v/>
      </c>
      <c r="FB127" s="16" t="str">
        <f t="shared" si="32"/>
        <v/>
      </c>
      <c r="FC127" s="16" t="str">
        <f t="shared" si="33"/>
        <v/>
      </c>
      <c r="FD127" s="30">
        <f t="shared" si="39"/>
        <v>45047</v>
      </c>
      <c r="FE127" s="30" t="str">
        <f>+IFERROR(VLOOKUP(FD127,BDD,75,FALSE),"")</f>
        <v/>
      </c>
      <c r="FF127" s="30" t="str">
        <f>+IFERROR(VLOOKUP(FD127,BDD,76,FALSE),"")</f>
        <v/>
      </c>
      <c r="FG127" s="30" t="str">
        <f>IFERROR(+VLOOKUP(FD127,BDD,77,FALSE),"")</f>
        <v/>
      </c>
      <c r="FH127" s="30" t="str">
        <f>+IFERROR(VLOOKUP(FD127,BDD,78,FALSE),"")</f>
        <v/>
      </c>
      <c r="FW127" s="16" t="str">
        <f>Mai!GB20</f>
        <v>182025</v>
      </c>
      <c r="FX127" s="16">
        <f>Mai!GC20</f>
        <v>0</v>
      </c>
    </row>
    <row r="128" spans="1:180" x14ac:dyDescent="0.2">
      <c r="A128" s="16" t="str">
        <f t="shared" si="36"/>
        <v>Fiche infoC1</v>
      </c>
      <c r="B128" s="16" t="str">
        <f t="shared" si="37"/>
        <v>Fiche info</v>
      </c>
      <c r="C128" s="27" t="s">
        <v>241</v>
      </c>
      <c r="D128" s="27">
        <v>1</v>
      </c>
      <c r="E128" s="16" t="s">
        <v>17</v>
      </c>
      <c r="F128" s="34" t="str">
        <f>+IF('Fiche info'!$AG$7=0,"",'Fiche info'!$AG$7)</f>
        <v/>
      </c>
      <c r="G128" s="16">
        <f t="shared" si="29"/>
        <v>0</v>
      </c>
      <c r="L128" s="16" t="str">
        <f>+$P$17&amp;$N$8</f>
        <v>Fiche info Avenant 10GSem</v>
      </c>
      <c r="M128" s="16">
        <f>IF('Fiche info Avenant 10'!$BY$19=0,0,'Fiche info Avenant 10'!$BY$19)</f>
        <v>0</v>
      </c>
      <c r="BX128" s="16" t="str">
        <f t="shared" si="30"/>
        <v>Fiche infoC1</v>
      </c>
      <c r="BY128" s="449">
        <f>'Fiche info'!X7</f>
        <v>0</v>
      </c>
      <c r="BZ128" s="449">
        <f>'Fiche info'!Y7</f>
        <v>0</v>
      </c>
      <c r="CA128" s="449">
        <f>'Fiche info'!Z7</f>
        <v>0</v>
      </c>
      <c r="CB128" s="449">
        <f>'Fiche info'!AA7</f>
        <v>0</v>
      </c>
      <c r="CC128" s="449">
        <f>'Fiche info'!AB7</f>
        <v>0</v>
      </c>
      <c r="CD128" s="449">
        <f>'Fiche info'!AC7</f>
        <v>0</v>
      </c>
      <c r="CE128" s="449">
        <f>'Fiche info'!AD7</f>
        <v>0</v>
      </c>
      <c r="CF128" s="449">
        <f>'Fiche info'!AE7</f>
        <v>0</v>
      </c>
      <c r="ED128" s="16" t="str">
        <f t="shared" si="38"/>
        <v>Fiche infoC</v>
      </c>
      <c r="EE128" s="16" t="str">
        <f t="shared" si="24"/>
        <v>Fiche info</v>
      </c>
      <c r="EF128" s="16" t="str">
        <f t="shared" si="25"/>
        <v>C</v>
      </c>
      <c r="EG128" s="16">
        <f t="shared" si="26"/>
        <v>1</v>
      </c>
      <c r="EH128" s="16" t="str">
        <f t="shared" si="27"/>
        <v>Lundi</v>
      </c>
      <c r="EI128" s="16" t="str">
        <f t="shared" si="28"/>
        <v/>
      </c>
      <c r="FB128" s="16" t="str">
        <f t="shared" si="32"/>
        <v/>
      </c>
      <c r="FC128" s="16" t="str">
        <f t="shared" si="33"/>
        <v/>
      </c>
      <c r="FD128" s="30">
        <f t="shared" si="39"/>
        <v>45047</v>
      </c>
      <c r="FE128" s="30" t="str">
        <f>+IFERROR(VLOOKUP(FD128,BDD,79,FALSE),"")</f>
        <v/>
      </c>
      <c r="FF128" s="30" t="str">
        <f>IFERROR(+VLOOKUP(FD128,BDD,80,FALSE),"")</f>
        <v/>
      </c>
      <c r="FG128" s="30" t="str">
        <f>+IFERROR(VLOOKUP(FD128,BDD,81,FALSE),"")</f>
        <v/>
      </c>
      <c r="FH128" s="30" t="str">
        <f>+IFERROR(VLOOKUP(FD128,BDD,82,FALSE),"")</f>
        <v/>
      </c>
      <c r="FW128" s="16" t="str">
        <f>Mai!GB21</f>
        <v>182025</v>
      </c>
      <c r="FX128" s="16">
        <f>Mai!GC21</f>
        <v>0</v>
      </c>
    </row>
    <row r="129" spans="1:180" x14ac:dyDescent="0.2">
      <c r="A129" s="16" t="str">
        <f t="shared" si="36"/>
        <v>Fiche infoC2</v>
      </c>
      <c r="B129" s="16" t="str">
        <f t="shared" si="37"/>
        <v>Fiche info</v>
      </c>
      <c r="C129" s="27" t="s">
        <v>241</v>
      </c>
      <c r="D129" s="27">
        <v>2</v>
      </c>
      <c r="E129" s="16" t="s">
        <v>18</v>
      </c>
      <c r="F129" s="34" t="str">
        <f>+IF('Fiche info'!$AG$8=0,"",'Fiche info'!$AG$8)</f>
        <v/>
      </c>
      <c r="G129" s="16">
        <f t="shared" si="29"/>
        <v>0</v>
      </c>
      <c r="L129" s="16" t="str">
        <f>+$P$17&amp;$N$9</f>
        <v>Fiche info Avenant 10HSem</v>
      </c>
      <c r="M129" s="16">
        <f>IF('Fiche info Avenant 10'!$CJ$19=0,0,'Fiche info Avenant 10'!$CJ$19)</f>
        <v>0</v>
      </c>
      <c r="BX129" s="16" t="str">
        <f t="shared" si="30"/>
        <v>Fiche infoC2</v>
      </c>
      <c r="BY129" s="449">
        <f>'Fiche info'!X8</f>
        <v>0</v>
      </c>
      <c r="BZ129" s="449">
        <f>'Fiche info'!Y8</f>
        <v>0</v>
      </c>
      <c r="CA129" s="449">
        <f>'Fiche info'!Z8</f>
        <v>0</v>
      </c>
      <c r="CB129" s="449">
        <f>'Fiche info'!AA8</f>
        <v>0</v>
      </c>
      <c r="CC129" s="449">
        <f>'Fiche info'!AB8</f>
        <v>0</v>
      </c>
      <c r="CD129" s="449">
        <f>'Fiche info'!AC8</f>
        <v>0</v>
      </c>
      <c r="CE129" s="449">
        <f>'Fiche info'!AD8</f>
        <v>0</v>
      </c>
      <c r="CF129" s="449">
        <f>'Fiche info'!AE8</f>
        <v>0</v>
      </c>
      <c r="ED129" s="16" t="str">
        <f t="shared" si="38"/>
        <v>Fiche infoC</v>
      </c>
      <c r="EE129" s="16" t="str">
        <f t="shared" ref="EE129:EE192" si="40">B129</f>
        <v>Fiche info</v>
      </c>
      <c r="EF129" s="16" t="str">
        <f t="shared" ref="EF129:EF192" si="41">C129</f>
        <v>C</v>
      </c>
      <c r="EG129" s="16">
        <f t="shared" ref="EG129:EG192" si="42">D129</f>
        <v>2</v>
      </c>
      <c r="EH129" s="16" t="str">
        <f t="shared" ref="EH129:EH192" si="43">E129</f>
        <v>Mardi</v>
      </c>
      <c r="EI129" s="16" t="str">
        <f t="shared" ref="EI129:EI192" si="44">F129</f>
        <v/>
      </c>
      <c r="FB129" s="16" t="str">
        <f t="shared" si="32"/>
        <v/>
      </c>
      <c r="FC129" s="16" t="str">
        <f t="shared" si="33"/>
        <v/>
      </c>
      <c r="FD129" s="30">
        <f t="shared" si="39"/>
        <v>45047</v>
      </c>
      <c r="FE129" s="30" t="str">
        <f>+IFERROR(VLOOKUP(FD129,BDD,83,FALSE),"")</f>
        <v/>
      </c>
      <c r="FF129" s="30" t="str">
        <f>+IFERROR(VLOOKUP(FD129,BDD,84,FALSE),"")</f>
        <v/>
      </c>
      <c r="FG129" s="30" t="str">
        <f>+IFERROR(VLOOKUP(FD129,BDD,85,FALSE),"")</f>
        <v/>
      </c>
      <c r="FH129" s="30" t="str">
        <f>+IFERROR(VLOOKUP(FD129,BDD,86,FALSE),"")</f>
        <v/>
      </c>
      <c r="FW129" s="16" t="str">
        <f>Mai!GB22</f>
        <v>182025</v>
      </c>
      <c r="FX129" s="16">
        <f>Mai!GC22</f>
        <v>0</v>
      </c>
    </row>
    <row r="130" spans="1:180" x14ac:dyDescent="0.2">
      <c r="A130" s="16" t="str">
        <f t="shared" si="36"/>
        <v>Fiche infoC3</v>
      </c>
      <c r="B130" s="16" t="str">
        <f t="shared" si="37"/>
        <v>Fiche info</v>
      </c>
      <c r="C130" s="27" t="s">
        <v>241</v>
      </c>
      <c r="D130" s="27">
        <v>3</v>
      </c>
      <c r="E130" s="16" t="s">
        <v>19</v>
      </c>
      <c r="F130" s="34" t="str">
        <f>+IF('Fiche info'!$AG$9=0,"",'Fiche info'!$AG$9)</f>
        <v/>
      </c>
      <c r="G130" s="16">
        <f t="shared" ref="G130:G193" si="45">+IF(OR(F130=0,F130=""),0,1)</f>
        <v>0</v>
      </c>
      <c r="BX130" s="16" t="str">
        <f t="shared" ref="BX130:BX193" si="46">A130</f>
        <v>Fiche infoC3</v>
      </c>
      <c r="BY130" s="449">
        <f>'Fiche info'!X9</f>
        <v>0</v>
      </c>
      <c r="BZ130" s="449">
        <f>'Fiche info'!Y9</f>
        <v>0</v>
      </c>
      <c r="CA130" s="449">
        <f>'Fiche info'!Z9</f>
        <v>0</v>
      </c>
      <c r="CB130" s="449">
        <f>'Fiche info'!AA9</f>
        <v>0</v>
      </c>
      <c r="CC130" s="449">
        <f>'Fiche info'!AB9</f>
        <v>0</v>
      </c>
      <c r="CD130" s="449">
        <f>'Fiche info'!AC9</f>
        <v>0</v>
      </c>
      <c r="CE130" s="449">
        <f>'Fiche info'!AD9</f>
        <v>0</v>
      </c>
      <c r="CF130" s="449">
        <f>'Fiche info'!AE9</f>
        <v>0</v>
      </c>
      <c r="ED130" s="16" t="str">
        <f t="shared" si="38"/>
        <v>Fiche infoC</v>
      </c>
      <c r="EE130" s="16" t="str">
        <f t="shared" si="40"/>
        <v>Fiche info</v>
      </c>
      <c r="EF130" s="16" t="str">
        <f t="shared" si="41"/>
        <v>C</v>
      </c>
      <c r="EG130" s="16">
        <f t="shared" si="42"/>
        <v>3</v>
      </c>
      <c r="EH130" s="16" t="str">
        <f t="shared" si="43"/>
        <v>Mercredi</v>
      </c>
      <c r="EI130" s="16" t="str">
        <f t="shared" si="44"/>
        <v/>
      </c>
      <c r="FB130" s="16" t="str">
        <f t="shared" si="32"/>
        <v/>
      </c>
      <c r="FC130" s="16" t="str">
        <f t="shared" si="33"/>
        <v/>
      </c>
      <c r="FD130" s="30">
        <f t="shared" si="39"/>
        <v>45017</v>
      </c>
      <c r="FE130" s="30" t="str">
        <f>+IFERROR(VLOOKUP(FD130,BDD,71,FALSE),"")</f>
        <v/>
      </c>
      <c r="FF130" s="30" t="str">
        <f>IFERROR(+VLOOKUP(FD130,BDD,72,FALSE),"")</f>
        <v/>
      </c>
      <c r="FG130" s="30" t="str">
        <f>+IFERROR(VLOOKUP(FD130,BDD,73,FALSE),"")</f>
        <v/>
      </c>
      <c r="FH130" s="30" t="str">
        <f>+IFERROR(VLOOKUP(FD130,BDD,74,FALSE),"")</f>
        <v/>
      </c>
      <c r="FW130" s="16" t="str">
        <f>Mai!GB23</f>
        <v>182025</v>
      </c>
      <c r="FX130" s="16">
        <f>Mai!GC23</f>
        <v>0</v>
      </c>
    </row>
    <row r="131" spans="1:180" x14ac:dyDescent="0.2">
      <c r="A131" s="16" t="str">
        <f t="shared" si="36"/>
        <v>Fiche infoC4</v>
      </c>
      <c r="B131" s="16" t="str">
        <f t="shared" si="37"/>
        <v>Fiche info</v>
      </c>
      <c r="C131" s="27" t="s">
        <v>241</v>
      </c>
      <c r="D131" s="27">
        <v>4</v>
      </c>
      <c r="E131" s="16" t="s">
        <v>20</v>
      </c>
      <c r="F131" s="34" t="str">
        <f>+IF('Fiche info'!$AG$10=0,"",'Fiche info'!$AG$10)</f>
        <v/>
      </c>
      <c r="G131" s="16">
        <f t="shared" si="45"/>
        <v>0</v>
      </c>
      <c r="BX131" s="16" t="str">
        <f t="shared" si="46"/>
        <v>Fiche infoC4</v>
      </c>
      <c r="BY131" s="449">
        <f>'Fiche info'!X10</f>
        <v>0</v>
      </c>
      <c r="BZ131" s="449">
        <f>'Fiche info'!Y10</f>
        <v>0</v>
      </c>
      <c r="CA131" s="449">
        <f>'Fiche info'!Z10</f>
        <v>0</v>
      </c>
      <c r="CB131" s="449">
        <f>'Fiche info'!AA10</f>
        <v>0</v>
      </c>
      <c r="CC131" s="449">
        <f>'Fiche info'!AB10</f>
        <v>0</v>
      </c>
      <c r="CD131" s="449">
        <f>'Fiche info'!AC10</f>
        <v>0</v>
      </c>
      <c r="CE131" s="449">
        <f>'Fiche info'!AD10</f>
        <v>0</v>
      </c>
      <c r="CF131" s="449">
        <f>'Fiche info'!AE10</f>
        <v>0</v>
      </c>
      <c r="ED131" s="16" t="str">
        <f t="shared" si="38"/>
        <v>Fiche infoC</v>
      </c>
      <c r="EE131" s="16" t="str">
        <f t="shared" si="40"/>
        <v>Fiche info</v>
      </c>
      <c r="EF131" s="16" t="str">
        <f t="shared" si="41"/>
        <v>C</v>
      </c>
      <c r="EG131" s="16">
        <f t="shared" si="42"/>
        <v>4</v>
      </c>
      <c r="EH131" s="16" t="str">
        <f t="shared" si="43"/>
        <v>Jeudi</v>
      </c>
      <c r="EI131" s="16" t="str">
        <f t="shared" si="44"/>
        <v/>
      </c>
      <c r="FB131" s="16" t="str">
        <f t="shared" ref="FB131:FB194" si="47">+IF(FE131=$EX$2,FE131&amp;FF131&amp;FG131,"")</f>
        <v/>
      </c>
      <c r="FC131" s="16" t="str">
        <f t="shared" ref="FC131:FC194" si="48">+IF(FE131=$EX$3,FE131&amp;FF131&amp;FG131,"")</f>
        <v/>
      </c>
      <c r="FD131" s="30">
        <f t="shared" si="39"/>
        <v>45017</v>
      </c>
      <c r="FE131" s="30" t="str">
        <f>+IFERROR(VLOOKUP(FD131,BDD,75,FALSE),"")</f>
        <v/>
      </c>
      <c r="FF131" s="30" t="str">
        <f>+IFERROR(VLOOKUP(FD131,BDD,76,FALSE),"")</f>
        <v/>
      </c>
      <c r="FG131" s="30" t="str">
        <f>IFERROR(+VLOOKUP(FD131,BDD,77,FALSE),"")</f>
        <v/>
      </c>
      <c r="FH131" s="30" t="str">
        <f>+IFERROR(VLOOKUP(FD131,BDD,78,FALSE),"")</f>
        <v/>
      </c>
      <c r="FW131" s="16" t="str">
        <f>Mai!GB24</f>
        <v>192025</v>
      </c>
      <c r="FX131" s="16">
        <f>Mai!GC24</f>
        <v>0</v>
      </c>
    </row>
    <row r="132" spans="1:180" x14ac:dyDescent="0.2">
      <c r="A132" s="16" t="str">
        <f t="shared" si="36"/>
        <v>Fiche infoC5</v>
      </c>
      <c r="B132" s="16" t="str">
        <f t="shared" si="37"/>
        <v>Fiche info</v>
      </c>
      <c r="C132" s="27" t="s">
        <v>241</v>
      </c>
      <c r="D132" s="27">
        <v>5</v>
      </c>
      <c r="E132" s="16" t="s">
        <v>21</v>
      </c>
      <c r="F132" s="34" t="str">
        <f>+IF('Fiche info'!$AG$11=0,"",'Fiche info'!$AG$11)</f>
        <v/>
      </c>
      <c r="G132" s="16">
        <f t="shared" si="45"/>
        <v>0</v>
      </c>
      <c r="BX132" s="16" t="str">
        <f t="shared" si="46"/>
        <v>Fiche infoC5</v>
      </c>
      <c r="BY132" s="449">
        <f>'Fiche info'!X11</f>
        <v>0</v>
      </c>
      <c r="BZ132" s="449">
        <f>'Fiche info'!Y11</f>
        <v>0</v>
      </c>
      <c r="CA132" s="449">
        <f>'Fiche info'!Z11</f>
        <v>0</v>
      </c>
      <c r="CB132" s="449">
        <f>'Fiche info'!AA11</f>
        <v>0</v>
      </c>
      <c r="CC132" s="449">
        <f>'Fiche info'!AB11</f>
        <v>0</v>
      </c>
      <c r="CD132" s="449">
        <f>'Fiche info'!AC11</f>
        <v>0</v>
      </c>
      <c r="CE132" s="449">
        <f>'Fiche info'!AD11</f>
        <v>0</v>
      </c>
      <c r="CF132" s="449">
        <f>'Fiche info'!AE11</f>
        <v>0</v>
      </c>
      <c r="ED132" s="16" t="str">
        <f t="shared" si="38"/>
        <v>Fiche infoC</v>
      </c>
      <c r="EE132" s="16" t="str">
        <f t="shared" si="40"/>
        <v>Fiche info</v>
      </c>
      <c r="EF132" s="16" t="str">
        <f t="shared" si="41"/>
        <v>C</v>
      </c>
      <c r="EG132" s="16">
        <f t="shared" si="42"/>
        <v>5</v>
      </c>
      <c r="EH132" s="16" t="str">
        <f t="shared" si="43"/>
        <v>Vendredi</v>
      </c>
      <c r="EI132" s="16" t="str">
        <f t="shared" si="44"/>
        <v/>
      </c>
      <c r="FB132" s="16" t="str">
        <f t="shared" si="47"/>
        <v/>
      </c>
      <c r="FC132" s="16" t="str">
        <f t="shared" si="48"/>
        <v/>
      </c>
      <c r="FD132" s="30">
        <f t="shared" si="39"/>
        <v>45017</v>
      </c>
      <c r="FE132" s="30" t="str">
        <f>+IFERROR(VLOOKUP(FD132,BDD,79,FALSE),"")</f>
        <v/>
      </c>
      <c r="FF132" s="30" t="str">
        <f>IFERROR(+VLOOKUP(FD132,BDD,80,FALSE),"")</f>
        <v/>
      </c>
      <c r="FG132" s="30" t="str">
        <f>+IFERROR(VLOOKUP(FD132,BDD,81,FALSE),"")</f>
        <v/>
      </c>
      <c r="FH132" s="30" t="str">
        <f>+IFERROR(VLOOKUP(FD132,BDD,82,FALSE),"")</f>
        <v/>
      </c>
      <c r="FW132" s="16" t="str">
        <f>Mai!GB25</f>
        <v>192025</v>
      </c>
      <c r="FX132" s="16">
        <f>Mai!GC25</f>
        <v>0</v>
      </c>
    </row>
    <row r="133" spans="1:180" x14ac:dyDescent="0.2">
      <c r="A133" s="16" t="str">
        <f t="shared" si="36"/>
        <v>Fiche infoC6</v>
      </c>
      <c r="B133" s="16" t="str">
        <f t="shared" si="37"/>
        <v>Fiche info</v>
      </c>
      <c r="C133" s="27" t="s">
        <v>241</v>
      </c>
      <c r="D133" s="27">
        <v>6</v>
      </c>
      <c r="E133" s="16" t="s">
        <v>193</v>
      </c>
      <c r="F133" s="34" t="str">
        <f>+IF('Fiche info'!$AG$12=0,"",'Fiche info'!$AG$12)</f>
        <v/>
      </c>
      <c r="G133" s="16">
        <f t="shared" si="45"/>
        <v>0</v>
      </c>
      <c r="BX133" s="16" t="str">
        <f t="shared" si="46"/>
        <v>Fiche infoC6</v>
      </c>
      <c r="BY133" s="449">
        <f>'Fiche info'!X12</f>
        <v>0</v>
      </c>
      <c r="BZ133" s="449">
        <f>'Fiche info'!Y12</f>
        <v>0</v>
      </c>
      <c r="CA133" s="449">
        <f>'Fiche info'!Z12</f>
        <v>0</v>
      </c>
      <c r="CB133" s="449">
        <f>'Fiche info'!AA12</f>
        <v>0</v>
      </c>
      <c r="CC133" s="449">
        <f>'Fiche info'!AB12</f>
        <v>0</v>
      </c>
      <c r="CD133" s="449">
        <f>'Fiche info'!AC12</f>
        <v>0</v>
      </c>
      <c r="CE133" s="449">
        <f>'Fiche info'!AD12</f>
        <v>0</v>
      </c>
      <c r="CF133" s="449">
        <f>'Fiche info'!AE12</f>
        <v>0</v>
      </c>
      <c r="ED133" s="16" t="str">
        <f t="shared" si="38"/>
        <v>Fiche infoC</v>
      </c>
      <c r="EE133" s="16" t="str">
        <f t="shared" si="40"/>
        <v>Fiche info</v>
      </c>
      <c r="EF133" s="16" t="str">
        <f t="shared" si="41"/>
        <v>C</v>
      </c>
      <c r="EG133" s="16">
        <f t="shared" si="42"/>
        <v>6</v>
      </c>
      <c r="EH133" s="16" t="str">
        <f t="shared" si="43"/>
        <v>Samedi</v>
      </c>
      <c r="EI133" s="16" t="str">
        <f t="shared" si="44"/>
        <v/>
      </c>
      <c r="FB133" s="16" t="str">
        <f t="shared" si="47"/>
        <v/>
      </c>
      <c r="FC133" s="16" t="str">
        <f t="shared" si="48"/>
        <v/>
      </c>
      <c r="FD133" s="30">
        <f t="shared" si="39"/>
        <v>45017</v>
      </c>
      <c r="FE133" s="30" t="str">
        <f>+IFERROR(VLOOKUP(FD133,BDD,83,FALSE),"")</f>
        <v/>
      </c>
      <c r="FF133" s="30" t="str">
        <f>+IFERROR(VLOOKUP(FD133,BDD,84,FALSE),"")</f>
        <v/>
      </c>
      <c r="FG133" s="30" t="str">
        <f>+IFERROR(VLOOKUP(FD133,BDD,85,FALSE),"")</f>
        <v/>
      </c>
      <c r="FH133" s="30" t="str">
        <f>+IFERROR(VLOOKUP(FD133,BDD,86,FALSE),"")</f>
        <v/>
      </c>
      <c r="FW133" s="16" t="str">
        <f>Mai!GB26</f>
        <v>192025</v>
      </c>
      <c r="FX133" s="16">
        <f>Mai!GC26</f>
        <v>0</v>
      </c>
    </row>
    <row r="134" spans="1:180" x14ac:dyDescent="0.2">
      <c r="A134" s="16" t="str">
        <f t="shared" si="36"/>
        <v>Fiche infoC7</v>
      </c>
      <c r="B134" s="16" t="str">
        <f t="shared" si="37"/>
        <v>Fiche info</v>
      </c>
      <c r="C134" s="27" t="s">
        <v>241</v>
      </c>
      <c r="D134" s="27">
        <v>7</v>
      </c>
      <c r="E134" s="16" t="s">
        <v>194</v>
      </c>
      <c r="F134" s="34" t="str">
        <f>+IF('Fiche info'!$AG$13=0,"",'Fiche info'!$AG$13)</f>
        <v/>
      </c>
      <c r="G134" s="16">
        <f t="shared" si="45"/>
        <v>0</v>
      </c>
      <c r="BX134" s="16" t="str">
        <f t="shared" si="46"/>
        <v>Fiche infoC7</v>
      </c>
      <c r="BY134" s="449">
        <f>'Fiche info'!X13</f>
        <v>0</v>
      </c>
      <c r="BZ134" s="449">
        <f>'Fiche info'!Y13</f>
        <v>0</v>
      </c>
      <c r="CA134" s="449">
        <f>'Fiche info'!Z13</f>
        <v>0</v>
      </c>
      <c r="CB134" s="449">
        <f>'Fiche info'!AA13</f>
        <v>0</v>
      </c>
      <c r="CC134" s="449">
        <f>'Fiche info'!AB13</f>
        <v>0</v>
      </c>
      <c r="CD134" s="449">
        <f>'Fiche info'!AC13</f>
        <v>0</v>
      </c>
      <c r="CE134" s="449">
        <f>'Fiche info'!AD13</f>
        <v>0</v>
      </c>
      <c r="CF134" s="449">
        <f>'Fiche info'!AE13</f>
        <v>0</v>
      </c>
      <c r="ED134" s="16" t="str">
        <f t="shared" si="38"/>
        <v>Fiche infoC</v>
      </c>
      <c r="EE134" s="16" t="str">
        <f t="shared" si="40"/>
        <v>Fiche info</v>
      </c>
      <c r="EF134" s="16" t="str">
        <f t="shared" si="41"/>
        <v>C</v>
      </c>
      <c r="EG134" s="16">
        <f t="shared" si="42"/>
        <v>7</v>
      </c>
      <c r="EH134" s="16" t="str">
        <f t="shared" si="43"/>
        <v>Dimanche</v>
      </c>
      <c r="EI134" s="16" t="str">
        <f t="shared" si="44"/>
        <v/>
      </c>
      <c r="FB134" s="16" t="str">
        <f t="shared" si="47"/>
        <v/>
      </c>
      <c r="FC134" s="16" t="str">
        <f t="shared" si="48"/>
        <v/>
      </c>
      <c r="FD134" s="30">
        <f t="shared" si="39"/>
        <v>44986</v>
      </c>
      <c r="FE134" s="30" t="str">
        <f>+IFERROR(VLOOKUP(FD134,BDD,71,FALSE),"")</f>
        <v/>
      </c>
      <c r="FF134" s="30" t="str">
        <f>IFERROR(+VLOOKUP(FD134,BDD,72,FALSE),"")</f>
        <v/>
      </c>
      <c r="FG134" s="30" t="str">
        <f>+IFERROR(VLOOKUP(FD134,BDD,73,FALSE),"")</f>
        <v/>
      </c>
      <c r="FH134" s="30" t="str">
        <f>+IFERROR(VLOOKUP(FD134,BDD,74,FALSE),"")</f>
        <v/>
      </c>
      <c r="FW134" s="16" t="str">
        <f>Mai!GB27</f>
        <v>192025</v>
      </c>
      <c r="FX134" s="16">
        <f>Mai!GC27</f>
        <v>0</v>
      </c>
    </row>
    <row r="135" spans="1:180" x14ac:dyDescent="0.2">
      <c r="A135" s="16" t="str">
        <f t="shared" si="36"/>
        <v>Fiche infoD1</v>
      </c>
      <c r="B135" s="16" t="str">
        <f t="shared" si="37"/>
        <v>Fiche info</v>
      </c>
      <c r="C135" s="27" t="s">
        <v>242</v>
      </c>
      <c r="D135" s="27">
        <v>1</v>
      </c>
      <c r="E135" s="16" t="s">
        <v>17</v>
      </c>
      <c r="F135" s="34" t="str">
        <f>+IF('Fiche info'!$AR$7=0,"",'Fiche info'!$AR$7)</f>
        <v/>
      </c>
      <c r="G135" s="16">
        <f t="shared" si="45"/>
        <v>0</v>
      </c>
      <c r="BX135" s="16" t="str">
        <f t="shared" si="46"/>
        <v>Fiche infoD1</v>
      </c>
      <c r="BY135" s="449">
        <f>'Fiche info'!AI7</f>
        <v>0</v>
      </c>
      <c r="BZ135" s="449">
        <f>'Fiche info'!AJ7</f>
        <v>0</v>
      </c>
      <c r="CA135" s="449">
        <f>'Fiche info'!AK7</f>
        <v>0</v>
      </c>
      <c r="CB135" s="449">
        <f>'Fiche info'!AL7</f>
        <v>0</v>
      </c>
      <c r="CC135" s="449">
        <f>'Fiche info'!AM7</f>
        <v>0</v>
      </c>
      <c r="CD135" s="449">
        <f>'Fiche info'!AN7</f>
        <v>0</v>
      </c>
      <c r="CE135" s="449">
        <f>'Fiche info'!AO7</f>
        <v>0</v>
      </c>
      <c r="CF135" s="449">
        <f>'Fiche info'!AP7</f>
        <v>0</v>
      </c>
      <c r="ED135" s="16" t="str">
        <f t="shared" si="38"/>
        <v>Fiche infoD</v>
      </c>
      <c r="EE135" s="16" t="str">
        <f t="shared" si="40"/>
        <v>Fiche info</v>
      </c>
      <c r="EF135" s="16" t="str">
        <f t="shared" si="41"/>
        <v>D</v>
      </c>
      <c r="EG135" s="16">
        <f t="shared" si="42"/>
        <v>1</v>
      </c>
      <c r="EH135" s="16" t="str">
        <f t="shared" si="43"/>
        <v>Lundi</v>
      </c>
      <c r="EI135" s="16" t="str">
        <f t="shared" si="44"/>
        <v/>
      </c>
      <c r="FB135" s="16" t="str">
        <f t="shared" si="47"/>
        <v/>
      </c>
      <c r="FC135" s="16" t="str">
        <f t="shared" si="48"/>
        <v/>
      </c>
      <c r="FD135" s="30">
        <f t="shared" si="39"/>
        <v>44986</v>
      </c>
      <c r="FE135" s="30" t="str">
        <f>+IFERROR(VLOOKUP(FD135,BDD,75,FALSE),"")</f>
        <v/>
      </c>
      <c r="FF135" s="30" t="str">
        <f>+IFERROR(VLOOKUP(FD135,BDD,76,FALSE),"")</f>
        <v/>
      </c>
      <c r="FG135" s="30" t="str">
        <f>IFERROR(+VLOOKUP(FD135,BDD,77,FALSE),"")</f>
        <v/>
      </c>
      <c r="FH135" s="30" t="str">
        <f>+IFERROR(VLOOKUP(FD135,BDD,78,FALSE),"")</f>
        <v/>
      </c>
      <c r="FW135" s="16" t="str">
        <f>Mai!GB28</f>
        <v>192025</v>
      </c>
      <c r="FX135" s="16">
        <f>Mai!GC28</f>
        <v>0</v>
      </c>
    </row>
    <row r="136" spans="1:180" x14ac:dyDescent="0.2">
      <c r="A136" s="16" t="str">
        <f t="shared" si="36"/>
        <v>Fiche infoD2</v>
      </c>
      <c r="B136" s="16" t="str">
        <f t="shared" si="37"/>
        <v>Fiche info</v>
      </c>
      <c r="C136" s="27" t="s">
        <v>242</v>
      </c>
      <c r="D136" s="27">
        <v>2</v>
      </c>
      <c r="E136" s="16" t="s">
        <v>18</v>
      </c>
      <c r="F136" s="34" t="str">
        <f>IF(+'Fiche info'!$AR$8=0,"",'Fiche info'!$AR$8)</f>
        <v/>
      </c>
      <c r="G136" s="16">
        <f t="shared" si="45"/>
        <v>0</v>
      </c>
      <c r="BX136" s="16" t="str">
        <f t="shared" si="46"/>
        <v>Fiche infoD2</v>
      </c>
      <c r="BY136" s="449">
        <f>'Fiche info'!AI8</f>
        <v>0</v>
      </c>
      <c r="BZ136" s="449">
        <f>'Fiche info'!AJ8</f>
        <v>0</v>
      </c>
      <c r="CA136" s="449">
        <f>'Fiche info'!AK8</f>
        <v>0</v>
      </c>
      <c r="CB136" s="449">
        <f>'Fiche info'!AL8</f>
        <v>0</v>
      </c>
      <c r="CC136" s="449">
        <f>'Fiche info'!AM8</f>
        <v>0</v>
      </c>
      <c r="CD136" s="449">
        <f>'Fiche info'!AN8</f>
        <v>0</v>
      </c>
      <c r="CE136" s="449">
        <f>'Fiche info'!AO8</f>
        <v>0</v>
      </c>
      <c r="CF136" s="449">
        <f>'Fiche info'!AP8</f>
        <v>0</v>
      </c>
      <c r="ED136" s="16" t="str">
        <f t="shared" si="38"/>
        <v>Fiche infoD</v>
      </c>
      <c r="EE136" s="16" t="str">
        <f t="shared" si="40"/>
        <v>Fiche info</v>
      </c>
      <c r="EF136" s="16" t="str">
        <f t="shared" si="41"/>
        <v>D</v>
      </c>
      <c r="EG136" s="16">
        <f t="shared" si="42"/>
        <v>2</v>
      </c>
      <c r="EH136" s="16" t="str">
        <f t="shared" si="43"/>
        <v>Mardi</v>
      </c>
      <c r="EI136" s="16" t="str">
        <f t="shared" si="44"/>
        <v/>
      </c>
      <c r="FB136" s="16" t="str">
        <f t="shared" si="47"/>
        <v/>
      </c>
      <c r="FC136" s="16" t="str">
        <f t="shared" si="48"/>
        <v/>
      </c>
      <c r="FD136" s="30">
        <f t="shared" si="39"/>
        <v>44986</v>
      </c>
      <c r="FE136" s="30" t="str">
        <f>+IFERROR(VLOOKUP(FD136,BDD,79,FALSE),"")</f>
        <v/>
      </c>
      <c r="FF136" s="30" t="str">
        <f>IFERROR(+VLOOKUP(FD136,BDD,80,FALSE),"")</f>
        <v/>
      </c>
      <c r="FG136" s="30" t="str">
        <f>+IFERROR(VLOOKUP(FD136,BDD,81,FALSE),"")</f>
        <v/>
      </c>
      <c r="FH136" s="30" t="str">
        <f>+IFERROR(VLOOKUP(FD136,BDD,82,FALSE),"")</f>
        <v/>
      </c>
      <c r="FW136" s="16" t="str">
        <f>Mai!GB29</f>
        <v>192025</v>
      </c>
      <c r="FX136" s="16">
        <f>Mai!GC29</f>
        <v>0</v>
      </c>
    </row>
    <row r="137" spans="1:180" x14ac:dyDescent="0.2">
      <c r="A137" s="16" t="str">
        <f t="shared" si="36"/>
        <v>Fiche infoD3</v>
      </c>
      <c r="B137" s="16" t="str">
        <f t="shared" si="37"/>
        <v>Fiche info</v>
      </c>
      <c r="C137" s="27" t="s">
        <v>242</v>
      </c>
      <c r="D137" s="27">
        <v>3</v>
      </c>
      <c r="E137" s="16" t="s">
        <v>19</v>
      </c>
      <c r="F137" s="34" t="str">
        <f>IF(+'Fiche info'!$AR$9=0,"",'Fiche info'!$AR$9)</f>
        <v/>
      </c>
      <c r="G137" s="16">
        <f t="shared" si="45"/>
        <v>0</v>
      </c>
      <c r="BX137" s="16" t="str">
        <f t="shared" si="46"/>
        <v>Fiche infoD3</v>
      </c>
      <c r="BY137" s="449">
        <f>'Fiche info'!AI9</f>
        <v>0</v>
      </c>
      <c r="BZ137" s="449">
        <f>'Fiche info'!AJ9</f>
        <v>0</v>
      </c>
      <c r="CA137" s="449">
        <f>'Fiche info'!AK9</f>
        <v>0</v>
      </c>
      <c r="CB137" s="449">
        <f>'Fiche info'!AL9</f>
        <v>0</v>
      </c>
      <c r="CC137" s="449">
        <f>'Fiche info'!AM9</f>
        <v>0</v>
      </c>
      <c r="CD137" s="449">
        <f>'Fiche info'!AN9</f>
        <v>0</v>
      </c>
      <c r="CE137" s="449">
        <f>'Fiche info'!AO9</f>
        <v>0</v>
      </c>
      <c r="CF137" s="449">
        <f>'Fiche info'!AP9</f>
        <v>0</v>
      </c>
      <c r="ED137" s="16" t="str">
        <f t="shared" si="38"/>
        <v>Fiche infoD</v>
      </c>
      <c r="EE137" s="16" t="str">
        <f t="shared" si="40"/>
        <v>Fiche info</v>
      </c>
      <c r="EF137" s="16" t="str">
        <f t="shared" si="41"/>
        <v>D</v>
      </c>
      <c r="EG137" s="16">
        <f t="shared" si="42"/>
        <v>3</v>
      </c>
      <c r="EH137" s="16" t="str">
        <f t="shared" si="43"/>
        <v>Mercredi</v>
      </c>
      <c r="EI137" s="16" t="str">
        <f t="shared" si="44"/>
        <v/>
      </c>
      <c r="FB137" s="16" t="str">
        <f t="shared" si="47"/>
        <v/>
      </c>
      <c r="FC137" s="16" t="str">
        <f t="shared" si="48"/>
        <v/>
      </c>
      <c r="FD137" s="30">
        <f t="shared" si="39"/>
        <v>44986</v>
      </c>
      <c r="FE137" s="30" t="str">
        <f>+IFERROR(VLOOKUP(FD137,BDD,83,FALSE),"")</f>
        <v/>
      </c>
      <c r="FF137" s="30" t="str">
        <f>+IFERROR(VLOOKUP(FD137,BDD,84,FALSE),"")</f>
        <v/>
      </c>
      <c r="FG137" s="30" t="str">
        <f>+IFERROR(VLOOKUP(FD137,BDD,85,FALSE),"")</f>
        <v/>
      </c>
      <c r="FH137" s="30" t="str">
        <f>+IFERROR(VLOOKUP(FD137,BDD,86,FALSE),"")</f>
        <v/>
      </c>
      <c r="FW137" s="16" t="str">
        <f>Mai!GB30</f>
        <v>192025</v>
      </c>
      <c r="FX137" s="16">
        <f>Mai!GC30</f>
        <v>0</v>
      </c>
    </row>
    <row r="138" spans="1:180" x14ac:dyDescent="0.2">
      <c r="A138" s="16" t="str">
        <f t="shared" si="36"/>
        <v>Fiche infoD4</v>
      </c>
      <c r="B138" s="16" t="str">
        <f t="shared" si="37"/>
        <v>Fiche info</v>
      </c>
      <c r="C138" s="27" t="s">
        <v>242</v>
      </c>
      <c r="D138" s="27">
        <v>4</v>
      </c>
      <c r="E138" s="16" t="s">
        <v>20</v>
      </c>
      <c r="F138" s="34" t="str">
        <f>IF(+'Fiche info'!$AR$10=0,"",'Fiche info'!$AR$10)</f>
        <v/>
      </c>
      <c r="G138" s="16">
        <f t="shared" si="45"/>
        <v>0</v>
      </c>
      <c r="BX138" s="16" t="str">
        <f t="shared" si="46"/>
        <v>Fiche infoD4</v>
      </c>
      <c r="BY138" s="449">
        <f>'Fiche info'!AI10</f>
        <v>0</v>
      </c>
      <c r="BZ138" s="449">
        <f>'Fiche info'!AJ10</f>
        <v>0</v>
      </c>
      <c r="CA138" s="449">
        <f>'Fiche info'!AK10</f>
        <v>0</v>
      </c>
      <c r="CB138" s="449">
        <f>'Fiche info'!AL10</f>
        <v>0</v>
      </c>
      <c r="CC138" s="449">
        <f>'Fiche info'!AM10</f>
        <v>0</v>
      </c>
      <c r="CD138" s="449">
        <f>'Fiche info'!AN10</f>
        <v>0</v>
      </c>
      <c r="CE138" s="449">
        <f>'Fiche info'!AO10</f>
        <v>0</v>
      </c>
      <c r="CF138" s="449">
        <f>'Fiche info'!AP10</f>
        <v>0</v>
      </c>
      <c r="ED138" s="16" t="str">
        <f t="shared" si="38"/>
        <v>Fiche infoD</v>
      </c>
      <c r="EE138" s="16" t="str">
        <f t="shared" si="40"/>
        <v>Fiche info</v>
      </c>
      <c r="EF138" s="16" t="str">
        <f t="shared" si="41"/>
        <v>D</v>
      </c>
      <c r="EG138" s="16">
        <f t="shared" si="42"/>
        <v>4</v>
      </c>
      <c r="EH138" s="16" t="str">
        <f t="shared" si="43"/>
        <v>Jeudi</v>
      </c>
      <c r="EI138" s="16" t="str">
        <f t="shared" si="44"/>
        <v/>
      </c>
      <c r="FB138" s="16" t="str">
        <f t="shared" si="47"/>
        <v/>
      </c>
      <c r="FC138" s="16" t="str">
        <f t="shared" si="48"/>
        <v/>
      </c>
      <c r="FD138" s="30">
        <f t="shared" si="39"/>
        <v>44958</v>
      </c>
      <c r="FE138" s="30" t="str">
        <f>+IFERROR(VLOOKUP(FD138,BDD,71,FALSE),"")</f>
        <v/>
      </c>
      <c r="FF138" s="30" t="str">
        <f>IFERROR(+VLOOKUP(FD138,BDD,72,FALSE),"")</f>
        <v/>
      </c>
      <c r="FG138" s="30" t="str">
        <f>+IFERROR(VLOOKUP(FD138,BDD,73,FALSE),"")</f>
        <v/>
      </c>
      <c r="FH138" s="30" t="str">
        <f>+IFERROR(VLOOKUP(FD138,BDD,74,FALSE),"")</f>
        <v/>
      </c>
      <c r="FW138" s="16" t="str">
        <f>Mai!GB31</f>
        <v>202025</v>
      </c>
      <c r="FX138" s="16">
        <f>Mai!GC31</f>
        <v>0</v>
      </c>
    </row>
    <row r="139" spans="1:180" x14ac:dyDescent="0.2">
      <c r="A139" s="16" t="str">
        <f t="shared" si="36"/>
        <v>Fiche infoD5</v>
      </c>
      <c r="B139" s="16" t="str">
        <f t="shared" si="37"/>
        <v>Fiche info</v>
      </c>
      <c r="C139" s="27" t="s">
        <v>242</v>
      </c>
      <c r="D139" s="27">
        <v>5</v>
      </c>
      <c r="E139" s="16" t="s">
        <v>21</v>
      </c>
      <c r="F139" s="34" t="str">
        <f>IF(+'Fiche info'!$AR$11=0,"",'Fiche info'!$AR$11)</f>
        <v/>
      </c>
      <c r="G139" s="16">
        <f t="shared" si="45"/>
        <v>0</v>
      </c>
      <c r="BX139" s="16" t="str">
        <f t="shared" si="46"/>
        <v>Fiche infoD5</v>
      </c>
      <c r="BY139" s="449">
        <f>'Fiche info'!AI11</f>
        <v>0</v>
      </c>
      <c r="BZ139" s="449">
        <f>'Fiche info'!AJ11</f>
        <v>0</v>
      </c>
      <c r="CA139" s="449">
        <f>'Fiche info'!AK11</f>
        <v>0</v>
      </c>
      <c r="CB139" s="449">
        <f>'Fiche info'!AL11</f>
        <v>0</v>
      </c>
      <c r="CC139" s="449">
        <f>'Fiche info'!AM11</f>
        <v>0</v>
      </c>
      <c r="CD139" s="449">
        <f>'Fiche info'!AN11</f>
        <v>0</v>
      </c>
      <c r="CE139" s="449">
        <f>'Fiche info'!AO11</f>
        <v>0</v>
      </c>
      <c r="CF139" s="449">
        <f>'Fiche info'!AP11</f>
        <v>0</v>
      </c>
      <c r="ED139" s="16" t="str">
        <f t="shared" si="38"/>
        <v>Fiche infoD</v>
      </c>
      <c r="EE139" s="16" t="str">
        <f t="shared" si="40"/>
        <v>Fiche info</v>
      </c>
      <c r="EF139" s="16" t="str">
        <f t="shared" si="41"/>
        <v>D</v>
      </c>
      <c r="EG139" s="16">
        <f t="shared" si="42"/>
        <v>5</v>
      </c>
      <c r="EH139" s="16" t="str">
        <f t="shared" si="43"/>
        <v>Vendredi</v>
      </c>
      <c r="EI139" s="16" t="str">
        <f t="shared" si="44"/>
        <v/>
      </c>
      <c r="FB139" s="16" t="str">
        <f t="shared" si="47"/>
        <v/>
      </c>
      <c r="FC139" s="16" t="str">
        <f t="shared" si="48"/>
        <v/>
      </c>
      <c r="FD139" s="30">
        <f t="shared" si="39"/>
        <v>44958</v>
      </c>
      <c r="FE139" s="30" t="str">
        <f>+IFERROR(VLOOKUP(FD139,BDD,75,FALSE),"")</f>
        <v/>
      </c>
      <c r="FF139" s="30" t="str">
        <f>+IFERROR(VLOOKUP(FD139,BDD,76,FALSE),"")</f>
        <v/>
      </c>
      <c r="FG139" s="30" t="str">
        <f>IFERROR(+VLOOKUP(FD139,BDD,77,FALSE),"")</f>
        <v/>
      </c>
      <c r="FH139" s="30" t="str">
        <f>+IFERROR(VLOOKUP(FD139,BDD,78,FALSE),"")</f>
        <v/>
      </c>
      <c r="FW139" s="16" t="str">
        <f>Mai!GB32</f>
        <v>202025</v>
      </c>
      <c r="FX139" s="16">
        <f>Mai!GC32</f>
        <v>0</v>
      </c>
    </row>
    <row r="140" spans="1:180" x14ac:dyDescent="0.2">
      <c r="A140" s="16" t="str">
        <f t="shared" si="36"/>
        <v>Fiche infoD6</v>
      </c>
      <c r="B140" s="16" t="str">
        <f t="shared" si="37"/>
        <v>Fiche info</v>
      </c>
      <c r="C140" s="27" t="s">
        <v>242</v>
      </c>
      <c r="D140" s="27">
        <v>6</v>
      </c>
      <c r="E140" s="16" t="s">
        <v>193</v>
      </c>
      <c r="F140" s="34" t="str">
        <f>IF(+'Fiche info'!$AR$12=0,"",'Fiche info'!$AR$12)</f>
        <v/>
      </c>
      <c r="G140" s="16">
        <f t="shared" si="45"/>
        <v>0</v>
      </c>
      <c r="BX140" s="16" t="str">
        <f t="shared" si="46"/>
        <v>Fiche infoD6</v>
      </c>
      <c r="BY140" s="449">
        <f>'Fiche info'!AI12</f>
        <v>0</v>
      </c>
      <c r="BZ140" s="449">
        <f>'Fiche info'!AJ12</f>
        <v>0</v>
      </c>
      <c r="CA140" s="449">
        <f>'Fiche info'!AK12</f>
        <v>0</v>
      </c>
      <c r="CB140" s="449">
        <f>'Fiche info'!AL12</f>
        <v>0</v>
      </c>
      <c r="CC140" s="449">
        <f>'Fiche info'!AM12</f>
        <v>0</v>
      </c>
      <c r="CD140" s="449">
        <f>'Fiche info'!AN12</f>
        <v>0</v>
      </c>
      <c r="CE140" s="449">
        <f>'Fiche info'!AO12</f>
        <v>0</v>
      </c>
      <c r="CF140" s="449">
        <f>'Fiche info'!AP12</f>
        <v>0</v>
      </c>
      <c r="ED140" s="16" t="str">
        <f t="shared" si="38"/>
        <v>Fiche infoD</v>
      </c>
      <c r="EE140" s="16" t="str">
        <f t="shared" si="40"/>
        <v>Fiche info</v>
      </c>
      <c r="EF140" s="16" t="str">
        <f t="shared" si="41"/>
        <v>D</v>
      </c>
      <c r="EG140" s="16">
        <f t="shared" si="42"/>
        <v>6</v>
      </c>
      <c r="EH140" s="16" t="str">
        <f t="shared" si="43"/>
        <v>Samedi</v>
      </c>
      <c r="EI140" s="16" t="str">
        <f t="shared" si="44"/>
        <v/>
      </c>
      <c r="FB140" s="16" t="str">
        <f t="shared" si="47"/>
        <v/>
      </c>
      <c r="FC140" s="16" t="str">
        <f t="shared" si="48"/>
        <v/>
      </c>
      <c r="FD140" s="30">
        <f t="shared" si="39"/>
        <v>44958</v>
      </c>
      <c r="FE140" s="30" t="str">
        <f>+IFERROR(VLOOKUP(FD140,BDD,79,FALSE),"")</f>
        <v/>
      </c>
      <c r="FF140" s="30" t="str">
        <f>IFERROR(+VLOOKUP(FD140,BDD,80,FALSE),"")</f>
        <v/>
      </c>
      <c r="FG140" s="30" t="str">
        <f>+IFERROR(VLOOKUP(FD140,BDD,81,FALSE),"")</f>
        <v/>
      </c>
      <c r="FH140" s="30" t="str">
        <f>+IFERROR(VLOOKUP(FD140,BDD,82,FALSE),"")</f>
        <v/>
      </c>
      <c r="FW140" s="16" t="str">
        <f>Mai!GB33</f>
        <v>202025</v>
      </c>
      <c r="FX140" s="16">
        <f>Mai!GC33</f>
        <v>0</v>
      </c>
    </row>
    <row r="141" spans="1:180" x14ac:dyDescent="0.2">
      <c r="A141" s="16" t="str">
        <f t="shared" si="36"/>
        <v>Fiche infoD7</v>
      </c>
      <c r="B141" s="16" t="str">
        <f t="shared" si="37"/>
        <v>Fiche info</v>
      </c>
      <c r="C141" s="27" t="s">
        <v>242</v>
      </c>
      <c r="D141" s="27">
        <v>7</v>
      </c>
      <c r="E141" s="16" t="s">
        <v>194</v>
      </c>
      <c r="F141" s="34" t="str">
        <f>IF(+'Fiche info'!$AR$13=0,"",'Fiche info'!$AR$13)</f>
        <v/>
      </c>
      <c r="G141" s="16">
        <f t="shared" si="45"/>
        <v>0</v>
      </c>
      <c r="BX141" s="16" t="str">
        <f t="shared" si="46"/>
        <v>Fiche infoD7</v>
      </c>
      <c r="BY141" s="449">
        <f>'Fiche info'!AI13</f>
        <v>0</v>
      </c>
      <c r="BZ141" s="449">
        <f>'Fiche info'!AJ13</f>
        <v>0</v>
      </c>
      <c r="CA141" s="449">
        <f>'Fiche info'!AK13</f>
        <v>0</v>
      </c>
      <c r="CB141" s="449">
        <f>'Fiche info'!AL13</f>
        <v>0</v>
      </c>
      <c r="CC141" s="449">
        <f>'Fiche info'!AM13</f>
        <v>0</v>
      </c>
      <c r="CD141" s="449">
        <f>'Fiche info'!AN13</f>
        <v>0</v>
      </c>
      <c r="CE141" s="449">
        <f>'Fiche info'!AO13</f>
        <v>0</v>
      </c>
      <c r="CF141" s="449">
        <f>'Fiche info'!AP13</f>
        <v>0</v>
      </c>
      <c r="ED141" s="16" t="str">
        <f t="shared" si="38"/>
        <v>Fiche infoD</v>
      </c>
      <c r="EE141" s="16" t="str">
        <f t="shared" si="40"/>
        <v>Fiche info</v>
      </c>
      <c r="EF141" s="16" t="str">
        <f t="shared" si="41"/>
        <v>D</v>
      </c>
      <c r="EG141" s="16">
        <f t="shared" si="42"/>
        <v>7</v>
      </c>
      <c r="EH141" s="16" t="str">
        <f t="shared" si="43"/>
        <v>Dimanche</v>
      </c>
      <c r="EI141" s="16" t="str">
        <f t="shared" si="44"/>
        <v/>
      </c>
      <c r="FB141" s="16" t="str">
        <f t="shared" si="47"/>
        <v/>
      </c>
      <c r="FC141" s="16" t="str">
        <f t="shared" si="48"/>
        <v/>
      </c>
      <c r="FD141" s="30">
        <f t="shared" si="39"/>
        <v>44958</v>
      </c>
      <c r="FE141" s="30" t="str">
        <f>+IFERROR(VLOOKUP(FD141,BDD,83,FALSE),"")</f>
        <v/>
      </c>
      <c r="FF141" s="30" t="str">
        <f>+IFERROR(VLOOKUP(FD141,BDD,84,FALSE),"")</f>
        <v/>
      </c>
      <c r="FG141" s="30" t="str">
        <f>+IFERROR(VLOOKUP(FD141,BDD,85,FALSE),"")</f>
        <v/>
      </c>
      <c r="FH141" s="30" t="str">
        <f>+IFERROR(VLOOKUP(FD141,BDD,86,FALSE),"")</f>
        <v/>
      </c>
      <c r="FW141" s="16" t="str">
        <f>Mai!GB34</f>
        <v>202025</v>
      </c>
      <c r="FX141" s="16">
        <f>Mai!GC34</f>
        <v>0</v>
      </c>
    </row>
    <row r="142" spans="1:180" x14ac:dyDescent="0.2">
      <c r="A142" s="16" t="str">
        <f t="shared" si="36"/>
        <v>Fiche infoE1</v>
      </c>
      <c r="B142" s="16" t="str">
        <f t="shared" si="37"/>
        <v>Fiche info</v>
      </c>
      <c r="C142" s="27" t="s">
        <v>243</v>
      </c>
      <c r="D142" s="27">
        <v>1</v>
      </c>
      <c r="E142" s="16" t="s">
        <v>17</v>
      </c>
      <c r="F142" s="34" t="str">
        <f>IF(+'Fiche info'!$BC$7=0,"",'Fiche info'!$BC$7)</f>
        <v/>
      </c>
      <c r="G142" s="16">
        <f t="shared" si="45"/>
        <v>0</v>
      </c>
      <c r="BX142" s="16" t="str">
        <f t="shared" si="46"/>
        <v>Fiche infoE1</v>
      </c>
      <c r="BY142" s="449">
        <f>'Fiche info'!AT7</f>
        <v>0</v>
      </c>
      <c r="BZ142" s="449">
        <f>'Fiche info'!AU7</f>
        <v>0</v>
      </c>
      <c r="CA142" s="449">
        <f>'Fiche info'!AV7</f>
        <v>0</v>
      </c>
      <c r="CB142" s="449">
        <f>'Fiche info'!AW7</f>
        <v>0</v>
      </c>
      <c r="CC142" s="449">
        <f>'Fiche info'!AX7</f>
        <v>0</v>
      </c>
      <c r="CD142" s="449">
        <f>'Fiche info'!AY7</f>
        <v>0</v>
      </c>
      <c r="CE142" s="449">
        <f>'Fiche info'!AZ7</f>
        <v>0</v>
      </c>
      <c r="CF142" s="449">
        <f>'Fiche info'!BA7</f>
        <v>0</v>
      </c>
      <c r="ED142" s="16" t="str">
        <f t="shared" si="38"/>
        <v>Fiche infoE</v>
      </c>
      <c r="EE142" s="16" t="str">
        <f t="shared" si="40"/>
        <v>Fiche info</v>
      </c>
      <c r="EF142" s="16" t="str">
        <f t="shared" si="41"/>
        <v>E</v>
      </c>
      <c r="EG142" s="16">
        <f t="shared" si="42"/>
        <v>1</v>
      </c>
      <c r="EH142" s="16" t="str">
        <f t="shared" si="43"/>
        <v>Lundi</v>
      </c>
      <c r="EI142" s="16" t="str">
        <f t="shared" si="44"/>
        <v/>
      </c>
      <c r="FB142" s="16" t="str">
        <f t="shared" si="47"/>
        <v/>
      </c>
      <c r="FC142" s="16" t="str">
        <f t="shared" si="48"/>
        <v/>
      </c>
      <c r="FD142" s="30">
        <f t="shared" si="39"/>
        <v>44927</v>
      </c>
      <c r="FE142" s="30" t="str">
        <f>+IFERROR(VLOOKUP(FD142,BDD,71,FALSE),"")</f>
        <v/>
      </c>
      <c r="FF142" s="30" t="str">
        <f>IFERROR(+VLOOKUP(FD142,BDD,72,FALSE),"")</f>
        <v/>
      </c>
      <c r="FG142" s="30" t="str">
        <f>+IFERROR(VLOOKUP(FD142,BDD,73,FALSE),"")</f>
        <v/>
      </c>
      <c r="FH142" s="30" t="str">
        <f>+IFERROR(VLOOKUP(FD142,BDD,74,FALSE),"")</f>
        <v/>
      </c>
      <c r="FW142" s="16" t="str">
        <f>Mai!GB35</f>
        <v>202025</v>
      </c>
      <c r="FX142" s="16">
        <f>Mai!GC35</f>
        <v>0</v>
      </c>
    </row>
    <row r="143" spans="1:180" x14ac:dyDescent="0.2">
      <c r="A143" s="16" t="str">
        <f t="shared" si="36"/>
        <v>Fiche infoE2</v>
      </c>
      <c r="B143" s="16" t="str">
        <f t="shared" si="37"/>
        <v>Fiche info</v>
      </c>
      <c r="C143" s="27" t="s">
        <v>243</v>
      </c>
      <c r="D143" s="27">
        <v>2</v>
      </c>
      <c r="E143" s="16" t="s">
        <v>18</v>
      </c>
      <c r="F143" s="34" t="str">
        <f>IF(+'Fiche info'!$BC$8=0,"",'Fiche info'!$BC$8)</f>
        <v/>
      </c>
      <c r="G143" s="16">
        <f t="shared" si="45"/>
        <v>0</v>
      </c>
      <c r="BX143" s="16" t="str">
        <f t="shared" si="46"/>
        <v>Fiche infoE2</v>
      </c>
      <c r="BY143" s="449">
        <f>'Fiche info'!AT8</f>
        <v>0</v>
      </c>
      <c r="BZ143" s="449">
        <f>'Fiche info'!AU8</f>
        <v>0</v>
      </c>
      <c r="CA143" s="449">
        <f>'Fiche info'!AV8</f>
        <v>0</v>
      </c>
      <c r="CB143" s="449">
        <f>'Fiche info'!AW8</f>
        <v>0</v>
      </c>
      <c r="CC143" s="449">
        <f>'Fiche info'!AX8</f>
        <v>0</v>
      </c>
      <c r="CD143" s="449">
        <f>'Fiche info'!AY8</f>
        <v>0</v>
      </c>
      <c r="CE143" s="449">
        <f>'Fiche info'!AZ8</f>
        <v>0</v>
      </c>
      <c r="CF143" s="449">
        <f>'Fiche info'!BA8</f>
        <v>0</v>
      </c>
      <c r="ED143" s="16" t="str">
        <f t="shared" si="38"/>
        <v>Fiche infoE</v>
      </c>
      <c r="EE143" s="16" t="str">
        <f t="shared" si="40"/>
        <v>Fiche info</v>
      </c>
      <c r="EF143" s="16" t="str">
        <f t="shared" si="41"/>
        <v>E</v>
      </c>
      <c r="EG143" s="16">
        <f t="shared" si="42"/>
        <v>2</v>
      </c>
      <c r="EH143" s="16" t="str">
        <f t="shared" si="43"/>
        <v>Mardi</v>
      </c>
      <c r="EI143" s="16" t="str">
        <f t="shared" si="44"/>
        <v/>
      </c>
      <c r="FB143" s="16" t="str">
        <f t="shared" si="47"/>
        <v/>
      </c>
      <c r="FC143" s="16" t="str">
        <f t="shared" si="48"/>
        <v/>
      </c>
      <c r="FD143" s="30">
        <f t="shared" si="39"/>
        <v>44927</v>
      </c>
      <c r="FE143" s="30" t="str">
        <f>+IFERROR(VLOOKUP(FD143,BDD,75,FALSE),"")</f>
        <v/>
      </c>
      <c r="FF143" s="30" t="str">
        <f>+IFERROR(VLOOKUP(FD143,BDD,76,FALSE),"")</f>
        <v/>
      </c>
      <c r="FG143" s="30" t="str">
        <f>IFERROR(+VLOOKUP(FD143,BDD,77,FALSE),"")</f>
        <v/>
      </c>
      <c r="FH143" s="30" t="str">
        <f>+IFERROR(VLOOKUP(FD143,BDD,78,FALSE),"")</f>
        <v/>
      </c>
      <c r="FW143" s="16" t="str">
        <f>Mai!GB36</f>
        <v>202025</v>
      </c>
      <c r="FX143" s="16">
        <f>Mai!GC36</f>
        <v>0</v>
      </c>
    </row>
    <row r="144" spans="1:180" x14ac:dyDescent="0.2">
      <c r="A144" s="16" t="str">
        <f t="shared" si="36"/>
        <v>Fiche infoE3</v>
      </c>
      <c r="B144" s="16" t="str">
        <f t="shared" si="37"/>
        <v>Fiche info</v>
      </c>
      <c r="C144" s="27" t="s">
        <v>243</v>
      </c>
      <c r="D144" s="27">
        <v>3</v>
      </c>
      <c r="E144" s="16" t="s">
        <v>19</v>
      </c>
      <c r="F144" s="34" t="str">
        <f>IF(+'Fiche info'!$BC$9=0,"",'Fiche info'!$BC$9)</f>
        <v/>
      </c>
      <c r="G144" s="16">
        <f t="shared" si="45"/>
        <v>0</v>
      </c>
      <c r="BX144" s="16" t="str">
        <f t="shared" si="46"/>
        <v>Fiche infoE3</v>
      </c>
      <c r="BY144" s="449">
        <f>'Fiche info'!AT9</f>
        <v>0</v>
      </c>
      <c r="BZ144" s="449">
        <f>'Fiche info'!AU9</f>
        <v>0</v>
      </c>
      <c r="CA144" s="449">
        <f>'Fiche info'!AV9</f>
        <v>0</v>
      </c>
      <c r="CB144" s="449">
        <f>'Fiche info'!AW9</f>
        <v>0</v>
      </c>
      <c r="CC144" s="449">
        <f>'Fiche info'!AX9</f>
        <v>0</v>
      </c>
      <c r="CD144" s="449">
        <f>'Fiche info'!AY9</f>
        <v>0</v>
      </c>
      <c r="CE144" s="449">
        <f>'Fiche info'!AZ9</f>
        <v>0</v>
      </c>
      <c r="CF144" s="449">
        <f>'Fiche info'!BA9</f>
        <v>0</v>
      </c>
      <c r="ED144" s="16" t="str">
        <f t="shared" si="38"/>
        <v>Fiche infoE</v>
      </c>
      <c r="EE144" s="16" t="str">
        <f t="shared" si="40"/>
        <v>Fiche info</v>
      </c>
      <c r="EF144" s="16" t="str">
        <f t="shared" si="41"/>
        <v>E</v>
      </c>
      <c r="EG144" s="16">
        <f t="shared" si="42"/>
        <v>3</v>
      </c>
      <c r="EH144" s="16" t="str">
        <f t="shared" si="43"/>
        <v>Mercredi</v>
      </c>
      <c r="EI144" s="16" t="str">
        <f t="shared" si="44"/>
        <v/>
      </c>
      <c r="FB144" s="16" t="str">
        <f t="shared" si="47"/>
        <v/>
      </c>
      <c r="FC144" s="16" t="str">
        <f t="shared" si="48"/>
        <v/>
      </c>
      <c r="FD144" s="30">
        <f t="shared" si="39"/>
        <v>44927</v>
      </c>
      <c r="FE144" s="30" t="str">
        <f>+IFERROR(VLOOKUP(FD144,BDD,79,FALSE),"")</f>
        <v/>
      </c>
      <c r="FF144" s="30" t="str">
        <f>IFERROR(+VLOOKUP(FD144,BDD,80,FALSE),"")</f>
        <v/>
      </c>
      <c r="FG144" s="30" t="str">
        <f>+IFERROR(VLOOKUP(FD144,BDD,81,FALSE),"")</f>
        <v/>
      </c>
      <c r="FH144" s="30" t="str">
        <f>+IFERROR(VLOOKUP(FD144,BDD,82,FALSE),"")</f>
        <v/>
      </c>
      <c r="FW144" s="16" t="str">
        <f>Mai!GB37</f>
        <v>202025</v>
      </c>
      <c r="FX144" s="16">
        <f>Mai!GC37</f>
        <v>0</v>
      </c>
    </row>
    <row r="145" spans="1:180" x14ac:dyDescent="0.2">
      <c r="A145" s="16" t="str">
        <f t="shared" si="36"/>
        <v>Fiche infoE4</v>
      </c>
      <c r="B145" s="16" t="str">
        <f t="shared" si="37"/>
        <v>Fiche info</v>
      </c>
      <c r="C145" s="27" t="s">
        <v>243</v>
      </c>
      <c r="D145" s="27">
        <v>4</v>
      </c>
      <c r="E145" s="16" t="s">
        <v>20</v>
      </c>
      <c r="F145" s="34" t="str">
        <f>IF(+'Fiche info'!$BC$10=0,"",'Fiche info'!$BC$10)</f>
        <v/>
      </c>
      <c r="G145" s="16">
        <f t="shared" si="45"/>
        <v>0</v>
      </c>
      <c r="BX145" s="16" t="str">
        <f t="shared" si="46"/>
        <v>Fiche infoE4</v>
      </c>
      <c r="BY145" s="449">
        <f>'Fiche info'!AT10</f>
        <v>0</v>
      </c>
      <c r="BZ145" s="449">
        <f>'Fiche info'!AU10</f>
        <v>0</v>
      </c>
      <c r="CA145" s="449">
        <f>'Fiche info'!AV10</f>
        <v>0</v>
      </c>
      <c r="CB145" s="449">
        <f>'Fiche info'!AW10</f>
        <v>0</v>
      </c>
      <c r="CC145" s="449">
        <f>'Fiche info'!AX10</f>
        <v>0</v>
      </c>
      <c r="CD145" s="449">
        <f>'Fiche info'!AY10</f>
        <v>0</v>
      </c>
      <c r="CE145" s="449">
        <f>'Fiche info'!AZ10</f>
        <v>0</v>
      </c>
      <c r="CF145" s="449">
        <f>'Fiche info'!BA10</f>
        <v>0</v>
      </c>
      <c r="ED145" s="16" t="str">
        <f t="shared" si="38"/>
        <v>Fiche infoE</v>
      </c>
      <c r="EE145" s="16" t="str">
        <f t="shared" si="40"/>
        <v>Fiche info</v>
      </c>
      <c r="EF145" s="16" t="str">
        <f t="shared" si="41"/>
        <v>E</v>
      </c>
      <c r="EG145" s="16">
        <f t="shared" si="42"/>
        <v>4</v>
      </c>
      <c r="EH145" s="16" t="str">
        <f t="shared" si="43"/>
        <v>Jeudi</v>
      </c>
      <c r="EI145" s="16" t="str">
        <f t="shared" si="44"/>
        <v/>
      </c>
      <c r="FB145" s="16" t="str">
        <f t="shared" si="47"/>
        <v/>
      </c>
      <c r="FC145" s="16" t="str">
        <f t="shared" si="48"/>
        <v/>
      </c>
      <c r="FD145" s="30">
        <f t="shared" si="39"/>
        <v>44927</v>
      </c>
      <c r="FE145" s="30" t="str">
        <f>+IFERROR(VLOOKUP(FD145,BDD,83,FALSE),"")</f>
        <v/>
      </c>
      <c r="FF145" s="30" t="str">
        <f>+IFERROR(VLOOKUP(FD145,BDD,84,FALSE),"")</f>
        <v/>
      </c>
      <c r="FG145" s="30" t="str">
        <f>+IFERROR(VLOOKUP(FD145,BDD,85,FALSE),"")</f>
        <v/>
      </c>
      <c r="FH145" s="30" t="str">
        <f>+IFERROR(VLOOKUP(FD145,BDD,86,FALSE),"")</f>
        <v/>
      </c>
      <c r="FW145" s="16" t="str">
        <f>Mai!GB38</f>
        <v>212025</v>
      </c>
      <c r="FX145" s="16">
        <f>Mai!GC38</f>
        <v>0</v>
      </c>
    </row>
    <row r="146" spans="1:180" x14ac:dyDescent="0.2">
      <c r="A146" s="16" t="str">
        <f t="shared" si="36"/>
        <v>Fiche infoE5</v>
      </c>
      <c r="B146" s="16" t="str">
        <f t="shared" si="37"/>
        <v>Fiche info</v>
      </c>
      <c r="C146" s="27" t="s">
        <v>243</v>
      </c>
      <c r="D146" s="27">
        <v>5</v>
      </c>
      <c r="E146" s="16" t="s">
        <v>21</v>
      </c>
      <c r="F146" s="34" t="str">
        <f>IF(+'Fiche info'!$BC$11=0,"",'Fiche info'!$BC$11)</f>
        <v/>
      </c>
      <c r="G146" s="16">
        <f t="shared" si="45"/>
        <v>0</v>
      </c>
      <c r="BX146" s="16" t="str">
        <f t="shared" si="46"/>
        <v>Fiche infoE5</v>
      </c>
      <c r="BY146" s="449">
        <f>'Fiche info'!AT11</f>
        <v>0</v>
      </c>
      <c r="BZ146" s="449">
        <f>'Fiche info'!AU11</f>
        <v>0</v>
      </c>
      <c r="CA146" s="449">
        <f>'Fiche info'!AV11</f>
        <v>0</v>
      </c>
      <c r="CB146" s="449">
        <f>'Fiche info'!AW11</f>
        <v>0</v>
      </c>
      <c r="CC146" s="449">
        <f>'Fiche info'!AX11</f>
        <v>0</v>
      </c>
      <c r="CD146" s="449">
        <f>'Fiche info'!AY11</f>
        <v>0</v>
      </c>
      <c r="CE146" s="449">
        <f>'Fiche info'!AZ11</f>
        <v>0</v>
      </c>
      <c r="CF146" s="449">
        <f>'Fiche info'!BA11</f>
        <v>0</v>
      </c>
      <c r="ED146" s="16" t="str">
        <f t="shared" si="38"/>
        <v>Fiche infoE</v>
      </c>
      <c r="EE146" s="16" t="str">
        <f t="shared" si="40"/>
        <v>Fiche info</v>
      </c>
      <c r="EF146" s="16" t="str">
        <f t="shared" si="41"/>
        <v>E</v>
      </c>
      <c r="EG146" s="16">
        <f t="shared" si="42"/>
        <v>5</v>
      </c>
      <c r="EH146" s="16" t="str">
        <f t="shared" si="43"/>
        <v>Vendredi</v>
      </c>
      <c r="EI146" s="16" t="str">
        <f t="shared" si="44"/>
        <v/>
      </c>
      <c r="FB146" s="16" t="str">
        <f t="shared" si="47"/>
        <v/>
      </c>
      <c r="FC146" s="16" t="str">
        <f t="shared" si="48"/>
        <v/>
      </c>
      <c r="FD146" s="30">
        <f t="shared" si="39"/>
        <v>44896</v>
      </c>
      <c r="FE146" s="30" t="str">
        <f>+IFERROR(VLOOKUP(FD146,BDD,71,FALSE),"")</f>
        <v/>
      </c>
      <c r="FF146" s="30" t="str">
        <f>IFERROR(+VLOOKUP(FD146,BDD,72,FALSE),"")</f>
        <v/>
      </c>
      <c r="FG146" s="30" t="str">
        <f>+IFERROR(VLOOKUP(FD146,BDD,73,FALSE),"")</f>
        <v/>
      </c>
      <c r="FH146" s="30" t="str">
        <f>+IFERROR(VLOOKUP(FD146,BDD,74,FALSE),"")</f>
        <v/>
      </c>
      <c r="FW146" s="16" t="str">
        <f>Mai!GB39</f>
        <v>212025</v>
      </c>
      <c r="FX146" s="16">
        <f>Mai!GC39</f>
        <v>0</v>
      </c>
    </row>
    <row r="147" spans="1:180" x14ac:dyDescent="0.2">
      <c r="A147" s="16" t="str">
        <f t="shared" si="36"/>
        <v>Fiche infoE6</v>
      </c>
      <c r="B147" s="16" t="str">
        <f t="shared" si="37"/>
        <v>Fiche info</v>
      </c>
      <c r="C147" s="27" t="s">
        <v>243</v>
      </c>
      <c r="D147" s="27">
        <v>6</v>
      </c>
      <c r="E147" s="16" t="s">
        <v>193</v>
      </c>
      <c r="F147" s="34" t="str">
        <f>IF(+'Fiche info'!$BC$12=0,"",'Fiche info'!$BC$12)</f>
        <v/>
      </c>
      <c r="G147" s="16">
        <f t="shared" si="45"/>
        <v>0</v>
      </c>
      <c r="BX147" s="16" t="str">
        <f t="shared" si="46"/>
        <v>Fiche infoE6</v>
      </c>
      <c r="BY147" s="449">
        <f>'Fiche info'!AT12</f>
        <v>0</v>
      </c>
      <c r="BZ147" s="449">
        <f>'Fiche info'!AU12</f>
        <v>0</v>
      </c>
      <c r="CA147" s="449">
        <f>'Fiche info'!AV12</f>
        <v>0</v>
      </c>
      <c r="CB147" s="449">
        <f>'Fiche info'!AW12</f>
        <v>0</v>
      </c>
      <c r="CC147" s="449">
        <f>'Fiche info'!AX12</f>
        <v>0</v>
      </c>
      <c r="CD147" s="449">
        <f>'Fiche info'!AY12</f>
        <v>0</v>
      </c>
      <c r="CE147" s="449">
        <f>'Fiche info'!AZ12</f>
        <v>0</v>
      </c>
      <c r="CF147" s="449">
        <f>'Fiche info'!BA12</f>
        <v>0</v>
      </c>
      <c r="ED147" s="16" t="str">
        <f t="shared" si="38"/>
        <v>Fiche infoE</v>
      </c>
      <c r="EE147" s="16" t="str">
        <f t="shared" si="40"/>
        <v>Fiche info</v>
      </c>
      <c r="EF147" s="16" t="str">
        <f t="shared" si="41"/>
        <v>E</v>
      </c>
      <c r="EG147" s="16">
        <f t="shared" si="42"/>
        <v>6</v>
      </c>
      <c r="EH147" s="16" t="str">
        <f t="shared" si="43"/>
        <v>Samedi</v>
      </c>
      <c r="EI147" s="16" t="str">
        <f t="shared" si="44"/>
        <v/>
      </c>
      <c r="FB147" s="16" t="str">
        <f t="shared" si="47"/>
        <v/>
      </c>
      <c r="FC147" s="16" t="str">
        <f t="shared" si="48"/>
        <v/>
      </c>
      <c r="FD147" s="30">
        <f t="shared" si="39"/>
        <v>44896</v>
      </c>
      <c r="FE147" s="30" t="str">
        <f>+IFERROR(VLOOKUP(FD147,BDD,75,FALSE),"")</f>
        <v/>
      </c>
      <c r="FF147" s="30" t="str">
        <f>+IFERROR(VLOOKUP(FD147,BDD,76,FALSE),"")</f>
        <v/>
      </c>
      <c r="FG147" s="30" t="str">
        <f>IFERROR(+VLOOKUP(FD147,BDD,77,FALSE),"")</f>
        <v/>
      </c>
      <c r="FH147" s="30" t="str">
        <f>+IFERROR(VLOOKUP(FD147,BDD,78,FALSE),"")</f>
        <v/>
      </c>
      <c r="FW147" s="16" t="str">
        <f>Mai!GB40</f>
        <v>212025</v>
      </c>
      <c r="FX147" s="16">
        <f>Mai!GC40</f>
        <v>0</v>
      </c>
    </row>
    <row r="148" spans="1:180" x14ac:dyDescent="0.2">
      <c r="A148" s="16" t="str">
        <f t="shared" si="36"/>
        <v>Fiche infoE7</v>
      </c>
      <c r="B148" s="16" t="str">
        <f t="shared" si="37"/>
        <v>Fiche info</v>
      </c>
      <c r="C148" s="27" t="s">
        <v>243</v>
      </c>
      <c r="D148" s="27">
        <v>7</v>
      </c>
      <c r="E148" s="16" t="s">
        <v>194</v>
      </c>
      <c r="F148" s="34" t="str">
        <f>IF(+'Fiche info'!$BC$13=0,"",'Fiche info'!$BC$13)</f>
        <v/>
      </c>
      <c r="G148" s="16">
        <f t="shared" si="45"/>
        <v>0</v>
      </c>
      <c r="BX148" s="16" t="str">
        <f t="shared" si="46"/>
        <v>Fiche infoE7</v>
      </c>
      <c r="BY148" s="449">
        <f>'Fiche info'!AT13</f>
        <v>0</v>
      </c>
      <c r="BZ148" s="449">
        <f>'Fiche info'!AU13</f>
        <v>0</v>
      </c>
      <c r="CA148" s="449">
        <f>'Fiche info'!AV13</f>
        <v>0</v>
      </c>
      <c r="CB148" s="449">
        <f>'Fiche info'!AW13</f>
        <v>0</v>
      </c>
      <c r="CC148" s="449">
        <f>'Fiche info'!AX13</f>
        <v>0</v>
      </c>
      <c r="CD148" s="449">
        <f>'Fiche info'!AY13</f>
        <v>0</v>
      </c>
      <c r="CE148" s="449">
        <f>'Fiche info'!AZ13</f>
        <v>0</v>
      </c>
      <c r="CF148" s="449">
        <f>'Fiche info'!BA13</f>
        <v>0</v>
      </c>
      <c r="ED148" s="16" t="str">
        <f t="shared" si="38"/>
        <v>Fiche infoE</v>
      </c>
      <c r="EE148" s="16" t="str">
        <f t="shared" si="40"/>
        <v>Fiche info</v>
      </c>
      <c r="EF148" s="16" t="str">
        <f t="shared" si="41"/>
        <v>E</v>
      </c>
      <c r="EG148" s="16">
        <f t="shared" si="42"/>
        <v>7</v>
      </c>
      <c r="EH148" s="16" t="str">
        <f t="shared" si="43"/>
        <v>Dimanche</v>
      </c>
      <c r="EI148" s="16" t="str">
        <f t="shared" si="44"/>
        <v/>
      </c>
      <c r="FB148" s="16" t="str">
        <f t="shared" si="47"/>
        <v/>
      </c>
      <c r="FC148" s="16" t="str">
        <f t="shared" si="48"/>
        <v/>
      </c>
      <c r="FD148" s="30">
        <f t="shared" si="39"/>
        <v>44896</v>
      </c>
      <c r="FE148" s="30" t="str">
        <f>+IFERROR(VLOOKUP(FD148,BDD,79,FALSE),"")</f>
        <v/>
      </c>
      <c r="FF148" s="30" t="str">
        <f>IFERROR(+VLOOKUP(FD148,BDD,80,FALSE),"")</f>
        <v/>
      </c>
      <c r="FG148" s="30" t="str">
        <f>+IFERROR(VLOOKUP(FD148,BDD,81,FALSE),"")</f>
        <v/>
      </c>
      <c r="FH148" s="30" t="str">
        <f>+IFERROR(VLOOKUP(FD148,BDD,82,FALSE),"")</f>
        <v/>
      </c>
      <c r="FW148" s="16" t="str">
        <f>Mai!GB41</f>
        <v>212025</v>
      </c>
      <c r="FX148" s="16">
        <f>Mai!GC41</f>
        <v>0</v>
      </c>
    </row>
    <row r="149" spans="1:180" x14ac:dyDescent="0.2">
      <c r="A149" s="16" t="str">
        <f t="shared" si="36"/>
        <v>Fiche infoF1</v>
      </c>
      <c r="B149" s="16" t="str">
        <f t="shared" si="37"/>
        <v>Fiche info</v>
      </c>
      <c r="C149" s="27" t="s">
        <v>244</v>
      </c>
      <c r="D149" s="27">
        <v>1</v>
      </c>
      <c r="E149" s="16" t="s">
        <v>17</v>
      </c>
      <c r="F149" s="34" t="str">
        <f>+IF('Fiche info'!$BN$7=0,"",'Fiche info'!$BN$7)</f>
        <v/>
      </c>
      <c r="G149" s="16">
        <f t="shared" si="45"/>
        <v>0</v>
      </c>
      <c r="BX149" s="16" t="str">
        <f t="shared" si="46"/>
        <v>Fiche infoF1</v>
      </c>
      <c r="BY149" s="449">
        <f>'Fiche info'!BE7</f>
        <v>0</v>
      </c>
      <c r="BZ149" s="449">
        <f>'Fiche info'!BF7</f>
        <v>0</v>
      </c>
      <c r="CA149" s="449">
        <f>'Fiche info'!BG7</f>
        <v>0</v>
      </c>
      <c r="CB149" s="449">
        <f>'Fiche info'!BH7</f>
        <v>0</v>
      </c>
      <c r="CC149" s="449">
        <f>'Fiche info'!BI7</f>
        <v>0</v>
      </c>
      <c r="CD149" s="449">
        <f>'Fiche info'!BJ7</f>
        <v>0</v>
      </c>
      <c r="CE149" s="449">
        <f>'Fiche info'!BK7</f>
        <v>0</v>
      </c>
      <c r="CF149" s="449">
        <f>'Fiche info'!BL7</f>
        <v>0</v>
      </c>
      <c r="ED149" s="16" t="str">
        <f t="shared" si="38"/>
        <v>Fiche infoF</v>
      </c>
      <c r="EE149" s="16" t="str">
        <f t="shared" si="40"/>
        <v>Fiche info</v>
      </c>
      <c r="EF149" s="16" t="str">
        <f t="shared" si="41"/>
        <v>F</v>
      </c>
      <c r="EG149" s="16">
        <f t="shared" si="42"/>
        <v>1</v>
      </c>
      <c r="EH149" s="16" t="str">
        <f t="shared" si="43"/>
        <v>Lundi</v>
      </c>
      <c r="EI149" s="16" t="str">
        <f t="shared" si="44"/>
        <v/>
      </c>
      <c r="FB149" s="16" t="str">
        <f t="shared" si="47"/>
        <v/>
      </c>
      <c r="FC149" s="16" t="str">
        <f t="shared" si="48"/>
        <v/>
      </c>
      <c r="FD149" s="30">
        <f t="shared" si="39"/>
        <v>44896</v>
      </c>
      <c r="FE149" s="30" t="str">
        <f>+IFERROR(VLOOKUP(FD149,BDD,83,FALSE),"")</f>
        <v/>
      </c>
      <c r="FF149" s="30" t="str">
        <f>+IFERROR(VLOOKUP(FD149,BDD,84,FALSE),"")</f>
        <v/>
      </c>
      <c r="FG149" s="30" t="str">
        <f>+IFERROR(VLOOKUP(FD149,BDD,85,FALSE),"")</f>
        <v/>
      </c>
      <c r="FH149" s="30" t="str">
        <f>+IFERROR(VLOOKUP(FD149,BDD,86,FALSE),"")</f>
        <v/>
      </c>
      <c r="FW149" s="16" t="str">
        <f>Mai!GB42</f>
        <v>212025</v>
      </c>
      <c r="FX149" s="16">
        <f>Mai!GC42</f>
        <v>0</v>
      </c>
    </row>
    <row r="150" spans="1:180" x14ac:dyDescent="0.2">
      <c r="A150" s="16" t="str">
        <f t="shared" si="36"/>
        <v>Fiche infoF2</v>
      </c>
      <c r="B150" s="16" t="str">
        <f t="shared" si="37"/>
        <v>Fiche info</v>
      </c>
      <c r="C150" s="27" t="s">
        <v>244</v>
      </c>
      <c r="D150" s="27">
        <v>2</v>
      </c>
      <c r="E150" s="16" t="s">
        <v>18</v>
      </c>
      <c r="F150" s="34" t="str">
        <f>+IF('Fiche info'!$BN$8=0,"",'Fiche info'!$BN$8)</f>
        <v/>
      </c>
      <c r="G150" s="16">
        <f t="shared" si="45"/>
        <v>0</v>
      </c>
      <c r="BX150" s="16" t="str">
        <f t="shared" si="46"/>
        <v>Fiche infoF2</v>
      </c>
      <c r="BY150" s="449">
        <f>'Fiche info'!BE8</f>
        <v>0</v>
      </c>
      <c r="BZ150" s="449">
        <f>'Fiche info'!BF8</f>
        <v>0</v>
      </c>
      <c r="CA150" s="449">
        <f>'Fiche info'!BG8</f>
        <v>0</v>
      </c>
      <c r="CB150" s="449">
        <f>'Fiche info'!BH8</f>
        <v>0</v>
      </c>
      <c r="CC150" s="449">
        <f>'Fiche info'!BI8</f>
        <v>0</v>
      </c>
      <c r="CD150" s="449">
        <f>'Fiche info'!BJ8</f>
        <v>0</v>
      </c>
      <c r="CE150" s="449">
        <f>'Fiche info'!BK8</f>
        <v>0</v>
      </c>
      <c r="CF150" s="449">
        <f>'Fiche info'!BL8</f>
        <v>0</v>
      </c>
      <c r="ED150" s="16" t="str">
        <f t="shared" si="38"/>
        <v>Fiche infoF</v>
      </c>
      <c r="EE150" s="16" t="str">
        <f t="shared" si="40"/>
        <v>Fiche info</v>
      </c>
      <c r="EF150" s="16" t="str">
        <f t="shared" si="41"/>
        <v>F</v>
      </c>
      <c r="EG150" s="16">
        <f t="shared" si="42"/>
        <v>2</v>
      </c>
      <c r="EH150" s="16" t="str">
        <f t="shared" si="43"/>
        <v>Mardi</v>
      </c>
      <c r="EI150" s="16" t="str">
        <f t="shared" si="44"/>
        <v/>
      </c>
      <c r="FB150" s="16" t="str">
        <f t="shared" si="47"/>
        <v/>
      </c>
      <c r="FC150" s="16" t="str">
        <f t="shared" si="48"/>
        <v/>
      </c>
      <c r="FD150" s="30">
        <f t="shared" si="39"/>
        <v>44866</v>
      </c>
      <c r="FE150" s="30" t="str">
        <f>+IFERROR(VLOOKUP(FD150,BDD,71,FALSE),"")</f>
        <v/>
      </c>
      <c r="FF150" s="30" t="str">
        <f>IFERROR(+VLOOKUP(FD150,BDD,72,FALSE),"")</f>
        <v/>
      </c>
      <c r="FG150" s="30" t="str">
        <f>+IFERROR(VLOOKUP(FD150,BDD,73,FALSE),"")</f>
        <v/>
      </c>
      <c r="FH150" s="30" t="str">
        <f>+IFERROR(VLOOKUP(FD150,BDD,74,FALSE),"")</f>
        <v/>
      </c>
      <c r="FW150" s="16" t="str">
        <f>Mai!GB43</f>
        <v>212025</v>
      </c>
      <c r="FX150" s="16">
        <f>Mai!GC43</f>
        <v>0</v>
      </c>
    </row>
    <row r="151" spans="1:180" x14ac:dyDescent="0.2">
      <c r="A151" s="16" t="str">
        <f t="shared" si="36"/>
        <v>Fiche infoF3</v>
      </c>
      <c r="B151" s="16" t="str">
        <f t="shared" si="37"/>
        <v>Fiche info</v>
      </c>
      <c r="C151" s="27" t="s">
        <v>244</v>
      </c>
      <c r="D151" s="27">
        <v>3</v>
      </c>
      <c r="E151" s="16" t="s">
        <v>19</v>
      </c>
      <c r="F151" s="34" t="str">
        <f>+IF('Fiche info'!$BN$9=0,"",'Fiche info'!$BN$9)</f>
        <v/>
      </c>
      <c r="G151" s="16">
        <f t="shared" si="45"/>
        <v>0</v>
      </c>
      <c r="BX151" s="16" t="str">
        <f t="shared" si="46"/>
        <v>Fiche infoF3</v>
      </c>
      <c r="BY151" s="449">
        <f>'Fiche info'!BE9</f>
        <v>0</v>
      </c>
      <c r="BZ151" s="449">
        <f>'Fiche info'!BF9</f>
        <v>0</v>
      </c>
      <c r="CA151" s="449">
        <f>'Fiche info'!BG9</f>
        <v>0</v>
      </c>
      <c r="CB151" s="449">
        <f>'Fiche info'!BH9</f>
        <v>0</v>
      </c>
      <c r="CC151" s="449">
        <f>'Fiche info'!BI9</f>
        <v>0</v>
      </c>
      <c r="CD151" s="449">
        <f>'Fiche info'!BJ9</f>
        <v>0</v>
      </c>
      <c r="CE151" s="449">
        <f>'Fiche info'!BK9</f>
        <v>0</v>
      </c>
      <c r="CF151" s="449">
        <f>'Fiche info'!BL9</f>
        <v>0</v>
      </c>
      <c r="ED151" s="16" t="str">
        <f t="shared" si="38"/>
        <v>Fiche infoF</v>
      </c>
      <c r="EE151" s="16" t="str">
        <f t="shared" si="40"/>
        <v>Fiche info</v>
      </c>
      <c r="EF151" s="16" t="str">
        <f t="shared" si="41"/>
        <v>F</v>
      </c>
      <c r="EG151" s="16">
        <f t="shared" si="42"/>
        <v>3</v>
      </c>
      <c r="EH151" s="16" t="str">
        <f t="shared" si="43"/>
        <v>Mercredi</v>
      </c>
      <c r="EI151" s="16" t="str">
        <f t="shared" si="44"/>
        <v/>
      </c>
      <c r="FB151" s="16" t="str">
        <f t="shared" si="47"/>
        <v/>
      </c>
      <c r="FC151" s="16" t="str">
        <f t="shared" si="48"/>
        <v/>
      </c>
      <c r="FD151" s="30">
        <f t="shared" si="39"/>
        <v>44866</v>
      </c>
      <c r="FE151" s="30" t="str">
        <f>+IFERROR(VLOOKUP(FD151,BDD,75,FALSE),"")</f>
        <v/>
      </c>
      <c r="FF151" s="30" t="str">
        <f>+IFERROR(VLOOKUP(FD151,BDD,76,FALSE),"")</f>
        <v/>
      </c>
      <c r="FG151" s="30" t="str">
        <f>IFERROR(+VLOOKUP(FD151,BDD,77,FALSE),"")</f>
        <v/>
      </c>
      <c r="FH151" s="30" t="str">
        <f>+IFERROR(VLOOKUP(FD151,BDD,78,FALSE),"")</f>
        <v/>
      </c>
      <c r="FW151" s="16" t="str">
        <f>Mai!GB44</f>
        <v>212025</v>
      </c>
      <c r="FX151" s="16">
        <f>Mai!GC44</f>
        <v>0</v>
      </c>
    </row>
    <row r="152" spans="1:180" x14ac:dyDescent="0.2">
      <c r="A152" s="16" t="str">
        <f t="shared" si="36"/>
        <v>Fiche infoF4</v>
      </c>
      <c r="B152" s="16" t="str">
        <f t="shared" si="37"/>
        <v>Fiche info</v>
      </c>
      <c r="C152" s="27" t="s">
        <v>244</v>
      </c>
      <c r="D152" s="27">
        <v>4</v>
      </c>
      <c r="E152" s="16" t="s">
        <v>20</v>
      </c>
      <c r="F152" s="34" t="str">
        <f>+IF('Fiche info'!$BN$10=0,"",'Fiche info'!$BN$10)</f>
        <v/>
      </c>
      <c r="G152" s="16">
        <f t="shared" si="45"/>
        <v>0</v>
      </c>
      <c r="BX152" s="16" t="str">
        <f t="shared" si="46"/>
        <v>Fiche infoF4</v>
      </c>
      <c r="BY152" s="449">
        <f>'Fiche info'!BE10</f>
        <v>0</v>
      </c>
      <c r="BZ152" s="449">
        <f>'Fiche info'!BF10</f>
        <v>0</v>
      </c>
      <c r="CA152" s="449">
        <f>'Fiche info'!BG10</f>
        <v>0</v>
      </c>
      <c r="CB152" s="449">
        <f>'Fiche info'!BH10</f>
        <v>0</v>
      </c>
      <c r="CC152" s="449">
        <f>'Fiche info'!BI10</f>
        <v>0</v>
      </c>
      <c r="CD152" s="449">
        <f>'Fiche info'!BJ10</f>
        <v>0</v>
      </c>
      <c r="CE152" s="449">
        <f>'Fiche info'!BK10</f>
        <v>0</v>
      </c>
      <c r="CF152" s="449">
        <f>'Fiche info'!BL10</f>
        <v>0</v>
      </c>
      <c r="ED152" s="16" t="str">
        <f t="shared" si="38"/>
        <v>Fiche infoF</v>
      </c>
      <c r="EE152" s="16" t="str">
        <f t="shared" si="40"/>
        <v>Fiche info</v>
      </c>
      <c r="EF152" s="16" t="str">
        <f t="shared" si="41"/>
        <v>F</v>
      </c>
      <c r="EG152" s="16">
        <f t="shared" si="42"/>
        <v>4</v>
      </c>
      <c r="EH152" s="16" t="str">
        <f t="shared" si="43"/>
        <v>Jeudi</v>
      </c>
      <c r="EI152" s="16" t="str">
        <f t="shared" si="44"/>
        <v/>
      </c>
      <c r="FB152" s="16" t="str">
        <f t="shared" si="47"/>
        <v/>
      </c>
      <c r="FC152" s="16" t="str">
        <f t="shared" si="48"/>
        <v/>
      </c>
      <c r="FD152" s="30">
        <f t="shared" si="39"/>
        <v>44866</v>
      </c>
      <c r="FE152" s="30" t="str">
        <f>+IFERROR(VLOOKUP(FD152,BDD,79,FALSE),"")</f>
        <v/>
      </c>
      <c r="FF152" s="30" t="str">
        <f>IFERROR(+VLOOKUP(FD152,BDD,80,FALSE),"")</f>
        <v/>
      </c>
      <c r="FG152" s="30" t="str">
        <f>+IFERROR(VLOOKUP(FD152,BDD,81,FALSE),"")</f>
        <v/>
      </c>
      <c r="FH152" s="30" t="str">
        <f>+IFERROR(VLOOKUP(FD152,BDD,82,FALSE),"")</f>
        <v/>
      </c>
      <c r="FW152" s="16" t="str">
        <f>Mai!GB45</f>
        <v>222025</v>
      </c>
      <c r="FX152" s="16">
        <f>Mai!GC45</f>
        <v>0</v>
      </c>
    </row>
    <row r="153" spans="1:180" x14ac:dyDescent="0.2">
      <c r="A153" s="16" t="str">
        <f t="shared" si="36"/>
        <v>Fiche infoF5</v>
      </c>
      <c r="B153" s="16" t="str">
        <f t="shared" si="37"/>
        <v>Fiche info</v>
      </c>
      <c r="C153" s="27" t="s">
        <v>244</v>
      </c>
      <c r="D153" s="27">
        <v>5</v>
      </c>
      <c r="E153" s="16" t="s">
        <v>21</v>
      </c>
      <c r="F153" s="34" t="str">
        <f>+IF('Fiche info'!$BN$11=0,"",'Fiche info'!$BN$11)</f>
        <v/>
      </c>
      <c r="G153" s="16">
        <f t="shared" si="45"/>
        <v>0</v>
      </c>
      <c r="BX153" s="16" t="str">
        <f t="shared" si="46"/>
        <v>Fiche infoF5</v>
      </c>
      <c r="BY153" s="449">
        <f>'Fiche info'!BE11</f>
        <v>0</v>
      </c>
      <c r="BZ153" s="449">
        <f>'Fiche info'!BF11</f>
        <v>0</v>
      </c>
      <c r="CA153" s="449">
        <f>'Fiche info'!BG11</f>
        <v>0</v>
      </c>
      <c r="CB153" s="449">
        <f>'Fiche info'!BH11</f>
        <v>0</v>
      </c>
      <c r="CC153" s="449">
        <f>'Fiche info'!BI11</f>
        <v>0</v>
      </c>
      <c r="CD153" s="449">
        <f>'Fiche info'!BJ11</f>
        <v>0</v>
      </c>
      <c r="CE153" s="449">
        <f>'Fiche info'!BK11</f>
        <v>0</v>
      </c>
      <c r="CF153" s="449">
        <f>'Fiche info'!BL11</f>
        <v>0</v>
      </c>
      <c r="ED153" s="16" t="str">
        <f t="shared" si="38"/>
        <v>Fiche infoF</v>
      </c>
      <c r="EE153" s="16" t="str">
        <f t="shared" si="40"/>
        <v>Fiche info</v>
      </c>
      <c r="EF153" s="16" t="str">
        <f t="shared" si="41"/>
        <v>F</v>
      </c>
      <c r="EG153" s="16">
        <f t="shared" si="42"/>
        <v>5</v>
      </c>
      <c r="EH153" s="16" t="str">
        <f t="shared" si="43"/>
        <v>Vendredi</v>
      </c>
      <c r="EI153" s="16" t="str">
        <f t="shared" si="44"/>
        <v/>
      </c>
      <c r="FB153" s="16" t="str">
        <f t="shared" si="47"/>
        <v/>
      </c>
      <c r="FC153" s="16" t="str">
        <f t="shared" si="48"/>
        <v/>
      </c>
      <c r="FD153" s="30">
        <f t="shared" si="39"/>
        <v>44866</v>
      </c>
      <c r="FE153" s="30" t="str">
        <f>+IFERROR(VLOOKUP(FD153,BDD,83,FALSE),"")</f>
        <v/>
      </c>
      <c r="FF153" s="30" t="str">
        <f>+IFERROR(VLOOKUP(FD153,BDD,84,FALSE),"")</f>
        <v/>
      </c>
      <c r="FG153" s="30" t="str">
        <f>+IFERROR(VLOOKUP(FD153,BDD,85,FALSE),"")</f>
        <v/>
      </c>
      <c r="FH153" s="30" t="str">
        <f>+IFERROR(VLOOKUP(FD153,BDD,86,FALSE),"")</f>
        <v/>
      </c>
      <c r="FW153" s="16" t="str">
        <f>Mai!GB46</f>
        <v>222025</v>
      </c>
      <c r="FX153" s="16">
        <f>Mai!GC46</f>
        <v>0</v>
      </c>
    </row>
    <row r="154" spans="1:180" x14ac:dyDescent="0.2">
      <c r="A154" s="16" t="str">
        <f t="shared" si="36"/>
        <v>Fiche infoF6</v>
      </c>
      <c r="B154" s="16" t="str">
        <f t="shared" si="37"/>
        <v>Fiche info</v>
      </c>
      <c r="C154" s="27" t="s">
        <v>244</v>
      </c>
      <c r="D154" s="27">
        <v>6</v>
      </c>
      <c r="E154" s="16" t="s">
        <v>193</v>
      </c>
      <c r="F154" s="34" t="str">
        <f>+IF('Fiche info'!$BN$12=0,"",'Fiche info'!$BN$12)</f>
        <v/>
      </c>
      <c r="G154" s="16">
        <f t="shared" si="45"/>
        <v>0</v>
      </c>
      <c r="BX154" s="16" t="str">
        <f t="shared" si="46"/>
        <v>Fiche infoF6</v>
      </c>
      <c r="BY154" s="449">
        <f>'Fiche info'!BE12</f>
        <v>0</v>
      </c>
      <c r="BZ154" s="449">
        <f>'Fiche info'!BF12</f>
        <v>0</v>
      </c>
      <c r="CA154" s="449">
        <f>'Fiche info'!BG12</f>
        <v>0</v>
      </c>
      <c r="CB154" s="449">
        <f>'Fiche info'!BH12</f>
        <v>0</v>
      </c>
      <c r="CC154" s="449">
        <f>'Fiche info'!BI12</f>
        <v>0</v>
      </c>
      <c r="CD154" s="449">
        <f>'Fiche info'!BJ12</f>
        <v>0</v>
      </c>
      <c r="CE154" s="449">
        <f>'Fiche info'!BK12</f>
        <v>0</v>
      </c>
      <c r="CF154" s="449">
        <f>'Fiche info'!BL12</f>
        <v>0</v>
      </c>
      <c r="ED154" s="16" t="str">
        <f t="shared" si="38"/>
        <v>Fiche infoF</v>
      </c>
      <c r="EE154" s="16" t="str">
        <f t="shared" si="40"/>
        <v>Fiche info</v>
      </c>
      <c r="EF154" s="16" t="str">
        <f t="shared" si="41"/>
        <v>F</v>
      </c>
      <c r="EG154" s="16">
        <f t="shared" si="42"/>
        <v>6</v>
      </c>
      <c r="EH154" s="16" t="str">
        <f t="shared" si="43"/>
        <v>Samedi</v>
      </c>
      <c r="EI154" s="16" t="str">
        <f t="shared" si="44"/>
        <v/>
      </c>
      <c r="FB154" s="16" t="str">
        <f t="shared" si="47"/>
        <v/>
      </c>
      <c r="FC154" s="16" t="str">
        <f t="shared" si="48"/>
        <v/>
      </c>
      <c r="FD154" s="30">
        <f t="shared" si="39"/>
        <v>44835</v>
      </c>
      <c r="FE154" s="30" t="str">
        <f>+IFERROR(VLOOKUP(FD154,BDD,71,FALSE),"")</f>
        <v/>
      </c>
      <c r="FF154" s="30" t="str">
        <f>IFERROR(+VLOOKUP(FD154,BDD,72,FALSE),"")</f>
        <v/>
      </c>
      <c r="FG154" s="30" t="str">
        <f>+IFERROR(VLOOKUP(FD154,BDD,73,FALSE),"")</f>
        <v/>
      </c>
      <c r="FH154" s="30" t="str">
        <f>+IFERROR(VLOOKUP(FD154,BDD,74,FALSE),"")</f>
        <v/>
      </c>
      <c r="FW154" s="16" t="str">
        <f>Mai!GB47</f>
        <v>222025</v>
      </c>
      <c r="FX154" s="16">
        <f>Mai!GC47</f>
        <v>0</v>
      </c>
    </row>
    <row r="155" spans="1:180" x14ac:dyDescent="0.2">
      <c r="A155" s="16" t="str">
        <f t="shared" si="36"/>
        <v>Fiche infoF7</v>
      </c>
      <c r="B155" s="16" t="str">
        <f t="shared" si="37"/>
        <v>Fiche info</v>
      </c>
      <c r="C155" s="27" t="s">
        <v>244</v>
      </c>
      <c r="D155" s="27">
        <v>7</v>
      </c>
      <c r="E155" s="16" t="s">
        <v>194</v>
      </c>
      <c r="F155" s="34" t="str">
        <f>+IF('Fiche info'!$BN$13=0,"",'Fiche info'!$BN$13)</f>
        <v/>
      </c>
      <c r="G155" s="16">
        <f t="shared" si="45"/>
        <v>0</v>
      </c>
      <c r="BX155" s="16" t="str">
        <f t="shared" si="46"/>
        <v>Fiche infoF7</v>
      </c>
      <c r="BY155" s="449">
        <f>'Fiche info'!BE13</f>
        <v>0</v>
      </c>
      <c r="BZ155" s="449">
        <f>'Fiche info'!BF13</f>
        <v>0</v>
      </c>
      <c r="CA155" s="449">
        <f>'Fiche info'!BG13</f>
        <v>0</v>
      </c>
      <c r="CB155" s="449">
        <f>'Fiche info'!BH13</f>
        <v>0</v>
      </c>
      <c r="CC155" s="449">
        <f>'Fiche info'!BI13</f>
        <v>0</v>
      </c>
      <c r="CD155" s="449">
        <f>'Fiche info'!BJ13</f>
        <v>0</v>
      </c>
      <c r="CE155" s="449">
        <f>'Fiche info'!BK13</f>
        <v>0</v>
      </c>
      <c r="CF155" s="449">
        <f>'Fiche info'!BL13</f>
        <v>0</v>
      </c>
      <c r="ED155" s="16" t="str">
        <f t="shared" si="38"/>
        <v>Fiche infoF</v>
      </c>
      <c r="EE155" s="16" t="str">
        <f t="shared" si="40"/>
        <v>Fiche info</v>
      </c>
      <c r="EF155" s="16" t="str">
        <f t="shared" si="41"/>
        <v>F</v>
      </c>
      <c r="EG155" s="16">
        <f t="shared" si="42"/>
        <v>7</v>
      </c>
      <c r="EH155" s="16" t="str">
        <f t="shared" si="43"/>
        <v>Dimanche</v>
      </c>
      <c r="EI155" s="16" t="str">
        <f t="shared" si="44"/>
        <v/>
      </c>
      <c r="FB155" s="16" t="str">
        <f t="shared" si="47"/>
        <v/>
      </c>
      <c r="FC155" s="16" t="str">
        <f t="shared" si="48"/>
        <v/>
      </c>
      <c r="FD155" s="30">
        <f t="shared" si="39"/>
        <v>44835</v>
      </c>
      <c r="FE155" s="30" t="str">
        <f>+IFERROR(VLOOKUP(FD155,BDD,75,FALSE),"")</f>
        <v/>
      </c>
      <c r="FF155" s="30" t="str">
        <f>+IFERROR(VLOOKUP(FD155,BDD,76,FALSE),"")</f>
        <v/>
      </c>
      <c r="FG155" s="30" t="str">
        <f>IFERROR(+VLOOKUP(FD155,BDD,77,FALSE),"")</f>
        <v/>
      </c>
      <c r="FH155" s="30" t="str">
        <f>+IFERROR(VLOOKUP(FD155,BDD,78,FALSE),"")</f>
        <v/>
      </c>
      <c r="FW155" s="16" t="str">
        <f>Mai!GB48</f>
        <v>222025</v>
      </c>
      <c r="FX155" s="16">
        <f>Mai!GC48</f>
        <v>0</v>
      </c>
    </row>
    <row r="156" spans="1:180" x14ac:dyDescent="0.2">
      <c r="A156" s="16" t="str">
        <f t="shared" si="36"/>
        <v>Fiche infoG1</v>
      </c>
      <c r="B156" s="16" t="str">
        <f t="shared" si="37"/>
        <v>Fiche info</v>
      </c>
      <c r="C156" s="27" t="s">
        <v>245</v>
      </c>
      <c r="D156" s="27">
        <v>1</v>
      </c>
      <c r="E156" s="16" t="s">
        <v>17</v>
      </c>
      <c r="F156" s="34" t="str">
        <f>+IF('Fiche info'!$BY$7=0,"",'Fiche info'!$BY$7)</f>
        <v/>
      </c>
      <c r="G156" s="16">
        <f t="shared" si="45"/>
        <v>0</v>
      </c>
      <c r="BX156" s="16" t="str">
        <f t="shared" si="46"/>
        <v>Fiche infoG1</v>
      </c>
      <c r="BY156" s="449">
        <f>'Fiche info'!BP7</f>
        <v>0</v>
      </c>
      <c r="BZ156" s="449">
        <f>'Fiche info'!BQ7</f>
        <v>0</v>
      </c>
      <c r="CA156" s="449">
        <f>'Fiche info'!BR7</f>
        <v>0</v>
      </c>
      <c r="CB156" s="449">
        <f>'Fiche info'!BS7</f>
        <v>0</v>
      </c>
      <c r="CC156" s="449">
        <f>'Fiche info'!BT7</f>
        <v>0</v>
      </c>
      <c r="CD156" s="449">
        <f>'Fiche info'!BU7</f>
        <v>0</v>
      </c>
      <c r="CE156" s="449">
        <f>'Fiche info'!BV7</f>
        <v>0</v>
      </c>
      <c r="CF156" s="449">
        <f>'Fiche info'!BW7</f>
        <v>0</v>
      </c>
      <c r="ED156" s="16" t="str">
        <f t="shared" si="38"/>
        <v>Fiche infoG</v>
      </c>
      <c r="EE156" s="16" t="str">
        <f t="shared" si="40"/>
        <v>Fiche info</v>
      </c>
      <c r="EF156" s="16" t="str">
        <f t="shared" si="41"/>
        <v>G</v>
      </c>
      <c r="EG156" s="16">
        <f t="shared" si="42"/>
        <v>1</v>
      </c>
      <c r="EH156" s="16" t="str">
        <f t="shared" si="43"/>
        <v>Lundi</v>
      </c>
      <c r="EI156" s="16" t="str">
        <f t="shared" si="44"/>
        <v/>
      </c>
      <c r="FB156" s="16" t="str">
        <f t="shared" si="47"/>
        <v/>
      </c>
      <c r="FC156" s="16" t="str">
        <f t="shared" si="48"/>
        <v/>
      </c>
      <c r="FD156" s="30">
        <f t="shared" si="39"/>
        <v>44835</v>
      </c>
      <c r="FE156" s="30" t="str">
        <f>+IFERROR(VLOOKUP(FD156,BDD,79,FALSE),"")</f>
        <v/>
      </c>
      <c r="FF156" s="30" t="str">
        <f>IFERROR(+VLOOKUP(FD156,BDD,80,FALSE),"")</f>
        <v/>
      </c>
      <c r="FG156" s="30" t="str">
        <f>+IFERROR(VLOOKUP(FD156,BDD,81,FALSE),"")</f>
        <v/>
      </c>
      <c r="FH156" s="30" t="str">
        <f>+IFERROR(VLOOKUP(FD156,BDD,82,FALSE),"")</f>
        <v/>
      </c>
      <c r="FW156" s="16" t="str">
        <f>Mai!GB49</f>
        <v>222025</v>
      </c>
      <c r="FX156" s="16">
        <f>Mai!GC49</f>
        <v>0</v>
      </c>
    </row>
    <row r="157" spans="1:180" x14ac:dyDescent="0.2">
      <c r="A157" s="16" t="str">
        <f t="shared" si="36"/>
        <v>Fiche infoG2</v>
      </c>
      <c r="B157" s="16" t="str">
        <f t="shared" si="37"/>
        <v>Fiche info</v>
      </c>
      <c r="C157" s="27" t="s">
        <v>245</v>
      </c>
      <c r="D157" s="27">
        <v>2</v>
      </c>
      <c r="E157" s="16" t="s">
        <v>18</v>
      </c>
      <c r="F157" s="34" t="str">
        <f>+IF('Fiche info'!$BY$8=0,"",'Fiche info'!$BY$8)</f>
        <v/>
      </c>
      <c r="G157" s="16">
        <f t="shared" si="45"/>
        <v>0</v>
      </c>
      <c r="BX157" s="16" t="str">
        <f t="shared" si="46"/>
        <v>Fiche infoG2</v>
      </c>
      <c r="BY157" s="449">
        <f>'Fiche info'!BP8</f>
        <v>0</v>
      </c>
      <c r="BZ157" s="449">
        <f>'Fiche info'!BQ8</f>
        <v>0</v>
      </c>
      <c r="CA157" s="449">
        <f>'Fiche info'!BR8</f>
        <v>0</v>
      </c>
      <c r="CB157" s="449">
        <f>'Fiche info'!BS8</f>
        <v>0</v>
      </c>
      <c r="CC157" s="449">
        <f>'Fiche info'!BT8</f>
        <v>0</v>
      </c>
      <c r="CD157" s="449">
        <f>'Fiche info'!BU8</f>
        <v>0</v>
      </c>
      <c r="CE157" s="449">
        <f>'Fiche info'!BV8</f>
        <v>0</v>
      </c>
      <c r="CF157" s="449">
        <f>'Fiche info'!BW8</f>
        <v>0</v>
      </c>
      <c r="ED157" s="16" t="str">
        <f t="shared" si="38"/>
        <v>Fiche infoG</v>
      </c>
      <c r="EE157" s="16" t="str">
        <f t="shared" si="40"/>
        <v>Fiche info</v>
      </c>
      <c r="EF157" s="16" t="str">
        <f t="shared" si="41"/>
        <v>G</v>
      </c>
      <c r="EG157" s="16">
        <f t="shared" si="42"/>
        <v>2</v>
      </c>
      <c r="EH157" s="16" t="str">
        <f t="shared" si="43"/>
        <v>Mardi</v>
      </c>
      <c r="EI157" s="16" t="str">
        <f t="shared" si="44"/>
        <v/>
      </c>
      <c r="FB157" s="16" t="str">
        <f t="shared" si="47"/>
        <v/>
      </c>
      <c r="FC157" s="16" t="str">
        <f t="shared" si="48"/>
        <v/>
      </c>
      <c r="FD157" s="30">
        <f t="shared" si="39"/>
        <v>44835</v>
      </c>
      <c r="FE157" s="30" t="str">
        <f>+IFERROR(VLOOKUP(FD157,BDD,83,FALSE),"")</f>
        <v/>
      </c>
      <c r="FF157" s="30" t="str">
        <f>+IFERROR(VLOOKUP(FD157,BDD,84,FALSE),"")</f>
        <v/>
      </c>
      <c r="FG157" s="30" t="str">
        <f>+IFERROR(VLOOKUP(FD157,BDD,85,FALSE),"")</f>
        <v/>
      </c>
      <c r="FH157" s="30" t="str">
        <f>+IFERROR(VLOOKUP(FD157,BDD,86,FALSE),"")</f>
        <v/>
      </c>
      <c r="FW157" s="16" t="str">
        <f>Mai!GB50</f>
        <v>222025</v>
      </c>
      <c r="FX157" s="16">
        <f>Mai!GC50</f>
        <v>0</v>
      </c>
    </row>
    <row r="158" spans="1:180" x14ac:dyDescent="0.2">
      <c r="A158" s="16" t="str">
        <f t="shared" si="36"/>
        <v>Fiche infoG3</v>
      </c>
      <c r="B158" s="16" t="str">
        <f t="shared" si="37"/>
        <v>Fiche info</v>
      </c>
      <c r="C158" s="27" t="s">
        <v>245</v>
      </c>
      <c r="D158" s="27">
        <v>3</v>
      </c>
      <c r="E158" s="16" t="s">
        <v>19</v>
      </c>
      <c r="F158" s="34" t="str">
        <f>+IF('Fiche info'!$BY$9=0,"",'Fiche info'!$BY$9)</f>
        <v/>
      </c>
      <c r="G158" s="16">
        <f t="shared" si="45"/>
        <v>0</v>
      </c>
      <c r="BX158" s="16" t="str">
        <f t="shared" si="46"/>
        <v>Fiche infoG3</v>
      </c>
      <c r="BY158" s="449">
        <f>'Fiche info'!BP9</f>
        <v>0</v>
      </c>
      <c r="BZ158" s="449">
        <f>'Fiche info'!BQ9</f>
        <v>0</v>
      </c>
      <c r="CA158" s="449">
        <f>'Fiche info'!BR9</f>
        <v>0</v>
      </c>
      <c r="CB158" s="449">
        <f>'Fiche info'!BS9</f>
        <v>0</v>
      </c>
      <c r="CC158" s="449">
        <f>'Fiche info'!BT9</f>
        <v>0</v>
      </c>
      <c r="CD158" s="449">
        <f>'Fiche info'!BU9</f>
        <v>0</v>
      </c>
      <c r="CE158" s="449">
        <f>'Fiche info'!BV9</f>
        <v>0</v>
      </c>
      <c r="CF158" s="449">
        <f>'Fiche info'!BW9</f>
        <v>0</v>
      </c>
      <c r="ED158" s="16" t="str">
        <f t="shared" si="38"/>
        <v>Fiche infoG</v>
      </c>
      <c r="EE158" s="16" t="str">
        <f t="shared" si="40"/>
        <v>Fiche info</v>
      </c>
      <c r="EF158" s="16" t="str">
        <f t="shared" si="41"/>
        <v>G</v>
      </c>
      <c r="EG158" s="16">
        <f t="shared" si="42"/>
        <v>3</v>
      </c>
      <c r="EH158" s="16" t="str">
        <f t="shared" si="43"/>
        <v>Mercredi</v>
      </c>
      <c r="EI158" s="16" t="str">
        <f t="shared" si="44"/>
        <v/>
      </c>
      <c r="FB158" s="16" t="str">
        <f t="shared" si="47"/>
        <v/>
      </c>
      <c r="FC158" s="16" t="str">
        <f t="shared" si="48"/>
        <v/>
      </c>
      <c r="FD158" s="30">
        <f t="shared" si="39"/>
        <v>44805</v>
      </c>
      <c r="FE158" s="30" t="str">
        <f>+IFERROR(VLOOKUP(FD158,BDD,71,FALSE),"")</f>
        <v/>
      </c>
      <c r="FF158" s="30" t="str">
        <f>IFERROR(+VLOOKUP(FD158,BDD,72,FALSE),"")</f>
        <v/>
      </c>
      <c r="FG158" s="30" t="str">
        <f>+IFERROR(VLOOKUP(FD158,BDD,73,FALSE),"")</f>
        <v/>
      </c>
      <c r="FH158" s="30" t="str">
        <f>+IFERROR(VLOOKUP(FD158,BDD,74,FALSE),"")</f>
        <v/>
      </c>
      <c r="FW158" s="16" t="str">
        <f>Juin!GB20</f>
        <v>222025</v>
      </c>
      <c r="FX158" s="16">
        <f>Juin!GC20</f>
        <v>0</v>
      </c>
    </row>
    <row r="159" spans="1:180" x14ac:dyDescent="0.2">
      <c r="A159" s="16" t="str">
        <f t="shared" si="36"/>
        <v>Fiche infoG4</v>
      </c>
      <c r="B159" s="16" t="str">
        <f t="shared" si="37"/>
        <v>Fiche info</v>
      </c>
      <c r="C159" s="27" t="s">
        <v>245</v>
      </c>
      <c r="D159" s="27">
        <v>4</v>
      </c>
      <c r="E159" s="16" t="s">
        <v>20</v>
      </c>
      <c r="F159" s="34" t="str">
        <f>+IF('Fiche info'!$BY$10=0,"",'Fiche info'!$BY$10)</f>
        <v/>
      </c>
      <c r="G159" s="16">
        <f t="shared" si="45"/>
        <v>0</v>
      </c>
      <c r="BX159" s="16" t="str">
        <f t="shared" si="46"/>
        <v>Fiche infoG4</v>
      </c>
      <c r="BY159" s="449">
        <f>'Fiche info'!BP10</f>
        <v>0</v>
      </c>
      <c r="BZ159" s="449">
        <f>'Fiche info'!BQ10</f>
        <v>0</v>
      </c>
      <c r="CA159" s="449">
        <f>'Fiche info'!BR10</f>
        <v>0</v>
      </c>
      <c r="CB159" s="449">
        <f>'Fiche info'!BS10</f>
        <v>0</v>
      </c>
      <c r="CC159" s="449">
        <f>'Fiche info'!BT10</f>
        <v>0</v>
      </c>
      <c r="CD159" s="449">
        <f>'Fiche info'!BU10</f>
        <v>0</v>
      </c>
      <c r="CE159" s="449">
        <f>'Fiche info'!BV10</f>
        <v>0</v>
      </c>
      <c r="CF159" s="449">
        <f>'Fiche info'!BW10</f>
        <v>0</v>
      </c>
      <c r="ED159" s="16" t="str">
        <f t="shared" si="38"/>
        <v>Fiche infoG</v>
      </c>
      <c r="EE159" s="16" t="str">
        <f t="shared" si="40"/>
        <v>Fiche info</v>
      </c>
      <c r="EF159" s="16" t="str">
        <f t="shared" si="41"/>
        <v>G</v>
      </c>
      <c r="EG159" s="16">
        <f t="shared" si="42"/>
        <v>4</v>
      </c>
      <c r="EH159" s="16" t="str">
        <f t="shared" si="43"/>
        <v>Jeudi</v>
      </c>
      <c r="EI159" s="16" t="str">
        <f t="shared" si="44"/>
        <v/>
      </c>
      <c r="FB159" s="16" t="str">
        <f t="shared" si="47"/>
        <v/>
      </c>
      <c r="FC159" s="16" t="str">
        <f t="shared" si="48"/>
        <v/>
      </c>
      <c r="FD159" s="30">
        <f t="shared" si="39"/>
        <v>44805</v>
      </c>
      <c r="FE159" s="30" t="str">
        <f>+IFERROR(VLOOKUP(FD159,BDD,75,FALSE),"")</f>
        <v/>
      </c>
      <c r="FF159" s="30" t="str">
        <f>+IFERROR(VLOOKUP(FD159,BDD,76,FALSE),"")</f>
        <v/>
      </c>
      <c r="FG159" s="30" t="str">
        <f>IFERROR(+VLOOKUP(FD159,BDD,77,FALSE),"")</f>
        <v/>
      </c>
      <c r="FH159" s="30" t="str">
        <f>+IFERROR(VLOOKUP(FD159,BDD,78,FALSE),"")</f>
        <v/>
      </c>
      <c r="FW159" s="16" t="str">
        <f>Juin!GB21</f>
        <v>232025</v>
      </c>
      <c r="FX159" s="16">
        <f>Juin!GC21</f>
        <v>0</v>
      </c>
    </row>
    <row r="160" spans="1:180" x14ac:dyDescent="0.2">
      <c r="A160" s="16" t="str">
        <f t="shared" si="36"/>
        <v>Fiche infoG5</v>
      </c>
      <c r="B160" s="16" t="str">
        <f t="shared" si="37"/>
        <v>Fiche info</v>
      </c>
      <c r="C160" s="27" t="s">
        <v>245</v>
      </c>
      <c r="D160" s="27">
        <v>5</v>
      </c>
      <c r="E160" s="16" t="s">
        <v>21</v>
      </c>
      <c r="F160" s="34" t="str">
        <f>+IF('Fiche info'!$BY$11=0,"",'Fiche info'!$BY$11)</f>
        <v/>
      </c>
      <c r="G160" s="16">
        <f t="shared" si="45"/>
        <v>0</v>
      </c>
      <c r="BX160" s="16" t="str">
        <f t="shared" si="46"/>
        <v>Fiche infoG5</v>
      </c>
      <c r="BY160" s="449">
        <f>'Fiche info'!BP11</f>
        <v>0</v>
      </c>
      <c r="BZ160" s="449">
        <f>'Fiche info'!BQ11</f>
        <v>0</v>
      </c>
      <c r="CA160" s="449">
        <f>'Fiche info'!BR11</f>
        <v>0</v>
      </c>
      <c r="CB160" s="449">
        <f>'Fiche info'!BS11</f>
        <v>0</v>
      </c>
      <c r="CC160" s="449">
        <f>'Fiche info'!BT11</f>
        <v>0</v>
      </c>
      <c r="CD160" s="449">
        <f>'Fiche info'!BU11</f>
        <v>0</v>
      </c>
      <c r="CE160" s="449">
        <f>'Fiche info'!BV11</f>
        <v>0</v>
      </c>
      <c r="CF160" s="449">
        <f>'Fiche info'!BW11</f>
        <v>0</v>
      </c>
      <c r="ED160" s="16" t="str">
        <f t="shared" si="38"/>
        <v>Fiche infoG</v>
      </c>
      <c r="EE160" s="16" t="str">
        <f t="shared" si="40"/>
        <v>Fiche info</v>
      </c>
      <c r="EF160" s="16" t="str">
        <f t="shared" si="41"/>
        <v>G</v>
      </c>
      <c r="EG160" s="16">
        <f t="shared" si="42"/>
        <v>5</v>
      </c>
      <c r="EH160" s="16" t="str">
        <f t="shared" si="43"/>
        <v>Vendredi</v>
      </c>
      <c r="EI160" s="16" t="str">
        <f t="shared" si="44"/>
        <v/>
      </c>
      <c r="FB160" s="16" t="str">
        <f t="shared" si="47"/>
        <v/>
      </c>
      <c r="FC160" s="16" t="str">
        <f t="shared" si="48"/>
        <v/>
      </c>
      <c r="FD160" s="30">
        <f t="shared" si="39"/>
        <v>44805</v>
      </c>
      <c r="FE160" s="30" t="str">
        <f>+IFERROR(VLOOKUP(FD160,BDD,79,FALSE),"")</f>
        <v/>
      </c>
      <c r="FF160" s="30" t="str">
        <f>IFERROR(+VLOOKUP(FD160,BDD,80,FALSE),"")</f>
        <v/>
      </c>
      <c r="FG160" s="30" t="str">
        <f>+IFERROR(VLOOKUP(FD160,BDD,81,FALSE),"")</f>
        <v/>
      </c>
      <c r="FH160" s="30" t="str">
        <f>+IFERROR(VLOOKUP(FD160,BDD,82,FALSE),"")</f>
        <v/>
      </c>
      <c r="FW160" s="16" t="str">
        <f>Juin!GB22</f>
        <v>232025</v>
      </c>
      <c r="FX160" s="16">
        <f>Juin!GC22</f>
        <v>0</v>
      </c>
    </row>
    <row r="161" spans="1:180" x14ac:dyDescent="0.2">
      <c r="A161" s="16" t="str">
        <f t="shared" si="36"/>
        <v>Fiche infoG6</v>
      </c>
      <c r="B161" s="16" t="str">
        <f t="shared" si="37"/>
        <v>Fiche info</v>
      </c>
      <c r="C161" s="27" t="s">
        <v>245</v>
      </c>
      <c r="D161" s="27">
        <v>6</v>
      </c>
      <c r="E161" s="16" t="s">
        <v>193</v>
      </c>
      <c r="F161" s="34" t="str">
        <f>+IF('Fiche info'!$BY$12=0,"",'Fiche info'!$BY$12)</f>
        <v/>
      </c>
      <c r="G161" s="16">
        <f t="shared" si="45"/>
        <v>0</v>
      </c>
      <c r="BX161" s="16" t="str">
        <f t="shared" si="46"/>
        <v>Fiche infoG6</v>
      </c>
      <c r="BY161" s="449">
        <f>'Fiche info'!BP12</f>
        <v>0</v>
      </c>
      <c r="BZ161" s="449">
        <f>'Fiche info'!BQ12</f>
        <v>0</v>
      </c>
      <c r="CA161" s="449">
        <f>'Fiche info'!BR12</f>
        <v>0</v>
      </c>
      <c r="CB161" s="449">
        <f>'Fiche info'!BS12</f>
        <v>0</v>
      </c>
      <c r="CC161" s="449">
        <f>'Fiche info'!BT12</f>
        <v>0</v>
      </c>
      <c r="CD161" s="449">
        <f>'Fiche info'!BU12</f>
        <v>0</v>
      </c>
      <c r="CE161" s="449">
        <f>'Fiche info'!BV12</f>
        <v>0</v>
      </c>
      <c r="CF161" s="449">
        <f>'Fiche info'!BW12</f>
        <v>0</v>
      </c>
      <c r="ED161" s="16" t="str">
        <f t="shared" si="38"/>
        <v>Fiche infoG</v>
      </c>
      <c r="EE161" s="16" t="str">
        <f t="shared" si="40"/>
        <v>Fiche info</v>
      </c>
      <c r="EF161" s="16" t="str">
        <f t="shared" si="41"/>
        <v>G</v>
      </c>
      <c r="EG161" s="16">
        <f t="shared" si="42"/>
        <v>6</v>
      </c>
      <c r="EH161" s="16" t="str">
        <f t="shared" si="43"/>
        <v>Samedi</v>
      </c>
      <c r="EI161" s="16" t="str">
        <f t="shared" si="44"/>
        <v/>
      </c>
      <c r="FB161" s="16" t="str">
        <f t="shared" si="47"/>
        <v/>
      </c>
      <c r="FC161" s="16" t="str">
        <f t="shared" si="48"/>
        <v/>
      </c>
      <c r="FD161" s="30">
        <f t="shared" si="39"/>
        <v>44805</v>
      </c>
      <c r="FE161" s="30" t="str">
        <f>+IFERROR(VLOOKUP(FD161,BDD,83,FALSE),"")</f>
        <v/>
      </c>
      <c r="FF161" s="30" t="str">
        <f>+IFERROR(VLOOKUP(FD161,BDD,84,FALSE),"")</f>
        <v/>
      </c>
      <c r="FG161" s="30" t="str">
        <f>+IFERROR(VLOOKUP(FD161,BDD,85,FALSE),"")</f>
        <v/>
      </c>
      <c r="FH161" s="30" t="str">
        <f>+IFERROR(VLOOKUP(FD161,BDD,86,FALSE),"")</f>
        <v/>
      </c>
      <c r="FW161" s="16" t="str">
        <f>Juin!GB23</f>
        <v>232025</v>
      </c>
      <c r="FX161" s="16">
        <f>Juin!GC23</f>
        <v>0</v>
      </c>
    </row>
    <row r="162" spans="1:180" x14ac:dyDescent="0.2">
      <c r="A162" s="16" t="str">
        <f t="shared" si="36"/>
        <v>Fiche infoG7</v>
      </c>
      <c r="B162" s="16" t="str">
        <f t="shared" si="37"/>
        <v>Fiche info</v>
      </c>
      <c r="C162" s="27" t="s">
        <v>245</v>
      </c>
      <c r="D162" s="27">
        <v>7</v>
      </c>
      <c r="E162" s="16" t="s">
        <v>194</v>
      </c>
      <c r="F162" s="34" t="str">
        <f>+IF('Fiche info'!$BY$13=0,"",'Fiche info'!$BY$13)</f>
        <v/>
      </c>
      <c r="G162" s="16">
        <f t="shared" si="45"/>
        <v>0</v>
      </c>
      <c r="BX162" s="16" t="str">
        <f t="shared" si="46"/>
        <v>Fiche infoG7</v>
      </c>
      <c r="BY162" s="449">
        <f>'Fiche info'!BP13</f>
        <v>0</v>
      </c>
      <c r="BZ162" s="449">
        <f>'Fiche info'!BQ13</f>
        <v>0</v>
      </c>
      <c r="CA162" s="449">
        <f>'Fiche info'!BR13</f>
        <v>0</v>
      </c>
      <c r="CB162" s="449">
        <f>'Fiche info'!BS13</f>
        <v>0</v>
      </c>
      <c r="CC162" s="449">
        <f>'Fiche info'!BT13</f>
        <v>0</v>
      </c>
      <c r="CD162" s="449">
        <f>'Fiche info'!BU13</f>
        <v>0</v>
      </c>
      <c r="CE162" s="449">
        <f>'Fiche info'!BV13</f>
        <v>0</v>
      </c>
      <c r="CF162" s="449">
        <f>'Fiche info'!BW13</f>
        <v>0</v>
      </c>
      <c r="ED162" s="16" t="str">
        <f t="shared" si="38"/>
        <v>Fiche infoG</v>
      </c>
      <c r="EE162" s="16" t="str">
        <f t="shared" si="40"/>
        <v>Fiche info</v>
      </c>
      <c r="EF162" s="16" t="str">
        <f t="shared" si="41"/>
        <v>G</v>
      </c>
      <c r="EG162" s="16">
        <f t="shared" si="42"/>
        <v>7</v>
      </c>
      <c r="EH162" s="16" t="str">
        <f t="shared" si="43"/>
        <v>Dimanche</v>
      </c>
      <c r="EI162" s="16" t="str">
        <f t="shared" si="44"/>
        <v/>
      </c>
      <c r="FB162" s="16" t="str">
        <f t="shared" si="47"/>
        <v/>
      </c>
      <c r="FC162" s="16" t="str">
        <f t="shared" si="48"/>
        <v/>
      </c>
      <c r="FD162" s="30">
        <f t="shared" si="39"/>
        <v>44774</v>
      </c>
      <c r="FE162" s="30" t="str">
        <f>+IFERROR(VLOOKUP(FD162,BDD,71,FALSE),"")</f>
        <v/>
      </c>
      <c r="FF162" s="30" t="str">
        <f>IFERROR(+VLOOKUP(FD162,BDD,72,FALSE),"")</f>
        <v/>
      </c>
      <c r="FG162" s="30" t="str">
        <f>+IFERROR(VLOOKUP(FD162,BDD,73,FALSE),"")</f>
        <v/>
      </c>
      <c r="FH162" s="30" t="str">
        <f>+IFERROR(VLOOKUP(FD162,BDD,74,FALSE),"")</f>
        <v/>
      </c>
      <c r="FW162" s="16" t="str">
        <f>Juin!GB24</f>
        <v>232025</v>
      </c>
      <c r="FX162" s="16">
        <f>Juin!GC24</f>
        <v>0</v>
      </c>
    </row>
    <row r="163" spans="1:180" x14ac:dyDescent="0.2">
      <c r="A163" s="16" t="str">
        <f t="shared" si="36"/>
        <v>Fiche infoH1</v>
      </c>
      <c r="B163" s="16" t="str">
        <f t="shared" si="37"/>
        <v>Fiche info</v>
      </c>
      <c r="C163" s="27" t="s">
        <v>246</v>
      </c>
      <c r="D163" s="27">
        <v>1</v>
      </c>
      <c r="E163" s="16" t="s">
        <v>17</v>
      </c>
      <c r="F163" s="34" t="str">
        <f>+IF('Fiche info'!$CJ$7=0,"",'Fiche info'!$CJ$7)</f>
        <v/>
      </c>
      <c r="G163" s="16">
        <f t="shared" si="45"/>
        <v>0</v>
      </c>
      <c r="BX163" s="16" t="str">
        <f t="shared" si="46"/>
        <v>Fiche infoH1</v>
      </c>
      <c r="BY163" s="449">
        <f>'Fiche info'!CA7</f>
        <v>0</v>
      </c>
      <c r="BZ163" s="449">
        <f>'Fiche info'!CB7</f>
        <v>0</v>
      </c>
      <c r="CA163" s="449">
        <f>'Fiche info'!CC7</f>
        <v>0</v>
      </c>
      <c r="CB163" s="449">
        <f>'Fiche info'!CD7</f>
        <v>0</v>
      </c>
      <c r="CC163" s="449">
        <f>'Fiche info'!CE7</f>
        <v>0</v>
      </c>
      <c r="CD163" s="449">
        <f>'Fiche info'!CF7</f>
        <v>0</v>
      </c>
      <c r="CE163" s="449">
        <f>'Fiche info'!CG7</f>
        <v>0</v>
      </c>
      <c r="CF163" s="449">
        <f>'Fiche info'!CH7</f>
        <v>0</v>
      </c>
      <c r="ED163" s="16" t="str">
        <f t="shared" si="38"/>
        <v>Fiche infoH</v>
      </c>
      <c r="EE163" s="16" t="str">
        <f t="shared" si="40"/>
        <v>Fiche info</v>
      </c>
      <c r="EF163" s="16" t="str">
        <f t="shared" si="41"/>
        <v>H</v>
      </c>
      <c r="EG163" s="16">
        <f t="shared" si="42"/>
        <v>1</v>
      </c>
      <c r="EH163" s="16" t="str">
        <f t="shared" si="43"/>
        <v>Lundi</v>
      </c>
      <c r="EI163" s="16" t="str">
        <f t="shared" si="44"/>
        <v/>
      </c>
      <c r="FB163" s="16" t="str">
        <f t="shared" si="47"/>
        <v/>
      </c>
      <c r="FC163" s="16" t="str">
        <f t="shared" si="48"/>
        <v/>
      </c>
      <c r="FD163" s="30">
        <f t="shared" si="39"/>
        <v>44774</v>
      </c>
      <c r="FE163" s="30" t="str">
        <f>+IFERROR(VLOOKUP(FD163,BDD,75,FALSE),"")</f>
        <v/>
      </c>
      <c r="FF163" s="30" t="str">
        <f>+IFERROR(VLOOKUP(FD163,BDD,76,FALSE),"")</f>
        <v/>
      </c>
      <c r="FG163" s="30" t="str">
        <f>IFERROR(+VLOOKUP(FD163,BDD,77,FALSE),"")</f>
        <v/>
      </c>
      <c r="FH163" s="30" t="str">
        <f>+IFERROR(VLOOKUP(FD163,BDD,78,FALSE),"")</f>
        <v/>
      </c>
      <c r="FW163" s="16" t="str">
        <f>Juin!GB25</f>
        <v>232025</v>
      </c>
      <c r="FX163" s="16">
        <f>Juin!GC25</f>
        <v>0</v>
      </c>
    </row>
    <row r="164" spans="1:180" x14ac:dyDescent="0.2">
      <c r="A164" s="16" t="str">
        <f t="shared" si="36"/>
        <v>Fiche infoH2</v>
      </c>
      <c r="B164" s="16" t="str">
        <f t="shared" si="37"/>
        <v>Fiche info</v>
      </c>
      <c r="C164" s="27" t="s">
        <v>246</v>
      </c>
      <c r="D164" s="27">
        <v>2</v>
      </c>
      <c r="E164" s="16" t="s">
        <v>18</v>
      </c>
      <c r="F164" s="34" t="str">
        <f>+IF('Fiche info'!$CJ$8=0,"",'Fiche info'!$CJ$8)</f>
        <v/>
      </c>
      <c r="G164" s="16">
        <f t="shared" si="45"/>
        <v>0</v>
      </c>
      <c r="BX164" s="16" t="str">
        <f t="shared" si="46"/>
        <v>Fiche infoH2</v>
      </c>
      <c r="BY164" s="449">
        <f>'Fiche info'!CA8</f>
        <v>0</v>
      </c>
      <c r="BZ164" s="449">
        <f>'Fiche info'!CB8</f>
        <v>0</v>
      </c>
      <c r="CA164" s="449">
        <f>'Fiche info'!CC8</f>
        <v>0</v>
      </c>
      <c r="CB164" s="449">
        <f>'Fiche info'!CD8</f>
        <v>0</v>
      </c>
      <c r="CC164" s="449">
        <f>'Fiche info'!CE8</f>
        <v>0</v>
      </c>
      <c r="CD164" s="449">
        <f>'Fiche info'!CF8</f>
        <v>0</v>
      </c>
      <c r="CE164" s="449">
        <f>'Fiche info'!CG8</f>
        <v>0</v>
      </c>
      <c r="CF164" s="449">
        <f>'Fiche info'!CH8</f>
        <v>0</v>
      </c>
      <c r="ED164" s="16" t="str">
        <f t="shared" si="38"/>
        <v>Fiche infoH</v>
      </c>
      <c r="EE164" s="16" t="str">
        <f t="shared" si="40"/>
        <v>Fiche info</v>
      </c>
      <c r="EF164" s="16" t="str">
        <f t="shared" si="41"/>
        <v>H</v>
      </c>
      <c r="EG164" s="16">
        <f t="shared" si="42"/>
        <v>2</v>
      </c>
      <c r="EH164" s="16" t="str">
        <f t="shared" si="43"/>
        <v>Mardi</v>
      </c>
      <c r="EI164" s="16" t="str">
        <f t="shared" si="44"/>
        <v/>
      </c>
      <c r="FB164" s="16" t="str">
        <f t="shared" si="47"/>
        <v/>
      </c>
      <c r="FC164" s="16" t="str">
        <f t="shared" si="48"/>
        <v/>
      </c>
      <c r="FD164" s="30">
        <f t="shared" si="39"/>
        <v>44774</v>
      </c>
      <c r="FE164" s="30" t="str">
        <f>+IFERROR(VLOOKUP(FD164,BDD,79,FALSE),"")</f>
        <v/>
      </c>
      <c r="FF164" s="30" t="str">
        <f>IFERROR(+VLOOKUP(FD164,BDD,80,FALSE),"")</f>
        <v/>
      </c>
      <c r="FG164" s="30" t="str">
        <f>+IFERROR(VLOOKUP(FD164,BDD,81,FALSE),"")</f>
        <v/>
      </c>
      <c r="FH164" s="30" t="str">
        <f>+IFERROR(VLOOKUP(FD164,BDD,82,FALSE),"")</f>
        <v/>
      </c>
      <c r="FW164" s="16" t="str">
        <f>Juin!GB26</f>
        <v>232025</v>
      </c>
      <c r="FX164" s="16">
        <f>Juin!GC26</f>
        <v>0</v>
      </c>
    </row>
    <row r="165" spans="1:180" x14ac:dyDescent="0.2">
      <c r="A165" s="16" t="str">
        <f t="shared" si="36"/>
        <v>Fiche infoH3</v>
      </c>
      <c r="B165" s="16" t="str">
        <f t="shared" si="37"/>
        <v>Fiche info</v>
      </c>
      <c r="C165" s="27" t="s">
        <v>246</v>
      </c>
      <c r="D165" s="27">
        <v>3</v>
      </c>
      <c r="E165" s="16" t="s">
        <v>19</v>
      </c>
      <c r="F165" s="34" t="str">
        <f>+IF('Fiche info'!$CJ$9=0,"",'Fiche info'!$CJ$9)</f>
        <v/>
      </c>
      <c r="G165" s="16">
        <f t="shared" si="45"/>
        <v>0</v>
      </c>
      <c r="BX165" s="16" t="str">
        <f t="shared" si="46"/>
        <v>Fiche infoH3</v>
      </c>
      <c r="BY165" s="449">
        <f>'Fiche info'!CA9</f>
        <v>0</v>
      </c>
      <c r="BZ165" s="449">
        <f>'Fiche info'!CB9</f>
        <v>0</v>
      </c>
      <c r="CA165" s="449">
        <f>'Fiche info'!CC9</f>
        <v>0</v>
      </c>
      <c r="CB165" s="449">
        <f>'Fiche info'!CD9</f>
        <v>0</v>
      </c>
      <c r="CC165" s="449">
        <f>'Fiche info'!CE9</f>
        <v>0</v>
      </c>
      <c r="CD165" s="449">
        <f>'Fiche info'!CF9</f>
        <v>0</v>
      </c>
      <c r="CE165" s="449">
        <f>'Fiche info'!CG9</f>
        <v>0</v>
      </c>
      <c r="CF165" s="449">
        <f>'Fiche info'!CH9</f>
        <v>0</v>
      </c>
      <c r="ED165" s="16" t="str">
        <f t="shared" si="38"/>
        <v>Fiche infoH</v>
      </c>
      <c r="EE165" s="16" t="str">
        <f t="shared" si="40"/>
        <v>Fiche info</v>
      </c>
      <c r="EF165" s="16" t="str">
        <f t="shared" si="41"/>
        <v>H</v>
      </c>
      <c r="EG165" s="16">
        <f t="shared" si="42"/>
        <v>3</v>
      </c>
      <c r="EH165" s="16" t="str">
        <f t="shared" si="43"/>
        <v>Mercredi</v>
      </c>
      <c r="EI165" s="16" t="str">
        <f t="shared" si="44"/>
        <v/>
      </c>
      <c r="FB165" s="16" t="str">
        <f t="shared" si="47"/>
        <v/>
      </c>
      <c r="FC165" s="16" t="str">
        <f t="shared" si="48"/>
        <v/>
      </c>
      <c r="FD165" s="30">
        <f t="shared" si="39"/>
        <v>44774</v>
      </c>
      <c r="FE165" s="30" t="str">
        <f>+IFERROR(VLOOKUP(FD165,BDD,83,FALSE),"")</f>
        <v/>
      </c>
      <c r="FF165" s="30" t="str">
        <f>+IFERROR(VLOOKUP(FD165,BDD,84,FALSE),"")</f>
        <v/>
      </c>
      <c r="FG165" s="30" t="str">
        <f>+IFERROR(VLOOKUP(FD165,BDD,85,FALSE),"")</f>
        <v/>
      </c>
      <c r="FH165" s="30" t="str">
        <f>+IFERROR(VLOOKUP(FD165,BDD,86,FALSE),"")</f>
        <v/>
      </c>
      <c r="FW165" s="16" t="str">
        <f>Juin!GB27</f>
        <v>232025</v>
      </c>
      <c r="FX165" s="16">
        <f>Juin!GC27</f>
        <v>0</v>
      </c>
    </row>
    <row r="166" spans="1:180" x14ac:dyDescent="0.2">
      <c r="A166" s="16" t="str">
        <f t="shared" si="36"/>
        <v>Fiche infoH4</v>
      </c>
      <c r="B166" s="16" t="str">
        <f t="shared" si="37"/>
        <v>Fiche info</v>
      </c>
      <c r="C166" s="27" t="s">
        <v>246</v>
      </c>
      <c r="D166" s="27">
        <v>4</v>
      </c>
      <c r="E166" s="16" t="s">
        <v>20</v>
      </c>
      <c r="F166" s="34" t="str">
        <f>+IF('Fiche info'!$CJ$10=0,"",'Fiche info'!$CJ$10)</f>
        <v/>
      </c>
      <c r="G166" s="16">
        <f t="shared" si="45"/>
        <v>0</v>
      </c>
      <c r="BX166" s="16" t="str">
        <f t="shared" si="46"/>
        <v>Fiche infoH4</v>
      </c>
      <c r="BY166" s="449">
        <f>'Fiche info'!CA10</f>
        <v>0</v>
      </c>
      <c r="BZ166" s="449">
        <f>'Fiche info'!CB10</f>
        <v>0</v>
      </c>
      <c r="CA166" s="449">
        <f>'Fiche info'!CC10</f>
        <v>0</v>
      </c>
      <c r="CB166" s="449">
        <f>'Fiche info'!CD10</f>
        <v>0</v>
      </c>
      <c r="CC166" s="449">
        <f>'Fiche info'!CE10</f>
        <v>0</v>
      </c>
      <c r="CD166" s="449">
        <f>'Fiche info'!CF10</f>
        <v>0</v>
      </c>
      <c r="CE166" s="449">
        <f>'Fiche info'!CG10</f>
        <v>0</v>
      </c>
      <c r="CF166" s="449">
        <f>'Fiche info'!CH10</f>
        <v>0</v>
      </c>
      <c r="ED166" s="16" t="str">
        <f t="shared" si="38"/>
        <v>Fiche infoH</v>
      </c>
      <c r="EE166" s="16" t="str">
        <f t="shared" si="40"/>
        <v>Fiche info</v>
      </c>
      <c r="EF166" s="16" t="str">
        <f t="shared" si="41"/>
        <v>H</v>
      </c>
      <c r="EG166" s="16">
        <f t="shared" si="42"/>
        <v>4</v>
      </c>
      <c r="EH166" s="16" t="str">
        <f t="shared" si="43"/>
        <v>Jeudi</v>
      </c>
      <c r="EI166" s="16" t="str">
        <f t="shared" si="44"/>
        <v/>
      </c>
      <c r="FB166" s="16" t="str">
        <f t="shared" si="47"/>
        <v/>
      </c>
      <c r="FC166" s="16" t="str">
        <f t="shared" si="48"/>
        <v/>
      </c>
      <c r="FD166" s="30">
        <f t="shared" si="39"/>
        <v>44743</v>
      </c>
      <c r="FE166" s="30" t="str">
        <f>+IFERROR(VLOOKUP(FD166,BDD,71,FALSE),"")</f>
        <v/>
      </c>
      <c r="FF166" s="30" t="str">
        <f>IFERROR(+VLOOKUP(FD166,BDD,72,FALSE),"")</f>
        <v/>
      </c>
      <c r="FG166" s="30" t="str">
        <f>+IFERROR(VLOOKUP(FD166,BDD,73,FALSE),"")</f>
        <v/>
      </c>
      <c r="FH166" s="30" t="str">
        <f>+IFERROR(VLOOKUP(FD166,BDD,74,FALSE),"")</f>
        <v/>
      </c>
      <c r="FW166" s="16" t="str">
        <f>Juin!GB28</f>
        <v>242025</v>
      </c>
      <c r="FX166" s="16">
        <f>Juin!GC28</f>
        <v>0</v>
      </c>
    </row>
    <row r="167" spans="1:180" x14ac:dyDescent="0.2">
      <c r="A167" s="16" t="str">
        <f t="shared" si="36"/>
        <v>Fiche infoH5</v>
      </c>
      <c r="B167" s="16" t="str">
        <f t="shared" si="37"/>
        <v>Fiche info</v>
      </c>
      <c r="C167" s="27" t="s">
        <v>246</v>
      </c>
      <c r="D167" s="27">
        <v>5</v>
      </c>
      <c r="E167" s="16" t="s">
        <v>21</v>
      </c>
      <c r="F167" s="34" t="str">
        <f>+IF('Fiche info'!$CJ$11=0,"",'Fiche info'!$CJ$11)</f>
        <v/>
      </c>
      <c r="G167" s="16">
        <f t="shared" si="45"/>
        <v>0</v>
      </c>
      <c r="BX167" s="16" t="str">
        <f t="shared" si="46"/>
        <v>Fiche infoH5</v>
      </c>
      <c r="BY167" s="449">
        <f>'Fiche info'!CA11</f>
        <v>0</v>
      </c>
      <c r="BZ167" s="449">
        <f>'Fiche info'!CB11</f>
        <v>0</v>
      </c>
      <c r="CA167" s="449">
        <f>'Fiche info'!CC11</f>
        <v>0</v>
      </c>
      <c r="CB167" s="449">
        <f>'Fiche info'!CD11</f>
        <v>0</v>
      </c>
      <c r="CC167" s="449">
        <f>'Fiche info'!CE11</f>
        <v>0</v>
      </c>
      <c r="CD167" s="449">
        <f>'Fiche info'!CF11</f>
        <v>0</v>
      </c>
      <c r="CE167" s="449">
        <f>'Fiche info'!CG11</f>
        <v>0</v>
      </c>
      <c r="CF167" s="449">
        <f>'Fiche info'!CH11</f>
        <v>0</v>
      </c>
      <c r="ED167" s="16" t="str">
        <f t="shared" si="38"/>
        <v>Fiche infoH</v>
      </c>
      <c r="EE167" s="16" t="str">
        <f t="shared" si="40"/>
        <v>Fiche info</v>
      </c>
      <c r="EF167" s="16" t="str">
        <f t="shared" si="41"/>
        <v>H</v>
      </c>
      <c r="EG167" s="16">
        <f t="shared" si="42"/>
        <v>5</v>
      </c>
      <c r="EH167" s="16" t="str">
        <f t="shared" si="43"/>
        <v>Vendredi</v>
      </c>
      <c r="EI167" s="16" t="str">
        <f t="shared" si="44"/>
        <v/>
      </c>
      <c r="FB167" s="16" t="str">
        <f t="shared" si="47"/>
        <v/>
      </c>
      <c r="FC167" s="16" t="str">
        <f t="shared" si="48"/>
        <v/>
      </c>
      <c r="FD167" s="30">
        <f t="shared" si="39"/>
        <v>44743</v>
      </c>
      <c r="FE167" s="30" t="str">
        <f>+IFERROR(VLOOKUP(FD167,BDD,75,FALSE),"")</f>
        <v/>
      </c>
      <c r="FF167" s="30" t="str">
        <f>+IFERROR(VLOOKUP(FD167,BDD,76,FALSE),"")</f>
        <v/>
      </c>
      <c r="FG167" s="30" t="str">
        <f>IFERROR(+VLOOKUP(FD167,BDD,77,FALSE),"")</f>
        <v/>
      </c>
      <c r="FH167" s="30" t="str">
        <f>+IFERROR(VLOOKUP(FD167,BDD,78,FALSE),"")</f>
        <v/>
      </c>
      <c r="FW167" s="16" t="str">
        <f>Juin!GB29</f>
        <v>242025</v>
      </c>
      <c r="FX167" s="16">
        <f>Juin!GC29</f>
        <v>0</v>
      </c>
    </row>
    <row r="168" spans="1:180" x14ac:dyDescent="0.2">
      <c r="A168" s="16" t="str">
        <f t="shared" si="36"/>
        <v>Fiche infoH6</v>
      </c>
      <c r="B168" s="16" t="str">
        <f t="shared" si="37"/>
        <v>Fiche info</v>
      </c>
      <c r="C168" s="27" t="s">
        <v>246</v>
      </c>
      <c r="D168" s="27">
        <v>6</v>
      </c>
      <c r="E168" s="16" t="s">
        <v>193</v>
      </c>
      <c r="F168" s="34" t="str">
        <f>+IF('Fiche info'!$CJ$12=0,"",'Fiche info'!$CJ$12)</f>
        <v/>
      </c>
      <c r="G168" s="16">
        <f t="shared" si="45"/>
        <v>0</v>
      </c>
      <c r="BX168" s="16" t="str">
        <f t="shared" si="46"/>
        <v>Fiche infoH6</v>
      </c>
      <c r="BY168" s="449">
        <f>'Fiche info'!CA12</f>
        <v>0</v>
      </c>
      <c r="BZ168" s="449">
        <f>'Fiche info'!CB12</f>
        <v>0</v>
      </c>
      <c r="CA168" s="449">
        <f>'Fiche info'!CC12</f>
        <v>0</v>
      </c>
      <c r="CB168" s="449">
        <f>'Fiche info'!CD12</f>
        <v>0</v>
      </c>
      <c r="CC168" s="449">
        <f>'Fiche info'!CE12</f>
        <v>0</v>
      </c>
      <c r="CD168" s="449">
        <f>'Fiche info'!CF12</f>
        <v>0</v>
      </c>
      <c r="CE168" s="449">
        <f>'Fiche info'!CG12</f>
        <v>0</v>
      </c>
      <c r="CF168" s="449">
        <f>'Fiche info'!CH12</f>
        <v>0</v>
      </c>
      <c r="ED168" s="16" t="str">
        <f t="shared" si="38"/>
        <v>Fiche infoH</v>
      </c>
      <c r="EE168" s="16" t="str">
        <f t="shared" si="40"/>
        <v>Fiche info</v>
      </c>
      <c r="EF168" s="16" t="str">
        <f t="shared" si="41"/>
        <v>H</v>
      </c>
      <c r="EG168" s="16">
        <f t="shared" si="42"/>
        <v>6</v>
      </c>
      <c r="EH168" s="16" t="str">
        <f t="shared" si="43"/>
        <v>Samedi</v>
      </c>
      <c r="EI168" s="16" t="str">
        <f t="shared" si="44"/>
        <v/>
      </c>
      <c r="FB168" s="16" t="str">
        <f t="shared" si="47"/>
        <v/>
      </c>
      <c r="FC168" s="16" t="str">
        <f t="shared" si="48"/>
        <v/>
      </c>
      <c r="FD168" s="30">
        <f t="shared" si="39"/>
        <v>44743</v>
      </c>
      <c r="FE168" s="30" t="str">
        <f>+IFERROR(VLOOKUP(FD168,BDD,79,FALSE),"")</f>
        <v/>
      </c>
      <c r="FF168" s="30" t="str">
        <f>IFERROR(+VLOOKUP(FD168,BDD,80,FALSE),"")</f>
        <v/>
      </c>
      <c r="FG168" s="30" t="str">
        <f>+IFERROR(VLOOKUP(FD168,BDD,81,FALSE),"")</f>
        <v/>
      </c>
      <c r="FH168" s="30" t="str">
        <f>+IFERROR(VLOOKUP(FD168,BDD,82,FALSE),"")</f>
        <v/>
      </c>
      <c r="FW168" s="16" t="str">
        <f>Juin!GB30</f>
        <v>242025</v>
      </c>
      <c r="FX168" s="16">
        <f>Juin!GC30</f>
        <v>0</v>
      </c>
    </row>
    <row r="169" spans="1:180" x14ac:dyDescent="0.2">
      <c r="A169" s="16" t="str">
        <f t="shared" si="36"/>
        <v>Fiche infoH7</v>
      </c>
      <c r="B169" s="16" t="str">
        <f t="shared" si="37"/>
        <v>Fiche info</v>
      </c>
      <c r="C169" s="27" t="s">
        <v>246</v>
      </c>
      <c r="D169" s="27">
        <v>7</v>
      </c>
      <c r="E169" s="16" t="s">
        <v>194</v>
      </c>
      <c r="F169" s="34" t="str">
        <f>+IF('Fiche info'!$CJ$13=0,"",'Fiche info'!$CJ$13)</f>
        <v/>
      </c>
      <c r="G169" s="16">
        <f t="shared" si="45"/>
        <v>0</v>
      </c>
      <c r="BX169" s="16" t="str">
        <f t="shared" si="46"/>
        <v>Fiche infoH7</v>
      </c>
      <c r="BY169" s="449">
        <f>'Fiche info'!CA13</f>
        <v>0</v>
      </c>
      <c r="BZ169" s="449">
        <f>'Fiche info'!CB13</f>
        <v>0</v>
      </c>
      <c r="CA169" s="449">
        <f>'Fiche info'!CC13</f>
        <v>0</v>
      </c>
      <c r="CB169" s="449">
        <f>'Fiche info'!CD13</f>
        <v>0</v>
      </c>
      <c r="CC169" s="449">
        <f>'Fiche info'!CE13</f>
        <v>0</v>
      </c>
      <c r="CD169" s="449">
        <f>'Fiche info'!CF13</f>
        <v>0</v>
      </c>
      <c r="CE169" s="449">
        <f>'Fiche info'!CG13</f>
        <v>0</v>
      </c>
      <c r="CF169" s="449">
        <f>'Fiche info'!CH13</f>
        <v>0</v>
      </c>
      <c r="ED169" s="16" t="str">
        <f t="shared" si="38"/>
        <v>Fiche infoH</v>
      </c>
      <c r="EE169" s="16" t="str">
        <f t="shared" si="40"/>
        <v>Fiche info</v>
      </c>
      <c r="EF169" s="16" t="str">
        <f t="shared" si="41"/>
        <v>H</v>
      </c>
      <c r="EG169" s="16">
        <f t="shared" si="42"/>
        <v>7</v>
      </c>
      <c r="EH169" s="16" t="str">
        <f t="shared" si="43"/>
        <v>Dimanche</v>
      </c>
      <c r="EI169" s="16" t="str">
        <f t="shared" si="44"/>
        <v/>
      </c>
      <c r="FB169" s="16" t="str">
        <f t="shared" si="47"/>
        <v/>
      </c>
      <c r="FC169" s="16" t="str">
        <f t="shared" si="48"/>
        <v/>
      </c>
      <c r="FD169" s="30">
        <f t="shared" si="39"/>
        <v>44743</v>
      </c>
      <c r="FE169" s="30" t="str">
        <f>+IFERROR(VLOOKUP(FD169,BDD,83,FALSE),"")</f>
        <v/>
      </c>
      <c r="FF169" s="30" t="str">
        <f>+IFERROR(VLOOKUP(FD169,BDD,84,FALSE),"")</f>
        <v/>
      </c>
      <c r="FG169" s="30" t="str">
        <f>+IFERROR(VLOOKUP(FD169,BDD,85,FALSE),"")</f>
        <v/>
      </c>
      <c r="FH169" s="30" t="str">
        <f>+IFERROR(VLOOKUP(FD169,BDD,86,FALSE),"")</f>
        <v/>
      </c>
      <c r="FW169" s="16" t="str">
        <f>Juin!GB31</f>
        <v>242025</v>
      </c>
      <c r="FX169" s="16">
        <f>Juin!GC31</f>
        <v>0</v>
      </c>
    </row>
    <row r="170" spans="1:180" x14ac:dyDescent="0.2">
      <c r="A170" s="16" t="str">
        <f>+B170&amp;C170&amp;D170</f>
        <v>Fiche info Avenant 1A1</v>
      </c>
      <c r="B170" s="16" t="str">
        <f>+$P$5</f>
        <v>Fiche info Avenant 1</v>
      </c>
      <c r="C170" s="27" t="s">
        <v>235</v>
      </c>
      <c r="D170" s="27">
        <v>1</v>
      </c>
      <c r="E170" s="16" t="s">
        <v>17</v>
      </c>
      <c r="F170" s="34" t="str">
        <f>IF('Fiche info Avenant 1'!$K$7=0,"",'Fiche info Avenant 1'!$K$7)</f>
        <v/>
      </c>
      <c r="G170" s="16">
        <f t="shared" si="45"/>
        <v>0</v>
      </c>
      <c r="BX170" s="16" t="str">
        <f t="shared" si="46"/>
        <v>Fiche info Avenant 1A1</v>
      </c>
      <c r="BY170" s="449">
        <f>'Fiche info Avenant 1'!$B$7</f>
        <v>0</v>
      </c>
      <c r="BZ170" s="449">
        <f>'Fiche info Avenant 1'!$C$7</f>
        <v>0</v>
      </c>
      <c r="CA170" s="449">
        <f>'Fiche info Avenant 1'!$D$7</f>
        <v>0</v>
      </c>
      <c r="CB170" s="449">
        <f>'Fiche info Avenant 1'!$E$7</f>
        <v>0</v>
      </c>
      <c r="CC170" s="449">
        <f>'Fiche info Avenant 1'!$F$7</f>
        <v>0</v>
      </c>
      <c r="CD170" s="449">
        <f>'Fiche info Avenant 1'!$G$7</f>
        <v>0</v>
      </c>
      <c r="CE170" s="449">
        <f>'Fiche info Avenant 1'!$H$7</f>
        <v>0</v>
      </c>
      <c r="CF170" s="449">
        <f>'Fiche info Avenant 1'!$I$7</f>
        <v>0</v>
      </c>
      <c r="ED170" s="16" t="str">
        <f t="shared" si="38"/>
        <v>Fiche info Avenant 1A</v>
      </c>
      <c r="EE170" s="16" t="str">
        <f t="shared" si="40"/>
        <v>Fiche info Avenant 1</v>
      </c>
      <c r="EF170" s="16" t="str">
        <f t="shared" si="41"/>
        <v>A</v>
      </c>
      <c r="EG170" s="16">
        <f t="shared" si="42"/>
        <v>1</v>
      </c>
      <c r="EH170" s="16" t="str">
        <f t="shared" si="43"/>
        <v>Lundi</v>
      </c>
      <c r="EI170" s="16" t="str">
        <f t="shared" si="44"/>
        <v/>
      </c>
      <c r="FB170" s="16" t="str">
        <f t="shared" si="47"/>
        <v/>
      </c>
      <c r="FC170" s="16" t="str">
        <f t="shared" si="48"/>
        <v/>
      </c>
      <c r="FD170" s="30">
        <f t="shared" si="39"/>
        <v>44713</v>
      </c>
      <c r="FE170" s="30" t="str">
        <f>+IFERROR(VLOOKUP(FD170,BDD,71,FALSE),"")</f>
        <v/>
      </c>
      <c r="FF170" s="30" t="str">
        <f>IFERROR(+VLOOKUP(FD170,BDD,72,FALSE),"")</f>
        <v/>
      </c>
      <c r="FG170" s="30" t="str">
        <f>+IFERROR(VLOOKUP(FD170,BDD,73,FALSE),"")</f>
        <v/>
      </c>
      <c r="FH170" s="30" t="str">
        <f>+IFERROR(VLOOKUP(FD170,BDD,74,FALSE),"")</f>
        <v/>
      </c>
      <c r="FW170" s="16" t="str">
        <f>Juin!GB32</f>
        <v>242025</v>
      </c>
      <c r="FX170" s="16">
        <f>Juin!GC32</f>
        <v>0</v>
      </c>
    </row>
    <row r="171" spans="1:180" x14ac:dyDescent="0.2">
      <c r="A171" s="16" t="str">
        <f t="shared" ref="A171:A234" si="49">+B171&amp;C171&amp;D171</f>
        <v>Fiche info Avenant 1A2</v>
      </c>
      <c r="B171" s="16" t="str">
        <f t="shared" ref="B171:B225" si="50">+$P$5</f>
        <v>Fiche info Avenant 1</v>
      </c>
      <c r="C171" s="27" t="s">
        <v>235</v>
      </c>
      <c r="D171" s="27">
        <v>2</v>
      </c>
      <c r="E171" s="16" t="s">
        <v>18</v>
      </c>
      <c r="F171" s="34" t="str">
        <f>IF('Fiche info Avenant 1'!$K$8=0,"",'Fiche info Avenant 1'!$K$8)</f>
        <v/>
      </c>
      <c r="G171" s="16">
        <f t="shared" si="45"/>
        <v>0</v>
      </c>
      <c r="BX171" s="16" t="str">
        <f t="shared" si="46"/>
        <v>Fiche info Avenant 1A2</v>
      </c>
      <c r="BY171" s="449">
        <f>'Fiche info Avenant 1'!$B$8</f>
        <v>0</v>
      </c>
      <c r="BZ171" s="449">
        <f>'Fiche info Avenant 1'!$C$8</f>
        <v>0</v>
      </c>
      <c r="CA171" s="449">
        <f>'Fiche info Avenant 1'!$D$8</f>
        <v>0</v>
      </c>
      <c r="CB171" s="449">
        <f>'Fiche info Avenant 1'!$E$8</f>
        <v>0</v>
      </c>
      <c r="CC171" s="449">
        <f>'Fiche info Avenant 1'!$F$8</f>
        <v>0</v>
      </c>
      <c r="CD171" s="449">
        <f>'Fiche info Avenant 1'!$G$8</f>
        <v>0</v>
      </c>
      <c r="CE171" s="449">
        <f>'Fiche info Avenant 1'!$H$8</f>
        <v>0</v>
      </c>
      <c r="CF171" s="449">
        <f>'Fiche info Avenant 1'!$I$8</f>
        <v>0</v>
      </c>
      <c r="ED171" s="16" t="str">
        <f t="shared" si="38"/>
        <v>Fiche info Avenant 1A</v>
      </c>
      <c r="EE171" s="16" t="str">
        <f t="shared" si="40"/>
        <v>Fiche info Avenant 1</v>
      </c>
      <c r="EF171" s="16" t="str">
        <f t="shared" si="41"/>
        <v>A</v>
      </c>
      <c r="EG171" s="16">
        <f t="shared" si="42"/>
        <v>2</v>
      </c>
      <c r="EH171" s="16" t="str">
        <f t="shared" si="43"/>
        <v>Mardi</v>
      </c>
      <c r="EI171" s="16" t="str">
        <f t="shared" si="44"/>
        <v/>
      </c>
      <c r="FB171" s="16" t="str">
        <f t="shared" si="47"/>
        <v/>
      </c>
      <c r="FC171" s="16" t="str">
        <f t="shared" si="48"/>
        <v/>
      </c>
      <c r="FD171" s="30">
        <f t="shared" si="39"/>
        <v>44713</v>
      </c>
      <c r="FE171" s="30" t="str">
        <f>+IFERROR(VLOOKUP(FD171,BDD,75,FALSE),"")</f>
        <v/>
      </c>
      <c r="FF171" s="30" t="str">
        <f>+IFERROR(VLOOKUP(FD171,BDD,76,FALSE),"")</f>
        <v/>
      </c>
      <c r="FG171" s="30" t="str">
        <f>IFERROR(+VLOOKUP(FD171,BDD,77,FALSE),"")</f>
        <v/>
      </c>
      <c r="FH171" s="30" t="str">
        <f>+IFERROR(VLOOKUP(FD171,BDD,78,FALSE),"")</f>
        <v/>
      </c>
      <c r="FW171" s="16" t="str">
        <f>Juin!GB33</f>
        <v>242025</v>
      </c>
      <c r="FX171" s="16">
        <f>Juin!GC33</f>
        <v>0</v>
      </c>
    </row>
    <row r="172" spans="1:180" x14ac:dyDescent="0.2">
      <c r="A172" s="16" t="str">
        <f t="shared" si="49"/>
        <v>Fiche info Avenant 1A3</v>
      </c>
      <c r="B172" s="16" t="str">
        <f t="shared" si="50"/>
        <v>Fiche info Avenant 1</v>
      </c>
      <c r="C172" s="27" t="s">
        <v>235</v>
      </c>
      <c r="D172" s="27">
        <v>3</v>
      </c>
      <c r="E172" s="16" t="s">
        <v>19</v>
      </c>
      <c r="F172" s="34" t="str">
        <f>IF('Fiche info Avenant 1'!$K$9=0,"",'Fiche info Avenant 1'!$K$9)</f>
        <v/>
      </c>
      <c r="G172" s="16">
        <f t="shared" si="45"/>
        <v>0</v>
      </c>
      <c r="BX172" s="16" t="str">
        <f t="shared" si="46"/>
        <v>Fiche info Avenant 1A3</v>
      </c>
      <c r="BY172" s="449">
        <f>'Fiche info Avenant 1'!$B$9</f>
        <v>0</v>
      </c>
      <c r="BZ172" s="449">
        <f>'Fiche info Avenant 1'!$C$9</f>
        <v>0</v>
      </c>
      <c r="CA172" s="449">
        <f>'Fiche info Avenant 1'!$D$9</f>
        <v>0</v>
      </c>
      <c r="CB172" s="449">
        <f>'Fiche info Avenant 1'!$E$9</f>
        <v>0</v>
      </c>
      <c r="CC172" s="449">
        <f>'Fiche info Avenant 1'!$F$9</f>
        <v>0</v>
      </c>
      <c r="CD172" s="449">
        <f>'Fiche info Avenant 1'!$G$9</f>
        <v>0</v>
      </c>
      <c r="CE172" s="449">
        <f>'Fiche info Avenant 1'!$H$9</f>
        <v>0</v>
      </c>
      <c r="CF172" s="449">
        <f>'Fiche info Avenant 1'!$I$9</f>
        <v>0</v>
      </c>
      <c r="ED172" s="16" t="str">
        <f t="shared" si="38"/>
        <v>Fiche info Avenant 1A</v>
      </c>
      <c r="EE172" s="16" t="str">
        <f t="shared" si="40"/>
        <v>Fiche info Avenant 1</v>
      </c>
      <c r="EF172" s="16" t="str">
        <f t="shared" si="41"/>
        <v>A</v>
      </c>
      <c r="EG172" s="16">
        <f t="shared" si="42"/>
        <v>3</v>
      </c>
      <c r="EH172" s="16" t="str">
        <f t="shared" si="43"/>
        <v>Mercredi</v>
      </c>
      <c r="EI172" s="16" t="str">
        <f t="shared" si="44"/>
        <v/>
      </c>
      <c r="FB172" s="16" t="str">
        <f t="shared" si="47"/>
        <v/>
      </c>
      <c r="FC172" s="16" t="str">
        <f t="shared" si="48"/>
        <v/>
      </c>
      <c r="FD172" s="30">
        <f t="shared" si="39"/>
        <v>44713</v>
      </c>
      <c r="FE172" s="30" t="str">
        <f>+IFERROR(VLOOKUP(FD172,BDD,79,FALSE),"")</f>
        <v/>
      </c>
      <c r="FF172" s="30" t="str">
        <f>IFERROR(+VLOOKUP(FD172,BDD,80,FALSE),"")</f>
        <v/>
      </c>
      <c r="FG172" s="30" t="str">
        <f>+IFERROR(VLOOKUP(FD172,BDD,81,FALSE),"")</f>
        <v/>
      </c>
      <c r="FH172" s="30" t="str">
        <f>+IFERROR(VLOOKUP(FD172,BDD,82,FALSE),"")</f>
        <v/>
      </c>
      <c r="FW172" s="16" t="str">
        <f>Juin!GB34</f>
        <v>242025</v>
      </c>
      <c r="FX172" s="16">
        <f>Juin!GC34</f>
        <v>0</v>
      </c>
    </row>
    <row r="173" spans="1:180" x14ac:dyDescent="0.2">
      <c r="A173" s="16" t="str">
        <f t="shared" si="49"/>
        <v>Fiche info Avenant 1A4</v>
      </c>
      <c r="B173" s="16" t="str">
        <f t="shared" si="50"/>
        <v>Fiche info Avenant 1</v>
      </c>
      <c r="C173" s="27" t="s">
        <v>235</v>
      </c>
      <c r="D173" s="27">
        <v>4</v>
      </c>
      <c r="E173" s="16" t="s">
        <v>20</v>
      </c>
      <c r="F173" s="34" t="str">
        <f>IF('Fiche info Avenant 1'!$K$10=0,"",'Fiche info Avenant 1'!$K$10)</f>
        <v/>
      </c>
      <c r="G173" s="16">
        <f t="shared" si="45"/>
        <v>0</v>
      </c>
      <c r="BX173" s="16" t="str">
        <f t="shared" si="46"/>
        <v>Fiche info Avenant 1A4</v>
      </c>
      <c r="BY173" s="449">
        <f>'Fiche info Avenant 1'!$B$10</f>
        <v>0</v>
      </c>
      <c r="BZ173" s="449">
        <f>'Fiche info Avenant 1'!$C$10</f>
        <v>0</v>
      </c>
      <c r="CA173" s="449">
        <f>'Fiche info Avenant 1'!$D$10</f>
        <v>0</v>
      </c>
      <c r="CB173" s="449">
        <f>'Fiche info Avenant 1'!$E$10</f>
        <v>0</v>
      </c>
      <c r="CC173" s="449">
        <f>'Fiche info Avenant 1'!$F$10</f>
        <v>0</v>
      </c>
      <c r="CD173" s="449">
        <f>'Fiche info Avenant 1'!$G$10</f>
        <v>0</v>
      </c>
      <c r="CE173" s="449">
        <f>'Fiche info Avenant 1'!$H$10</f>
        <v>0</v>
      </c>
      <c r="CF173" s="449">
        <f>'Fiche info Avenant 1'!$I$10</f>
        <v>0</v>
      </c>
      <c r="ED173" s="16" t="str">
        <f t="shared" si="38"/>
        <v>Fiche info Avenant 1A</v>
      </c>
      <c r="EE173" s="16" t="str">
        <f t="shared" si="40"/>
        <v>Fiche info Avenant 1</v>
      </c>
      <c r="EF173" s="16" t="str">
        <f t="shared" si="41"/>
        <v>A</v>
      </c>
      <c r="EG173" s="16">
        <f t="shared" si="42"/>
        <v>4</v>
      </c>
      <c r="EH173" s="16" t="str">
        <f t="shared" si="43"/>
        <v>Jeudi</v>
      </c>
      <c r="EI173" s="16" t="str">
        <f t="shared" si="44"/>
        <v/>
      </c>
      <c r="FB173" s="16" t="str">
        <f t="shared" si="47"/>
        <v/>
      </c>
      <c r="FC173" s="16" t="str">
        <f t="shared" si="48"/>
        <v/>
      </c>
      <c r="FD173" s="30">
        <f t="shared" si="39"/>
        <v>44713</v>
      </c>
      <c r="FE173" s="30" t="str">
        <f>+IFERROR(VLOOKUP(FD173,BDD,83,FALSE),"")</f>
        <v/>
      </c>
      <c r="FF173" s="30" t="str">
        <f>+IFERROR(VLOOKUP(FD173,BDD,84,FALSE),"")</f>
        <v/>
      </c>
      <c r="FG173" s="30" t="str">
        <f>+IFERROR(VLOOKUP(FD173,BDD,85,FALSE),"")</f>
        <v/>
      </c>
      <c r="FH173" s="30" t="str">
        <f>+IFERROR(VLOOKUP(FD173,BDD,86,FALSE),"")</f>
        <v/>
      </c>
      <c r="FW173" s="16" t="str">
        <f>Juin!GB35</f>
        <v>252025</v>
      </c>
      <c r="FX173" s="16">
        <f>Juin!GC35</f>
        <v>0</v>
      </c>
    </row>
    <row r="174" spans="1:180" x14ac:dyDescent="0.2">
      <c r="A174" s="16" t="str">
        <f t="shared" si="49"/>
        <v>Fiche info Avenant 1A5</v>
      </c>
      <c r="B174" s="16" t="str">
        <f t="shared" si="50"/>
        <v>Fiche info Avenant 1</v>
      </c>
      <c r="C174" s="27" t="s">
        <v>235</v>
      </c>
      <c r="D174" s="27">
        <v>5</v>
      </c>
      <c r="E174" s="16" t="s">
        <v>21</v>
      </c>
      <c r="F174" s="34" t="str">
        <f>IF('Fiche info Avenant 1'!$K$11=0,"",'Fiche info Avenant 1'!$K$11)</f>
        <v/>
      </c>
      <c r="G174" s="16">
        <f t="shared" si="45"/>
        <v>0</v>
      </c>
      <c r="BX174" s="16" t="str">
        <f t="shared" si="46"/>
        <v>Fiche info Avenant 1A5</v>
      </c>
      <c r="BY174" s="449">
        <f>'Fiche info Avenant 1'!$B$11</f>
        <v>0</v>
      </c>
      <c r="BZ174" s="449">
        <f>'Fiche info Avenant 1'!$C$11</f>
        <v>0</v>
      </c>
      <c r="CA174" s="449">
        <f>'Fiche info Avenant 1'!$D$11</f>
        <v>0</v>
      </c>
      <c r="CB174" s="449">
        <f>'Fiche info Avenant 1'!$E$11</f>
        <v>0</v>
      </c>
      <c r="CC174" s="449">
        <f>'Fiche info Avenant 1'!$F$11</f>
        <v>0</v>
      </c>
      <c r="CD174" s="449">
        <f>'Fiche info Avenant 1'!$G$11</f>
        <v>0</v>
      </c>
      <c r="CE174" s="449">
        <f>'Fiche info Avenant 1'!$H$11</f>
        <v>0</v>
      </c>
      <c r="CF174" s="449">
        <f>'Fiche info Avenant 1'!$I$11</f>
        <v>0</v>
      </c>
      <c r="ED174" s="16" t="str">
        <f t="shared" si="38"/>
        <v>Fiche info Avenant 1A</v>
      </c>
      <c r="EE174" s="16" t="str">
        <f t="shared" si="40"/>
        <v>Fiche info Avenant 1</v>
      </c>
      <c r="EF174" s="16" t="str">
        <f t="shared" si="41"/>
        <v>A</v>
      </c>
      <c r="EG174" s="16">
        <f t="shared" si="42"/>
        <v>5</v>
      </c>
      <c r="EH174" s="16" t="str">
        <f t="shared" si="43"/>
        <v>Vendredi</v>
      </c>
      <c r="EI174" s="16" t="str">
        <f t="shared" si="44"/>
        <v/>
      </c>
      <c r="FB174" s="16" t="str">
        <f t="shared" si="47"/>
        <v/>
      </c>
      <c r="FC174" s="16" t="str">
        <f t="shared" si="48"/>
        <v/>
      </c>
      <c r="FD174" s="30">
        <f t="shared" si="39"/>
        <v>44682</v>
      </c>
      <c r="FE174" s="30" t="str">
        <f>+IFERROR(VLOOKUP(FD174,BDD,71,FALSE),"")</f>
        <v/>
      </c>
      <c r="FF174" s="30" t="str">
        <f>IFERROR(+VLOOKUP(FD174,BDD,72,FALSE),"")</f>
        <v/>
      </c>
      <c r="FG174" s="30" t="str">
        <f>+IFERROR(VLOOKUP(FD174,BDD,73,FALSE),"")</f>
        <v/>
      </c>
      <c r="FH174" s="30" t="str">
        <f>+IFERROR(VLOOKUP(FD174,BDD,74,FALSE),"")</f>
        <v/>
      </c>
      <c r="FW174" s="16" t="str">
        <f>Juin!GB36</f>
        <v>252025</v>
      </c>
      <c r="FX174" s="16">
        <f>Juin!GC36</f>
        <v>0</v>
      </c>
    </row>
    <row r="175" spans="1:180" x14ac:dyDescent="0.2">
      <c r="A175" s="16" t="str">
        <f t="shared" si="49"/>
        <v>Fiche info Avenant 1A6</v>
      </c>
      <c r="B175" s="16" t="str">
        <f t="shared" si="50"/>
        <v>Fiche info Avenant 1</v>
      </c>
      <c r="C175" s="27" t="s">
        <v>235</v>
      </c>
      <c r="D175" s="27">
        <v>6</v>
      </c>
      <c r="E175" s="16" t="s">
        <v>193</v>
      </c>
      <c r="F175" s="34" t="str">
        <f>IF('Fiche info Avenant 1'!$K$12=0,"",'Fiche info Avenant 1'!$K$12)</f>
        <v/>
      </c>
      <c r="G175" s="16">
        <f t="shared" si="45"/>
        <v>0</v>
      </c>
      <c r="BX175" s="16" t="str">
        <f t="shared" si="46"/>
        <v>Fiche info Avenant 1A6</v>
      </c>
      <c r="BY175" s="449">
        <f>'Fiche info Avenant 1'!$B$12</f>
        <v>0</v>
      </c>
      <c r="BZ175" s="449">
        <f>'Fiche info Avenant 1'!$C$12</f>
        <v>0</v>
      </c>
      <c r="CA175" s="449">
        <f>'Fiche info Avenant 1'!$D$12</f>
        <v>0</v>
      </c>
      <c r="CB175" s="449">
        <f>'Fiche info Avenant 1'!$E$12</f>
        <v>0</v>
      </c>
      <c r="CC175" s="449">
        <f>'Fiche info Avenant 1'!$F$12</f>
        <v>0</v>
      </c>
      <c r="CD175" s="449">
        <f>'Fiche info Avenant 1'!$G$12</f>
        <v>0</v>
      </c>
      <c r="CE175" s="449">
        <f>'Fiche info Avenant 1'!$H$12</f>
        <v>0</v>
      </c>
      <c r="CF175" s="449">
        <f>'Fiche info Avenant 1'!$I$12</f>
        <v>0</v>
      </c>
      <c r="ED175" s="16" t="str">
        <f t="shared" si="38"/>
        <v>Fiche info Avenant 1A</v>
      </c>
      <c r="EE175" s="16" t="str">
        <f t="shared" si="40"/>
        <v>Fiche info Avenant 1</v>
      </c>
      <c r="EF175" s="16" t="str">
        <f t="shared" si="41"/>
        <v>A</v>
      </c>
      <c r="EG175" s="16">
        <f t="shared" si="42"/>
        <v>6</v>
      </c>
      <c r="EH175" s="16" t="str">
        <f t="shared" si="43"/>
        <v>Samedi</v>
      </c>
      <c r="EI175" s="16" t="str">
        <f t="shared" si="44"/>
        <v/>
      </c>
      <c r="FB175" s="16" t="str">
        <f t="shared" si="47"/>
        <v/>
      </c>
      <c r="FC175" s="16" t="str">
        <f t="shared" si="48"/>
        <v/>
      </c>
      <c r="FD175" s="30">
        <f t="shared" si="39"/>
        <v>44682</v>
      </c>
      <c r="FE175" s="30" t="str">
        <f>+IFERROR(VLOOKUP(FD175,BDD,75,FALSE),"")</f>
        <v/>
      </c>
      <c r="FF175" s="30" t="str">
        <f>+IFERROR(VLOOKUP(FD175,BDD,76,FALSE),"")</f>
        <v/>
      </c>
      <c r="FG175" s="30" t="str">
        <f>IFERROR(+VLOOKUP(FD175,BDD,77,FALSE),"")</f>
        <v/>
      </c>
      <c r="FH175" s="30" t="str">
        <f>+IFERROR(VLOOKUP(FD175,BDD,78,FALSE),"")</f>
        <v/>
      </c>
      <c r="FW175" s="16" t="str">
        <f>Juin!GB37</f>
        <v>252025</v>
      </c>
      <c r="FX175" s="16">
        <f>Juin!GC37</f>
        <v>0</v>
      </c>
    </row>
    <row r="176" spans="1:180" x14ac:dyDescent="0.2">
      <c r="A176" s="16" t="str">
        <f t="shared" si="49"/>
        <v>Fiche info Avenant 1A7</v>
      </c>
      <c r="B176" s="16" t="str">
        <f t="shared" si="50"/>
        <v>Fiche info Avenant 1</v>
      </c>
      <c r="C176" s="27" t="s">
        <v>235</v>
      </c>
      <c r="D176" s="27">
        <v>7</v>
      </c>
      <c r="E176" s="16" t="s">
        <v>194</v>
      </c>
      <c r="F176" s="34" t="str">
        <f>IF('Fiche info Avenant 1'!$K$13=0,"",'Fiche info Avenant 1'!$K$13)</f>
        <v/>
      </c>
      <c r="G176" s="16">
        <f t="shared" si="45"/>
        <v>0</v>
      </c>
      <c r="BX176" s="16" t="str">
        <f t="shared" si="46"/>
        <v>Fiche info Avenant 1A7</v>
      </c>
      <c r="BY176" s="449">
        <f>'Fiche info Avenant 1'!$B$13</f>
        <v>0</v>
      </c>
      <c r="BZ176" s="449">
        <f>'Fiche info Avenant 1'!$C$13</f>
        <v>0</v>
      </c>
      <c r="CA176" s="449">
        <f>'Fiche info Avenant 1'!$D$13</f>
        <v>0</v>
      </c>
      <c r="CB176" s="449">
        <f>'Fiche info Avenant 1'!$E$13</f>
        <v>0</v>
      </c>
      <c r="CC176" s="449">
        <f>'Fiche info Avenant 1'!$F$13</f>
        <v>0</v>
      </c>
      <c r="CD176" s="449">
        <f>'Fiche info Avenant 1'!$G$13</f>
        <v>0</v>
      </c>
      <c r="CE176" s="449">
        <f>'Fiche info Avenant 1'!$H$13</f>
        <v>0</v>
      </c>
      <c r="CF176" s="449">
        <f>'Fiche info Avenant 1'!$I$13</f>
        <v>0</v>
      </c>
      <c r="ED176" s="16" t="str">
        <f t="shared" si="38"/>
        <v>Fiche info Avenant 1A</v>
      </c>
      <c r="EE176" s="16" t="str">
        <f t="shared" si="40"/>
        <v>Fiche info Avenant 1</v>
      </c>
      <c r="EF176" s="16" t="str">
        <f t="shared" si="41"/>
        <v>A</v>
      </c>
      <c r="EG176" s="16">
        <f t="shared" si="42"/>
        <v>7</v>
      </c>
      <c r="EH176" s="16" t="str">
        <f t="shared" si="43"/>
        <v>Dimanche</v>
      </c>
      <c r="EI176" s="16" t="str">
        <f t="shared" si="44"/>
        <v/>
      </c>
      <c r="FB176" s="16" t="str">
        <f t="shared" si="47"/>
        <v/>
      </c>
      <c r="FC176" s="16" t="str">
        <f t="shared" si="48"/>
        <v/>
      </c>
      <c r="FD176" s="30">
        <f t="shared" si="39"/>
        <v>44682</v>
      </c>
      <c r="FE176" s="30" t="str">
        <f>+IFERROR(VLOOKUP(FD176,BDD,79,FALSE),"")</f>
        <v/>
      </c>
      <c r="FF176" s="30" t="str">
        <f>IFERROR(+VLOOKUP(FD176,BDD,80,FALSE),"")</f>
        <v/>
      </c>
      <c r="FG176" s="30" t="str">
        <f>+IFERROR(VLOOKUP(FD176,BDD,81,FALSE),"")</f>
        <v/>
      </c>
      <c r="FH176" s="30" t="str">
        <f>+IFERROR(VLOOKUP(FD176,BDD,82,FALSE),"")</f>
        <v/>
      </c>
      <c r="FW176" s="16" t="str">
        <f>Juin!GB38</f>
        <v>252025</v>
      </c>
      <c r="FX176" s="16">
        <f>Juin!GC38</f>
        <v>0</v>
      </c>
    </row>
    <row r="177" spans="1:180" x14ac:dyDescent="0.2">
      <c r="A177" s="16" t="str">
        <f t="shared" si="49"/>
        <v>Fiche info Avenant 1B1</v>
      </c>
      <c r="B177" s="16" t="str">
        <f t="shared" si="50"/>
        <v>Fiche info Avenant 1</v>
      </c>
      <c r="C177" s="27" t="s">
        <v>236</v>
      </c>
      <c r="D177" s="27">
        <v>1</v>
      </c>
      <c r="E177" s="16" t="s">
        <v>17</v>
      </c>
      <c r="F177" s="34" t="str">
        <f>+IF('Fiche info Avenant 1'!$V$7=0,"",'Fiche info Avenant 1'!$V$7)</f>
        <v/>
      </c>
      <c r="G177" s="16">
        <f t="shared" si="45"/>
        <v>0</v>
      </c>
      <c r="BX177" s="16" t="str">
        <f t="shared" si="46"/>
        <v>Fiche info Avenant 1B1</v>
      </c>
      <c r="BY177" s="449">
        <f>'Fiche info Avenant 1'!$M$7</f>
        <v>0</v>
      </c>
      <c r="BZ177" s="449">
        <f>'Fiche info Avenant 1'!$N$7</f>
        <v>0</v>
      </c>
      <c r="CA177" s="449">
        <f>'Fiche info Avenant 1'!$O$7</f>
        <v>0</v>
      </c>
      <c r="CB177" s="449">
        <f>'Fiche info Avenant 1'!$P$7</f>
        <v>0</v>
      </c>
      <c r="CC177" s="449">
        <f>'Fiche info Avenant 1'!$Q$7</f>
        <v>0</v>
      </c>
      <c r="CD177" s="449">
        <f>'Fiche info Avenant 1'!$R$7</f>
        <v>0</v>
      </c>
      <c r="CE177" s="449">
        <f>'Fiche info Avenant 1'!$S$7</f>
        <v>0</v>
      </c>
      <c r="CF177" s="449">
        <f>'Fiche info Avenant 1'!$T$7</f>
        <v>0</v>
      </c>
      <c r="ED177" s="16" t="str">
        <f t="shared" si="38"/>
        <v>Fiche info Avenant 1B</v>
      </c>
      <c r="EE177" s="16" t="str">
        <f t="shared" si="40"/>
        <v>Fiche info Avenant 1</v>
      </c>
      <c r="EF177" s="16" t="str">
        <f t="shared" si="41"/>
        <v>B</v>
      </c>
      <c r="EG177" s="16">
        <f t="shared" si="42"/>
        <v>1</v>
      </c>
      <c r="EH177" s="16" t="str">
        <f t="shared" si="43"/>
        <v>Lundi</v>
      </c>
      <c r="EI177" s="16" t="str">
        <f t="shared" si="44"/>
        <v/>
      </c>
      <c r="FB177" s="16" t="str">
        <f t="shared" si="47"/>
        <v/>
      </c>
      <c r="FC177" s="16" t="str">
        <f t="shared" si="48"/>
        <v/>
      </c>
      <c r="FD177" s="30">
        <f t="shared" si="39"/>
        <v>44682</v>
      </c>
      <c r="FE177" s="30" t="str">
        <f>+IFERROR(VLOOKUP(FD177,BDD,83,FALSE),"")</f>
        <v/>
      </c>
      <c r="FF177" s="30" t="str">
        <f>+IFERROR(VLOOKUP(FD177,BDD,84,FALSE),"")</f>
        <v/>
      </c>
      <c r="FG177" s="30" t="str">
        <f>+IFERROR(VLOOKUP(FD177,BDD,85,FALSE),"")</f>
        <v/>
      </c>
      <c r="FH177" s="30" t="str">
        <f>+IFERROR(VLOOKUP(FD177,BDD,86,FALSE),"")</f>
        <v/>
      </c>
      <c r="FW177" s="16" t="str">
        <f>Juin!GB39</f>
        <v>252025</v>
      </c>
      <c r="FX177" s="16">
        <f>Juin!GC39</f>
        <v>0</v>
      </c>
    </row>
    <row r="178" spans="1:180" x14ac:dyDescent="0.2">
      <c r="A178" s="16" t="str">
        <f t="shared" si="49"/>
        <v>Fiche info Avenant 1B2</v>
      </c>
      <c r="B178" s="16" t="str">
        <f t="shared" si="50"/>
        <v>Fiche info Avenant 1</v>
      </c>
      <c r="C178" s="27" t="s">
        <v>236</v>
      </c>
      <c r="D178" s="27">
        <v>2</v>
      </c>
      <c r="E178" s="16" t="s">
        <v>18</v>
      </c>
      <c r="F178" s="34" t="str">
        <f>+IF('Fiche info Avenant 1'!$V$8=0,"",'Fiche info Avenant 1'!$V$8)</f>
        <v/>
      </c>
      <c r="G178" s="16">
        <f t="shared" si="45"/>
        <v>0</v>
      </c>
      <c r="BX178" s="16" t="str">
        <f t="shared" si="46"/>
        <v>Fiche info Avenant 1B2</v>
      </c>
      <c r="BY178" s="449">
        <f>'Fiche info Avenant 1'!$M$8</f>
        <v>0</v>
      </c>
      <c r="BZ178" s="449">
        <f>'Fiche info Avenant 1'!$N$8</f>
        <v>0</v>
      </c>
      <c r="CA178" s="449">
        <f>'Fiche info Avenant 1'!$O$8</f>
        <v>0</v>
      </c>
      <c r="CB178" s="449">
        <f>'Fiche info Avenant 1'!$P$8</f>
        <v>0</v>
      </c>
      <c r="CC178" s="449">
        <f>'Fiche info Avenant 1'!$Q$8</f>
        <v>0</v>
      </c>
      <c r="CD178" s="449">
        <f>'Fiche info Avenant 1'!$R$8</f>
        <v>0</v>
      </c>
      <c r="CE178" s="449">
        <f>'Fiche info Avenant 1'!$S$8</f>
        <v>0</v>
      </c>
      <c r="CF178" s="449">
        <f>'Fiche info Avenant 1'!$T$8</f>
        <v>0</v>
      </c>
      <c r="ED178" s="16" t="str">
        <f t="shared" si="38"/>
        <v>Fiche info Avenant 1B</v>
      </c>
      <c r="EE178" s="16" t="str">
        <f t="shared" si="40"/>
        <v>Fiche info Avenant 1</v>
      </c>
      <c r="EF178" s="16" t="str">
        <f t="shared" si="41"/>
        <v>B</v>
      </c>
      <c r="EG178" s="16">
        <f t="shared" si="42"/>
        <v>2</v>
      </c>
      <c r="EH178" s="16" t="str">
        <f t="shared" si="43"/>
        <v>Mardi</v>
      </c>
      <c r="EI178" s="16" t="str">
        <f t="shared" si="44"/>
        <v/>
      </c>
      <c r="FB178" s="16" t="str">
        <f t="shared" si="47"/>
        <v/>
      </c>
      <c r="FC178" s="16" t="str">
        <f t="shared" si="48"/>
        <v/>
      </c>
      <c r="FD178" s="30">
        <f t="shared" si="39"/>
        <v>44652</v>
      </c>
      <c r="FE178" s="30" t="str">
        <f>+IFERROR(VLOOKUP(FD178,BDD,71,FALSE),"")</f>
        <v/>
      </c>
      <c r="FF178" s="30" t="str">
        <f>IFERROR(+VLOOKUP(FD178,BDD,72,FALSE),"")</f>
        <v/>
      </c>
      <c r="FG178" s="30" t="str">
        <f>+IFERROR(VLOOKUP(FD178,BDD,73,FALSE),"")</f>
        <v/>
      </c>
      <c r="FH178" s="30" t="str">
        <f>+IFERROR(VLOOKUP(FD178,BDD,74,FALSE),"")</f>
        <v/>
      </c>
      <c r="FW178" s="16" t="str">
        <f>Juin!GB40</f>
        <v>252025</v>
      </c>
      <c r="FX178" s="16">
        <f>Juin!GC40</f>
        <v>0</v>
      </c>
    </row>
    <row r="179" spans="1:180" x14ac:dyDescent="0.2">
      <c r="A179" s="16" t="str">
        <f t="shared" si="49"/>
        <v>Fiche info Avenant 1B3</v>
      </c>
      <c r="B179" s="16" t="str">
        <f t="shared" si="50"/>
        <v>Fiche info Avenant 1</v>
      </c>
      <c r="C179" s="27" t="s">
        <v>236</v>
      </c>
      <c r="D179" s="27">
        <v>3</v>
      </c>
      <c r="E179" s="16" t="s">
        <v>19</v>
      </c>
      <c r="F179" s="34" t="str">
        <f>+IF('Fiche info Avenant 1'!$V$9=0,"",'Fiche info Avenant 1'!$V$9)</f>
        <v/>
      </c>
      <c r="G179" s="16">
        <f t="shared" si="45"/>
        <v>0</v>
      </c>
      <c r="BX179" s="16" t="str">
        <f t="shared" si="46"/>
        <v>Fiche info Avenant 1B3</v>
      </c>
      <c r="BY179" s="449">
        <f>'Fiche info Avenant 1'!$M$9</f>
        <v>0</v>
      </c>
      <c r="BZ179" s="449">
        <f>'Fiche info Avenant 1'!$N$9</f>
        <v>0</v>
      </c>
      <c r="CA179" s="449">
        <f>'Fiche info Avenant 1'!$O$9</f>
        <v>0</v>
      </c>
      <c r="CB179" s="449">
        <f>'Fiche info Avenant 1'!$P$9</f>
        <v>0</v>
      </c>
      <c r="CC179" s="449">
        <f>'Fiche info Avenant 1'!$Q$9</f>
        <v>0</v>
      </c>
      <c r="CD179" s="449">
        <f>'Fiche info Avenant 1'!$R$9</f>
        <v>0</v>
      </c>
      <c r="CE179" s="449">
        <f>'Fiche info Avenant 1'!$S$9</f>
        <v>0</v>
      </c>
      <c r="CF179" s="449">
        <f>'Fiche info Avenant 1'!$T$9</f>
        <v>0</v>
      </c>
      <c r="ED179" s="16" t="str">
        <f t="shared" ref="ED179:ED242" si="51">+EE179&amp;EF179</f>
        <v>Fiche info Avenant 1B</v>
      </c>
      <c r="EE179" s="16" t="str">
        <f t="shared" si="40"/>
        <v>Fiche info Avenant 1</v>
      </c>
      <c r="EF179" s="16" t="str">
        <f t="shared" si="41"/>
        <v>B</v>
      </c>
      <c r="EG179" s="16">
        <f t="shared" si="42"/>
        <v>3</v>
      </c>
      <c r="EH179" s="16" t="str">
        <f t="shared" si="43"/>
        <v>Mercredi</v>
      </c>
      <c r="EI179" s="16" t="str">
        <f t="shared" si="44"/>
        <v/>
      </c>
      <c r="FB179" s="16" t="str">
        <f t="shared" si="47"/>
        <v/>
      </c>
      <c r="FC179" s="16" t="str">
        <f t="shared" si="48"/>
        <v/>
      </c>
      <c r="FD179" s="30">
        <f t="shared" si="39"/>
        <v>44652</v>
      </c>
      <c r="FE179" s="30" t="str">
        <f>+IFERROR(VLOOKUP(FD179,BDD,75,FALSE),"")</f>
        <v/>
      </c>
      <c r="FF179" s="30" t="str">
        <f>+IFERROR(VLOOKUP(FD179,BDD,76,FALSE),"")</f>
        <v/>
      </c>
      <c r="FG179" s="30" t="str">
        <f>IFERROR(+VLOOKUP(FD179,BDD,77,FALSE),"")</f>
        <v/>
      </c>
      <c r="FH179" s="30" t="str">
        <f>+IFERROR(VLOOKUP(FD179,BDD,78,FALSE),"")</f>
        <v/>
      </c>
      <c r="FW179" s="16" t="str">
        <f>Juin!GB41</f>
        <v>252025</v>
      </c>
      <c r="FX179" s="16">
        <f>Juin!GC41</f>
        <v>0</v>
      </c>
    </row>
    <row r="180" spans="1:180" x14ac:dyDescent="0.2">
      <c r="A180" s="16" t="str">
        <f t="shared" si="49"/>
        <v>Fiche info Avenant 1B4</v>
      </c>
      <c r="B180" s="16" t="str">
        <f t="shared" si="50"/>
        <v>Fiche info Avenant 1</v>
      </c>
      <c r="C180" s="27" t="s">
        <v>236</v>
      </c>
      <c r="D180" s="27">
        <v>4</v>
      </c>
      <c r="E180" s="16" t="s">
        <v>20</v>
      </c>
      <c r="F180" s="34" t="str">
        <f>+IF('Fiche info Avenant 1'!$V$10=0,"",'Fiche info Avenant 1'!$V$10)</f>
        <v/>
      </c>
      <c r="G180" s="16">
        <f t="shared" si="45"/>
        <v>0</v>
      </c>
      <c r="BX180" s="16" t="str">
        <f t="shared" si="46"/>
        <v>Fiche info Avenant 1B4</v>
      </c>
      <c r="BY180" s="449">
        <f>'Fiche info Avenant 1'!$M$10</f>
        <v>0</v>
      </c>
      <c r="BZ180" s="449">
        <f>'Fiche info Avenant 1'!$N$10</f>
        <v>0</v>
      </c>
      <c r="CA180" s="449">
        <f>'Fiche info Avenant 1'!$O$10</f>
        <v>0</v>
      </c>
      <c r="CB180" s="449">
        <f>'Fiche info Avenant 1'!$P$10</f>
        <v>0</v>
      </c>
      <c r="CC180" s="449">
        <f>'Fiche info Avenant 1'!$Q$10</f>
        <v>0</v>
      </c>
      <c r="CD180" s="449">
        <f>'Fiche info Avenant 1'!$R$10</f>
        <v>0</v>
      </c>
      <c r="CE180" s="449">
        <f>'Fiche info Avenant 1'!$S$10</f>
        <v>0</v>
      </c>
      <c r="CF180" s="449">
        <f>'Fiche info Avenant 1'!$T$10</f>
        <v>0</v>
      </c>
      <c r="ED180" s="16" t="str">
        <f t="shared" si="51"/>
        <v>Fiche info Avenant 1B</v>
      </c>
      <c r="EE180" s="16" t="str">
        <f t="shared" si="40"/>
        <v>Fiche info Avenant 1</v>
      </c>
      <c r="EF180" s="16" t="str">
        <f t="shared" si="41"/>
        <v>B</v>
      </c>
      <c r="EG180" s="16">
        <f t="shared" si="42"/>
        <v>4</v>
      </c>
      <c r="EH180" s="16" t="str">
        <f t="shared" si="43"/>
        <v>Jeudi</v>
      </c>
      <c r="EI180" s="16" t="str">
        <f t="shared" si="44"/>
        <v/>
      </c>
      <c r="FB180" s="16" t="str">
        <f t="shared" si="47"/>
        <v/>
      </c>
      <c r="FC180" s="16" t="str">
        <f t="shared" si="48"/>
        <v/>
      </c>
      <c r="FD180" s="30">
        <f t="shared" si="39"/>
        <v>44652</v>
      </c>
      <c r="FE180" s="30" t="str">
        <f>+IFERROR(VLOOKUP(FD180,BDD,79,FALSE),"")</f>
        <v/>
      </c>
      <c r="FF180" s="30" t="str">
        <f>IFERROR(+VLOOKUP(FD180,BDD,80,FALSE),"")</f>
        <v/>
      </c>
      <c r="FG180" s="30" t="str">
        <f>+IFERROR(VLOOKUP(FD180,BDD,81,FALSE),"")</f>
        <v/>
      </c>
      <c r="FH180" s="30" t="str">
        <f>+IFERROR(VLOOKUP(FD180,BDD,82,FALSE),"")</f>
        <v/>
      </c>
      <c r="FW180" s="16" t="str">
        <f>Juin!GB42</f>
        <v>262025</v>
      </c>
      <c r="FX180" s="16">
        <f>Juin!GC42</f>
        <v>0</v>
      </c>
    </row>
    <row r="181" spans="1:180" x14ac:dyDescent="0.2">
      <c r="A181" s="16" t="str">
        <f t="shared" si="49"/>
        <v>Fiche info Avenant 1B5</v>
      </c>
      <c r="B181" s="16" t="str">
        <f t="shared" si="50"/>
        <v>Fiche info Avenant 1</v>
      </c>
      <c r="C181" s="27" t="s">
        <v>236</v>
      </c>
      <c r="D181" s="27">
        <v>5</v>
      </c>
      <c r="E181" s="16" t="s">
        <v>21</v>
      </c>
      <c r="F181" s="34" t="str">
        <f>+IF('Fiche info Avenant 1'!$V$11=0,"",'Fiche info Avenant 1'!$V$11)</f>
        <v/>
      </c>
      <c r="G181" s="16">
        <f t="shared" si="45"/>
        <v>0</v>
      </c>
      <c r="BX181" s="16" t="str">
        <f t="shared" si="46"/>
        <v>Fiche info Avenant 1B5</v>
      </c>
      <c r="BY181" s="449">
        <f>'Fiche info Avenant 1'!$M$11</f>
        <v>0</v>
      </c>
      <c r="BZ181" s="449">
        <f>'Fiche info Avenant 1'!$N$11</f>
        <v>0</v>
      </c>
      <c r="CA181" s="449">
        <f>'Fiche info Avenant 1'!$O$11</f>
        <v>0</v>
      </c>
      <c r="CB181" s="449">
        <f>'Fiche info Avenant 1'!$P$11</f>
        <v>0</v>
      </c>
      <c r="CC181" s="449">
        <f>'Fiche info Avenant 1'!$Q$11</f>
        <v>0</v>
      </c>
      <c r="CD181" s="449">
        <f>'Fiche info Avenant 1'!$R$11</f>
        <v>0</v>
      </c>
      <c r="CE181" s="449">
        <f>'Fiche info Avenant 1'!$S$11</f>
        <v>0</v>
      </c>
      <c r="CF181" s="449">
        <f>'Fiche info Avenant 1'!$T$11</f>
        <v>0</v>
      </c>
      <c r="ED181" s="16" t="str">
        <f t="shared" si="51"/>
        <v>Fiche info Avenant 1B</v>
      </c>
      <c r="EE181" s="16" t="str">
        <f t="shared" si="40"/>
        <v>Fiche info Avenant 1</v>
      </c>
      <c r="EF181" s="16" t="str">
        <f t="shared" si="41"/>
        <v>B</v>
      </c>
      <c r="EG181" s="16">
        <f t="shared" si="42"/>
        <v>5</v>
      </c>
      <c r="EH181" s="16" t="str">
        <f t="shared" si="43"/>
        <v>Vendredi</v>
      </c>
      <c r="EI181" s="16" t="str">
        <f t="shared" si="44"/>
        <v/>
      </c>
      <c r="FB181" s="16" t="str">
        <f t="shared" si="47"/>
        <v/>
      </c>
      <c r="FC181" s="16" t="str">
        <f t="shared" si="48"/>
        <v/>
      </c>
      <c r="FD181" s="30">
        <f t="shared" si="39"/>
        <v>44652</v>
      </c>
      <c r="FE181" s="30" t="str">
        <f>+IFERROR(VLOOKUP(FD181,BDD,83,FALSE),"")</f>
        <v/>
      </c>
      <c r="FF181" s="30" t="str">
        <f>+IFERROR(VLOOKUP(FD181,BDD,84,FALSE),"")</f>
        <v/>
      </c>
      <c r="FG181" s="30" t="str">
        <f>+IFERROR(VLOOKUP(FD181,BDD,85,FALSE),"")</f>
        <v/>
      </c>
      <c r="FH181" s="30" t="str">
        <f>+IFERROR(VLOOKUP(FD181,BDD,86,FALSE),"")</f>
        <v/>
      </c>
      <c r="FW181" s="16" t="str">
        <f>Juin!GB43</f>
        <v>262025</v>
      </c>
      <c r="FX181" s="16">
        <f>Juin!GC43</f>
        <v>0</v>
      </c>
    </row>
    <row r="182" spans="1:180" x14ac:dyDescent="0.2">
      <c r="A182" s="16" t="str">
        <f t="shared" si="49"/>
        <v>Fiche info Avenant 1B6</v>
      </c>
      <c r="B182" s="16" t="str">
        <f t="shared" si="50"/>
        <v>Fiche info Avenant 1</v>
      </c>
      <c r="C182" s="27" t="s">
        <v>236</v>
      </c>
      <c r="D182" s="27">
        <v>6</v>
      </c>
      <c r="E182" s="16" t="s">
        <v>193</v>
      </c>
      <c r="F182" s="34" t="str">
        <f>+IF('Fiche info Avenant 1'!$V$12=0,"",'Fiche info Avenant 1'!$V$12)</f>
        <v/>
      </c>
      <c r="G182" s="16">
        <f t="shared" si="45"/>
        <v>0</v>
      </c>
      <c r="BX182" s="16" t="str">
        <f t="shared" si="46"/>
        <v>Fiche info Avenant 1B6</v>
      </c>
      <c r="BY182" s="449">
        <f>'Fiche info Avenant 1'!$M$12</f>
        <v>0</v>
      </c>
      <c r="BZ182" s="449">
        <f>'Fiche info Avenant 1'!$N$12</f>
        <v>0</v>
      </c>
      <c r="CA182" s="449">
        <f>'Fiche info Avenant 1'!$O$12</f>
        <v>0</v>
      </c>
      <c r="CB182" s="449">
        <f>'Fiche info Avenant 1'!$P$12</f>
        <v>0</v>
      </c>
      <c r="CC182" s="449">
        <f>'Fiche info Avenant 1'!$Q$12</f>
        <v>0</v>
      </c>
      <c r="CD182" s="449">
        <f>'Fiche info Avenant 1'!$R$12</f>
        <v>0</v>
      </c>
      <c r="CE182" s="449">
        <f>'Fiche info Avenant 1'!$S$12</f>
        <v>0</v>
      </c>
      <c r="CF182" s="449">
        <f>'Fiche info Avenant 1'!$T$12</f>
        <v>0</v>
      </c>
      <c r="ED182" s="16" t="str">
        <f t="shared" si="51"/>
        <v>Fiche info Avenant 1B</v>
      </c>
      <c r="EE182" s="16" t="str">
        <f t="shared" si="40"/>
        <v>Fiche info Avenant 1</v>
      </c>
      <c r="EF182" s="16" t="str">
        <f t="shared" si="41"/>
        <v>B</v>
      </c>
      <c r="EG182" s="16">
        <f t="shared" si="42"/>
        <v>6</v>
      </c>
      <c r="EH182" s="16" t="str">
        <f t="shared" si="43"/>
        <v>Samedi</v>
      </c>
      <c r="EI182" s="16" t="str">
        <f t="shared" si="44"/>
        <v/>
      </c>
      <c r="FB182" s="16" t="str">
        <f t="shared" si="47"/>
        <v/>
      </c>
      <c r="FC182" s="16" t="str">
        <f t="shared" si="48"/>
        <v/>
      </c>
      <c r="FD182" s="30">
        <f t="shared" si="39"/>
        <v>44621</v>
      </c>
      <c r="FE182" s="30" t="str">
        <f>+IFERROR(VLOOKUP(FD182,BDD,71,FALSE),"")</f>
        <v/>
      </c>
      <c r="FF182" s="30" t="str">
        <f>IFERROR(+VLOOKUP(FD182,BDD,72,FALSE),"")</f>
        <v/>
      </c>
      <c r="FG182" s="30" t="str">
        <f>+IFERROR(VLOOKUP(FD182,BDD,73,FALSE),"")</f>
        <v/>
      </c>
      <c r="FH182" s="30" t="str">
        <f>+IFERROR(VLOOKUP(FD182,BDD,74,FALSE),"")</f>
        <v/>
      </c>
      <c r="FW182" s="16" t="str">
        <f>Juin!GB44</f>
        <v>262025</v>
      </c>
      <c r="FX182" s="16">
        <f>Juin!GC44</f>
        <v>0</v>
      </c>
    </row>
    <row r="183" spans="1:180" x14ac:dyDescent="0.2">
      <c r="A183" s="16" t="str">
        <f t="shared" si="49"/>
        <v>Fiche info Avenant 1B7</v>
      </c>
      <c r="B183" s="16" t="str">
        <f t="shared" si="50"/>
        <v>Fiche info Avenant 1</v>
      </c>
      <c r="C183" s="27" t="s">
        <v>236</v>
      </c>
      <c r="D183" s="27">
        <v>7</v>
      </c>
      <c r="E183" s="16" t="s">
        <v>194</v>
      </c>
      <c r="F183" s="34" t="str">
        <f>+IF('Fiche info Avenant 1'!$V$13=0,"",'Fiche info Avenant 1'!$V$13)</f>
        <v/>
      </c>
      <c r="G183" s="16">
        <f t="shared" si="45"/>
        <v>0</v>
      </c>
      <c r="BX183" s="16" t="str">
        <f t="shared" si="46"/>
        <v>Fiche info Avenant 1B7</v>
      </c>
      <c r="BY183" s="449">
        <f>'Fiche info Avenant 1'!$M$13</f>
        <v>0</v>
      </c>
      <c r="BZ183" s="449">
        <f>'Fiche info Avenant 1'!$N$13</f>
        <v>0</v>
      </c>
      <c r="CA183" s="449">
        <f>'Fiche info Avenant 1'!$O$13</f>
        <v>0</v>
      </c>
      <c r="CB183" s="449">
        <f>'Fiche info Avenant 1'!$P$13</f>
        <v>0</v>
      </c>
      <c r="CC183" s="449">
        <f>'Fiche info Avenant 1'!$Q$13</f>
        <v>0</v>
      </c>
      <c r="CD183" s="449">
        <f>'Fiche info Avenant 1'!$R$13</f>
        <v>0</v>
      </c>
      <c r="CE183" s="449">
        <f>'Fiche info Avenant 1'!$S$13</f>
        <v>0</v>
      </c>
      <c r="CF183" s="449">
        <f>'Fiche info Avenant 1'!$T$13</f>
        <v>0</v>
      </c>
      <c r="ED183" s="16" t="str">
        <f t="shared" si="51"/>
        <v>Fiche info Avenant 1B</v>
      </c>
      <c r="EE183" s="16" t="str">
        <f t="shared" si="40"/>
        <v>Fiche info Avenant 1</v>
      </c>
      <c r="EF183" s="16" t="str">
        <f t="shared" si="41"/>
        <v>B</v>
      </c>
      <c r="EG183" s="16">
        <f t="shared" si="42"/>
        <v>7</v>
      </c>
      <c r="EH183" s="16" t="str">
        <f t="shared" si="43"/>
        <v>Dimanche</v>
      </c>
      <c r="EI183" s="16" t="str">
        <f t="shared" si="44"/>
        <v/>
      </c>
      <c r="FB183" s="16" t="str">
        <f t="shared" si="47"/>
        <v/>
      </c>
      <c r="FC183" s="16" t="str">
        <f t="shared" si="48"/>
        <v/>
      </c>
      <c r="FD183" s="30">
        <f t="shared" si="39"/>
        <v>44621</v>
      </c>
      <c r="FE183" s="30" t="str">
        <f>+IFERROR(VLOOKUP(FD183,BDD,75,FALSE),"")</f>
        <v/>
      </c>
      <c r="FF183" s="30" t="str">
        <f>+IFERROR(VLOOKUP(FD183,BDD,76,FALSE),"")</f>
        <v/>
      </c>
      <c r="FG183" s="30" t="str">
        <f>IFERROR(+VLOOKUP(FD183,BDD,77,FALSE),"")</f>
        <v/>
      </c>
      <c r="FH183" s="30" t="str">
        <f>+IFERROR(VLOOKUP(FD183,BDD,78,FALSE),"")</f>
        <v/>
      </c>
      <c r="FW183" s="16" t="str">
        <f>Juin!GB45</f>
        <v>262025</v>
      </c>
      <c r="FX183" s="16">
        <f>Juin!GC45</f>
        <v>0</v>
      </c>
    </row>
    <row r="184" spans="1:180" x14ac:dyDescent="0.2">
      <c r="A184" s="16" t="str">
        <f t="shared" si="49"/>
        <v>Fiche info Avenant 1C1</v>
      </c>
      <c r="B184" s="16" t="str">
        <f t="shared" si="50"/>
        <v>Fiche info Avenant 1</v>
      </c>
      <c r="C184" s="27" t="s">
        <v>241</v>
      </c>
      <c r="D184" s="27">
        <v>1</v>
      </c>
      <c r="E184" s="16" t="s">
        <v>17</v>
      </c>
      <c r="F184" s="34" t="str">
        <f>+IF('Fiche info Avenant 1'!$AG$7=0,"",'Fiche info Avenant 1'!$AG$7)</f>
        <v/>
      </c>
      <c r="G184" s="16">
        <f t="shared" si="45"/>
        <v>0</v>
      </c>
      <c r="BX184" s="16" t="str">
        <f t="shared" si="46"/>
        <v>Fiche info Avenant 1C1</v>
      </c>
      <c r="BY184" s="449">
        <f>'Fiche info Avenant 1'!$X$7</f>
        <v>0</v>
      </c>
      <c r="BZ184" s="449">
        <f>'Fiche info Avenant 1'!$Y$7</f>
        <v>0</v>
      </c>
      <c r="CA184" s="449">
        <f>'Fiche info Avenant 1'!$Z$7</f>
        <v>0</v>
      </c>
      <c r="CB184" s="449">
        <f>'Fiche info Avenant 1'!$AA$7</f>
        <v>0</v>
      </c>
      <c r="CC184" s="449">
        <f>'Fiche info Avenant 1'!$AB$7</f>
        <v>0</v>
      </c>
      <c r="CD184" s="449">
        <f>'Fiche info Avenant 1'!$AC$7</f>
        <v>0</v>
      </c>
      <c r="CE184" s="449">
        <f>'Fiche info Avenant 1'!$AD$7</f>
        <v>0</v>
      </c>
      <c r="CF184" s="449">
        <f>'Fiche info Avenant 1'!$AE$7</f>
        <v>0</v>
      </c>
      <c r="ED184" s="16" t="str">
        <f t="shared" si="51"/>
        <v>Fiche info Avenant 1C</v>
      </c>
      <c r="EE184" s="16" t="str">
        <f t="shared" si="40"/>
        <v>Fiche info Avenant 1</v>
      </c>
      <c r="EF184" s="16" t="str">
        <f t="shared" si="41"/>
        <v>C</v>
      </c>
      <c r="EG184" s="16">
        <f t="shared" si="42"/>
        <v>1</v>
      </c>
      <c r="EH184" s="16" t="str">
        <f t="shared" si="43"/>
        <v>Lundi</v>
      </c>
      <c r="EI184" s="16" t="str">
        <f t="shared" si="44"/>
        <v/>
      </c>
      <c r="FB184" s="16" t="str">
        <f t="shared" si="47"/>
        <v/>
      </c>
      <c r="FC184" s="16" t="str">
        <f t="shared" si="48"/>
        <v/>
      </c>
      <c r="FD184" s="30">
        <f t="shared" si="39"/>
        <v>44621</v>
      </c>
      <c r="FE184" s="30" t="str">
        <f>+IFERROR(VLOOKUP(FD184,BDD,79,FALSE),"")</f>
        <v/>
      </c>
      <c r="FF184" s="30" t="str">
        <f>IFERROR(+VLOOKUP(FD184,BDD,80,FALSE),"")</f>
        <v/>
      </c>
      <c r="FG184" s="30" t="str">
        <f>+IFERROR(VLOOKUP(FD184,BDD,81,FALSE),"")</f>
        <v/>
      </c>
      <c r="FH184" s="30" t="str">
        <f>+IFERROR(VLOOKUP(FD184,BDD,82,FALSE),"")</f>
        <v/>
      </c>
      <c r="FW184" s="16" t="str">
        <f>Juin!GB46</f>
        <v>262025</v>
      </c>
      <c r="FX184" s="16">
        <f>Juin!GC46</f>
        <v>0</v>
      </c>
    </row>
    <row r="185" spans="1:180" x14ac:dyDescent="0.2">
      <c r="A185" s="16" t="str">
        <f t="shared" si="49"/>
        <v>Fiche info Avenant 1C2</v>
      </c>
      <c r="B185" s="16" t="str">
        <f t="shared" si="50"/>
        <v>Fiche info Avenant 1</v>
      </c>
      <c r="C185" s="27" t="s">
        <v>241</v>
      </c>
      <c r="D185" s="27">
        <v>2</v>
      </c>
      <c r="E185" s="16" t="s">
        <v>18</v>
      </c>
      <c r="F185" s="34" t="str">
        <f>+IF('Fiche info Avenant 1'!$AG$8=0,"",'Fiche info Avenant 1'!$AG$8)</f>
        <v/>
      </c>
      <c r="G185" s="16">
        <f t="shared" si="45"/>
        <v>0</v>
      </c>
      <c r="BX185" s="16" t="str">
        <f t="shared" si="46"/>
        <v>Fiche info Avenant 1C2</v>
      </c>
      <c r="BY185" s="449">
        <f>'Fiche info Avenant 1'!$X$8</f>
        <v>0</v>
      </c>
      <c r="BZ185" s="449">
        <f>'Fiche info Avenant 1'!$Y$8</f>
        <v>0</v>
      </c>
      <c r="CA185" s="449">
        <f>'Fiche info Avenant 1'!$Z$8</f>
        <v>0</v>
      </c>
      <c r="CB185" s="449">
        <f>'Fiche info Avenant 1'!$AA$8</f>
        <v>0</v>
      </c>
      <c r="CC185" s="449">
        <f>'Fiche info Avenant 1'!$AB$8</f>
        <v>0</v>
      </c>
      <c r="CD185" s="449">
        <f>'Fiche info Avenant 1'!$AC$8</f>
        <v>0</v>
      </c>
      <c r="CE185" s="449">
        <f>'Fiche info Avenant 1'!$AD$8</f>
        <v>0</v>
      </c>
      <c r="CF185" s="449">
        <f>'Fiche info Avenant 1'!$AE$8</f>
        <v>0</v>
      </c>
      <c r="ED185" s="16" t="str">
        <f t="shared" si="51"/>
        <v>Fiche info Avenant 1C</v>
      </c>
      <c r="EE185" s="16" t="str">
        <f t="shared" si="40"/>
        <v>Fiche info Avenant 1</v>
      </c>
      <c r="EF185" s="16" t="str">
        <f t="shared" si="41"/>
        <v>C</v>
      </c>
      <c r="EG185" s="16">
        <f t="shared" si="42"/>
        <v>2</v>
      </c>
      <c r="EH185" s="16" t="str">
        <f t="shared" si="43"/>
        <v>Mardi</v>
      </c>
      <c r="EI185" s="16" t="str">
        <f t="shared" si="44"/>
        <v/>
      </c>
      <c r="FB185" s="16" t="str">
        <f t="shared" si="47"/>
        <v/>
      </c>
      <c r="FC185" s="16" t="str">
        <f t="shared" si="48"/>
        <v/>
      </c>
      <c r="FD185" s="30">
        <f t="shared" si="39"/>
        <v>44621</v>
      </c>
      <c r="FE185" s="30" t="str">
        <f>+IFERROR(VLOOKUP(FD185,BDD,83,FALSE),"")</f>
        <v/>
      </c>
      <c r="FF185" s="30" t="str">
        <f>+IFERROR(VLOOKUP(FD185,BDD,84,FALSE),"")</f>
        <v/>
      </c>
      <c r="FG185" s="30" t="str">
        <f>+IFERROR(VLOOKUP(FD185,BDD,85,FALSE),"")</f>
        <v/>
      </c>
      <c r="FH185" s="30" t="str">
        <f>+IFERROR(VLOOKUP(FD185,BDD,86,FALSE),"")</f>
        <v/>
      </c>
      <c r="FW185" s="16" t="str">
        <f>Juin!GB47</f>
        <v>262025</v>
      </c>
      <c r="FX185" s="16">
        <f>Juin!GC47</f>
        <v>0</v>
      </c>
    </row>
    <row r="186" spans="1:180" x14ac:dyDescent="0.2">
      <c r="A186" s="16" t="str">
        <f t="shared" si="49"/>
        <v>Fiche info Avenant 1C3</v>
      </c>
      <c r="B186" s="16" t="str">
        <f t="shared" si="50"/>
        <v>Fiche info Avenant 1</v>
      </c>
      <c r="C186" s="27" t="s">
        <v>241</v>
      </c>
      <c r="D186" s="27">
        <v>3</v>
      </c>
      <c r="E186" s="16" t="s">
        <v>19</v>
      </c>
      <c r="F186" s="34" t="str">
        <f>+IF('Fiche info Avenant 1'!$AG$9=0,"",'Fiche info Avenant 1'!$AG$9)</f>
        <v/>
      </c>
      <c r="G186" s="16">
        <f t="shared" si="45"/>
        <v>0</v>
      </c>
      <c r="BX186" s="16" t="str">
        <f t="shared" si="46"/>
        <v>Fiche info Avenant 1C3</v>
      </c>
      <c r="BY186" s="449">
        <f>'Fiche info Avenant 1'!$X$9</f>
        <v>0</v>
      </c>
      <c r="BZ186" s="449">
        <f>'Fiche info Avenant 1'!$Y$9</f>
        <v>0</v>
      </c>
      <c r="CA186" s="449">
        <f>'Fiche info Avenant 1'!$Z$9</f>
        <v>0</v>
      </c>
      <c r="CB186" s="449">
        <f>'Fiche info Avenant 1'!$AA$9</f>
        <v>0</v>
      </c>
      <c r="CC186" s="449">
        <f>'Fiche info Avenant 1'!$AB$9</f>
        <v>0</v>
      </c>
      <c r="CD186" s="449">
        <f>'Fiche info Avenant 1'!$AC$9</f>
        <v>0</v>
      </c>
      <c r="CE186" s="449">
        <f>'Fiche info Avenant 1'!$AD$9</f>
        <v>0</v>
      </c>
      <c r="CF186" s="449">
        <f>'Fiche info Avenant 1'!$AE$9</f>
        <v>0</v>
      </c>
      <c r="ED186" s="16" t="str">
        <f t="shared" si="51"/>
        <v>Fiche info Avenant 1C</v>
      </c>
      <c r="EE186" s="16" t="str">
        <f t="shared" si="40"/>
        <v>Fiche info Avenant 1</v>
      </c>
      <c r="EF186" s="16" t="str">
        <f t="shared" si="41"/>
        <v>C</v>
      </c>
      <c r="EG186" s="16">
        <f t="shared" si="42"/>
        <v>3</v>
      </c>
      <c r="EH186" s="16" t="str">
        <f t="shared" si="43"/>
        <v>Mercredi</v>
      </c>
      <c r="EI186" s="16" t="str">
        <f t="shared" si="44"/>
        <v/>
      </c>
      <c r="FB186" s="16" t="str">
        <f t="shared" si="47"/>
        <v/>
      </c>
      <c r="FC186" s="16" t="str">
        <f t="shared" si="48"/>
        <v/>
      </c>
      <c r="FD186" s="30">
        <f t="shared" si="39"/>
        <v>44593</v>
      </c>
      <c r="FE186" s="30" t="str">
        <f>+IFERROR(VLOOKUP(FD186,BDD,71,FALSE),"")</f>
        <v/>
      </c>
      <c r="FF186" s="30" t="str">
        <f>IFERROR(+VLOOKUP(FD186,BDD,72,FALSE),"")</f>
        <v/>
      </c>
      <c r="FG186" s="30" t="str">
        <f>+IFERROR(VLOOKUP(FD186,BDD,73,FALSE),"")</f>
        <v/>
      </c>
      <c r="FH186" s="30" t="str">
        <f>+IFERROR(VLOOKUP(FD186,BDD,74,FALSE),"")</f>
        <v/>
      </c>
      <c r="FW186" s="16" t="str">
        <f>Juin!GB48</f>
        <v>262025</v>
      </c>
      <c r="FX186" s="16">
        <f>Juin!GC48</f>
        <v>0</v>
      </c>
    </row>
    <row r="187" spans="1:180" x14ac:dyDescent="0.2">
      <c r="A187" s="16" t="str">
        <f t="shared" si="49"/>
        <v>Fiche info Avenant 1C4</v>
      </c>
      <c r="B187" s="16" t="str">
        <f t="shared" si="50"/>
        <v>Fiche info Avenant 1</v>
      </c>
      <c r="C187" s="27" t="s">
        <v>241</v>
      </c>
      <c r="D187" s="27">
        <v>4</v>
      </c>
      <c r="E187" s="16" t="s">
        <v>20</v>
      </c>
      <c r="F187" s="34" t="str">
        <f>+IF('Fiche info Avenant 1'!$AG$10=0,"",'Fiche info Avenant 1'!$AG$10)</f>
        <v/>
      </c>
      <c r="G187" s="16">
        <f t="shared" si="45"/>
        <v>0</v>
      </c>
      <c r="BX187" s="16" t="str">
        <f t="shared" si="46"/>
        <v>Fiche info Avenant 1C4</v>
      </c>
      <c r="BY187" s="449">
        <f>'Fiche info Avenant 1'!$X$10</f>
        <v>0</v>
      </c>
      <c r="BZ187" s="449">
        <f>'Fiche info Avenant 1'!$Y$10</f>
        <v>0</v>
      </c>
      <c r="CA187" s="449">
        <f>'Fiche info Avenant 1'!$Z$10</f>
        <v>0</v>
      </c>
      <c r="CB187" s="449">
        <f>'Fiche info Avenant 1'!$AA$10</f>
        <v>0</v>
      </c>
      <c r="CC187" s="449">
        <f>'Fiche info Avenant 1'!$AB$10</f>
        <v>0</v>
      </c>
      <c r="CD187" s="449">
        <f>'Fiche info Avenant 1'!$AC$10</f>
        <v>0</v>
      </c>
      <c r="CE187" s="449">
        <f>'Fiche info Avenant 1'!$AD$10</f>
        <v>0</v>
      </c>
      <c r="CF187" s="449">
        <f>'Fiche info Avenant 1'!$AE$10</f>
        <v>0</v>
      </c>
      <c r="ED187" s="16" t="str">
        <f t="shared" si="51"/>
        <v>Fiche info Avenant 1C</v>
      </c>
      <c r="EE187" s="16" t="str">
        <f t="shared" si="40"/>
        <v>Fiche info Avenant 1</v>
      </c>
      <c r="EF187" s="16" t="str">
        <f t="shared" si="41"/>
        <v>C</v>
      </c>
      <c r="EG187" s="16">
        <f t="shared" si="42"/>
        <v>4</v>
      </c>
      <c r="EH187" s="16" t="str">
        <f t="shared" si="43"/>
        <v>Jeudi</v>
      </c>
      <c r="EI187" s="16" t="str">
        <f t="shared" si="44"/>
        <v/>
      </c>
      <c r="FB187" s="16" t="str">
        <f t="shared" si="47"/>
        <v/>
      </c>
      <c r="FC187" s="16" t="str">
        <f t="shared" si="48"/>
        <v/>
      </c>
      <c r="FD187" s="30">
        <f t="shared" ref="FD187:FD250" si="52">+DATE(YEAR(FD183),MONTH(FD183)-1,DAY(FD183))</f>
        <v>44593</v>
      </c>
      <c r="FE187" s="30" t="str">
        <f>+IFERROR(VLOOKUP(FD187,BDD,75,FALSE),"")</f>
        <v/>
      </c>
      <c r="FF187" s="30" t="str">
        <f>+IFERROR(VLOOKUP(FD187,BDD,76,FALSE),"")</f>
        <v/>
      </c>
      <c r="FG187" s="30" t="str">
        <f>IFERROR(+VLOOKUP(FD187,BDD,77,FALSE),"")</f>
        <v/>
      </c>
      <c r="FH187" s="30" t="str">
        <f>+IFERROR(VLOOKUP(FD187,BDD,78,FALSE),"")</f>
        <v/>
      </c>
      <c r="FW187" s="16" t="str">
        <f>Juin!GB49</f>
        <v>272025</v>
      </c>
      <c r="FX187" s="16">
        <f>Juin!GC49</f>
        <v>0</v>
      </c>
    </row>
    <row r="188" spans="1:180" x14ac:dyDescent="0.2">
      <c r="A188" s="16" t="str">
        <f t="shared" si="49"/>
        <v>Fiche info Avenant 1C5</v>
      </c>
      <c r="B188" s="16" t="str">
        <f t="shared" si="50"/>
        <v>Fiche info Avenant 1</v>
      </c>
      <c r="C188" s="27" t="s">
        <v>241</v>
      </c>
      <c r="D188" s="27">
        <v>5</v>
      </c>
      <c r="E188" s="16" t="s">
        <v>21</v>
      </c>
      <c r="F188" s="34" t="str">
        <f>+IF('Fiche info Avenant 1'!$AG$11=0,"",'Fiche info Avenant 1'!$AG$11)</f>
        <v/>
      </c>
      <c r="G188" s="16">
        <f t="shared" si="45"/>
        <v>0</v>
      </c>
      <c r="BX188" s="16" t="str">
        <f t="shared" si="46"/>
        <v>Fiche info Avenant 1C5</v>
      </c>
      <c r="BY188" s="449">
        <f>'Fiche info Avenant 1'!$X$11</f>
        <v>0</v>
      </c>
      <c r="BZ188" s="449">
        <f>'Fiche info Avenant 1'!$Y$11</f>
        <v>0</v>
      </c>
      <c r="CA188" s="449">
        <f>'Fiche info Avenant 1'!$Z$11</f>
        <v>0</v>
      </c>
      <c r="CB188" s="449">
        <f>'Fiche info Avenant 1'!$AA$11</f>
        <v>0</v>
      </c>
      <c r="CC188" s="449">
        <f>'Fiche info Avenant 1'!$AB$11</f>
        <v>0</v>
      </c>
      <c r="CD188" s="449">
        <f>'Fiche info Avenant 1'!$AC$11</f>
        <v>0</v>
      </c>
      <c r="CE188" s="449">
        <f>'Fiche info Avenant 1'!$AD$11</f>
        <v>0</v>
      </c>
      <c r="CF188" s="449">
        <f>'Fiche info Avenant 1'!$AE$11</f>
        <v>0</v>
      </c>
      <c r="ED188" s="16" t="str">
        <f t="shared" si="51"/>
        <v>Fiche info Avenant 1C</v>
      </c>
      <c r="EE188" s="16" t="str">
        <f t="shared" si="40"/>
        <v>Fiche info Avenant 1</v>
      </c>
      <c r="EF188" s="16" t="str">
        <f t="shared" si="41"/>
        <v>C</v>
      </c>
      <c r="EG188" s="16">
        <f t="shared" si="42"/>
        <v>5</v>
      </c>
      <c r="EH188" s="16" t="str">
        <f t="shared" si="43"/>
        <v>Vendredi</v>
      </c>
      <c r="EI188" s="16" t="str">
        <f t="shared" si="44"/>
        <v/>
      </c>
      <c r="FB188" s="16" t="str">
        <f t="shared" si="47"/>
        <v/>
      </c>
      <c r="FC188" s="16" t="str">
        <f t="shared" si="48"/>
        <v/>
      </c>
      <c r="FD188" s="30">
        <f t="shared" si="52"/>
        <v>44593</v>
      </c>
      <c r="FE188" s="30" t="str">
        <f>+IFERROR(VLOOKUP(FD188,BDD,79,FALSE),"")</f>
        <v/>
      </c>
      <c r="FF188" s="30" t="str">
        <f>IFERROR(+VLOOKUP(FD188,BDD,80,FALSE),"")</f>
        <v/>
      </c>
      <c r="FG188" s="30" t="str">
        <f>+IFERROR(VLOOKUP(FD188,BDD,81,FALSE),"")</f>
        <v/>
      </c>
      <c r="FH188" s="30" t="str">
        <f>+IFERROR(VLOOKUP(FD188,BDD,82,FALSE),"")</f>
        <v/>
      </c>
      <c r="FW188" s="16" t="str">
        <f>Juin!GB50</f>
        <v>2025</v>
      </c>
      <c r="FX188" s="16">
        <f>Juin!GC50</f>
        <v>0</v>
      </c>
    </row>
    <row r="189" spans="1:180" x14ac:dyDescent="0.2">
      <c r="A189" s="16" t="str">
        <f t="shared" si="49"/>
        <v>Fiche info Avenant 1C6</v>
      </c>
      <c r="B189" s="16" t="str">
        <f t="shared" si="50"/>
        <v>Fiche info Avenant 1</v>
      </c>
      <c r="C189" s="27" t="s">
        <v>241</v>
      </c>
      <c r="D189" s="27">
        <v>6</v>
      </c>
      <c r="E189" s="16" t="s">
        <v>193</v>
      </c>
      <c r="F189" s="34" t="str">
        <f>+IF('Fiche info Avenant 1'!$AG$12=0,"",'Fiche info Avenant 1'!$AG$12)</f>
        <v/>
      </c>
      <c r="G189" s="16">
        <f t="shared" si="45"/>
        <v>0</v>
      </c>
      <c r="BX189" s="16" t="str">
        <f t="shared" si="46"/>
        <v>Fiche info Avenant 1C6</v>
      </c>
      <c r="BY189" s="449">
        <f>'Fiche info Avenant 1'!$X$12</f>
        <v>0</v>
      </c>
      <c r="BZ189" s="449">
        <f>'Fiche info Avenant 1'!$Y$12</f>
        <v>0</v>
      </c>
      <c r="CA189" s="449">
        <f>'Fiche info Avenant 1'!$Z$12</f>
        <v>0</v>
      </c>
      <c r="CB189" s="449">
        <f>'Fiche info Avenant 1'!$AA$12</f>
        <v>0</v>
      </c>
      <c r="CC189" s="449">
        <f>'Fiche info Avenant 1'!$AB$12</f>
        <v>0</v>
      </c>
      <c r="CD189" s="449">
        <f>'Fiche info Avenant 1'!$AC$12</f>
        <v>0</v>
      </c>
      <c r="CE189" s="449">
        <f>'Fiche info Avenant 1'!$AD$12</f>
        <v>0</v>
      </c>
      <c r="CF189" s="449">
        <f>'Fiche info Avenant 1'!$AE$12</f>
        <v>0</v>
      </c>
      <c r="ED189" s="16" t="str">
        <f t="shared" si="51"/>
        <v>Fiche info Avenant 1C</v>
      </c>
      <c r="EE189" s="16" t="str">
        <f t="shared" si="40"/>
        <v>Fiche info Avenant 1</v>
      </c>
      <c r="EF189" s="16" t="str">
        <f t="shared" si="41"/>
        <v>C</v>
      </c>
      <c r="EG189" s="16">
        <f t="shared" si="42"/>
        <v>6</v>
      </c>
      <c r="EH189" s="16" t="str">
        <f t="shared" si="43"/>
        <v>Samedi</v>
      </c>
      <c r="EI189" s="16" t="str">
        <f t="shared" si="44"/>
        <v/>
      </c>
      <c r="FB189" s="16" t="str">
        <f t="shared" si="47"/>
        <v/>
      </c>
      <c r="FC189" s="16" t="str">
        <f t="shared" si="48"/>
        <v/>
      </c>
      <c r="FD189" s="30">
        <f t="shared" si="52"/>
        <v>44593</v>
      </c>
      <c r="FE189" s="30" t="str">
        <f>+IFERROR(VLOOKUP(FD189,BDD,83,FALSE),"")</f>
        <v/>
      </c>
      <c r="FF189" s="30" t="str">
        <f>+IFERROR(VLOOKUP(FD189,BDD,84,FALSE),"")</f>
        <v/>
      </c>
      <c r="FG189" s="30" t="str">
        <f>+IFERROR(VLOOKUP(FD189,BDD,85,FALSE),"")</f>
        <v/>
      </c>
      <c r="FH189" s="30" t="str">
        <f>+IFERROR(VLOOKUP(FD189,BDD,86,FALSE),"")</f>
        <v/>
      </c>
      <c r="FW189" s="16" t="str">
        <f>Juillet!GB20</f>
        <v>272025</v>
      </c>
      <c r="FX189" s="16">
        <f>Juillet!GC20</f>
        <v>0</v>
      </c>
    </row>
    <row r="190" spans="1:180" x14ac:dyDescent="0.2">
      <c r="A190" s="16" t="str">
        <f t="shared" si="49"/>
        <v>Fiche info Avenant 1C7</v>
      </c>
      <c r="B190" s="16" t="str">
        <f t="shared" si="50"/>
        <v>Fiche info Avenant 1</v>
      </c>
      <c r="C190" s="27" t="s">
        <v>241</v>
      </c>
      <c r="D190" s="27">
        <v>7</v>
      </c>
      <c r="E190" s="16" t="s">
        <v>194</v>
      </c>
      <c r="F190" s="34" t="str">
        <f>+IF('Fiche info Avenant 1'!$AG$13=0,"",'Fiche info Avenant 1'!$AG$13)</f>
        <v/>
      </c>
      <c r="G190" s="16">
        <f t="shared" si="45"/>
        <v>0</v>
      </c>
      <c r="BX190" s="16" t="str">
        <f t="shared" si="46"/>
        <v>Fiche info Avenant 1C7</v>
      </c>
      <c r="BY190" s="449">
        <f>'Fiche info Avenant 1'!$X$13</f>
        <v>0</v>
      </c>
      <c r="BZ190" s="449">
        <f>'Fiche info Avenant 1'!$Y$13</f>
        <v>0</v>
      </c>
      <c r="CA190" s="449">
        <f>'Fiche info Avenant 1'!$Z$13</f>
        <v>0</v>
      </c>
      <c r="CB190" s="449">
        <f>'Fiche info Avenant 1'!$AA$13</f>
        <v>0</v>
      </c>
      <c r="CC190" s="449">
        <f>'Fiche info Avenant 1'!$AB$13</f>
        <v>0</v>
      </c>
      <c r="CD190" s="449">
        <f>'Fiche info Avenant 1'!$AC$13</f>
        <v>0</v>
      </c>
      <c r="CE190" s="449">
        <f>'Fiche info Avenant 1'!$AD$13</f>
        <v>0</v>
      </c>
      <c r="CF190" s="449">
        <f>'Fiche info Avenant 1'!$AE$13</f>
        <v>0</v>
      </c>
      <c r="ED190" s="16" t="str">
        <f t="shared" si="51"/>
        <v>Fiche info Avenant 1C</v>
      </c>
      <c r="EE190" s="16" t="str">
        <f t="shared" si="40"/>
        <v>Fiche info Avenant 1</v>
      </c>
      <c r="EF190" s="16" t="str">
        <f t="shared" si="41"/>
        <v>C</v>
      </c>
      <c r="EG190" s="16">
        <f t="shared" si="42"/>
        <v>7</v>
      </c>
      <c r="EH190" s="16" t="str">
        <f t="shared" si="43"/>
        <v>Dimanche</v>
      </c>
      <c r="EI190" s="16" t="str">
        <f t="shared" si="44"/>
        <v/>
      </c>
      <c r="FB190" s="16" t="str">
        <f t="shared" si="47"/>
        <v/>
      </c>
      <c r="FC190" s="16" t="str">
        <f t="shared" si="48"/>
        <v/>
      </c>
      <c r="FD190" s="30">
        <f t="shared" si="52"/>
        <v>44562</v>
      </c>
      <c r="FE190" s="30" t="str">
        <f>+IFERROR(VLOOKUP(FD190,BDD,71,FALSE),"")</f>
        <v/>
      </c>
      <c r="FF190" s="30" t="str">
        <f>IFERROR(+VLOOKUP(FD190,BDD,72,FALSE),"")</f>
        <v/>
      </c>
      <c r="FG190" s="30" t="str">
        <f>+IFERROR(VLOOKUP(FD190,BDD,73,FALSE),"")</f>
        <v/>
      </c>
      <c r="FH190" s="30" t="str">
        <f>+IFERROR(VLOOKUP(FD190,BDD,74,FALSE),"")</f>
        <v/>
      </c>
      <c r="FW190" s="16" t="str">
        <f>Juillet!GB21</f>
        <v>272025</v>
      </c>
      <c r="FX190" s="16">
        <f>Juillet!GC21</f>
        <v>0</v>
      </c>
    </row>
    <row r="191" spans="1:180" x14ac:dyDescent="0.2">
      <c r="A191" s="16" t="str">
        <f t="shared" si="49"/>
        <v>Fiche info Avenant 1D1</v>
      </c>
      <c r="B191" s="16" t="str">
        <f t="shared" si="50"/>
        <v>Fiche info Avenant 1</v>
      </c>
      <c r="C191" s="27" t="s">
        <v>242</v>
      </c>
      <c r="D191" s="27">
        <v>1</v>
      </c>
      <c r="E191" s="16" t="s">
        <v>17</v>
      </c>
      <c r="F191" s="34" t="str">
        <f>+IF('Fiche info Avenant 1'!$AR$7=0,"",'Fiche info Avenant 1'!$AR$7)</f>
        <v/>
      </c>
      <c r="G191" s="16">
        <f t="shared" si="45"/>
        <v>0</v>
      </c>
      <c r="BX191" s="16" t="str">
        <f t="shared" si="46"/>
        <v>Fiche info Avenant 1D1</v>
      </c>
      <c r="BY191" s="449">
        <f>'Fiche info Avenant 1'!$AI$7</f>
        <v>0</v>
      </c>
      <c r="BZ191" s="449">
        <f>'Fiche info Avenant 1'!$AJ$7</f>
        <v>0</v>
      </c>
      <c r="CA191" s="449">
        <f>'Fiche info Avenant 1'!$AK$7</f>
        <v>0</v>
      </c>
      <c r="CB191" s="449">
        <f>'Fiche info Avenant 1'!$AL$7</f>
        <v>0</v>
      </c>
      <c r="CC191" s="449">
        <f>'Fiche info Avenant 1'!$AM$7</f>
        <v>0</v>
      </c>
      <c r="CD191" s="449">
        <f>'Fiche info Avenant 1'!$AN$7</f>
        <v>0</v>
      </c>
      <c r="CE191" s="449">
        <f>'Fiche info Avenant 1'!$AO$7</f>
        <v>0</v>
      </c>
      <c r="CF191" s="449">
        <f>'Fiche info Avenant 1'!$AP$7</f>
        <v>0</v>
      </c>
      <c r="ED191" s="16" t="str">
        <f t="shared" si="51"/>
        <v>Fiche info Avenant 1D</v>
      </c>
      <c r="EE191" s="16" t="str">
        <f t="shared" si="40"/>
        <v>Fiche info Avenant 1</v>
      </c>
      <c r="EF191" s="16" t="str">
        <f t="shared" si="41"/>
        <v>D</v>
      </c>
      <c r="EG191" s="16">
        <f t="shared" si="42"/>
        <v>1</v>
      </c>
      <c r="EH191" s="16" t="str">
        <f t="shared" si="43"/>
        <v>Lundi</v>
      </c>
      <c r="EI191" s="16" t="str">
        <f t="shared" si="44"/>
        <v/>
      </c>
      <c r="FB191" s="16" t="str">
        <f t="shared" si="47"/>
        <v/>
      </c>
      <c r="FC191" s="16" t="str">
        <f t="shared" si="48"/>
        <v/>
      </c>
      <c r="FD191" s="30">
        <f t="shared" si="52"/>
        <v>44562</v>
      </c>
      <c r="FE191" s="30" t="str">
        <f>+IFERROR(VLOOKUP(FD191,BDD,75,FALSE),"")</f>
        <v/>
      </c>
      <c r="FF191" s="30" t="str">
        <f>+IFERROR(VLOOKUP(FD191,BDD,76,FALSE),"")</f>
        <v/>
      </c>
      <c r="FG191" s="30" t="str">
        <f>IFERROR(+VLOOKUP(FD191,BDD,77,FALSE),"")</f>
        <v/>
      </c>
      <c r="FH191" s="30" t="str">
        <f>+IFERROR(VLOOKUP(FD191,BDD,78,FALSE),"")</f>
        <v/>
      </c>
      <c r="FW191" s="16" t="str">
        <f>Juillet!GB22</f>
        <v>272025</v>
      </c>
      <c r="FX191" s="16">
        <f>Juillet!GC22</f>
        <v>0</v>
      </c>
    </row>
    <row r="192" spans="1:180" x14ac:dyDescent="0.2">
      <c r="A192" s="16" t="str">
        <f t="shared" si="49"/>
        <v>Fiche info Avenant 1D2</v>
      </c>
      <c r="B192" s="16" t="str">
        <f t="shared" si="50"/>
        <v>Fiche info Avenant 1</v>
      </c>
      <c r="C192" s="27" t="s">
        <v>242</v>
      </c>
      <c r="D192" s="27">
        <v>2</v>
      </c>
      <c r="E192" s="16" t="s">
        <v>18</v>
      </c>
      <c r="F192" s="34" t="str">
        <f>IF(+'Fiche info Avenant 1'!$AR$8=0,"",'Fiche info Avenant 1'!$AR$8)</f>
        <v/>
      </c>
      <c r="G192" s="16">
        <f t="shared" si="45"/>
        <v>0</v>
      </c>
      <c r="BX192" s="16" t="str">
        <f t="shared" si="46"/>
        <v>Fiche info Avenant 1D2</v>
      </c>
      <c r="BY192" s="449">
        <f>'Fiche info Avenant 1'!$AI$8</f>
        <v>0</v>
      </c>
      <c r="BZ192" s="449">
        <f>'Fiche info Avenant 1'!$AJ$8</f>
        <v>0</v>
      </c>
      <c r="CA192" s="449">
        <f>'Fiche info Avenant 1'!$AK$8</f>
        <v>0</v>
      </c>
      <c r="CB192" s="449">
        <f>'Fiche info Avenant 1'!$AL$8</f>
        <v>0</v>
      </c>
      <c r="CC192" s="449">
        <f>'Fiche info Avenant 1'!$AM$8</f>
        <v>0</v>
      </c>
      <c r="CD192" s="449">
        <f>'Fiche info Avenant 1'!$AN$8</f>
        <v>0</v>
      </c>
      <c r="CE192" s="449">
        <f>'Fiche info Avenant 1'!$AO$8</f>
        <v>0</v>
      </c>
      <c r="CF192" s="449">
        <f>'Fiche info Avenant 1'!$AP$8</f>
        <v>0</v>
      </c>
      <c r="ED192" s="16" t="str">
        <f t="shared" si="51"/>
        <v>Fiche info Avenant 1D</v>
      </c>
      <c r="EE192" s="16" t="str">
        <f t="shared" si="40"/>
        <v>Fiche info Avenant 1</v>
      </c>
      <c r="EF192" s="16" t="str">
        <f t="shared" si="41"/>
        <v>D</v>
      </c>
      <c r="EG192" s="16">
        <f t="shared" si="42"/>
        <v>2</v>
      </c>
      <c r="EH192" s="16" t="str">
        <f t="shared" si="43"/>
        <v>Mardi</v>
      </c>
      <c r="EI192" s="16" t="str">
        <f t="shared" si="44"/>
        <v/>
      </c>
      <c r="FB192" s="16" t="str">
        <f t="shared" si="47"/>
        <v/>
      </c>
      <c r="FC192" s="16" t="str">
        <f t="shared" si="48"/>
        <v/>
      </c>
      <c r="FD192" s="30">
        <f t="shared" si="52"/>
        <v>44562</v>
      </c>
      <c r="FE192" s="30" t="str">
        <f>+IFERROR(VLOOKUP(FD192,BDD,79,FALSE),"")</f>
        <v/>
      </c>
      <c r="FF192" s="30" t="str">
        <f>IFERROR(+VLOOKUP(FD192,BDD,80,FALSE),"")</f>
        <v/>
      </c>
      <c r="FG192" s="30" t="str">
        <f>+IFERROR(VLOOKUP(FD192,BDD,81,FALSE),"")</f>
        <v/>
      </c>
      <c r="FH192" s="30" t="str">
        <f>+IFERROR(VLOOKUP(FD192,BDD,82,FALSE),"")</f>
        <v/>
      </c>
      <c r="FW192" s="16" t="str">
        <f>Juillet!GB23</f>
        <v>272025</v>
      </c>
      <c r="FX192" s="16">
        <f>Juillet!GC23</f>
        <v>0</v>
      </c>
    </row>
    <row r="193" spans="1:180" x14ac:dyDescent="0.2">
      <c r="A193" s="16" t="str">
        <f t="shared" si="49"/>
        <v>Fiche info Avenant 1D3</v>
      </c>
      <c r="B193" s="16" t="str">
        <f t="shared" si="50"/>
        <v>Fiche info Avenant 1</v>
      </c>
      <c r="C193" s="27" t="s">
        <v>242</v>
      </c>
      <c r="D193" s="27">
        <v>3</v>
      </c>
      <c r="E193" s="16" t="s">
        <v>19</v>
      </c>
      <c r="F193" s="34" t="str">
        <f>IF(+'Fiche info Avenant 1'!$AR$9=0,"",'Fiche info Avenant 1'!$AR$9)</f>
        <v/>
      </c>
      <c r="G193" s="16">
        <f t="shared" si="45"/>
        <v>0</v>
      </c>
      <c r="BX193" s="16" t="str">
        <f t="shared" si="46"/>
        <v>Fiche info Avenant 1D3</v>
      </c>
      <c r="BY193" s="449">
        <f>'Fiche info Avenant 1'!$AI$9</f>
        <v>0</v>
      </c>
      <c r="BZ193" s="449">
        <f>'Fiche info Avenant 1'!$AJ$9</f>
        <v>0</v>
      </c>
      <c r="CA193" s="449">
        <f>'Fiche info Avenant 1'!$AK$9</f>
        <v>0</v>
      </c>
      <c r="CB193" s="449">
        <f>'Fiche info Avenant 1'!$AL$9</f>
        <v>0</v>
      </c>
      <c r="CC193" s="449">
        <f>'Fiche info Avenant 1'!$AM$9</f>
        <v>0</v>
      </c>
      <c r="CD193" s="449">
        <f>'Fiche info Avenant 1'!$AN$9</f>
        <v>0</v>
      </c>
      <c r="CE193" s="449">
        <f>'Fiche info Avenant 1'!$AO$9</f>
        <v>0</v>
      </c>
      <c r="CF193" s="449">
        <f>'Fiche info Avenant 1'!$AP$9</f>
        <v>0</v>
      </c>
      <c r="ED193" s="16" t="str">
        <f t="shared" si="51"/>
        <v>Fiche info Avenant 1D</v>
      </c>
      <c r="EE193" s="16" t="str">
        <f t="shared" ref="EE193:EE256" si="53">B193</f>
        <v>Fiche info Avenant 1</v>
      </c>
      <c r="EF193" s="16" t="str">
        <f t="shared" ref="EF193:EF256" si="54">C193</f>
        <v>D</v>
      </c>
      <c r="EG193" s="16">
        <f t="shared" ref="EG193:EG256" si="55">D193</f>
        <v>3</v>
      </c>
      <c r="EH193" s="16" t="str">
        <f t="shared" ref="EH193:EH256" si="56">E193</f>
        <v>Mercredi</v>
      </c>
      <c r="EI193" s="16" t="str">
        <f t="shared" ref="EI193:EI256" si="57">F193</f>
        <v/>
      </c>
      <c r="FB193" s="16" t="str">
        <f t="shared" si="47"/>
        <v/>
      </c>
      <c r="FC193" s="16" t="str">
        <f t="shared" si="48"/>
        <v/>
      </c>
      <c r="FD193" s="30">
        <f t="shared" si="52"/>
        <v>44562</v>
      </c>
      <c r="FE193" s="30" t="str">
        <f>+IFERROR(VLOOKUP(FD193,BDD,83,FALSE),"")</f>
        <v/>
      </c>
      <c r="FF193" s="30" t="str">
        <f>+IFERROR(VLOOKUP(FD193,BDD,84,FALSE),"")</f>
        <v/>
      </c>
      <c r="FG193" s="30" t="str">
        <f>+IFERROR(VLOOKUP(FD193,BDD,85,FALSE),"")</f>
        <v/>
      </c>
      <c r="FH193" s="30" t="str">
        <f>+IFERROR(VLOOKUP(FD193,BDD,86,FALSE),"")</f>
        <v/>
      </c>
      <c r="FW193" s="16" t="str">
        <f>Juillet!GB24</f>
        <v>272025</v>
      </c>
      <c r="FX193" s="16">
        <f>Juillet!GC24</f>
        <v>0</v>
      </c>
    </row>
    <row r="194" spans="1:180" x14ac:dyDescent="0.2">
      <c r="A194" s="16" t="str">
        <f t="shared" si="49"/>
        <v>Fiche info Avenant 1D4</v>
      </c>
      <c r="B194" s="16" t="str">
        <f t="shared" si="50"/>
        <v>Fiche info Avenant 1</v>
      </c>
      <c r="C194" s="27" t="s">
        <v>242</v>
      </c>
      <c r="D194" s="27">
        <v>4</v>
      </c>
      <c r="E194" s="16" t="s">
        <v>20</v>
      </c>
      <c r="F194" s="34" t="str">
        <f>IF(+'Fiche info Avenant 1'!$AR$10=0,"",'Fiche info Avenant 1'!$AR$10)</f>
        <v/>
      </c>
      <c r="G194" s="16">
        <f t="shared" ref="G194:G257" si="58">+IF(OR(F194=0,F194=""),0,1)</f>
        <v>0</v>
      </c>
      <c r="BX194" s="16" t="str">
        <f t="shared" ref="BX194:BX257" si="59">A194</f>
        <v>Fiche info Avenant 1D4</v>
      </c>
      <c r="BY194" s="449">
        <f>'Fiche info Avenant 1'!$AI$10</f>
        <v>0</v>
      </c>
      <c r="BZ194" s="449">
        <f>'Fiche info Avenant 1'!$AJ$10</f>
        <v>0</v>
      </c>
      <c r="CA194" s="449">
        <f>'Fiche info Avenant 1'!$AK$10</f>
        <v>0</v>
      </c>
      <c r="CB194" s="449">
        <f>'Fiche info Avenant 1'!$AL$10</f>
        <v>0</v>
      </c>
      <c r="CC194" s="449">
        <f>'Fiche info Avenant 1'!$AM$10</f>
        <v>0</v>
      </c>
      <c r="CD194" s="449">
        <f>'Fiche info Avenant 1'!$AN$10</f>
        <v>0</v>
      </c>
      <c r="CE194" s="449">
        <f>'Fiche info Avenant 1'!$AO$10</f>
        <v>0</v>
      </c>
      <c r="CF194" s="449">
        <f>'Fiche info Avenant 1'!$AP$10</f>
        <v>0</v>
      </c>
      <c r="ED194" s="16" t="str">
        <f t="shared" si="51"/>
        <v>Fiche info Avenant 1D</v>
      </c>
      <c r="EE194" s="16" t="str">
        <f t="shared" si="53"/>
        <v>Fiche info Avenant 1</v>
      </c>
      <c r="EF194" s="16" t="str">
        <f t="shared" si="54"/>
        <v>D</v>
      </c>
      <c r="EG194" s="16">
        <f t="shared" si="55"/>
        <v>4</v>
      </c>
      <c r="EH194" s="16" t="str">
        <f t="shared" si="56"/>
        <v>Jeudi</v>
      </c>
      <c r="EI194" s="16" t="str">
        <f t="shared" si="57"/>
        <v/>
      </c>
      <c r="FB194" s="16" t="str">
        <f t="shared" si="47"/>
        <v/>
      </c>
      <c r="FC194" s="16" t="str">
        <f t="shared" si="48"/>
        <v/>
      </c>
      <c r="FD194" s="30">
        <f t="shared" si="52"/>
        <v>44531</v>
      </c>
      <c r="FE194" s="30" t="str">
        <f>+IFERROR(VLOOKUP(FD194,BDD,71,FALSE),"")</f>
        <v/>
      </c>
      <c r="FF194" s="30" t="str">
        <f>IFERROR(+VLOOKUP(FD194,BDD,72,FALSE),"")</f>
        <v/>
      </c>
      <c r="FG194" s="30" t="str">
        <f>+IFERROR(VLOOKUP(FD194,BDD,73,FALSE),"")</f>
        <v/>
      </c>
      <c r="FH194" s="30" t="str">
        <f>+IFERROR(VLOOKUP(FD194,BDD,74,FALSE),"")</f>
        <v/>
      </c>
      <c r="FW194" s="16" t="str">
        <f>Juillet!GB25</f>
        <v>272025</v>
      </c>
      <c r="FX194" s="16">
        <f>Juillet!GC25</f>
        <v>0</v>
      </c>
    </row>
    <row r="195" spans="1:180" x14ac:dyDescent="0.2">
      <c r="A195" s="16" t="str">
        <f t="shared" si="49"/>
        <v>Fiche info Avenant 1D5</v>
      </c>
      <c r="B195" s="16" t="str">
        <f t="shared" si="50"/>
        <v>Fiche info Avenant 1</v>
      </c>
      <c r="C195" s="27" t="s">
        <v>242</v>
      </c>
      <c r="D195" s="27">
        <v>5</v>
      </c>
      <c r="E195" s="16" t="s">
        <v>21</v>
      </c>
      <c r="F195" s="34" t="str">
        <f>IF(+'Fiche info Avenant 1'!$AR$11=0,"",'Fiche info Avenant 1'!$AR$11)</f>
        <v/>
      </c>
      <c r="G195" s="16">
        <f t="shared" si="58"/>
        <v>0</v>
      </c>
      <c r="BX195" s="16" t="str">
        <f t="shared" si="59"/>
        <v>Fiche info Avenant 1D5</v>
      </c>
      <c r="BY195" s="449">
        <f>'Fiche info Avenant 1'!$AI$11</f>
        <v>0</v>
      </c>
      <c r="BZ195" s="449">
        <f>'Fiche info Avenant 1'!$AJ$11</f>
        <v>0</v>
      </c>
      <c r="CA195" s="449">
        <f>'Fiche info Avenant 1'!$AK$11</f>
        <v>0</v>
      </c>
      <c r="CB195" s="449">
        <f>'Fiche info Avenant 1'!$AL$11</f>
        <v>0</v>
      </c>
      <c r="CC195" s="449">
        <f>'Fiche info Avenant 1'!$AM$11</f>
        <v>0</v>
      </c>
      <c r="CD195" s="449">
        <f>'Fiche info Avenant 1'!$AN$11</f>
        <v>0</v>
      </c>
      <c r="CE195" s="449">
        <f>'Fiche info Avenant 1'!$AO$11</f>
        <v>0</v>
      </c>
      <c r="CF195" s="449">
        <f>'Fiche info Avenant 1'!$AP$11</f>
        <v>0</v>
      </c>
      <c r="ED195" s="16" t="str">
        <f t="shared" si="51"/>
        <v>Fiche info Avenant 1D</v>
      </c>
      <c r="EE195" s="16" t="str">
        <f t="shared" si="53"/>
        <v>Fiche info Avenant 1</v>
      </c>
      <c r="EF195" s="16" t="str">
        <f t="shared" si="54"/>
        <v>D</v>
      </c>
      <c r="EG195" s="16">
        <f t="shared" si="55"/>
        <v>5</v>
      </c>
      <c r="EH195" s="16" t="str">
        <f t="shared" si="56"/>
        <v>Vendredi</v>
      </c>
      <c r="EI195" s="16" t="str">
        <f t="shared" si="57"/>
        <v/>
      </c>
      <c r="FB195" s="16" t="str">
        <f t="shared" ref="FB195:FB258" si="60">+IF(FE195=$EX$2,FE195&amp;FF195&amp;FG195,"")</f>
        <v/>
      </c>
      <c r="FC195" s="16" t="str">
        <f t="shared" ref="FC195:FC258" si="61">+IF(FE195=$EX$3,FE195&amp;FF195&amp;FG195,"")</f>
        <v/>
      </c>
      <c r="FD195" s="30">
        <f t="shared" si="52"/>
        <v>44531</v>
      </c>
      <c r="FE195" s="30" t="str">
        <f>+IFERROR(VLOOKUP(FD195,BDD,75,FALSE),"")</f>
        <v/>
      </c>
      <c r="FF195" s="30" t="str">
        <f>+IFERROR(VLOOKUP(FD195,BDD,76,FALSE),"")</f>
        <v/>
      </c>
      <c r="FG195" s="30" t="str">
        <f>IFERROR(+VLOOKUP(FD195,BDD,77,FALSE),"")</f>
        <v/>
      </c>
      <c r="FH195" s="30" t="str">
        <f>+IFERROR(VLOOKUP(FD195,BDD,78,FALSE),"")</f>
        <v/>
      </c>
      <c r="FW195" s="16" t="str">
        <f>Juillet!GB26</f>
        <v>282025</v>
      </c>
      <c r="FX195" s="16">
        <f>Juillet!GC26</f>
        <v>0</v>
      </c>
    </row>
    <row r="196" spans="1:180" x14ac:dyDescent="0.2">
      <c r="A196" s="16" t="str">
        <f t="shared" si="49"/>
        <v>Fiche info Avenant 1D6</v>
      </c>
      <c r="B196" s="16" t="str">
        <f t="shared" si="50"/>
        <v>Fiche info Avenant 1</v>
      </c>
      <c r="C196" s="27" t="s">
        <v>242</v>
      </c>
      <c r="D196" s="27">
        <v>6</v>
      </c>
      <c r="E196" s="16" t="s">
        <v>193</v>
      </c>
      <c r="F196" s="34" t="str">
        <f>IF(+'Fiche info Avenant 1'!$AR$12=0,"",'Fiche info Avenant 1'!$AR$12)</f>
        <v/>
      </c>
      <c r="G196" s="16">
        <f t="shared" si="58"/>
        <v>0</v>
      </c>
      <c r="BX196" s="16" t="str">
        <f t="shared" si="59"/>
        <v>Fiche info Avenant 1D6</v>
      </c>
      <c r="BY196" s="449">
        <f>'Fiche info Avenant 1'!$AI$12</f>
        <v>0</v>
      </c>
      <c r="BZ196" s="449">
        <f>'Fiche info Avenant 1'!$AJ$12</f>
        <v>0</v>
      </c>
      <c r="CA196" s="449">
        <f>'Fiche info Avenant 1'!$AK$12</f>
        <v>0</v>
      </c>
      <c r="CB196" s="449">
        <f>'Fiche info Avenant 1'!$AL$12</f>
        <v>0</v>
      </c>
      <c r="CC196" s="449">
        <f>'Fiche info Avenant 1'!$AM$12</f>
        <v>0</v>
      </c>
      <c r="CD196" s="449">
        <f>'Fiche info Avenant 1'!$AN$12</f>
        <v>0</v>
      </c>
      <c r="CE196" s="449">
        <f>'Fiche info Avenant 1'!$AO$12</f>
        <v>0</v>
      </c>
      <c r="CF196" s="449">
        <f>'Fiche info Avenant 1'!$AP$12</f>
        <v>0</v>
      </c>
      <c r="ED196" s="16" t="str">
        <f t="shared" si="51"/>
        <v>Fiche info Avenant 1D</v>
      </c>
      <c r="EE196" s="16" t="str">
        <f t="shared" si="53"/>
        <v>Fiche info Avenant 1</v>
      </c>
      <c r="EF196" s="16" t="str">
        <f t="shared" si="54"/>
        <v>D</v>
      </c>
      <c r="EG196" s="16">
        <f t="shared" si="55"/>
        <v>6</v>
      </c>
      <c r="EH196" s="16" t="str">
        <f t="shared" si="56"/>
        <v>Samedi</v>
      </c>
      <c r="EI196" s="16" t="str">
        <f t="shared" si="57"/>
        <v/>
      </c>
      <c r="FB196" s="16" t="str">
        <f t="shared" si="60"/>
        <v/>
      </c>
      <c r="FC196" s="16" t="str">
        <f t="shared" si="61"/>
        <v/>
      </c>
      <c r="FD196" s="30">
        <f t="shared" si="52"/>
        <v>44531</v>
      </c>
      <c r="FE196" s="30" t="str">
        <f>+IFERROR(VLOOKUP(FD196,BDD,79,FALSE),"")</f>
        <v/>
      </c>
      <c r="FF196" s="30" t="str">
        <f>IFERROR(+VLOOKUP(FD196,BDD,80,FALSE),"")</f>
        <v/>
      </c>
      <c r="FG196" s="30" t="str">
        <f>+IFERROR(VLOOKUP(FD196,BDD,81,FALSE),"")</f>
        <v/>
      </c>
      <c r="FH196" s="30" t="str">
        <f>+IFERROR(VLOOKUP(FD196,BDD,82,FALSE),"")</f>
        <v/>
      </c>
      <c r="FW196" s="16" t="str">
        <f>Juillet!GB27</f>
        <v>282025</v>
      </c>
      <c r="FX196" s="16">
        <f>Juillet!GC27</f>
        <v>0</v>
      </c>
    </row>
    <row r="197" spans="1:180" x14ac:dyDescent="0.2">
      <c r="A197" s="16" t="str">
        <f t="shared" si="49"/>
        <v>Fiche info Avenant 1D7</v>
      </c>
      <c r="B197" s="16" t="str">
        <f t="shared" si="50"/>
        <v>Fiche info Avenant 1</v>
      </c>
      <c r="C197" s="27" t="s">
        <v>242</v>
      </c>
      <c r="D197" s="27">
        <v>7</v>
      </c>
      <c r="E197" s="16" t="s">
        <v>194</v>
      </c>
      <c r="F197" s="34" t="str">
        <f>IF(+'Fiche info Avenant 1'!$AR$13=0,"",'Fiche info Avenant 1'!$AR$13)</f>
        <v/>
      </c>
      <c r="G197" s="16">
        <f t="shared" si="58"/>
        <v>0</v>
      </c>
      <c r="BX197" s="16" t="str">
        <f t="shared" si="59"/>
        <v>Fiche info Avenant 1D7</v>
      </c>
      <c r="BY197" s="449">
        <f>'Fiche info Avenant 1'!$AI$13</f>
        <v>0</v>
      </c>
      <c r="BZ197" s="449">
        <f>'Fiche info Avenant 1'!$AJ$13</f>
        <v>0</v>
      </c>
      <c r="CA197" s="449">
        <f>'Fiche info Avenant 1'!$AK$13</f>
        <v>0</v>
      </c>
      <c r="CB197" s="449">
        <f>'Fiche info Avenant 1'!$AL$13</f>
        <v>0</v>
      </c>
      <c r="CC197" s="449">
        <f>'Fiche info Avenant 1'!$AM$13</f>
        <v>0</v>
      </c>
      <c r="CD197" s="449">
        <f>'Fiche info Avenant 1'!$AN$13</f>
        <v>0</v>
      </c>
      <c r="CE197" s="449">
        <f>'Fiche info Avenant 1'!$AO$13</f>
        <v>0</v>
      </c>
      <c r="CF197" s="449">
        <f>'Fiche info Avenant 1'!$AP$13</f>
        <v>0</v>
      </c>
      <c r="ED197" s="16" t="str">
        <f t="shared" si="51"/>
        <v>Fiche info Avenant 1D</v>
      </c>
      <c r="EE197" s="16" t="str">
        <f t="shared" si="53"/>
        <v>Fiche info Avenant 1</v>
      </c>
      <c r="EF197" s="16" t="str">
        <f t="shared" si="54"/>
        <v>D</v>
      </c>
      <c r="EG197" s="16">
        <f t="shared" si="55"/>
        <v>7</v>
      </c>
      <c r="EH197" s="16" t="str">
        <f t="shared" si="56"/>
        <v>Dimanche</v>
      </c>
      <c r="EI197" s="16" t="str">
        <f t="shared" si="57"/>
        <v/>
      </c>
      <c r="FB197" s="16" t="str">
        <f t="shared" si="60"/>
        <v/>
      </c>
      <c r="FC197" s="16" t="str">
        <f t="shared" si="61"/>
        <v/>
      </c>
      <c r="FD197" s="30">
        <f t="shared" si="52"/>
        <v>44531</v>
      </c>
      <c r="FE197" s="30" t="str">
        <f>+IFERROR(VLOOKUP(FD197,BDD,83,FALSE),"")</f>
        <v/>
      </c>
      <c r="FF197" s="30" t="str">
        <f>+IFERROR(VLOOKUP(FD197,BDD,84,FALSE),"")</f>
        <v/>
      </c>
      <c r="FG197" s="30" t="str">
        <f>+IFERROR(VLOOKUP(FD197,BDD,85,FALSE),"")</f>
        <v/>
      </c>
      <c r="FH197" s="30" t="str">
        <f>+IFERROR(VLOOKUP(FD197,BDD,86,FALSE),"")</f>
        <v/>
      </c>
      <c r="FW197" s="16" t="str">
        <f>Juillet!GB28</f>
        <v>282025</v>
      </c>
      <c r="FX197" s="16">
        <f>Juillet!GC28</f>
        <v>0</v>
      </c>
    </row>
    <row r="198" spans="1:180" x14ac:dyDescent="0.2">
      <c r="A198" s="16" t="str">
        <f t="shared" si="49"/>
        <v>Fiche info Avenant 1E1</v>
      </c>
      <c r="B198" s="16" t="str">
        <f t="shared" si="50"/>
        <v>Fiche info Avenant 1</v>
      </c>
      <c r="C198" s="27" t="s">
        <v>243</v>
      </c>
      <c r="D198" s="27">
        <v>1</v>
      </c>
      <c r="E198" s="16" t="s">
        <v>17</v>
      </c>
      <c r="F198" s="34" t="str">
        <f>IF(+'Fiche info Avenant 1'!$BC$7=0,"",'Fiche info Avenant 1'!$BC$7)</f>
        <v/>
      </c>
      <c r="G198" s="16">
        <f t="shared" si="58"/>
        <v>0</v>
      </c>
      <c r="BX198" s="16" t="str">
        <f t="shared" si="59"/>
        <v>Fiche info Avenant 1E1</v>
      </c>
      <c r="BY198" s="449">
        <f>'Fiche info Avenant 1'!$AT$7</f>
        <v>0</v>
      </c>
      <c r="BZ198" s="449">
        <f>'Fiche info Avenant 1'!$AU$7</f>
        <v>0</v>
      </c>
      <c r="CA198" s="449">
        <f>'Fiche info Avenant 1'!$AV$7</f>
        <v>0</v>
      </c>
      <c r="CB198" s="449">
        <f>'Fiche info Avenant 1'!$AW$7</f>
        <v>0</v>
      </c>
      <c r="CC198" s="449">
        <f>'Fiche info Avenant 1'!$AX$7</f>
        <v>0</v>
      </c>
      <c r="CD198" s="449">
        <f>'Fiche info Avenant 1'!$AY$7</f>
        <v>0</v>
      </c>
      <c r="CE198" s="449">
        <f>'Fiche info Avenant 1'!$AZ$7</f>
        <v>0</v>
      </c>
      <c r="CF198" s="449">
        <f>'Fiche info Avenant 1'!$BA$7</f>
        <v>0</v>
      </c>
      <c r="ED198" s="16" t="str">
        <f t="shared" si="51"/>
        <v>Fiche info Avenant 1E</v>
      </c>
      <c r="EE198" s="16" t="str">
        <f t="shared" si="53"/>
        <v>Fiche info Avenant 1</v>
      </c>
      <c r="EF198" s="16" t="str">
        <f t="shared" si="54"/>
        <v>E</v>
      </c>
      <c r="EG198" s="16">
        <f t="shared" si="55"/>
        <v>1</v>
      </c>
      <c r="EH198" s="16" t="str">
        <f t="shared" si="56"/>
        <v>Lundi</v>
      </c>
      <c r="EI198" s="16" t="str">
        <f t="shared" si="57"/>
        <v/>
      </c>
      <c r="FB198" s="16" t="str">
        <f t="shared" si="60"/>
        <v/>
      </c>
      <c r="FC198" s="16" t="str">
        <f t="shared" si="61"/>
        <v/>
      </c>
      <c r="FD198" s="30">
        <f t="shared" si="52"/>
        <v>44501</v>
      </c>
      <c r="FE198" s="30" t="str">
        <f>+IFERROR(VLOOKUP(FD198,BDD,71,FALSE),"")</f>
        <v/>
      </c>
      <c r="FF198" s="30" t="str">
        <f>IFERROR(+VLOOKUP(FD198,BDD,72,FALSE),"")</f>
        <v/>
      </c>
      <c r="FG198" s="30" t="str">
        <f>+IFERROR(VLOOKUP(FD198,BDD,73,FALSE),"")</f>
        <v/>
      </c>
      <c r="FH198" s="30" t="str">
        <f>+IFERROR(VLOOKUP(FD198,BDD,74,FALSE),"")</f>
        <v/>
      </c>
      <c r="FW198" s="16" t="str">
        <f>Juillet!GB29</f>
        <v>282025</v>
      </c>
      <c r="FX198" s="16">
        <f>Juillet!GC29</f>
        <v>0</v>
      </c>
    </row>
    <row r="199" spans="1:180" x14ac:dyDescent="0.2">
      <c r="A199" s="16" t="str">
        <f t="shared" si="49"/>
        <v>Fiche info Avenant 1E2</v>
      </c>
      <c r="B199" s="16" t="str">
        <f t="shared" si="50"/>
        <v>Fiche info Avenant 1</v>
      </c>
      <c r="C199" s="27" t="s">
        <v>243</v>
      </c>
      <c r="D199" s="27">
        <v>2</v>
      </c>
      <c r="E199" s="16" t="s">
        <v>18</v>
      </c>
      <c r="F199" s="34" t="str">
        <f>IF(+'Fiche info Avenant 1'!$BC$8=0,"",'Fiche info Avenant 1'!$BC$8)</f>
        <v/>
      </c>
      <c r="G199" s="16">
        <f t="shared" si="58"/>
        <v>0</v>
      </c>
      <c r="BX199" s="16" t="str">
        <f t="shared" si="59"/>
        <v>Fiche info Avenant 1E2</v>
      </c>
      <c r="BY199" s="449">
        <f>'Fiche info Avenant 1'!$AT$8</f>
        <v>0</v>
      </c>
      <c r="BZ199" s="449">
        <f>'Fiche info Avenant 1'!$AU$8</f>
        <v>0</v>
      </c>
      <c r="CA199" s="449">
        <f>'Fiche info Avenant 1'!$AV$8</f>
        <v>0</v>
      </c>
      <c r="CB199" s="449">
        <f>'Fiche info Avenant 1'!$AW$8</f>
        <v>0</v>
      </c>
      <c r="CC199" s="449">
        <f>'Fiche info Avenant 1'!$AX$8</f>
        <v>0</v>
      </c>
      <c r="CD199" s="449">
        <f>'Fiche info Avenant 1'!$AY$8</f>
        <v>0</v>
      </c>
      <c r="CE199" s="449">
        <f>'Fiche info Avenant 1'!$AZ$8</f>
        <v>0</v>
      </c>
      <c r="CF199" s="449">
        <f>'Fiche info Avenant 1'!$BA$8</f>
        <v>0</v>
      </c>
      <c r="ED199" s="16" t="str">
        <f t="shared" si="51"/>
        <v>Fiche info Avenant 1E</v>
      </c>
      <c r="EE199" s="16" t="str">
        <f t="shared" si="53"/>
        <v>Fiche info Avenant 1</v>
      </c>
      <c r="EF199" s="16" t="str">
        <f t="shared" si="54"/>
        <v>E</v>
      </c>
      <c r="EG199" s="16">
        <f t="shared" si="55"/>
        <v>2</v>
      </c>
      <c r="EH199" s="16" t="str">
        <f t="shared" si="56"/>
        <v>Mardi</v>
      </c>
      <c r="EI199" s="16" t="str">
        <f t="shared" si="57"/>
        <v/>
      </c>
      <c r="FB199" s="16" t="str">
        <f t="shared" si="60"/>
        <v/>
      </c>
      <c r="FC199" s="16" t="str">
        <f t="shared" si="61"/>
        <v/>
      </c>
      <c r="FD199" s="30">
        <f t="shared" si="52"/>
        <v>44501</v>
      </c>
      <c r="FE199" s="30" t="str">
        <f>+IFERROR(VLOOKUP(FD199,BDD,75,FALSE),"")</f>
        <v/>
      </c>
      <c r="FF199" s="30" t="str">
        <f>+IFERROR(VLOOKUP(FD199,BDD,76,FALSE),"")</f>
        <v/>
      </c>
      <c r="FG199" s="30" t="str">
        <f>IFERROR(+VLOOKUP(FD199,BDD,77,FALSE),"")</f>
        <v/>
      </c>
      <c r="FH199" s="30" t="str">
        <f>+IFERROR(VLOOKUP(FD199,BDD,78,FALSE),"")</f>
        <v/>
      </c>
      <c r="FW199" s="16" t="str">
        <f>Juillet!GB30</f>
        <v>282025</v>
      </c>
      <c r="FX199" s="16">
        <f>Juillet!GC30</f>
        <v>0</v>
      </c>
    </row>
    <row r="200" spans="1:180" x14ac:dyDescent="0.2">
      <c r="A200" s="16" t="str">
        <f t="shared" si="49"/>
        <v>Fiche info Avenant 1E3</v>
      </c>
      <c r="B200" s="16" t="str">
        <f t="shared" si="50"/>
        <v>Fiche info Avenant 1</v>
      </c>
      <c r="C200" s="27" t="s">
        <v>243</v>
      </c>
      <c r="D200" s="27">
        <v>3</v>
      </c>
      <c r="E200" s="16" t="s">
        <v>19</v>
      </c>
      <c r="F200" s="34" t="str">
        <f>IF(+'Fiche info Avenant 1'!$BC$9=0,"",'Fiche info Avenant 1'!$BC$9)</f>
        <v/>
      </c>
      <c r="G200" s="16">
        <f t="shared" si="58"/>
        <v>0</v>
      </c>
      <c r="BX200" s="16" t="str">
        <f t="shared" si="59"/>
        <v>Fiche info Avenant 1E3</v>
      </c>
      <c r="BY200" s="449">
        <f>'Fiche info Avenant 1'!$AT$9</f>
        <v>0</v>
      </c>
      <c r="BZ200" s="449">
        <f>'Fiche info Avenant 1'!$AU$9</f>
        <v>0</v>
      </c>
      <c r="CA200" s="449">
        <f>'Fiche info Avenant 1'!$AV$9</f>
        <v>0</v>
      </c>
      <c r="CB200" s="449">
        <f>'Fiche info Avenant 1'!$AW$9</f>
        <v>0</v>
      </c>
      <c r="CC200" s="449">
        <f>'Fiche info Avenant 1'!$AX$9</f>
        <v>0</v>
      </c>
      <c r="CD200" s="449">
        <f>'Fiche info Avenant 1'!$AY$9</f>
        <v>0</v>
      </c>
      <c r="CE200" s="449">
        <f>'Fiche info Avenant 1'!$AZ$9</f>
        <v>0</v>
      </c>
      <c r="CF200" s="449">
        <f>'Fiche info Avenant 1'!$BA$9</f>
        <v>0</v>
      </c>
      <c r="ED200" s="16" t="str">
        <f t="shared" si="51"/>
        <v>Fiche info Avenant 1E</v>
      </c>
      <c r="EE200" s="16" t="str">
        <f t="shared" si="53"/>
        <v>Fiche info Avenant 1</v>
      </c>
      <c r="EF200" s="16" t="str">
        <f t="shared" si="54"/>
        <v>E</v>
      </c>
      <c r="EG200" s="16">
        <f t="shared" si="55"/>
        <v>3</v>
      </c>
      <c r="EH200" s="16" t="str">
        <f t="shared" si="56"/>
        <v>Mercredi</v>
      </c>
      <c r="EI200" s="16" t="str">
        <f t="shared" si="57"/>
        <v/>
      </c>
      <c r="FB200" s="16" t="str">
        <f t="shared" si="60"/>
        <v/>
      </c>
      <c r="FC200" s="16" t="str">
        <f t="shared" si="61"/>
        <v/>
      </c>
      <c r="FD200" s="30">
        <f t="shared" si="52"/>
        <v>44501</v>
      </c>
      <c r="FE200" s="30" t="str">
        <f>+IFERROR(VLOOKUP(FD200,BDD,79,FALSE),"")</f>
        <v/>
      </c>
      <c r="FF200" s="30" t="str">
        <f>IFERROR(+VLOOKUP(FD200,BDD,80,FALSE),"")</f>
        <v/>
      </c>
      <c r="FG200" s="30" t="str">
        <f>+IFERROR(VLOOKUP(FD200,BDD,81,FALSE),"")</f>
        <v/>
      </c>
      <c r="FH200" s="30" t="str">
        <f>+IFERROR(VLOOKUP(FD200,BDD,82,FALSE),"")</f>
        <v/>
      </c>
      <c r="FW200" s="16" t="str">
        <f>Juillet!GB31</f>
        <v>282025</v>
      </c>
      <c r="FX200" s="16">
        <f>Juillet!GC31</f>
        <v>0</v>
      </c>
    </row>
    <row r="201" spans="1:180" x14ac:dyDescent="0.2">
      <c r="A201" s="16" t="str">
        <f t="shared" si="49"/>
        <v>Fiche info Avenant 1E4</v>
      </c>
      <c r="B201" s="16" t="str">
        <f t="shared" si="50"/>
        <v>Fiche info Avenant 1</v>
      </c>
      <c r="C201" s="27" t="s">
        <v>243</v>
      </c>
      <c r="D201" s="27">
        <v>4</v>
      </c>
      <c r="E201" s="16" t="s">
        <v>20</v>
      </c>
      <c r="F201" s="34" t="str">
        <f>IF(+'Fiche info Avenant 1'!$BC$10=0,"",'Fiche info Avenant 1'!$BC$10)</f>
        <v/>
      </c>
      <c r="G201" s="16">
        <f t="shared" si="58"/>
        <v>0</v>
      </c>
      <c r="BX201" s="16" t="str">
        <f t="shared" si="59"/>
        <v>Fiche info Avenant 1E4</v>
      </c>
      <c r="BY201" s="449">
        <f>'Fiche info Avenant 1'!$AT$10</f>
        <v>0</v>
      </c>
      <c r="BZ201" s="449">
        <f>'Fiche info Avenant 1'!$AU$10</f>
        <v>0</v>
      </c>
      <c r="CA201" s="449">
        <f>'Fiche info Avenant 1'!$AV$10</f>
        <v>0</v>
      </c>
      <c r="CB201" s="449">
        <f>'Fiche info Avenant 1'!$AW$10</f>
        <v>0</v>
      </c>
      <c r="CC201" s="449">
        <f>'Fiche info Avenant 1'!$AX$10</f>
        <v>0</v>
      </c>
      <c r="CD201" s="449">
        <f>'Fiche info Avenant 1'!$AY$10</f>
        <v>0</v>
      </c>
      <c r="CE201" s="449">
        <f>'Fiche info Avenant 1'!$AZ$10</f>
        <v>0</v>
      </c>
      <c r="CF201" s="449">
        <f>'Fiche info Avenant 1'!$BA$10</f>
        <v>0</v>
      </c>
      <c r="ED201" s="16" t="str">
        <f t="shared" si="51"/>
        <v>Fiche info Avenant 1E</v>
      </c>
      <c r="EE201" s="16" t="str">
        <f t="shared" si="53"/>
        <v>Fiche info Avenant 1</v>
      </c>
      <c r="EF201" s="16" t="str">
        <f t="shared" si="54"/>
        <v>E</v>
      </c>
      <c r="EG201" s="16">
        <f t="shared" si="55"/>
        <v>4</v>
      </c>
      <c r="EH201" s="16" t="str">
        <f t="shared" si="56"/>
        <v>Jeudi</v>
      </c>
      <c r="EI201" s="16" t="str">
        <f t="shared" si="57"/>
        <v/>
      </c>
      <c r="FB201" s="16" t="str">
        <f t="shared" si="60"/>
        <v/>
      </c>
      <c r="FC201" s="16" t="str">
        <f t="shared" si="61"/>
        <v/>
      </c>
      <c r="FD201" s="30">
        <f t="shared" si="52"/>
        <v>44501</v>
      </c>
      <c r="FE201" s="30" t="str">
        <f>+IFERROR(VLOOKUP(FD201,BDD,83,FALSE),"")</f>
        <v/>
      </c>
      <c r="FF201" s="30" t="str">
        <f>+IFERROR(VLOOKUP(FD201,BDD,84,FALSE),"")</f>
        <v/>
      </c>
      <c r="FG201" s="30" t="str">
        <f>+IFERROR(VLOOKUP(FD201,BDD,85,FALSE),"")</f>
        <v/>
      </c>
      <c r="FH201" s="30" t="str">
        <f>+IFERROR(VLOOKUP(FD201,BDD,86,FALSE),"")</f>
        <v/>
      </c>
      <c r="FW201" s="16" t="str">
        <f>Juillet!GB32</f>
        <v>282025</v>
      </c>
      <c r="FX201" s="16">
        <f>Juillet!GC32</f>
        <v>0</v>
      </c>
    </row>
    <row r="202" spans="1:180" x14ac:dyDescent="0.2">
      <c r="A202" s="16" t="str">
        <f t="shared" si="49"/>
        <v>Fiche info Avenant 1E5</v>
      </c>
      <c r="B202" s="16" t="str">
        <f t="shared" si="50"/>
        <v>Fiche info Avenant 1</v>
      </c>
      <c r="C202" s="27" t="s">
        <v>243</v>
      </c>
      <c r="D202" s="27">
        <v>5</v>
      </c>
      <c r="E202" s="16" t="s">
        <v>21</v>
      </c>
      <c r="F202" s="34" t="str">
        <f>IF(+'Fiche info Avenant 1'!$BC$11=0,"",'Fiche info Avenant 1'!$BC$11)</f>
        <v/>
      </c>
      <c r="G202" s="16">
        <f t="shared" si="58"/>
        <v>0</v>
      </c>
      <c r="BX202" s="16" t="str">
        <f t="shared" si="59"/>
        <v>Fiche info Avenant 1E5</v>
      </c>
      <c r="BY202" s="449">
        <f>'Fiche info Avenant 1'!$AT$11</f>
        <v>0</v>
      </c>
      <c r="BZ202" s="449">
        <f>'Fiche info Avenant 1'!$AU$11</f>
        <v>0</v>
      </c>
      <c r="CA202" s="449">
        <f>'Fiche info Avenant 1'!$AV$11</f>
        <v>0</v>
      </c>
      <c r="CB202" s="449">
        <f>'Fiche info Avenant 1'!$AW$11</f>
        <v>0</v>
      </c>
      <c r="CC202" s="449">
        <f>'Fiche info Avenant 1'!$AX$11</f>
        <v>0</v>
      </c>
      <c r="CD202" s="449">
        <f>'Fiche info Avenant 1'!$AY$11</f>
        <v>0</v>
      </c>
      <c r="CE202" s="449">
        <f>'Fiche info Avenant 1'!$AZ$11</f>
        <v>0</v>
      </c>
      <c r="CF202" s="449">
        <f>'Fiche info Avenant 1'!$BA$11</f>
        <v>0</v>
      </c>
      <c r="ED202" s="16" t="str">
        <f t="shared" si="51"/>
        <v>Fiche info Avenant 1E</v>
      </c>
      <c r="EE202" s="16" t="str">
        <f t="shared" si="53"/>
        <v>Fiche info Avenant 1</v>
      </c>
      <c r="EF202" s="16" t="str">
        <f t="shared" si="54"/>
        <v>E</v>
      </c>
      <c r="EG202" s="16">
        <f t="shared" si="55"/>
        <v>5</v>
      </c>
      <c r="EH202" s="16" t="str">
        <f t="shared" si="56"/>
        <v>Vendredi</v>
      </c>
      <c r="EI202" s="16" t="str">
        <f t="shared" si="57"/>
        <v/>
      </c>
      <c r="FB202" s="16" t="str">
        <f t="shared" si="60"/>
        <v/>
      </c>
      <c r="FC202" s="16" t="str">
        <f t="shared" si="61"/>
        <v/>
      </c>
      <c r="FD202" s="30">
        <f t="shared" si="52"/>
        <v>44470</v>
      </c>
      <c r="FE202" s="30" t="str">
        <f>+IFERROR(VLOOKUP(FD202,BDD,71,FALSE),"")</f>
        <v/>
      </c>
      <c r="FF202" s="30" t="str">
        <f>IFERROR(+VLOOKUP(FD202,BDD,72,FALSE),"")</f>
        <v/>
      </c>
      <c r="FG202" s="30" t="str">
        <f>+IFERROR(VLOOKUP(FD202,BDD,73,FALSE),"")</f>
        <v/>
      </c>
      <c r="FH202" s="30" t="str">
        <f>+IFERROR(VLOOKUP(FD202,BDD,74,FALSE),"")</f>
        <v/>
      </c>
      <c r="FW202" s="16" t="str">
        <f>Juillet!GB33</f>
        <v>292025</v>
      </c>
      <c r="FX202" s="16">
        <f>Juillet!GC33</f>
        <v>0</v>
      </c>
    </row>
    <row r="203" spans="1:180" x14ac:dyDescent="0.2">
      <c r="A203" s="16" t="str">
        <f t="shared" si="49"/>
        <v>Fiche info Avenant 1E6</v>
      </c>
      <c r="B203" s="16" t="str">
        <f t="shared" si="50"/>
        <v>Fiche info Avenant 1</v>
      </c>
      <c r="C203" s="27" t="s">
        <v>243</v>
      </c>
      <c r="D203" s="27">
        <v>6</v>
      </c>
      <c r="E203" s="16" t="s">
        <v>193</v>
      </c>
      <c r="F203" s="34" t="str">
        <f>IF(+'Fiche info Avenant 1'!$BC$12=0,"",'Fiche info Avenant 1'!$BC$12)</f>
        <v/>
      </c>
      <c r="G203" s="16">
        <f t="shared" si="58"/>
        <v>0</v>
      </c>
      <c r="BX203" s="16" t="str">
        <f t="shared" si="59"/>
        <v>Fiche info Avenant 1E6</v>
      </c>
      <c r="BY203" s="449">
        <f>'Fiche info Avenant 1'!$AT$12</f>
        <v>0</v>
      </c>
      <c r="BZ203" s="449">
        <f>'Fiche info Avenant 1'!$AU$12</f>
        <v>0</v>
      </c>
      <c r="CA203" s="449">
        <f>'Fiche info Avenant 1'!$AV$12</f>
        <v>0</v>
      </c>
      <c r="CB203" s="449">
        <f>'Fiche info Avenant 1'!$AW$12</f>
        <v>0</v>
      </c>
      <c r="CC203" s="449">
        <f>'Fiche info Avenant 1'!$AX$12</f>
        <v>0</v>
      </c>
      <c r="CD203" s="449">
        <f>'Fiche info Avenant 1'!$AY$12</f>
        <v>0</v>
      </c>
      <c r="CE203" s="449">
        <f>'Fiche info Avenant 1'!$AZ$12</f>
        <v>0</v>
      </c>
      <c r="CF203" s="449">
        <f>'Fiche info Avenant 1'!$BA$12</f>
        <v>0</v>
      </c>
      <c r="ED203" s="16" t="str">
        <f t="shared" si="51"/>
        <v>Fiche info Avenant 1E</v>
      </c>
      <c r="EE203" s="16" t="str">
        <f t="shared" si="53"/>
        <v>Fiche info Avenant 1</v>
      </c>
      <c r="EF203" s="16" t="str">
        <f t="shared" si="54"/>
        <v>E</v>
      </c>
      <c r="EG203" s="16">
        <f t="shared" si="55"/>
        <v>6</v>
      </c>
      <c r="EH203" s="16" t="str">
        <f t="shared" si="56"/>
        <v>Samedi</v>
      </c>
      <c r="EI203" s="16" t="str">
        <f t="shared" si="57"/>
        <v/>
      </c>
      <c r="FB203" s="16" t="str">
        <f t="shared" si="60"/>
        <v/>
      </c>
      <c r="FC203" s="16" t="str">
        <f t="shared" si="61"/>
        <v/>
      </c>
      <c r="FD203" s="30">
        <f t="shared" si="52"/>
        <v>44470</v>
      </c>
      <c r="FE203" s="30" t="str">
        <f>+IFERROR(VLOOKUP(FD203,BDD,75,FALSE),"")</f>
        <v/>
      </c>
      <c r="FF203" s="30" t="str">
        <f>+IFERROR(VLOOKUP(FD203,BDD,76,FALSE),"")</f>
        <v/>
      </c>
      <c r="FG203" s="30" t="str">
        <f>IFERROR(+VLOOKUP(FD203,BDD,77,FALSE),"")</f>
        <v/>
      </c>
      <c r="FH203" s="30" t="str">
        <f>+IFERROR(VLOOKUP(FD203,BDD,78,FALSE),"")</f>
        <v/>
      </c>
      <c r="FW203" s="16" t="str">
        <f>Juillet!GB34</f>
        <v>292025</v>
      </c>
      <c r="FX203" s="16">
        <f>Juillet!GC34</f>
        <v>0</v>
      </c>
    </row>
    <row r="204" spans="1:180" x14ac:dyDescent="0.2">
      <c r="A204" s="16" t="str">
        <f t="shared" si="49"/>
        <v>Fiche info Avenant 1E7</v>
      </c>
      <c r="B204" s="16" t="str">
        <f t="shared" si="50"/>
        <v>Fiche info Avenant 1</v>
      </c>
      <c r="C204" s="27" t="s">
        <v>243</v>
      </c>
      <c r="D204" s="27">
        <v>7</v>
      </c>
      <c r="E204" s="16" t="s">
        <v>194</v>
      </c>
      <c r="F204" s="34" t="str">
        <f>IF(+'Fiche info Avenant 1'!$BC$13=0,"",'Fiche info Avenant 1'!$BC$13)</f>
        <v/>
      </c>
      <c r="G204" s="16">
        <f t="shared" si="58"/>
        <v>0</v>
      </c>
      <c r="BX204" s="16" t="str">
        <f t="shared" si="59"/>
        <v>Fiche info Avenant 1E7</v>
      </c>
      <c r="BY204" s="449">
        <f>'Fiche info Avenant 1'!$AT$13</f>
        <v>0</v>
      </c>
      <c r="BZ204" s="449">
        <f>'Fiche info Avenant 1'!$AU$13</f>
        <v>0</v>
      </c>
      <c r="CA204" s="449">
        <f>'Fiche info Avenant 1'!$AV$13</f>
        <v>0</v>
      </c>
      <c r="CB204" s="449">
        <f>'Fiche info Avenant 1'!$AW$13</f>
        <v>0</v>
      </c>
      <c r="CC204" s="449">
        <f>'Fiche info Avenant 1'!$AX$13</f>
        <v>0</v>
      </c>
      <c r="CD204" s="449">
        <f>'Fiche info Avenant 1'!$AY$13</f>
        <v>0</v>
      </c>
      <c r="CE204" s="449">
        <f>'Fiche info Avenant 1'!$AZ$13</f>
        <v>0</v>
      </c>
      <c r="CF204" s="449">
        <f>'Fiche info Avenant 1'!$BA$13</f>
        <v>0</v>
      </c>
      <c r="ED204" s="16" t="str">
        <f t="shared" si="51"/>
        <v>Fiche info Avenant 1E</v>
      </c>
      <c r="EE204" s="16" t="str">
        <f t="shared" si="53"/>
        <v>Fiche info Avenant 1</v>
      </c>
      <c r="EF204" s="16" t="str">
        <f t="shared" si="54"/>
        <v>E</v>
      </c>
      <c r="EG204" s="16">
        <f t="shared" si="55"/>
        <v>7</v>
      </c>
      <c r="EH204" s="16" t="str">
        <f t="shared" si="56"/>
        <v>Dimanche</v>
      </c>
      <c r="EI204" s="16" t="str">
        <f t="shared" si="57"/>
        <v/>
      </c>
      <c r="FB204" s="16" t="str">
        <f t="shared" si="60"/>
        <v/>
      </c>
      <c r="FC204" s="16" t="str">
        <f t="shared" si="61"/>
        <v/>
      </c>
      <c r="FD204" s="30">
        <f t="shared" si="52"/>
        <v>44470</v>
      </c>
      <c r="FE204" s="30" t="str">
        <f>+IFERROR(VLOOKUP(FD204,BDD,79,FALSE),"")</f>
        <v/>
      </c>
      <c r="FF204" s="30" t="str">
        <f>IFERROR(+VLOOKUP(FD204,BDD,80,FALSE),"")</f>
        <v/>
      </c>
      <c r="FG204" s="30" t="str">
        <f>+IFERROR(VLOOKUP(FD204,BDD,81,FALSE),"")</f>
        <v/>
      </c>
      <c r="FH204" s="30" t="str">
        <f>+IFERROR(VLOOKUP(FD204,BDD,82,FALSE),"")</f>
        <v/>
      </c>
      <c r="FW204" s="16" t="str">
        <f>Juillet!GB35</f>
        <v>292025</v>
      </c>
      <c r="FX204" s="16">
        <f>Juillet!GC35</f>
        <v>0</v>
      </c>
    </row>
    <row r="205" spans="1:180" x14ac:dyDescent="0.2">
      <c r="A205" s="16" t="str">
        <f t="shared" si="49"/>
        <v>Fiche info Avenant 1F1</v>
      </c>
      <c r="B205" s="16" t="str">
        <f t="shared" si="50"/>
        <v>Fiche info Avenant 1</v>
      </c>
      <c r="C205" s="27" t="s">
        <v>244</v>
      </c>
      <c r="D205" s="27">
        <v>1</v>
      </c>
      <c r="E205" s="16" t="s">
        <v>17</v>
      </c>
      <c r="F205" s="34" t="str">
        <f>+IF('Fiche info Avenant 1'!$BN$7=0,"",'Fiche info Avenant 1'!$BN$7)</f>
        <v/>
      </c>
      <c r="G205" s="16">
        <f t="shared" si="58"/>
        <v>0</v>
      </c>
      <c r="BX205" s="16" t="str">
        <f t="shared" si="59"/>
        <v>Fiche info Avenant 1F1</v>
      </c>
      <c r="BY205" s="449">
        <f>'Fiche info Avenant 1'!$BE$7</f>
        <v>0</v>
      </c>
      <c r="BZ205" s="449">
        <f>'Fiche info Avenant 1'!$BF$7</f>
        <v>0</v>
      </c>
      <c r="CA205" s="449">
        <f>'Fiche info Avenant 1'!$BG$7</f>
        <v>0</v>
      </c>
      <c r="CB205" s="449">
        <f>'Fiche info Avenant 1'!$BH$7</f>
        <v>0</v>
      </c>
      <c r="CC205" s="449">
        <f>'Fiche info Avenant 1'!$BI$7</f>
        <v>0</v>
      </c>
      <c r="CD205" s="449">
        <f>'Fiche info Avenant 1'!$BJ$7</f>
        <v>0</v>
      </c>
      <c r="CE205" s="449">
        <f>'Fiche info Avenant 1'!$BK$7</f>
        <v>0</v>
      </c>
      <c r="CF205" s="449">
        <f>'Fiche info Avenant 1'!$BL$7</f>
        <v>0</v>
      </c>
      <c r="ED205" s="16" t="str">
        <f t="shared" si="51"/>
        <v>Fiche info Avenant 1F</v>
      </c>
      <c r="EE205" s="16" t="str">
        <f t="shared" si="53"/>
        <v>Fiche info Avenant 1</v>
      </c>
      <c r="EF205" s="16" t="str">
        <f t="shared" si="54"/>
        <v>F</v>
      </c>
      <c r="EG205" s="16">
        <f t="shared" si="55"/>
        <v>1</v>
      </c>
      <c r="EH205" s="16" t="str">
        <f t="shared" si="56"/>
        <v>Lundi</v>
      </c>
      <c r="EI205" s="16" t="str">
        <f t="shared" si="57"/>
        <v/>
      </c>
      <c r="FB205" s="16" t="str">
        <f t="shared" si="60"/>
        <v/>
      </c>
      <c r="FC205" s="16" t="str">
        <f t="shared" si="61"/>
        <v/>
      </c>
      <c r="FD205" s="30">
        <f t="shared" si="52"/>
        <v>44470</v>
      </c>
      <c r="FE205" s="30" t="str">
        <f>+IFERROR(VLOOKUP(FD205,BDD,83,FALSE),"")</f>
        <v/>
      </c>
      <c r="FF205" s="30" t="str">
        <f>+IFERROR(VLOOKUP(FD205,BDD,84,FALSE),"")</f>
        <v/>
      </c>
      <c r="FG205" s="30" t="str">
        <f>+IFERROR(VLOOKUP(FD205,BDD,85,FALSE),"")</f>
        <v/>
      </c>
      <c r="FH205" s="30" t="str">
        <f>+IFERROR(VLOOKUP(FD205,BDD,86,FALSE),"")</f>
        <v/>
      </c>
      <c r="FW205" s="16" t="str">
        <f>Juillet!GB36</f>
        <v>292025</v>
      </c>
      <c r="FX205" s="16">
        <f>Juillet!GC36</f>
        <v>0</v>
      </c>
    </row>
    <row r="206" spans="1:180" x14ac:dyDescent="0.2">
      <c r="A206" s="16" t="str">
        <f t="shared" si="49"/>
        <v>Fiche info Avenant 1F2</v>
      </c>
      <c r="B206" s="16" t="str">
        <f t="shared" si="50"/>
        <v>Fiche info Avenant 1</v>
      </c>
      <c r="C206" s="27" t="s">
        <v>244</v>
      </c>
      <c r="D206" s="27">
        <v>2</v>
      </c>
      <c r="E206" s="16" t="s">
        <v>18</v>
      </c>
      <c r="F206" s="34" t="str">
        <f>+IF('Fiche info Avenant 1'!$BN$8=0,"",'Fiche info Avenant 1'!$BN$8)</f>
        <v/>
      </c>
      <c r="G206" s="16">
        <f t="shared" si="58"/>
        <v>0</v>
      </c>
      <c r="BX206" s="16" t="str">
        <f t="shared" si="59"/>
        <v>Fiche info Avenant 1F2</v>
      </c>
      <c r="BY206" s="449">
        <f>'Fiche info Avenant 1'!$BE$8</f>
        <v>0</v>
      </c>
      <c r="BZ206" s="449">
        <f>'Fiche info Avenant 1'!$BF$8</f>
        <v>0</v>
      </c>
      <c r="CA206" s="449">
        <f>'Fiche info Avenant 1'!$BG$8</f>
        <v>0</v>
      </c>
      <c r="CB206" s="449">
        <f>'Fiche info Avenant 1'!$BH$8</f>
        <v>0</v>
      </c>
      <c r="CC206" s="449">
        <f>'Fiche info Avenant 1'!$BI$8</f>
        <v>0</v>
      </c>
      <c r="CD206" s="449">
        <f>'Fiche info Avenant 1'!$BJ$8</f>
        <v>0</v>
      </c>
      <c r="CE206" s="449">
        <f>'Fiche info Avenant 1'!$BK$8</f>
        <v>0</v>
      </c>
      <c r="CF206" s="449">
        <f>'Fiche info Avenant 1'!$BL$8</f>
        <v>0</v>
      </c>
      <c r="ED206" s="16" t="str">
        <f t="shared" si="51"/>
        <v>Fiche info Avenant 1F</v>
      </c>
      <c r="EE206" s="16" t="str">
        <f t="shared" si="53"/>
        <v>Fiche info Avenant 1</v>
      </c>
      <c r="EF206" s="16" t="str">
        <f t="shared" si="54"/>
        <v>F</v>
      </c>
      <c r="EG206" s="16">
        <f t="shared" si="55"/>
        <v>2</v>
      </c>
      <c r="EH206" s="16" t="str">
        <f t="shared" si="56"/>
        <v>Mardi</v>
      </c>
      <c r="EI206" s="16" t="str">
        <f t="shared" si="57"/>
        <v/>
      </c>
      <c r="FB206" s="16" t="str">
        <f t="shared" si="60"/>
        <v/>
      </c>
      <c r="FC206" s="16" t="str">
        <f t="shared" si="61"/>
        <v/>
      </c>
      <c r="FD206" s="30">
        <f t="shared" si="52"/>
        <v>44440</v>
      </c>
      <c r="FE206" s="30" t="str">
        <f>+IFERROR(VLOOKUP(FD206,BDD,71,FALSE),"")</f>
        <v/>
      </c>
      <c r="FF206" s="30" t="str">
        <f>IFERROR(+VLOOKUP(FD206,BDD,72,FALSE),"")</f>
        <v/>
      </c>
      <c r="FG206" s="30" t="str">
        <f>+IFERROR(VLOOKUP(FD206,BDD,73,FALSE),"")</f>
        <v/>
      </c>
      <c r="FH206" s="30" t="str">
        <f>+IFERROR(VLOOKUP(FD206,BDD,74,FALSE),"")</f>
        <v/>
      </c>
      <c r="FW206" s="16" t="str">
        <f>Juillet!GB37</f>
        <v>292025</v>
      </c>
      <c r="FX206" s="16">
        <f>Juillet!GC37</f>
        <v>0</v>
      </c>
    </row>
    <row r="207" spans="1:180" x14ac:dyDescent="0.2">
      <c r="A207" s="16" t="str">
        <f t="shared" si="49"/>
        <v>Fiche info Avenant 1F3</v>
      </c>
      <c r="B207" s="16" t="str">
        <f t="shared" si="50"/>
        <v>Fiche info Avenant 1</v>
      </c>
      <c r="C207" s="27" t="s">
        <v>244</v>
      </c>
      <c r="D207" s="27">
        <v>3</v>
      </c>
      <c r="E207" s="16" t="s">
        <v>19</v>
      </c>
      <c r="F207" s="34" t="str">
        <f>+IF('Fiche info Avenant 1'!$BN$9=0,"",'Fiche info Avenant 1'!$BN$9)</f>
        <v/>
      </c>
      <c r="G207" s="16">
        <f t="shared" si="58"/>
        <v>0</v>
      </c>
      <c r="BX207" s="16" t="str">
        <f t="shared" si="59"/>
        <v>Fiche info Avenant 1F3</v>
      </c>
      <c r="BY207" s="449">
        <f>'Fiche info Avenant 1'!$BE$9</f>
        <v>0</v>
      </c>
      <c r="BZ207" s="449">
        <f>'Fiche info Avenant 1'!$BF$9</f>
        <v>0</v>
      </c>
      <c r="CA207" s="449">
        <f>'Fiche info Avenant 1'!$BG$9</f>
        <v>0</v>
      </c>
      <c r="CB207" s="449">
        <f>'Fiche info Avenant 1'!$BH$9</f>
        <v>0</v>
      </c>
      <c r="CC207" s="449">
        <f>'Fiche info Avenant 1'!$BI$9</f>
        <v>0</v>
      </c>
      <c r="CD207" s="449">
        <f>'Fiche info Avenant 1'!$BJ$9</f>
        <v>0</v>
      </c>
      <c r="CE207" s="449">
        <f>'Fiche info Avenant 1'!$BK$9</f>
        <v>0</v>
      </c>
      <c r="CF207" s="449">
        <f>'Fiche info Avenant 1'!$BL$9</f>
        <v>0</v>
      </c>
      <c r="ED207" s="16" t="str">
        <f t="shared" si="51"/>
        <v>Fiche info Avenant 1F</v>
      </c>
      <c r="EE207" s="16" t="str">
        <f t="shared" si="53"/>
        <v>Fiche info Avenant 1</v>
      </c>
      <c r="EF207" s="16" t="str">
        <f t="shared" si="54"/>
        <v>F</v>
      </c>
      <c r="EG207" s="16">
        <f t="shared" si="55"/>
        <v>3</v>
      </c>
      <c r="EH207" s="16" t="str">
        <f t="shared" si="56"/>
        <v>Mercredi</v>
      </c>
      <c r="EI207" s="16" t="str">
        <f t="shared" si="57"/>
        <v/>
      </c>
      <c r="FB207" s="16" t="str">
        <f t="shared" si="60"/>
        <v/>
      </c>
      <c r="FC207" s="16" t="str">
        <f t="shared" si="61"/>
        <v/>
      </c>
      <c r="FD207" s="30">
        <f t="shared" si="52"/>
        <v>44440</v>
      </c>
      <c r="FE207" s="30" t="str">
        <f>+IFERROR(VLOOKUP(FD207,BDD,75,FALSE),"")</f>
        <v/>
      </c>
      <c r="FF207" s="30" t="str">
        <f>+IFERROR(VLOOKUP(FD207,BDD,76,FALSE),"")</f>
        <v/>
      </c>
      <c r="FG207" s="30" t="str">
        <f>IFERROR(+VLOOKUP(FD207,BDD,77,FALSE),"")</f>
        <v/>
      </c>
      <c r="FH207" s="30" t="str">
        <f>+IFERROR(VLOOKUP(FD207,BDD,78,FALSE),"")</f>
        <v/>
      </c>
      <c r="FW207" s="16" t="str">
        <f>Juillet!GB38</f>
        <v>292025</v>
      </c>
      <c r="FX207" s="16">
        <f>Juillet!GC38</f>
        <v>0</v>
      </c>
    </row>
    <row r="208" spans="1:180" x14ac:dyDescent="0.2">
      <c r="A208" s="16" t="str">
        <f t="shared" si="49"/>
        <v>Fiche info Avenant 1F4</v>
      </c>
      <c r="B208" s="16" t="str">
        <f t="shared" si="50"/>
        <v>Fiche info Avenant 1</v>
      </c>
      <c r="C208" s="27" t="s">
        <v>244</v>
      </c>
      <c r="D208" s="27">
        <v>4</v>
      </c>
      <c r="E208" s="16" t="s">
        <v>20</v>
      </c>
      <c r="F208" s="34" t="str">
        <f>+IF('Fiche info Avenant 1'!$BN$10=0,"",'Fiche info Avenant 1'!$BN$10)</f>
        <v/>
      </c>
      <c r="G208" s="16">
        <f t="shared" si="58"/>
        <v>0</v>
      </c>
      <c r="BX208" s="16" t="str">
        <f t="shared" si="59"/>
        <v>Fiche info Avenant 1F4</v>
      </c>
      <c r="BY208" s="449">
        <f>'Fiche info Avenant 1'!$BE$10</f>
        <v>0</v>
      </c>
      <c r="BZ208" s="449">
        <f>'Fiche info Avenant 1'!$BF$10</f>
        <v>0</v>
      </c>
      <c r="CA208" s="449">
        <f>'Fiche info Avenant 1'!$BG$10</f>
        <v>0</v>
      </c>
      <c r="CB208" s="449">
        <f>'Fiche info Avenant 1'!$BH$10</f>
        <v>0</v>
      </c>
      <c r="CC208" s="449">
        <f>'Fiche info Avenant 1'!$BI$10</f>
        <v>0</v>
      </c>
      <c r="CD208" s="449">
        <f>'Fiche info Avenant 1'!$BJ$10</f>
        <v>0</v>
      </c>
      <c r="CE208" s="449">
        <f>'Fiche info Avenant 1'!$BK$10</f>
        <v>0</v>
      </c>
      <c r="CF208" s="449">
        <f>'Fiche info Avenant 1'!$BL$10</f>
        <v>0</v>
      </c>
      <c r="ED208" s="16" t="str">
        <f t="shared" si="51"/>
        <v>Fiche info Avenant 1F</v>
      </c>
      <c r="EE208" s="16" t="str">
        <f t="shared" si="53"/>
        <v>Fiche info Avenant 1</v>
      </c>
      <c r="EF208" s="16" t="str">
        <f t="shared" si="54"/>
        <v>F</v>
      </c>
      <c r="EG208" s="16">
        <f t="shared" si="55"/>
        <v>4</v>
      </c>
      <c r="EH208" s="16" t="str">
        <f t="shared" si="56"/>
        <v>Jeudi</v>
      </c>
      <c r="EI208" s="16" t="str">
        <f t="shared" si="57"/>
        <v/>
      </c>
      <c r="FB208" s="16" t="str">
        <f t="shared" si="60"/>
        <v/>
      </c>
      <c r="FC208" s="16" t="str">
        <f t="shared" si="61"/>
        <v/>
      </c>
      <c r="FD208" s="30">
        <f t="shared" si="52"/>
        <v>44440</v>
      </c>
      <c r="FE208" s="30" t="str">
        <f>+IFERROR(VLOOKUP(FD208,BDD,79,FALSE),"")</f>
        <v/>
      </c>
      <c r="FF208" s="30" t="str">
        <f>IFERROR(+VLOOKUP(FD208,BDD,80,FALSE),"")</f>
        <v/>
      </c>
      <c r="FG208" s="30" t="str">
        <f>+IFERROR(VLOOKUP(FD208,BDD,81,FALSE),"")</f>
        <v/>
      </c>
      <c r="FH208" s="30" t="str">
        <f>+IFERROR(VLOOKUP(FD208,BDD,82,FALSE),"")</f>
        <v/>
      </c>
      <c r="FW208" s="16" t="str">
        <f>Juillet!GB39</f>
        <v>292025</v>
      </c>
      <c r="FX208" s="16">
        <f>Juillet!GC39</f>
        <v>0</v>
      </c>
    </row>
    <row r="209" spans="1:180" x14ac:dyDescent="0.2">
      <c r="A209" s="16" t="str">
        <f t="shared" si="49"/>
        <v>Fiche info Avenant 1F5</v>
      </c>
      <c r="B209" s="16" t="str">
        <f t="shared" si="50"/>
        <v>Fiche info Avenant 1</v>
      </c>
      <c r="C209" s="27" t="s">
        <v>244</v>
      </c>
      <c r="D209" s="27">
        <v>5</v>
      </c>
      <c r="E209" s="16" t="s">
        <v>21</v>
      </c>
      <c r="F209" s="34" t="str">
        <f>+IF('Fiche info Avenant 1'!$BN$11=0,"",'Fiche info Avenant 1'!$BN$11)</f>
        <v/>
      </c>
      <c r="G209" s="16">
        <f t="shared" si="58"/>
        <v>0</v>
      </c>
      <c r="BX209" s="16" t="str">
        <f t="shared" si="59"/>
        <v>Fiche info Avenant 1F5</v>
      </c>
      <c r="BY209" s="449">
        <f>'Fiche info Avenant 1'!$BE$11</f>
        <v>0</v>
      </c>
      <c r="BZ209" s="449">
        <f>'Fiche info Avenant 1'!$BF$11</f>
        <v>0</v>
      </c>
      <c r="CA209" s="449">
        <f>'Fiche info Avenant 1'!$BG$11</f>
        <v>0</v>
      </c>
      <c r="CB209" s="449">
        <f>'Fiche info Avenant 1'!$BH$11</f>
        <v>0</v>
      </c>
      <c r="CC209" s="449">
        <f>'Fiche info Avenant 1'!$BI$11</f>
        <v>0</v>
      </c>
      <c r="CD209" s="449">
        <f>'Fiche info Avenant 1'!$BJ$11</f>
        <v>0</v>
      </c>
      <c r="CE209" s="449">
        <f>'Fiche info Avenant 1'!$BK$11</f>
        <v>0</v>
      </c>
      <c r="CF209" s="449">
        <f>'Fiche info Avenant 1'!$BL$11</f>
        <v>0</v>
      </c>
      <c r="ED209" s="16" t="str">
        <f t="shared" si="51"/>
        <v>Fiche info Avenant 1F</v>
      </c>
      <c r="EE209" s="16" t="str">
        <f t="shared" si="53"/>
        <v>Fiche info Avenant 1</v>
      </c>
      <c r="EF209" s="16" t="str">
        <f t="shared" si="54"/>
        <v>F</v>
      </c>
      <c r="EG209" s="16">
        <f t="shared" si="55"/>
        <v>5</v>
      </c>
      <c r="EH209" s="16" t="str">
        <f t="shared" si="56"/>
        <v>Vendredi</v>
      </c>
      <c r="EI209" s="16" t="str">
        <f t="shared" si="57"/>
        <v/>
      </c>
      <c r="FB209" s="16" t="str">
        <f t="shared" si="60"/>
        <v/>
      </c>
      <c r="FC209" s="16" t="str">
        <f t="shared" si="61"/>
        <v/>
      </c>
      <c r="FD209" s="30">
        <f t="shared" si="52"/>
        <v>44440</v>
      </c>
      <c r="FE209" s="30" t="str">
        <f>+IFERROR(VLOOKUP(FD209,BDD,83,FALSE),"")</f>
        <v/>
      </c>
      <c r="FF209" s="30" t="str">
        <f>+IFERROR(VLOOKUP(FD209,BDD,84,FALSE),"")</f>
        <v/>
      </c>
      <c r="FG209" s="30" t="str">
        <f>+IFERROR(VLOOKUP(FD209,BDD,85,FALSE),"")</f>
        <v/>
      </c>
      <c r="FH209" s="30" t="str">
        <f>+IFERROR(VLOOKUP(FD209,BDD,86,FALSE),"")</f>
        <v/>
      </c>
      <c r="FW209" s="16" t="str">
        <f>Juillet!GB40</f>
        <v>302025</v>
      </c>
      <c r="FX209" s="16">
        <f>Juillet!GC40</f>
        <v>0</v>
      </c>
    </row>
    <row r="210" spans="1:180" x14ac:dyDescent="0.2">
      <c r="A210" s="16" t="str">
        <f t="shared" si="49"/>
        <v>Fiche info Avenant 1F6</v>
      </c>
      <c r="B210" s="16" t="str">
        <f t="shared" si="50"/>
        <v>Fiche info Avenant 1</v>
      </c>
      <c r="C210" s="27" t="s">
        <v>244</v>
      </c>
      <c r="D210" s="27">
        <v>6</v>
      </c>
      <c r="E210" s="16" t="s">
        <v>193</v>
      </c>
      <c r="F210" s="34" t="str">
        <f>+IF('Fiche info Avenant 1'!$BN$12=0,"",'Fiche info Avenant 1'!$BN$12)</f>
        <v/>
      </c>
      <c r="G210" s="16">
        <f t="shared" si="58"/>
        <v>0</v>
      </c>
      <c r="BX210" s="16" t="str">
        <f t="shared" si="59"/>
        <v>Fiche info Avenant 1F6</v>
      </c>
      <c r="BY210" s="449">
        <f>'Fiche info Avenant 1'!$BE$12</f>
        <v>0</v>
      </c>
      <c r="BZ210" s="449">
        <f>'Fiche info Avenant 1'!$BF$12</f>
        <v>0</v>
      </c>
      <c r="CA210" s="449">
        <f>'Fiche info Avenant 1'!$BG$12</f>
        <v>0</v>
      </c>
      <c r="CB210" s="449">
        <f>'Fiche info Avenant 1'!$BH$12</f>
        <v>0</v>
      </c>
      <c r="CC210" s="449">
        <f>'Fiche info Avenant 1'!$BI$12</f>
        <v>0</v>
      </c>
      <c r="CD210" s="449">
        <f>'Fiche info Avenant 1'!$BJ$12</f>
        <v>0</v>
      </c>
      <c r="CE210" s="449">
        <f>'Fiche info Avenant 1'!$BK$12</f>
        <v>0</v>
      </c>
      <c r="CF210" s="449">
        <f>'Fiche info Avenant 1'!$BL$12</f>
        <v>0</v>
      </c>
      <c r="ED210" s="16" t="str">
        <f t="shared" si="51"/>
        <v>Fiche info Avenant 1F</v>
      </c>
      <c r="EE210" s="16" t="str">
        <f t="shared" si="53"/>
        <v>Fiche info Avenant 1</v>
      </c>
      <c r="EF210" s="16" t="str">
        <f t="shared" si="54"/>
        <v>F</v>
      </c>
      <c r="EG210" s="16">
        <f t="shared" si="55"/>
        <v>6</v>
      </c>
      <c r="EH210" s="16" t="str">
        <f t="shared" si="56"/>
        <v>Samedi</v>
      </c>
      <c r="EI210" s="16" t="str">
        <f t="shared" si="57"/>
        <v/>
      </c>
      <c r="FB210" s="16" t="str">
        <f t="shared" si="60"/>
        <v/>
      </c>
      <c r="FC210" s="16" t="str">
        <f t="shared" si="61"/>
        <v/>
      </c>
      <c r="FD210" s="30">
        <f t="shared" si="52"/>
        <v>44409</v>
      </c>
      <c r="FE210" s="30" t="str">
        <f>+IFERROR(VLOOKUP(FD210,BDD,71,FALSE),"")</f>
        <v/>
      </c>
      <c r="FF210" s="30" t="str">
        <f>IFERROR(+VLOOKUP(FD210,BDD,72,FALSE),"")</f>
        <v/>
      </c>
      <c r="FG210" s="30" t="str">
        <f>+IFERROR(VLOOKUP(FD210,BDD,73,FALSE),"")</f>
        <v/>
      </c>
      <c r="FH210" s="30" t="str">
        <f>+IFERROR(VLOOKUP(FD210,BDD,74,FALSE),"")</f>
        <v/>
      </c>
      <c r="FW210" s="16" t="str">
        <f>Juillet!GB41</f>
        <v>302025</v>
      </c>
      <c r="FX210" s="16">
        <f>Juillet!GC41</f>
        <v>0</v>
      </c>
    </row>
    <row r="211" spans="1:180" x14ac:dyDescent="0.2">
      <c r="A211" s="16" t="str">
        <f t="shared" si="49"/>
        <v>Fiche info Avenant 1F7</v>
      </c>
      <c r="B211" s="16" t="str">
        <f t="shared" si="50"/>
        <v>Fiche info Avenant 1</v>
      </c>
      <c r="C211" s="27" t="s">
        <v>244</v>
      </c>
      <c r="D211" s="27">
        <v>7</v>
      </c>
      <c r="E211" s="16" t="s">
        <v>194</v>
      </c>
      <c r="F211" s="34" t="str">
        <f>+IF('Fiche info Avenant 1'!$BN$13=0,"",'Fiche info Avenant 1'!$BN$13)</f>
        <v/>
      </c>
      <c r="G211" s="16">
        <f t="shared" si="58"/>
        <v>0</v>
      </c>
      <c r="BX211" s="16" t="str">
        <f t="shared" si="59"/>
        <v>Fiche info Avenant 1F7</v>
      </c>
      <c r="BY211" s="449">
        <f>'Fiche info Avenant 1'!$BE$13</f>
        <v>0</v>
      </c>
      <c r="BZ211" s="449">
        <f>'Fiche info Avenant 1'!$BF$13</f>
        <v>0</v>
      </c>
      <c r="CA211" s="449">
        <f>'Fiche info Avenant 1'!$BG$13</f>
        <v>0</v>
      </c>
      <c r="CB211" s="449">
        <f>'Fiche info Avenant 1'!$BH$13</f>
        <v>0</v>
      </c>
      <c r="CC211" s="449">
        <f>'Fiche info Avenant 1'!$BI$13</f>
        <v>0</v>
      </c>
      <c r="CD211" s="449">
        <f>'Fiche info Avenant 1'!$BJ$13</f>
        <v>0</v>
      </c>
      <c r="CE211" s="449">
        <f>'Fiche info Avenant 1'!$BK$13</f>
        <v>0</v>
      </c>
      <c r="CF211" s="449">
        <f>'Fiche info Avenant 1'!$BL$13</f>
        <v>0</v>
      </c>
      <c r="ED211" s="16" t="str">
        <f t="shared" si="51"/>
        <v>Fiche info Avenant 1F</v>
      </c>
      <c r="EE211" s="16" t="str">
        <f t="shared" si="53"/>
        <v>Fiche info Avenant 1</v>
      </c>
      <c r="EF211" s="16" t="str">
        <f t="shared" si="54"/>
        <v>F</v>
      </c>
      <c r="EG211" s="16">
        <f t="shared" si="55"/>
        <v>7</v>
      </c>
      <c r="EH211" s="16" t="str">
        <f t="shared" si="56"/>
        <v>Dimanche</v>
      </c>
      <c r="EI211" s="16" t="str">
        <f t="shared" si="57"/>
        <v/>
      </c>
      <c r="FB211" s="16" t="str">
        <f t="shared" si="60"/>
        <v/>
      </c>
      <c r="FC211" s="16" t="str">
        <f t="shared" si="61"/>
        <v/>
      </c>
      <c r="FD211" s="30">
        <f t="shared" si="52"/>
        <v>44409</v>
      </c>
      <c r="FE211" s="30" t="str">
        <f>+IFERROR(VLOOKUP(FD211,BDD,75,FALSE),"")</f>
        <v/>
      </c>
      <c r="FF211" s="30" t="str">
        <f>+IFERROR(VLOOKUP(FD211,BDD,76,FALSE),"")</f>
        <v/>
      </c>
      <c r="FG211" s="30" t="str">
        <f>IFERROR(+VLOOKUP(FD211,BDD,77,FALSE),"")</f>
        <v/>
      </c>
      <c r="FH211" s="30" t="str">
        <f>+IFERROR(VLOOKUP(FD211,BDD,78,FALSE),"")</f>
        <v/>
      </c>
      <c r="FW211" s="16" t="str">
        <f>Juillet!GB42</f>
        <v>302025</v>
      </c>
      <c r="FX211" s="16">
        <f>Juillet!GC42</f>
        <v>0</v>
      </c>
    </row>
    <row r="212" spans="1:180" x14ac:dyDescent="0.2">
      <c r="A212" s="16" t="str">
        <f t="shared" si="49"/>
        <v>Fiche info Avenant 1G1</v>
      </c>
      <c r="B212" s="16" t="str">
        <f t="shared" si="50"/>
        <v>Fiche info Avenant 1</v>
      </c>
      <c r="C212" s="27" t="s">
        <v>245</v>
      </c>
      <c r="D212" s="27">
        <v>1</v>
      </c>
      <c r="E212" s="16" t="s">
        <v>17</v>
      </c>
      <c r="F212" s="34" t="str">
        <f>+IF('Fiche info Avenant 1'!$BY$7=0,"",'Fiche info Avenant 1'!$BY$7)</f>
        <v/>
      </c>
      <c r="G212" s="16">
        <f t="shared" si="58"/>
        <v>0</v>
      </c>
      <c r="BX212" s="16" t="str">
        <f t="shared" si="59"/>
        <v>Fiche info Avenant 1G1</v>
      </c>
      <c r="BY212" s="449">
        <f>'Fiche info Avenant 1'!$BP$7</f>
        <v>0</v>
      </c>
      <c r="BZ212" s="449">
        <f>'Fiche info Avenant 1'!$BQ$7</f>
        <v>0</v>
      </c>
      <c r="CA212" s="449">
        <f>'Fiche info Avenant 1'!$BR$7</f>
        <v>0</v>
      </c>
      <c r="CB212" s="449">
        <f>'Fiche info Avenant 1'!$BS$7</f>
        <v>0</v>
      </c>
      <c r="CC212" s="449">
        <f>'Fiche info Avenant 1'!$BT$7</f>
        <v>0</v>
      </c>
      <c r="CD212" s="449">
        <f>'Fiche info Avenant 1'!$BU$7</f>
        <v>0</v>
      </c>
      <c r="CE212" s="449">
        <f>'Fiche info Avenant 1'!$BV$7</f>
        <v>0</v>
      </c>
      <c r="CF212" s="449">
        <f>'Fiche info Avenant 1'!$BW$7</f>
        <v>0</v>
      </c>
      <c r="ED212" s="16" t="str">
        <f t="shared" si="51"/>
        <v>Fiche info Avenant 1G</v>
      </c>
      <c r="EE212" s="16" t="str">
        <f t="shared" si="53"/>
        <v>Fiche info Avenant 1</v>
      </c>
      <c r="EF212" s="16" t="str">
        <f t="shared" si="54"/>
        <v>G</v>
      </c>
      <c r="EG212" s="16">
        <f t="shared" si="55"/>
        <v>1</v>
      </c>
      <c r="EH212" s="16" t="str">
        <f t="shared" si="56"/>
        <v>Lundi</v>
      </c>
      <c r="EI212" s="16" t="str">
        <f t="shared" si="57"/>
        <v/>
      </c>
      <c r="FB212" s="16" t="str">
        <f t="shared" si="60"/>
        <v/>
      </c>
      <c r="FC212" s="16" t="str">
        <f t="shared" si="61"/>
        <v/>
      </c>
      <c r="FD212" s="30">
        <f t="shared" si="52"/>
        <v>44409</v>
      </c>
      <c r="FE212" s="30" t="str">
        <f>+IFERROR(VLOOKUP(FD212,BDD,79,FALSE),"")</f>
        <v/>
      </c>
      <c r="FF212" s="30" t="str">
        <f>IFERROR(+VLOOKUP(FD212,BDD,80,FALSE),"")</f>
        <v/>
      </c>
      <c r="FG212" s="30" t="str">
        <f>+IFERROR(VLOOKUP(FD212,BDD,81,FALSE),"")</f>
        <v/>
      </c>
      <c r="FH212" s="30" t="str">
        <f>+IFERROR(VLOOKUP(FD212,BDD,82,FALSE),"")</f>
        <v/>
      </c>
      <c r="FW212" s="16" t="str">
        <f>Juillet!GB43</f>
        <v>302025</v>
      </c>
      <c r="FX212" s="16">
        <f>Juillet!GC43</f>
        <v>0</v>
      </c>
    </row>
    <row r="213" spans="1:180" x14ac:dyDescent="0.2">
      <c r="A213" s="16" t="str">
        <f t="shared" si="49"/>
        <v>Fiche info Avenant 1G2</v>
      </c>
      <c r="B213" s="16" t="str">
        <f t="shared" si="50"/>
        <v>Fiche info Avenant 1</v>
      </c>
      <c r="C213" s="27" t="s">
        <v>245</v>
      </c>
      <c r="D213" s="27">
        <v>2</v>
      </c>
      <c r="E213" s="16" t="s">
        <v>18</v>
      </c>
      <c r="F213" s="34" t="str">
        <f>+IF('Fiche info Avenant 1'!$BY$8=0,"",'Fiche info Avenant 1'!$BY$8)</f>
        <v/>
      </c>
      <c r="G213" s="16">
        <f t="shared" si="58"/>
        <v>0</v>
      </c>
      <c r="BX213" s="16" t="str">
        <f t="shared" si="59"/>
        <v>Fiche info Avenant 1G2</v>
      </c>
      <c r="BY213" s="449">
        <f>'Fiche info Avenant 1'!$BP$8</f>
        <v>0</v>
      </c>
      <c r="BZ213" s="449">
        <f>'Fiche info Avenant 1'!$BQ$8</f>
        <v>0</v>
      </c>
      <c r="CA213" s="449">
        <f>'Fiche info Avenant 1'!$BR$8</f>
        <v>0</v>
      </c>
      <c r="CB213" s="449">
        <f>'Fiche info Avenant 1'!$BS$8</f>
        <v>0</v>
      </c>
      <c r="CC213" s="449">
        <f>'Fiche info Avenant 1'!$BT$8</f>
        <v>0</v>
      </c>
      <c r="CD213" s="449">
        <f>'Fiche info Avenant 1'!$BU$8</f>
        <v>0</v>
      </c>
      <c r="CE213" s="449">
        <f>'Fiche info Avenant 1'!$BV$8</f>
        <v>0</v>
      </c>
      <c r="CF213" s="449">
        <f>'Fiche info Avenant 1'!$BW$8</f>
        <v>0</v>
      </c>
      <c r="ED213" s="16" t="str">
        <f t="shared" si="51"/>
        <v>Fiche info Avenant 1G</v>
      </c>
      <c r="EE213" s="16" t="str">
        <f t="shared" si="53"/>
        <v>Fiche info Avenant 1</v>
      </c>
      <c r="EF213" s="16" t="str">
        <f t="shared" si="54"/>
        <v>G</v>
      </c>
      <c r="EG213" s="16">
        <f t="shared" si="55"/>
        <v>2</v>
      </c>
      <c r="EH213" s="16" t="str">
        <f t="shared" si="56"/>
        <v>Mardi</v>
      </c>
      <c r="EI213" s="16" t="str">
        <f t="shared" si="57"/>
        <v/>
      </c>
      <c r="FB213" s="16" t="str">
        <f t="shared" si="60"/>
        <v/>
      </c>
      <c r="FC213" s="16" t="str">
        <f t="shared" si="61"/>
        <v/>
      </c>
      <c r="FD213" s="30">
        <f t="shared" si="52"/>
        <v>44409</v>
      </c>
      <c r="FE213" s="30" t="str">
        <f>+IFERROR(VLOOKUP(FD213,BDD,83,FALSE),"")</f>
        <v/>
      </c>
      <c r="FF213" s="30" t="str">
        <f>+IFERROR(VLOOKUP(FD213,BDD,84,FALSE),"")</f>
        <v/>
      </c>
      <c r="FG213" s="30" t="str">
        <f>+IFERROR(VLOOKUP(FD213,BDD,85,FALSE),"")</f>
        <v/>
      </c>
      <c r="FH213" s="30" t="str">
        <f>+IFERROR(VLOOKUP(FD213,BDD,86,FALSE),"")</f>
        <v/>
      </c>
      <c r="FW213" s="16" t="str">
        <f>Juillet!GB44</f>
        <v>302025</v>
      </c>
      <c r="FX213" s="16">
        <f>Juillet!GC44</f>
        <v>0</v>
      </c>
    </row>
    <row r="214" spans="1:180" x14ac:dyDescent="0.2">
      <c r="A214" s="16" t="str">
        <f t="shared" si="49"/>
        <v>Fiche info Avenant 1G3</v>
      </c>
      <c r="B214" s="16" t="str">
        <f t="shared" si="50"/>
        <v>Fiche info Avenant 1</v>
      </c>
      <c r="C214" s="27" t="s">
        <v>245</v>
      </c>
      <c r="D214" s="27">
        <v>3</v>
      </c>
      <c r="E214" s="16" t="s">
        <v>19</v>
      </c>
      <c r="F214" s="34" t="str">
        <f>+IF('Fiche info Avenant 1'!$BY$9=0,"",'Fiche info Avenant 1'!$BY$9)</f>
        <v/>
      </c>
      <c r="G214" s="16">
        <f t="shared" si="58"/>
        <v>0</v>
      </c>
      <c r="BX214" s="16" t="str">
        <f t="shared" si="59"/>
        <v>Fiche info Avenant 1G3</v>
      </c>
      <c r="BY214" s="449">
        <f>'Fiche info Avenant 1'!$BP$9</f>
        <v>0</v>
      </c>
      <c r="BZ214" s="449">
        <f>'Fiche info Avenant 1'!$BQ$9</f>
        <v>0</v>
      </c>
      <c r="CA214" s="449">
        <f>'Fiche info Avenant 1'!$BR$9</f>
        <v>0</v>
      </c>
      <c r="CB214" s="449">
        <f>'Fiche info Avenant 1'!$BS$9</f>
        <v>0</v>
      </c>
      <c r="CC214" s="449">
        <f>'Fiche info Avenant 1'!$BT$9</f>
        <v>0</v>
      </c>
      <c r="CD214" s="449">
        <f>'Fiche info Avenant 1'!$BU$9</f>
        <v>0</v>
      </c>
      <c r="CE214" s="449">
        <f>'Fiche info Avenant 1'!$BV$9</f>
        <v>0</v>
      </c>
      <c r="CF214" s="449">
        <f>'Fiche info Avenant 1'!$BW$9</f>
        <v>0</v>
      </c>
      <c r="ED214" s="16" t="str">
        <f t="shared" si="51"/>
        <v>Fiche info Avenant 1G</v>
      </c>
      <c r="EE214" s="16" t="str">
        <f t="shared" si="53"/>
        <v>Fiche info Avenant 1</v>
      </c>
      <c r="EF214" s="16" t="str">
        <f t="shared" si="54"/>
        <v>G</v>
      </c>
      <c r="EG214" s="16">
        <f t="shared" si="55"/>
        <v>3</v>
      </c>
      <c r="EH214" s="16" t="str">
        <f t="shared" si="56"/>
        <v>Mercredi</v>
      </c>
      <c r="EI214" s="16" t="str">
        <f t="shared" si="57"/>
        <v/>
      </c>
      <c r="FB214" s="16" t="str">
        <f t="shared" si="60"/>
        <v/>
      </c>
      <c r="FC214" s="16" t="str">
        <f t="shared" si="61"/>
        <v/>
      </c>
      <c r="FD214" s="30">
        <f t="shared" si="52"/>
        <v>44378</v>
      </c>
      <c r="FE214" s="30" t="str">
        <f>+IFERROR(VLOOKUP(FD214,BDD,71,FALSE),"")</f>
        <v/>
      </c>
      <c r="FF214" s="30" t="str">
        <f>IFERROR(+VLOOKUP(FD214,BDD,72,FALSE),"")</f>
        <v/>
      </c>
      <c r="FG214" s="30" t="str">
        <f>+IFERROR(VLOOKUP(FD214,BDD,73,FALSE),"")</f>
        <v/>
      </c>
      <c r="FH214" s="30" t="str">
        <f>+IFERROR(VLOOKUP(FD214,BDD,74,FALSE),"")</f>
        <v/>
      </c>
      <c r="FW214" s="16" t="str">
        <f>Juillet!GB45</f>
        <v>302025</v>
      </c>
      <c r="FX214" s="16">
        <f>Juillet!GC45</f>
        <v>0</v>
      </c>
    </row>
    <row r="215" spans="1:180" x14ac:dyDescent="0.2">
      <c r="A215" s="16" t="str">
        <f t="shared" si="49"/>
        <v>Fiche info Avenant 1G4</v>
      </c>
      <c r="B215" s="16" t="str">
        <f t="shared" si="50"/>
        <v>Fiche info Avenant 1</v>
      </c>
      <c r="C215" s="27" t="s">
        <v>245</v>
      </c>
      <c r="D215" s="27">
        <v>4</v>
      </c>
      <c r="E215" s="16" t="s">
        <v>20</v>
      </c>
      <c r="F215" s="34" t="str">
        <f>+IF('Fiche info Avenant 1'!$BY$10=0,"",'Fiche info Avenant 1'!$BY$10)</f>
        <v/>
      </c>
      <c r="G215" s="16">
        <f t="shared" si="58"/>
        <v>0</v>
      </c>
      <c r="BX215" s="16" t="str">
        <f t="shared" si="59"/>
        <v>Fiche info Avenant 1G4</v>
      </c>
      <c r="BY215" s="449">
        <f>'Fiche info Avenant 1'!$BP$10</f>
        <v>0</v>
      </c>
      <c r="BZ215" s="449">
        <f>'Fiche info Avenant 1'!$BQ$10</f>
        <v>0</v>
      </c>
      <c r="CA215" s="449">
        <f>'Fiche info Avenant 1'!$BR$10</f>
        <v>0</v>
      </c>
      <c r="CB215" s="449">
        <f>'Fiche info Avenant 1'!$BS$10</f>
        <v>0</v>
      </c>
      <c r="CC215" s="449">
        <f>'Fiche info Avenant 1'!$BT$10</f>
        <v>0</v>
      </c>
      <c r="CD215" s="449">
        <f>'Fiche info Avenant 1'!$BU$10</f>
        <v>0</v>
      </c>
      <c r="CE215" s="449">
        <f>'Fiche info Avenant 1'!$BV$10</f>
        <v>0</v>
      </c>
      <c r="CF215" s="449">
        <f>'Fiche info Avenant 1'!$BW$10</f>
        <v>0</v>
      </c>
      <c r="ED215" s="16" t="str">
        <f t="shared" si="51"/>
        <v>Fiche info Avenant 1G</v>
      </c>
      <c r="EE215" s="16" t="str">
        <f t="shared" si="53"/>
        <v>Fiche info Avenant 1</v>
      </c>
      <c r="EF215" s="16" t="str">
        <f t="shared" si="54"/>
        <v>G</v>
      </c>
      <c r="EG215" s="16">
        <f t="shared" si="55"/>
        <v>4</v>
      </c>
      <c r="EH215" s="16" t="str">
        <f t="shared" si="56"/>
        <v>Jeudi</v>
      </c>
      <c r="EI215" s="16" t="str">
        <f t="shared" si="57"/>
        <v/>
      </c>
      <c r="FB215" s="16" t="str">
        <f t="shared" si="60"/>
        <v/>
      </c>
      <c r="FC215" s="16" t="str">
        <f t="shared" si="61"/>
        <v/>
      </c>
      <c r="FD215" s="30">
        <f t="shared" si="52"/>
        <v>44378</v>
      </c>
      <c r="FE215" s="30" t="str">
        <f>+IFERROR(VLOOKUP(FD215,BDD,75,FALSE),"")</f>
        <v/>
      </c>
      <c r="FF215" s="30" t="str">
        <f>+IFERROR(VLOOKUP(FD215,BDD,76,FALSE),"")</f>
        <v/>
      </c>
      <c r="FG215" s="30" t="str">
        <f>IFERROR(+VLOOKUP(FD215,BDD,77,FALSE),"")</f>
        <v/>
      </c>
      <c r="FH215" s="30" t="str">
        <f>+IFERROR(VLOOKUP(FD215,BDD,78,FALSE),"")</f>
        <v/>
      </c>
      <c r="FW215" s="16" t="str">
        <f>Juillet!GB46</f>
        <v>302025</v>
      </c>
      <c r="FX215" s="16">
        <f>Juillet!GC46</f>
        <v>0</v>
      </c>
    </row>
    <row r="216" spans="1:180" x14ac:dyDescent="0.2">
      <c r="A216" s="16" t="str">
        <f t="shared" si="49"/>
        <v>Fiche info Avenant 1G5</v>
      </c>
      <c r="B216" s="16" t="str">
        <f t="shared" si="50"/>
        <v>Fiche info Avenant 1</v>
      </c>
      <c r="C216" s="27" t="s">
        <v>245</v>
      </c>
      <c r="D216" s="27">
        <v>5</v>
      </c>
      <c r="E216" s="16" t="s">
        <v>21</v>
      </c>
      <c r="F216" s="34" t="str">
        <f>+IF('Fiche info Avenant 1'!$BY$11=0,"",'Fiche info Avenant 1'!$BY$11)</f>
        <v/>
      </c>
      <c r="G216" s="16">
        <f t="shared" si="58"/>
        <v>0</v>
      </c>
      <c r="BX216" s="16" t="str">
        <f t="shared" si="59"/>
        <v>Fiche info Avenant 1G5</v>
      </c>
      <c r="BY216" s="449">
        <f>'Fiche info Avenant 1'!$BP$11</f>
        <v>0</v>
      </c>
      <c r="BZ216" s="449">
        <f>'Fiche info Avenant 1'!$BQ$11</f>
        <v>0</v>
      </c>
      <c r="CA216" s="449">
        <f>'Fiche info Avenant 1'!$BR$11</f>
        <v>0</v>
      </c>
      <c r="CB216" s="449">
        <f>'Fiche info Avenant 1'!$BS$11</f>
        <v>0</v>
      </c>
      <c r="CC216" s="449">
        <f>'Fiche info Avenant 1'!$BT$11</f>
        <v>0</v>
      </c>
      <c r="CD216" s="449">
        <f>'Fiche info Avenant 1'!$BU$11</f>
        <v>0</v>
      </c>
      <c r="CE216" s="449">
        <f>'Fiche info Avenant 1'!$BV$11</f>
        <v>0</v>
      </c>
      <c r="CF216" s="449">
        <f>'Fiche info Avenant 1'!$BW$11</f>
        <v>0</v>
      </c>
      <c r="ED216" s="16" t="str">
        <f t="shared" si="51"/>
        <v>Fiche info Avenant 1G</v>
      </c>
      <c r="EE216" s="16" t="str">
        <f t="shared" si="53"/>
        <v>Fiche info Avenant 1</v>
      </c>
      <c r="EF216" s="16" t="str">
        <f t="shared" si="54"/>
        <v>G</v>
      </c>
      <c r="EG216" s="16">
        <f t="shared" si="55"/>
        <v>5</v>
      </c>
      <c r="EH216" s="16" t="str">
        <f t="shared" si="56"/>
        <v>Vendredi</v>
      </c>
      <c r="EI216" s="16" t="str">
        <f t="shared" si="57"/>
        <v/>
      </c>
      <c r="FB216" s="16" t="str">
        <f t="shared" si="60"/>
        <v/>
      </c>
      <c r="FC216" s="16" t="str">
        <f t="shared" si="61"/>
        <v/>
      </c>
      <c r="FD216" s="30">
        <f t="shared" si="52"/>
        <v>44378</v>
      </c>
      <c r="FE216" s="30" t="str">
        <f>+IFERROR(VLOOKUP(FD216,BDD,79,FALSE),"")</f>
        <v/>
      </c>
      <c r="FF216" s="30" t="str">
        <f>IFERROR(+VLOOKUP(FD216,BDD,80,FALSE),"")</f>
        <v/>
      </c>
      <c r="FG216" s="30" t="str">
        <f>+IFERROR(VLOOKUP(FD216,BDD,81,FALSE),"")</f>
        <v/>
      </c>
      <c r="FH216" s="30" t="str">
        <f>+IFERROR(VLOOKUP(FD216,BDD,82,FALSE),"")</f>
        <v/>
      </c>
      <c r="FW216" s="16" t="str">
        <f>Juillet!GB47</f>
        <v>312025</v>
      </c>
      <c r="FX216" s="16">
        <f>Juillet!GC47</f>
        <v>0</v>
      </c>
    </row>
    <row r="217" spans="1:180" x14ac:dyDescent="0.2">
      <c r="A217" s="16" t="str">
        <f t="shared" si="49"/>
        <v>Fiche info Avenant 1G6</v>
      </c>
      <c r="B217" s="16" t="str">
        <f t="shared" si="50"/>
        <v>Fiche info Avenant 1</v>
      </c>
      <c r="C217" s="27" t="s">
        <v>245</v>
      </c>
      <c r="D217" s="27">
        <v>6</v>
      </c>
      <c r="E217" s="16" t="s">
        <v>193</v>
      </c>
      <c r="F217" s="34" t="str">
        <f>+IF('Fiche info Avenant 1'!$BY$12=0,"",'Fiche info Avenant 1'!$BY$12)</f>
        <v/>
      </c>
      <c r="G217" s="16">
        <f t="shared" si="58"/>
        <v>0</v>
      </c>
      <c r="BX217" s="16" t="str">
        <f t="shared" si="59"/>
        <v>Fiche info Avenant 1G6</v>
      </c>
      <c r="BY217" s="449">
        <f>'Fiche info Avenant 1'!$BP$12</f>
        <v>0</v>
      </c>
      <c r="BZ217" s="449">
        <f>'Fiche info Avenant 1'!$BQ$12</f>
        <v>0</v>
      </c>
      <c r="CA217" s="449">
        <f>'Fiche info Avenant 1'!$BR$12</f>
        <v>0</v>
      </c>
      <c r="CB217" s="449">
        <f>'Fiche info Avenant 1'!$BS$12</f>
        <v>0</v>
      </c>
      <c r="CC217" s="449">
        <f>'Fiche info Avenant 1'!$BT$12</f>
        <v>0</v>
      </c>
      <c r="CD217" s="449">
        <f>'Fiche info Avenant 1'!$BU$12</f>
        <v>0</v>
      </c>
      <c r="CE217" s="449">
        <f>'Fiche info Avenant 1'!$BV$12</f>
        <v>0</v>
      </c>
      <c r="CF217" s="449">
        <f>'Fiche info Avenant 1'!$BW$12</f>
        <v>0</v>
      </c>
      <c r="ED217" s="16" t="str">
        <f t="shared" si="51"/>
        <v>Fiche info Avenant 1G</v>
      </c>
      <c r="EE217" s="16" t="str">
        <f t="shared" si="53"/>
        <v>Fiche info Avenant 1</v>
      </c>
      <c r="EF217" s="16" t="str">
        <f t="shared" si="54"/>
        <v>G</v>
      </c>
      <c r="EG217" s="16">
        <f t="shared" si="55"/>
        <v>6</v>
      </c>
      <c r="EH217" s="16" t="str">
        <f t="shared" si="56"/>
        <v>Samedi</v>
      </c>
      <c r="EI217" s="16" t="str">
        <f t="shared" si="57"/>
        <v/>
      </c>
      <c r="FB217" s="16" t="str">
        <f t="shared" si="60"/>
        <v/>
      </c>
      <c r="FC217" s="16" t="str">
        <f t="shared" si="61"/>
        <v/>
      </c>
      <c r="FD217" s="30">
        <f t="shared" si="52"/>
        <v>44378</v>
      </c>
      <c r="FE217" s="30" t="str">
        <f>+IFERROR(VLOOKUP(FD217,BDD,83,FALSE),"")</f>
        <v/>
      </c>
      <c r="FF217" s="30" t="str">
        <f>+IFERROR(VLOOKUP(FD217,BDD,84,FALSE),"")</f>
        <v/>
      </c>
      <c r="FG217" s="30" t="str">
        <f>+IFERROR(VLOOKUP(FD217,BDD,85,FALSE),"")</f>
        <v/>
      </c>
      <c r="FH217" s="30" t="str">
        <f>+IFERROR(VLOOKUP(FD217,BDD,86,FALSE),"")</f>
        <v/>
      </c>
      <c r="FW217" s="16" t="str">
        <f>Juillet!GB48</f>
        <v>312025</v>
      </c>
      <c r="FX217" s="16">
        <f>Juillet!GC48</f>
        <v>0</v>
      </c>
    </row>
    <row r="218" spans="1:180" x14ac:dyDescent="0.2">
      <c r="A218" s="16" t="str">
        <f t="shared" si="49"/>
        <v>Fiche info Avenant 1G7</v>
      </c>
      <c r="B218" s="16" t="str">
        <f t="shared" si="50"/>
        <v>Fiche info Avenant 1</v>
      </c>
      <c r="C218" s="27" t="s">
        <v>245</v>
      </c>
      <c r="D218" s="27">
        <v>7</v>
      </c>
      <c r="E218" s="16" t="s">
        <v>194</v>
      </c>
      <c r="F218" s="34" t="str">
        <f>+IF('Fiche info Avenant 1'!$BY$13=0,"",'Fiche info Avenant 1'!$BY$13)</f>
        <v/>
      </c>
      <c r="G218" s="16">
        <f t="shared" si="58"/>
        <v>0</v>
      </c>
      <c r="BX218" s="16" t="str">
        <f t="shared" si="59"/>
        <v>Fiche info Avenant 1G7</v>
      </c>
      <c r="BY218" s="449">
        <f>'Fiche info Avenant 1'!$BP$13</f>
        <v>0</v>
      </c>
      <c r="BZ218" s="449">
        <f>'Fiche info Avenant 1'!$BQ$13</f>
        <v>0</v>
      </c>
      <c r="CA218" s="449">
        <f>'Fiche info Avenant 1'!$BR$13</f>
        <v>0</v>
      </c>
      <c r="CB218" s="449">
        <f>'Fiche info Avenant 1'!$BS$13</f>
        <v>0</v>
      </c>
      <c r="CC218" s="449">
        <f>'Fiche info Avenant 1'!$BT$13</f>
        <v>0</v>
      </c>
      <c r="CD218" s="449">
        <f>'Fiche info Avenant 1'!$BU$13</f>
        <v>0</v>
      </c>
      <c r="CE218" s="449">
        <f>'Fiche info Avenant 1'!$BV$13</f>
        <v>0</v>
      </c>
      <c r="CF218" s="449">
        <f>'Fiche info Avenant 1'!$BW$13</f>
        <v>0</v>
      </c>
      <c r="ED218" s="16" t="str">
        <f t="shared" si="51"/>
        <v>Fiche info Avenant 1G</v>
      </c>
      <c r="EE218" s="16" t="str">
        <f t="shared" si="53"/>
        <v>Fiche info Avenant 1</v>
      </c>
      <c r="EF218" s="16" t="str">
        <f t="shared" si="54"/>
        <v>G</v>
      </c>
      <c r="EG218" s="16">
        <f t="shared" si="55"/>
        <v>7</v>
      </c>
      <c r="EH218" s="16" t="str">
        <f t="shared" si="56"/>
        <v>Dimanche</v>
      </c>
      <c r="EI218" s="16" t="str">
        <f t="shared" si="57"/>
        <v/>
      </c>
      <c r="FB218" s="16" t="str">
        <f t="shared" si="60"/>
        <v/>
      </c>
      <c r="FC218" s="16" t="str">
        <f t="shared" si="61"/>
        <v/>
      </c>
      <c r="FD218" s="30">
        <f t="shared" si="52"/>
        <v>44348</v>
      </c>
      <c r="FE218" s="30" t="str">
        <f>+IFERROR(VLOOKUP(FD218,BDD,71,FALSE),"")</f>
        <v/>
      </c>
      <c r="FF218" s="30" t="str">
        <f>IFERROR(+VLOOKUP(FD218,BDD,72,FALSE),"")</f>
        <v/>
      </c>
      <c r="FG218" s="30" t="str">
        <f>+IFERROR(VLOOKUP(FD218,BDD,73,FALSE),"")</f>
        <v/>
      </c>
      <c r="FH218" s="30" t="str">
        <f>+IFERROR(VLOOKUP(FD218,BDD,74,FALSE),"")</f>
        <v/>
      </c>
      <c r="FW218" s="16" t="str">
        <f>Juillet!GB49</f>
        <v>312025</v>
      </c>
      <c r="FX218" s="16">
        <f>Juillet!GC49</f>
        <v>0</v>
      </c>
    </row>
    <row r="219" spans="1:180" x14ac:dyDescent="0.2">
      <c r="A219" s="16" t="str">
        <f t="shared" si="49"/>
        <v>Fiche info Avenant 1H1</v>
      </c>
      <c r="B219" s="16" t="str">
        <f t="shared" si="50"/>
        <v>Fiche info Avenant 1</v>
      </c>
      <c r="C219" s="27" t="s">
        <v>246</v>
      </c>
      <c r="D219" s="27">
        <v>1</v>
      </c>
      <c r="E219" s="16" t="s">
        <v>17</v>
      </c>
      <c r="F219" s="34" t="str">
        <f>+IF('Fiche info Avenant 1'!$CJ$7=0,"",'Fiche info Avenant 1'!$CJ$7)</f>
        <v/>
      </c>
      <c r="G219" s="16">
        <f t="shared" si="58"/>
        <v>0</v>
      </c>
      <c r="BX219" s="16" t="str">
        <f t="shared" si="59"/>
        <v>Fiche info Avenant 1H1</v>
      </c>
      <c r="BY219" s="449">
        <f>'Fiche info Avenant 1'!$CA$7</f>
        <v>0</v>
      </c>
      <c r="BZ219" s="449">
        <f>'Fiche info Avenant 1'!$CB$7</f>
        <v>0</v>
      </c>
      <c r="CA219" s="449">
        <f>'Fiche info Avenant 1'!$CC$7</f>
        <v>0</v>
      </c>
      <c r="CB219" s="449">
        <f>'Fiche info Avenant 1'!$CD$7</f>
        <v>0</v>
      </c>
      <c r="CC219" s="449">
        <f>'Fiche info Avenant 1'!$CE$7</f>
        <v>0</v>
      </c>
      <c r="CD219" s="449">
        <f>'Fiche info Avenant 1'!$CF$7</f>
        <v>0</v>
      </c>
      <c r="CE219" s="449">
        <f>'Fiche info Avenant 1'!$CG$7</f>
        <v>0</v>
      </c>
      <c r="CF219" s="449">
        <f>'Fiche info Avenant 1'!$CH$7</f>
        <v>0</v>
      </c>
      <c r="ED219" s="16" t="str">
        <f t="shared" si="51"/>
        <v>Fiche info Avenant 1H</v>
      </c>
      <c r="EE219" s="16" t="str">
        <f t="shared" si="53"/>
        <v>Fiche info Avenant 1</v>
      </c>
      <c r="EF219" s="16" t="str">
        <f t="shared" si="54"/>
        <v>H</v>
      </c>
      <c r="EG219" s="16">
        <f t="shared" si="55"/>
        <v>1</v>
      </c>
      <c r="EH219" s="16" t="str">
        <f t="shared" si="56"/>
        <v>Lundi</v>
      </c>
      <c r="EI219" s="16" t="str">
        <f t="shared" si="57"/>
        <v/>
      </c>
      <c r="FB219" s="16" t="str">
        <f t="shared" si="60"/>
        <v/>
      </c>
      <c r="FC219" s="16" t="str">
        <f t="shared" si="61"/>
        <v/>
      </c>
      <c r="FD219" s="30">
        <f t="shared" si="52"/>
        <v>44348</v>
      </c>
      <c r="FE219" s="30" t="str">
        <f>+IFERROR(VLOOKUP(FD219,BDD,75,FALSE),"")</f>
        <v/>
      </c>
      <c r="FF219" s="30" t="str">
        <f>+IFERROR(VLOOKUP(FD219,BDD,76,FALSE),"")</f>
        <v/>
      </c>
      <c r="FG219" s="30" t="str">
        <f>IFERROR(+VLOOKUP(FD219,BDD,77,FALSE),"")</f>
        <v/>
      </c>
      <c r="FH219" s="30" t="str">
        <f>+IFERROR(VLOOKUP(FD219,BDD,78,FALSE),"")</f>
        <v/>
      </c>
      <c r="FW219" s="16" t="str">
        <f>Juillet!GB50</f>
        <v>312025</v>
      </c>
      <c r="FX219" s="16">
        <f>Juillet!GC50</f>
        <v>0</v>
      </c>
    </row>
    <row r="220" spans="1:180" x14ac:dyDescent="0.2">
      <c r="A220" s="16" t="str">
        <f t="shared" si="49"/>
        <v>Fiche info Avenant 1H2</v>
      </c>
      <c r="B220" s="16" t="str">
        <f t="shared" si="50"/>
        <v>Fiche info Avenant 1</v>
      </c>
      <c r="C220" s="27" t="s">
        <v>246</v>
      </c>
      <c r="D220" s="27">
        <v>2</v>
      </c>
      <c r="E220" s="16" t="s">
        <v>18</v>
      </c>
      <c r="F220" s="34" t="str">
        <f>+IF('Fiche info Avenant 1'!$CJ$8=0,"",'Fiche info Avenant 1'!$CJ$8)</f>
        <v/>
      </c>
      <c r="G220" s="16">
        <f t="shared" si="58"/>
        <v>0</v>
      </c>
      <c r="BX220" s="16" t="str">
        <f t="shared" si="59"/>
        <v>Fiche info Avenant 1H2</v>
      </c>
      <c r="BY220" s="449">
        <f>'Fiche info Avenant 1'!$CA$8</f>
        <v>0</v>
      </c>
      <c r="BZ220" s="449">
        <f>'Fiche info Avenant 1'!$CB$8</f>
        <v>0</v>
      </c>
      <c r="CA220" s="449">
        <f>'Fiche info Avenant 1'!$CC$8</f>
        <v>0</v>
      </c>
      <c r="CB220" s="449">
        <f>'Fiche info Avenant 1'!$CD$8</f>
        <v>0</v>
      </c>
      <c r="CC220" s="449">
        <f>'Fiche info Avenant 1'!$CE$8</f>
        <v>0</v>
      </c>
      <c r="CD220" s="449">
        <f>'Fiche info Avenant 1'!$CF$8</f>
        <v>0</v>
      </c>
      <c r="CE220" s="449">
        <f>'Fiche info Avenant 1'!$CG$8</f>
        <v>0</v>
      </c>
      <c r="CF220" s="449">
        <f>'Fiche info Avenant 1'!$CH$8</f>
        <v>0</v>
      </c>
      <c r="ED220" s="16" t="str">
        <f t="shared" si="51"/>
        <v>Fiche info Avenant 1H</v>
      </c>
      <c r="EE220" s="16" t="str">
        <f t="shared" si="53"/>
        <v>Fiche info Avenant 1</v>
      </c>
      <c r="EF220" s="16" t="str">
        <f t="shared" si="54"/>
        <v>H</v>
      </c>
      <c r="EG220" s="16">
        <f t="shared" si="55"/>
        <v>2</v>
      </c>
      <c r="EH220" s="16" t="str">
        <f t="shared" si="56"/>
        <v>Mardi</v>
      </c>
      <c r="EI220" s="16" t="str">
        <f t="shared" si="57"/>
        <v/>
      </c>
      <c r="FB220" s="16" t="str">
        <f t="shared" si="60"/>
        <v/>
      </c>
      <c r="FC220" s="16" t="str">
        <f t="shared" si="61"/>
        <v/>
      </c>
      <c r="FD220" s="30">
        <f t="shared" si="52"/>
        <v>44348</v>
      </c>
      <c r="FE220" s="30" t="str">
        <f>+IFERROR(VLOOKUP(FD220,BDD,79,FALSE),"")</f>
        <v/>
      </c>
      <c r="FF220" s="30" t="str">
        <f>IFERROR(+VLOOKUP(FD220,BDD,80,FALSE),"")</f>
        <v/>
      </c>
      <c r="FG220" s="30" t="str">
        <f>+IFERROR(VLOOKUP(FD220,BDD,81,FALSE),"")</f>
        <v/>
      </c>
      <c r="FH220" s="30" t="str">
        <f>+IFERROR(VLOOKUP(FD220,BDD,82,FALSE),"")</f>
        <v/>
      </c>
      <c r="FW220" s="16" t="str">
        <f>Aout!GB20</f>
        <v>312025</v>
      </c>
      <c r="FX220" s="16">
        <f>Aout!GC20</f>
        <v>0</v>
      </c>
    </row>
    <row r="221" spans="1:180" x14ac:dyDescent="0.2">
      <c r="A221" s="16" t="str">
        <f t="shared" si="49"/>
        <v>Fiche info Avenant 1H3</v>
      </c>
      <c r="B221" s="16" t="str">
        <f t="shared" si="50"/>
        <v>Fiche info Avenant 1</v>
      </c>
      <c r="C221" s="27" t="s">
        <v>246</v>
      </c>
      <c r="D221" s="27">
        <v>3</v>
      </c>
      <c r="E221" s="16" t="s">
        <v>19</v>
      </c>
      <c r="F221" s="34" t="str">
        <f>+IF('Fiche info Avenant 1'!$CJ$9=0,"",'Fiche info Avenant 1'!$CJ$9)</f>
        <v/>
      </c>
      <c r="G221" s="16">
        <f t="shared" si="58"/>
        <v>0</v>
      </c>
      <c r="BX221" s="16" t="str">
        <f t="shared" si="59"/>
        <v>Fiche info Avenant 1H3</v>
      </c>
      <c r="BY221" s="449">
        <f>'Fiche info Avenant 1'!$CA$9</f>
        <v>0</v>
      </c>
      <c r="BZ221" s="449">
        <f>'Fiche info Avenant 1'!$CB$9</f>
        <v>0</v>
      </c>
      <c r="CA221" s="449">
        <f>'Fiche info Avenant 1'!$CC$9</f>
        <v>0</v>
      </c>
      <c r="CB221" s="449">
        <f>'Fiche info Avenant 1'!$CD$9</f>
        <v>0</v>
      </c>
      <c r="CC221" s="449">
        <f>'Fiche info Avenant 1'!$CE$9</f>
        <v>0</v>
      </c>
      <c r="CD221" s="449">
        <f>'Fiche info Avenant 1'!$CF$9</f>
        <v>0</v>
      </c>
      <c r="CE221" s="449">
        <f>'Fiche info Avenant 1'!$CG$9</f>
        <v>0</v>
      </c>
      <c r="CF221" s="449">
        <f>'Fiche info Avenant 1'!$CH$9</f>
        <v>0</v>
      </c>
      <c r="ED221" s="16" t="str">
        <f t="shared" si="51"/>
        <v>Fiche info Avenant 1H</v>
      </c>
      <c r="EE221" s="16" t="str">
        <f t="shared" si="53"/>
        <v>Fiche info Avenant 1</v>
      </c>
      <c r="EF221" s="16" t="str">
        <f t="shared" si="54"/>
        <v>H</v>
      </c>
      <c r="EG221" s="16">
        <f t="shared" si="55"/>
        <v>3</v>
      </c>
      <c r="EH221" s="16" t="str">
        <f t="shared" si="56"/>
        <v>Mercredi</v>
      </c>
      <c r="EI221" s="16" t="str">
        <f t="shared" si="57"/>
        <v/>
      </c>
      <c r="FB221" s="16" t="str">
        <f t="shared" si="60"/>
        <v/>
      </c>
      <c r="FC221" s="16" t="str">
        <f t="shared" si="61"/>
        <v/>
      </c>
      <c r="FD221" s="30">
        <f t="shared" si="52"/>
        <v>44348</v>
      </c>
      <c r="FE221" s="30" t="str">
        <f>+IFERROR(VLOOKUP(FD221,BDD,83,FALSE),"")</f>
        <v/>
      </c>
      <c r="FF221" s="30" t="str">
        <f>+IFERROR(VLOOKUP(FD221,BDD,84,FALSE),"")</f>
        <v/>
      </c>
      <c r="FG221" s="30" t="str">
        <f>+IFERROR(VLOOKUP(FD221,BDD,85,FALSE),"")</f>
        <v/>
      </c>
      <c r="FH221" s="30" t="str">
        <f>+IFERROR(VLOOKUP(FD221,BDD,86,FALSE),"")</f>
        <v/>
      </c>
      <c r="FW221" s="16" t="str">
        <f>Aout!GB21</f>
        <v>312025</v>
      </c>
      <c r="FX221" s="16">
        <f>Aout!GC21</f>
        <v>0</v>
      </c>
    </row>
    <row r="222" spans="1:180" x14ac:dyDescent="0.2">
      <c r="A222" s="16" t="str">
        <f t="shared" si="49"/>
        <v>Fiche info Avenant 1H4</v>
      </c>
      <c r="B222" s="16" t="str">
        <f t="shared" si="50"/>
        <v>Fiche info Avenant 1</v>
      </c>
      <c r="C222" s="27" t="s">
        <v>246</v>
      </c>
      <c r="D222" s="27">
        <v>4</v>
      </c>
      <c r="E222" s="16" t="s">
        <v>20</v>
      </c>
      <c r="F222" s="34" t="str">
        <f>+IF('Fiche info Avenant 1'!$CJ$10=0,"",'Fiche info Avenant 1'!$CJ$10)</f>
        <v/>
      </c>
      <c r="G222" s="16">
        <f t="shared" si="58"/>
        <v>0</v>
      </c>
      <c r="BX222" s="16" t="str">
        <f t="shared" si="59"/>
        <v>Fiche info Avenant 1H4</v>
      </c>
      <c r="BY222" s="449">
        <f>'Fiche info Avenant 1'!$CA$10</f>
        <v>0</v>
      </c>
      <c r="BZ222" s="449">
        <f>'Fiche info Avenant 1'!$CB$10</f>
        <v>0</v>
      </c>
      <c r="CA222" s="449">
        <f>'Fiche info Avenant 1'!$CC$10</f>
        <v>0</v>
      </c>
      <c r="CB222" s="449">
        <f>'Fiche info Avenant 1'!$CD$10</f>
        <v>0</v>
      </c>
      <c r="CC222" s="449">
        <f>'Fiche info Avenant 1'!$CE$10</f>
        <v>0</v>
      </c>
      <c r="CD222" s="449">
        <f>'Fiche info Avenant 1'!$CF$10</f>
        <v>0</v>
      </c>
      <c r="CE222" s="449">
        <f>'Fiche info Avenant 1'!$CG$10</f>
        <v>0</v>
      </c>
      <c r="CF222" s="449">
        <f>'Fiche info Avenant 1'!$CH$10</f>
        <v>0</v>
      </c>
      <c r="ED222" s="16" t="str">
        <f t="shared" si="51"/>
        <v>Fiche info Avenant 1H</v>
      </c>
      <c r="EE222" s="16" t="str">
        <f t="shared" si="53"/>
        <v>Fiche info Avenant 1</v>
      </c>
      <c r="EF222" s="16" t="str">
        <f t="shared" si="54"/>
        <v>H</v>
      </c>
      <c r="EG222" s="16">
        <f t="shared" si="55"/>
        <v>4</v>
      </c>
      <c r="EH222" s="16" t="str">
        <f t="shared" si="56"/>
        <v>Jeudi</v>
      </c>
      <c r="EI222" s="16" t="str">
        <f t="shared" si="57"/>
        <v/>
      </c>
      <c r="FB222" s="16" t="str">
        <f t="shared" si="60"/>
        <v/>
      </c>
      <c r="FC222" s="16" t="str">
        <f t="shared" si="61"/>
        <v/>
      </c>
      <c r="FD222" s="30">
        <f t="shared" si="52"/>
        <v>44317</v>
      </c>
      <c r="FE222" s="30" t="str">
        <f>+IFERROR(VLOOKUP(FD222,BDD,71,FALSE),"")</f>
        <v/>
      </c>
      <c r="FF222" s="30" t="str">
        <f>IFERROR(+VLOOKUP(FD222,BDD,72,FALSE),"")</f>
        <v/>
      </c>
      <c r="FG222" s="30" t="str">
        <f>+IFERROR(VLOOKUP(FD222,BDD,73,FALSE),"")</f>
        <v/>
      </c>
      <c r="FH222" s="30" t="str">
        <f>+IFERROR(VLOOKUP(FD222,BDD,74,FALSE),"")</f>
        <v/>
      </c>
      <c r="FW222" s="16" t="str">
        <f>Aout!GB22</f>
        <v>312025</v>
      </c>
      <c r="FX222" s="16">
        <f>Aout!GC22</f>
        <v>0</v>
      </c>
    </row>
    <row r="223" spans="1:180" x14ac:dyDescent="0.2">
      <c r="A223" s="16" t="str">
        <f t="shared" si="49"/>
        <v>Fiche info Avenant 1H5</v>
      </c>
      <c r="B223" s="16" t="str">
        <f t="shared" si="50"/>
        <v>Fiche info Avenant 1</v>
      </c>
      <c r="C223" s="27" t="s">
        <v>246</v>
      </c>
      <c r="D223" s="27">
        <v>5</v>
      </c>
      <c r="E223" s="16" t="s">
        <v>21</v>
      </c>
      <c r="F223" s="34" t="str">
        <f>+IF('Fiche info Avenant 1'!$CJ$11=0,"",'Fiche info Avenant 1'!$CJ$11)</f>
        <v/>
      </c>
      <c r="G223" s="16">
        <f t="shared" si="58"/>
        <v>0</v>
      </c>
      <c r="BX223" s="16" t="str">
        <f t="shared" si="59"/>
        <v>Fiche info Avenant 1H5</v>
      </c>
      <c r="BY223" s="449">
        <f>'Fiche info Avenant 1'!$CA$11</f>
        <v>0</v>
      </c>
      <c r="BZ223" s="449">
        <f>'Fiche info Avenant 1'!$CB$11</f>
        <v>0</v>
      </c>
      <c r="CA223" s="449">
        <f>'Fiche info Avenant 1'!$CC$11</f>
        <v>0</v>
      </c>
      <c r="CB223" s="449">
        <f>'Fiche info Avenant 1'!$CD$11</f>
        <v>0</v>
      </c>
      <c r="CC223" s="449">
        <f>'Fiche info Avenant 1'!$CE$11</f>
        <v>0</v>
      </c>
      <c r="CD223" s="449">
        <f>'Fiche info Avenant 1'!$CF$11</f>
        <v>0</v>
      </c>
      <c r="CE223" s="449">
        <f>'Fiche info Avenant 1'!$CG$11</f>
        <v>0</v>
      </c>
      <c r="CF223" s="449">
        <f>'Fiche info Avenant 1'!$CH$11</f>
        <v>0</v>
      </c>
      <c r="ED223" s="16" t="str">
        <f t="shared" si="51"/>
        <v>Fiche info Avenant 1H</v>
      </c>
      <c r="EE223" s="16" t="str">
        <f t="shared" si="53"/>
        <v>Fiche info Avenant 1</v>
      </c>
      <c r="EF223" s="16" t="str">
        <f t="shared" si="54"/>
        <v>H</v>
      </c>
      <c r="EG223" s="16">
        <f t="shared" si="55"/>
        <v>5</v>
      </c>
      <c r="EH223" s="16" t="str">
        <f t="shared" si="56"/>
        <v>Vendredi</v>
      </c>
      <c r="EI223" s="16" t="str">
        <f t="shared" si="57"/>
        <v/>
      </c>
      <c r="FB223" s="16" t="str">
        <f t="shared" si="60"/>
        <v/>
      </c>
      <c r="FC223" s="16" t="str">
        <f t="shared" si="61"/>
        <v/>
      </c>
      <c r="FD223" s="30">
        <f t="shared" si="52"/>
        <v>44317</v>
      </c>
      <c r="FE223" s="30" t="str">
        <f>+IFERROR(VLOOKUP(FD223,BDD,75,FALSE),"")</f>
        <v/>
      </c>
      <c r="FF223" s="30" t="str">
        <f>+IFERROR(VLOOKUP(FD223,BDD,76,FALSE),"")</f>
        <v/>
      </c>
      <c r="FG223" s="30" t="str">
        <f>IFERROR(+VLOOKUP(FD223,BDD,77,FALSE),"")</f>
        <v/>
      </c>
      <c r="FH223" s="30" t="str">
        <f>+IFERROR(VLOOKUP(FD223,BDD,78,FALSE),"")</f>
        <v/>
      </c>
      <c r="FW223" s="16" t="str">
        <f>Aout!GB23</f>
        <v>322025</v>
      </c>
      <c r="FX223" s="16">
        <f>Aout!GC23</f>
        <v>0</v>
      </c>
    </row>
    <row r="224" spans="1:180" x14ac:dyDescent="0.2">
      <c r="A224" s="16" t="str">
        <f t="shared" si="49"/>
        <v>Fiche info Avenant 1H6</v>
      </c>
      <c r="B224" s="16" t="str">
        <f t="shared" si="50"/>
        <v>Fiche info Avenant 1</v>
      </c>
      <c r="C224" s="27" t="s">
        <v>246</v>
      </c>
      <c r="D224" s="27">
        <v>6</v>
      </c>
      <c r="E224" s="16" t="s">
        <v>193</v>
      </c>
      <c r="F224" s="34" t="str">
        <f>+IF('Fiche info Avenant 1'!$CJ$12=0,"",'Fiche info Avenant 1'!$CJ$12)</f>
        <v/>
      </c>
      <c r="G224" s="16">
        <f t="shared" si="58"/>
        <v>0</v>
      </c>
      <c r="BX224" s="16" t="str">
        <f t="shared" si="59"/>
        <v>Fiche info Avenant 1H6</v>
      </c>
      <c r="BY224" s="449">
        <f>'Fiche info Avenant 1'!$CA$12</f>
        <v>0</v>
      </c>
      <c r="BZ224" s="449">
        <f>'Fiche info Avenant 1'!$CB$12</f>
        <v>0</v>
      </c>
      <c r="CA224" s="449">
        <f>'Fiche info Avenant 1'!$CC$12</f>
        <v>0</v>
      </c>
      <c r="CB224" s="449">
        <f>'Fiche info Avenant 1'!$CD$12</f>
        <v>0</v>
      </c>
      <c r="CC224" s="449">
        <f>'Fiche info Avenant 1'!$CE$12</f>
        <v>0</v>
      </c>
      <c r="CD224" s="449">
        <f>'Fiche info Avenant 1'!$CF$12</f>
        <v>0</v>
      </c>
      <c r="CE224" s="449">
        <f>'Fiche info Avenant 1'!$CG$12</f>
        <v>0</v>
      </c>
      <c r="CF224" s="449">
        <f>'Fiche info Avenant 1'!$CH$12</f>
        <v>0</v>
      </c>
      <c r="ED224" s="16" t="str">
        <f t="shared" si="51"/>
        <v>Fiche info Avenant 1H</v>
      </c>
      <c r="EE224" s="16" t="str">
        <f t="shared" si="53"/>
        <v>Fiche info Avenant 1</v>
      </c>
      <c r="EF224" s="16" t="str">
        <f t="shared" si="54"/>
        <v>H</v>
      </c>
      <c r="EG224" s="16">
        <f t="shared" si="55"/>
        <v>6</v>
      </c>
      <c r="EH224" s="16" t="str">
        <f t="shared" si="56"/>
        <v>Samedi</v>
      </c>
      <c r="EI224" s="16" t="str">
        <f t="shared" si="57"/>
        <v/>
      </c>
      <c r="FB224" s="16" t="str">
        <f t="shared" si="60"/>
        <v/>
      </c>
      <c r="FC224" s="16" t="str">
        <f t="shared" si="61"/>
        <v/>
      </c>
      <c r="FD224" s="30">
        <f t="shared" si="52"/>
        <v>44317</v>
      </c>
      <c r="FE224" s="30" t="str">
        <f>+IFERROR(VLOOKUP(FD224,BDD,79,FALSE),"")</f>
        <v/>
      </c>
      <c r="FF224" s="30" t="str">
        <f>IFERROR(+VLOOKUP(FD224,BDD,80,FALSE),"")</f>
        <v/>
      </c>
      <c r="FG224" s="30" t="str">
        <f>+IFERROR(VLOOKUP(FD224,BDD,81,FALSE),"")</f>
        <v/>
      </c>
      <c r="FH224" s="30" t="str">
        <f>+IFERROR(VLOOKUP(FD224,BDD,82,FALSE),"")</f>
        <v/>
      </c>
      <c r="FW224" s="16" t="str">
        <f>Aout!GB24</f>
        <v>322025</v>
      </c>
      <c r="FX224" s="16">
        <f>Aout!GC24</f>
        <v>0</v>
      </c>
    </row>
    <row r="225" spans="1:180" x14ac:dyDescent="0.2">
      <c r="A225" s="16" t="str">
        <f t="shared" si="49"/>
        <v>Fiche info Avenant 1H7</v>
      </c>
      <c r="B225" s="16" t="str">
        <f t="shared" si="50"/>
        <v>Fiche info Avenant 1</v>
      </c>
      <c r="C225" s="27" t="s">
        <v>246</v>
      </c>
      <c r="D225" s="27">
        <v>7</v>
      </c>
      <c r="E225" s="16" t="s">
        <v>194</v>
      </c>
      <c r="F225" s="34" t="str">
        <f>+IF('Fiche info'!$CJ$13=0,"",'Fiche info'!$CJ$13)</f>
        <v/>
      </c>
      <c r="G225" s="16">
        <f t="shared" si="58"/>
        <v>0</v>
      </c>
      <c r="BX225" s="16" t="str">
        <f t="shared" si="59"/>
        <v>Fiche info Avenant 1H7</v>
      </c>
      <c r="BY225" s="449">
        <f>'Fiche info Avenant 1'!$CA$13</f>
        <v>0</v>
      </c>
      <c r="BZ225" s="449">
        <f>'Fiche info Avenant 1'!$CB$13</f>
        <v>0</v>
      </c>
      <c r="CA225" s="449">
        <f>'Fiche info Avenant 1'!$CC$13</f>
        <v>0</v>
      </c>
      <c r="CB225" s="449">
        <f>'Fiche info Avenant 1'!$CD$13</f>
        <v>0</v>
      </c>
      <c r="CC225" s="449">
        <f>'Fiche info Avenant 1'!$CE$13</f>
        <v>0</v>
      </c>
      <c r="CD225" s="449">
        <f>'Fiche info Avenant 1'!$CF$13</f>
        <v>0</v>
      </c>
      <c r="CE225" s="449">
        <f>'Fiche info Avenant 1'!$CG$13</f>
        <v>0</v>
      </c>
      <c r="CF225" s="449">
        <f>'Fiche info Avenant 1'!$CH$13</f>
        <v>0</v>
      </c>
      <c r="ED225" s="16" t="str">
        <f t="shared" si="51"/>
        <v>Fiche info Avenant 1H</v>
      </c>
      <c r="EE225" s="16" t="str">
        <f t="shared" si="53"/>
        <v>Fiche info Avenant 1</v>
      </c>
      <c r="EF225" s="16" t="str">
        <f t="shared" si="54"/>
        <v>H</v>
      </c>
      <c r="EG225" s="16">
        <f t="shared" si="55"/>
        <v>7</v>
      </c>
      <c r="EH225" s="16" t="str">
        <f t="shared" si="56"/>
        <v>Dimanche</v>
      </c>
      <c r="EI225" s="16" t="str">
        <f t="shared" si="57"/>
        <v/>
      </c>
      <c r="FB225" s="16" t="str">
        <f t="shared" si="60"/>
        <v/>
      </c>
      <c r="FC225" s="16" t="str">
        <f t="shared" si="61"/>
        <v/>
      </c>
      <c r="FD225" s="30">
        <f t="shared" si="52"/>
        <v>44317</v>
      </c>
      <c r="FE225" s="30" t="str">
        <f>+IFERROR(VLOOKUP(FD225,BDD,83,FALSE),"")</f>
        <v/>
      </c>
      <c r="FF225" s="30" t="str">
        <f>+IFERROR(VLOOKUP(FD225,BDD,84,FALSE),"")</f>
        <v/>
      </c>
      <c r="FG225" s="30" t="str">
        <f>+IFERROR(VLOOKUP(FD225,BDD,85,FALSE),"")</f>
        <v/>
      </c>
      <c r="FH225" s="30" t="str">
        <f>+IFERROR(VLOOKUP(FD225,BDD,86,FALSE),"")</f>
        <v/>
      </c>
      <c r="FW225" s="16" t="str">
        <f>Aout!GB25</f>
        <v>322025</v>
      </c>
      <c r="FX225" s="16">
        <f>Aout!GC25</f>
        <v>0</v>
      </c>
    </row>
    <row r="226" spans="1:180" x14ac:dyDescent="0.2">
      <c r="A226" s="16" t="str">
        <f t="shared" si="49"/>
        <v>Fiche info Avenant 2A1</v>
      </c>
      <c r="B226" s="16" t="str">
        <f>+$P$6</f>
        <v>Fiche info Avenant 2</v>
      </c>
      <c r="C226" s="27" t="s">
        <v>235</v>
      </c>
      <c r="D226" s="27">
        <v>1</v>
      </c>
      <c r="E226" s="16" t="s">
        <v>17</v>
      </c>
      <c r="F226" s="34" t="str">
        <f>IF('Fiche info Avenant 2'!$K$7=0,"",'Fiche info Avenant 2'!$K$7)</f>
        <v/>
      </c>
      <c r="G226" s="16">
        <f t="shared" si="58"/>
        <v>0</v>
      </c>
      <c r="BX226" s="16" t="str">
        <f t="shared" si="59"/>
        <v>Fiche info Avenant 2A1</v>
      </c>
      <c r="BY226" s="449">
        <f>'Fiche info Avenant 2'!$B$7</f>
        <v>0</v>
      </c>
      <c r="BZ226" s="449">
        <f>'Fiche info Avenant 2'!$C$7</f>
        <v>0</v>
      </c>
      <c r="CA226" s="449">
        <f>'Fiche info Avenant 2'!$D$7</f>
        <v>0</v>
      </c>
      <c r="CB226" s="449">
        <f>'Fiche info Avenant 2'!$E$7</f>
        <v>0</v>
      </c>
      <c r="CC226" s="449">
        <f>'Fiche info Avenant 2'!$F$7</f>
        <v>0</v>
      </c>
      <c r="CD226" s="449">
        <f>'Fiche info Avenant 2'!$G$7</f>
        <v>0</v>
      </c>
      <c r="CE226" s="449">
        <f>'Fiche info Avenant 2'!$H$7</f>
        <v>0</v>
      </c>
      <c r="CF226" s="449">
        <f>'Fiche info Avenant 2'!$I$7</f>
        <v>0</v>
      </c>
      <c r="ED226" s="16" t="str">
        <f t="shared" si="51"/>
        <v>Fiche info Avenant 2A</v>
      </c>
      <c r="EE226" s="16" t="str">
        <f t="shared" si="53"/>
        <v>Fiche info Avenant 2</v>
      </c>
      <c r="EF226" s="16" t="str">
        <f t="shared" si="54"/>
        <v>A</v>
      </c>
      <c r="EG226" s="16">
        <f t="shared" si="55"/>
        <v>1</v>
      </c>
      <c r="EH226" s="16" t="str">
        <f t="shared" si="56"/>
        <v>Lundi</v>
      </c>
      <c r="EI226" s="16" t="str">
        <f t="shared" si="57"/>
        <v/>
      </c>
      <c r="FB226" s="16" t="str">
        <f t="shared" si="60"/>
        <v/>
      </c>
      <c r="FC226" s="16" t="str">
        <f t="shared" si="61"/>
        <v/>
      </c>
      <c r="FD226" s="30">
        <f t="shared" si="52"/>
        <v>44287</v>
      </c>
      <c r="FE226" s="30" t="str">
        <f>+IFERROR(VLOOKUP(FD226,BDD,71,FALSE),"")</f>
        <v/>
      </c>
      <c r="FF226" s="30" t="str">
        <f>IFERROR(+VLOOKUP(FD226,BDD,72,FALSE),"")</f>
        <v/>
      </c>
      <c r="FG226" s="30" t="str">
        <f>+IFERROR(VLOOKUP(FD226,BDD,73,FALSE),"")</f>
        <v/>
      </c>
      <c r="FH226" s="30" t="str">
        <f>+IFERROR(VLOOKUP(FD226,BDD,74,FALSE),"")</f>
        <v/>
      </c>
      <c r="FW226" s="16" t="str">
        <f>Aout!GB26</f>
        <v>322025</v>
      </c>
      <c r="FX226" s="16">
        <f>Aout!GC26</f>
        <v>0</v>
      </c>
    </row>
    <row r="227" spans="1:180" x14ac:dyDescent="0.2">
      <c r="A227" s="16" t="str">
        <f t="shared" si="49"/>
        <v>Fiche info Avenant 2A2</v>
      </c>
      <c r="B227" s="16" t="str">
        <f t="shared" ref="B227:B281" si="62">+$P$6</f>
        <v>Fiche info Avenant 2</v>
      </c>
      <c r="C227" s="27" t="s">
        <v>235</v>
      </c>
      <c r="D227" s="27">
        <v>2</v>
      </c>
      <c r="E227" s="16" t="s">
        <v>18</v>
      </c>
      <c r="F227" s="34" t="str">
        <f>IF('Fiche info Avenant 2'!$K$8=0,"",'Fiche info Avenant 2'!$K$8)</f>
        <v/>
      </c>
      <c r="G227" s="16">
        <f t="shared" si="58"/>
        <v>0</v>
      </c>
      <c r="BX227" s="16" t="str">
        <f t="shared" si="59"/>
        <v>Fiche info Avenant 2A2</v>
      </c>
      <c r="BY227" s="449">
        <f>'Fiche info Avenant 2'!$B$8</f>
        <v>0</v>
      </c>
      <c r="BZ227" s="449">
        <f>'Fiche info Avenant 2'!$C$8</f>
        <v>0</v>
      </c>
      <c r="CA227" s="449">
        <f>'Fiche info Avenant 2'!$D$8</f>
        <v>0</v>
      </c>
      <c r="CB227" s="449">
        <f>'Fiche info Avenant 2'!$E$8</f>
        <v>0</v>
      </c>
      <c r="CC227" s="449">
        <f>'Fiche info Avenant 2'!$F$8</f>
        <v>0</v>
      </c>
      <c r="CD227" s="449">
        <f>'Fiche info Avenant 2'!$G$8</f>
        <v>0</v>
      </c>
      <c r="CE227" s="449">
        <f>'Fiche info Avenant 2'!$H$8</f>
        <v>0</v>
      </c>
      <c r="CF227" s="449">
        <f>'Fiche info Avenant 2'!$I$8</f>
        <v>0</v>
      </c>
      <c r="ED227" s="16" t="str">
        <f t="shared" si="51"/>
        <v>Fiche info Avenant 2A</v>
      </c>
      <c r="EE227" s="16" t="str">
        <f t="shared" si="53"/>
        <v>Fiche info Avenant 2</v>
      </c>
      <c r="EF227" s="16" t="str">
        <f t="shared" si="54"/>
        <v>A</v>
      </c>
      <c r="EG227" s="16">
        <f t="shared" si="55"/>
        <v>2</v>
      </c>
      <c r="EH227" s="16" t="str">
        <f t="shared" si="56"/>
        <v>Mardi</v>
      </c>
      <c r="EI227" s="16" t="str">
        <f t="shared" si="57"/>
        <v/>
      </c>
      <c r="FB227" s="16" t="str">
        <f t="shared" si="60"/>
        <v/>
      </c>
      <c r="FC227" s="16" t="str">
        <f t="shared" si="61"/>
        <v/>
      </c>
      <c r="FD227" s="30">
        <f t="shared" si="52"/>
        <v>44287</v>
      </c>
      <c r="FE227" s="30" t="str">
        <f>+IFERROR(VLOOKUP(FD227,BDD,75,FALSE),"")</f>
        <v/>
      </c>
      <c r="FF227" s="30" t="str">
        <f>+IFERROR(VLOOKUP(FD227,BDD,76,FALSE),"")</f>
        <v/>
      </c>
      <c r="FG227" s="30" t="str">
        <f>IFERROR(+VLOOKUP(FD227,BDD,77,FALSE),"")</f>
        <v/>
      </c>
      <c r="FH227" s="30" t="str">
        <f>+IFERROR(VLOOKUP(FD227,BDD,78,FALSE),"")</f>
        <v/>
      </c>
      <c r="FW227" s="16" t="str">
        <f>Aout!GB27</f>
        <v>322025</v>
      </c>
      <c r="FX227" s="16">
        <f>Aout!GC27</f>
        <v>0</v>
      </c>
    </row>
    <row r="228" spans="1:180" x14ac:dyDescent="0.2">
      <c r="A228" s="16" t="str">
        <f t="shared" si="49"/>
        <v>Fiche info Avenant 2A3</v>
      </c>
      <c r="B228" s="16" t="str">
        <f t="shared" si="62"/>
        <v>Fiche info Avenant 2</v>
      </c>
      <c r="C228" s="27" t="s">
        <v>235</v>
      </c>
      <c r="D228" s="27">
        <v>3</v>
      </c>
      <c r="E228" s="16" t="s">
        <v>19</v>
      </c>
      <c r="F228" s="34" t="str">
        <f>IF('Fiche info Avenant 2'!$K$9=0,"",'Fiche info Avenant 2'!$K$9)</f>
        <v/>
      </c>
      <c r="G228" s="16">
        <f t="shared" si="58"/>
        <v>0</v>
      </c>
      <c r="BX228" s="16" t="str">
        <f t="shared" si="59"/>
        <v>Fiche info Avenant 2A3</v>
      </c>
      <c r="BY228" s="449">
        <f>'Fiche info Avenant 2'!$B$9</f>
        <v>0</v>
      </c>
      <c r="BZ228" s="449">
        <f>'Fiche info Avenant 2'!$C$9</f>
        <v>0</v>
      </c>
      <c r="CA228" s="449">
        <f>'Fiche info Avenant 2'!$D$9</f>
        <v>0</v>
      </c>
      <c r="CB228" s="449">
        <f>'Fiche info Avenant 2'!$E$9</f>
        <v>0</v>
      </c>
      <c r="CC228" s="449">
        <f>'Fiche info Avenant 2'!$F$9</f>
        <v>0</v>
      </c>
      <c r="CD228" s="449">
        <f>'Fiche info Avenant 2'!$G$9</f>
        <v>0</v>
      </c>
      <c r="CE228" s="449">
        <f>'Fiche info Avenant 2'!$H$9</f>
        <v>0</v>
      </c>
      <c r="CF228" s="449">
        <f>'Fiche info Avenant 2'!$I$9</f>
        <v>0</v>
      </c>
      <c r="ED228" s="16" t="str">
        <f t="shared" si="51"/>
        <v>Fiche info Avenant 2A</v>
      </c>
      <c r="EE228" s="16" t="str">
        <f t="shared" si="53"/>
        <v>Fiche info Avenant 2</v>
      </c>
      <c r="EF228" s="16" t="str">
        <f t="shared" si="54"/>
        <v>A</v>
      </c>
      <c r="EG228" s="16">
        <f t="shared" si="55"/>
        <v>3</v>
      </c>
      <c r="EH228" s="16" t="str">
        <f t="shared" si="56"/>
        <v>Mercredi</v>
      </c>
      <c r="EI228" s="16" t="str">
        <f t="shared" si="57"/>
        <v/>
      </c>
      <c r="FB228" s="16" t="str">
        <f t="shared" si="60"/>
        <v/>
      </c>
      <c r="FC228" s="16" t="str">
        <f t="shared" si="61"/>
        <v/>
      </c>
      <c r="FD228" s="30">
        <f t="shared" si="52"/>
        <v>44287</v>
      </c>
      <c r="FE228" s="30" t="str">
        <f>+IFERROR(VLOOKUP(FD228,BDD,79,FALSE),"")</f>
        <v/>
      </c>
      <c r="FF228" s="30" t="str">
        <f>IFERROR(+VLOOKUP(FD228,BDD,80,FALSE),"")</f>
        <v/>
      </c>
      <c r="FG228" s="30" t="str">
        <f>+IFERROR(VLOOKUP(FD228,BDD,81,FALSE),"")</f>
        <v/>
      </c>
      <c r="FH228" s="30" t="str">
        <f>+IFERROR(VLOOKUP(FD228,BDD,82,FALSE),"")</f>
        <v/>
      </c>
      <c r="FW228" s="16" t="str">
        <f>Aout!GB28</f>
        <v>322025</v>
      </c>
      <c r="FX228" s="16">
        <f>Aout!GC28</f>
        <v>0</v>
      </c>
    </row>
    <row r="229" spans="1:180" x14ac:dyDescent="0.2">
      <c r="A229" s="16" t="str">
        <f t="shared" si="49"/>
        <v>Fiche info Avenant 2A4</v>
      </c>
      <c r="B229" s="16" t="str">
        <f t="shared" si="62"/>
        <v>Fiche info Avenant 2</v>
      </c>
      <c r="C229" s="27" t="s">
        <v>235</v>
      </c>
      <c r="D229" s="27">
        <v>4</v>
      </c>
      <c r="E229" s="16" t="s">
        <v>20</v>
      </c>
      <c r="F229" s="34" t="str">
        <f>IF('Fiche info Avenant 2'!$K$10=0,"",'Fiche info Avenant 2'!$K$10)</f>
        <v/>
      </c>
      <c r="G229" s="16">
        <f t="shared" si="58"/>
        <v>0</v>
      </c>
      <c r="BX229" s="16" t="str">
        <f t="shared" si="59"/>
        <v>Fiche info Avenant 2A4</v>
      </c>
      <c r="BY229" s="449">
        <f>'Fiche info Avenant 2'!$B$10</f>
        <v>0</v>
      </c>
      <c r="BZ229" s="449">
        <f>'Fiche info Avenant 2'!$C$10</f>
        <v>0</v>
      </c>
      <c r="CA229" s="449">
        <f>'Fiche info Avenant 2'!$D$10</f>
        <v>0</v>
      </c>
      <c r="CB229" s="449">
        <f>'Fiche info Avenant 2'!$E$10</f>
        <v>0</v>
      </c>
      <c r="CC229" s="449">
        <f>'Fiche info Avenant 2'!$F$10</f>
        <v>0</v>
      </c>
      <c r="CD229" s="449">
        <f>'Fiche info Avenant 2'!$G$10</f>
        <v>0</v>
      </c>
      <c r="CE229" s="449">
        <f>'Fiche info Avenant 2'!$H$10</f>
        <v>0</v>
      </c>
      <c r="CF229" s="449">
        <f>'Fiche info Avenant 2'!$I$10</f>
        <v>0</v>
      </c>
      <c r="ED229" s="16" t="str">
        <f t="shared" si="51"/>
        <v>Fiche info Avenant 2A</v>
      </c>
      <c r="EE229" s="16" t="str">
        <f t="shared" si="53"/>
        <v>Fiche info Avenant 2</v>
      </c>
      <c r="EF229" s="16" t="str">
        <f t="shared" si="54"/>
        <v>A</v>
      </c>
      <c r="EG229" s="16">
        <f t="shared" si="55"/>
        <v>4</v>
      </c>
      <c r="EH229" s="16" t="str">
        <f t="shared" si="56"/>
        <v>Jeudi</v>
      </c>
      <c r="EI229" s="16" t="str">
        <f t="shared" si="57"/>
        <v/>
      </c>
      <c r="FB229" s="16" t="str">
        <f t="shared" si="60"/>
        <v/>
      </c>
      <c r="FC229" s="16" t="str">
        <f t="shared" si="61"/>
        <v/>
      </c>
      <c r="FD229" s="30">
        <f t="shared" si="52"/>
        <v>44287</v>
      </c>
      <c r="FE229" s="30" t="str">
        <f>+IFERROR(VLOOKUP(FD229,BDD,83,FALSE),"")</f>
        <v/>
      </c>
      <c r="FF229" s="30" t="str">
        <f>+IFERROR(VLOOKUP(FD229,BDD,84,FALSE),"")</f>
        <v/>
      </c>
      <c r="FG229" s="30" t="str">
        <f>+IFERROR(VLOOKUP(FD229,BDD,85,FALSE),"")</f>
        <v/>
      </c>
      <c r="FH229" s="30" t="str">
        <f>+IFERROR(VLOOKUP(FD229,BDD,86,FALSE),"")</f>
        <v/>
      </c>
      <c r="FW229" s="16" t="str">
        <f>Aout!GB29</f>
        <v>322025</v>
      </c>
      <c r="FX229" s="16">
        <f>Aout!GC29</f>
        <v>0</v>
      </c>
    </row>
    <row r="230" spans="1:180" x14ac:dyDescent="0.2">
      <c r="A230" s="16" t="str">
        <f t="shared" si="49"/>
        <v>Fiche info Avenant 2A5</v>
      </c>
      <c r="B230" s="16" t="str">
        <f t="shared" si="62"/>
        <v>Fiche info Avenant 2</v>
      </c>
      <c r="C230" s="27" t="s">
        <v>235</v>
      </c>
      <c r="D230" s="27">
        <v>5</v>
      </c>
      <c r="E230" s="16" t="s">
        <v>21</v>
      </c>
      <c r="F230" s="34" t="str">
        <f>IF('Fiche info Avenant 2'!$K$11=0,"",'Fiche info Avenant 2'!$K$11)</f>
        <v/>
      </c>
      <c r="G230" s="16">
        <f t="shared" si="58"/>
        <v>0</v>
      </c>
      <c r="BX230" s="16" t="str">
        <f t="shared" si="59"/>
        <v>Fiche info Avenant 2A5</v>
      </c>
      <c r="BY230" s="449">
        <f>'Fiche info Avenant 2'!$B$11</f>
        <v>0</v>
      </c>
      <c r="BZ230" s="449">
        <f>'Fiche info Avenant 2'!$C$11</f>
        <v>0</v>
      </c>
      <c r="CA230" s="449">
        <f>'Fiche info Avenant 2'!$D$11</f>
        <v>0</v>
      </c>
      <c r="CB230" s="449">
        <f>'Fiche info Avenant 2'!$E$11</f>
        <v>0</v>
      </c>
      <c r="CC230" s="449">
        <f>'Fiche info Avenant 2'!$F$11</f>
        <v>0</v>
      </c>
      <c r="CD230" s="449">
        <f>'Fiche info Avenant 2'!$G$11</f>
        <v>0</v>
      </c>
      <c r="CE230" s="449">
        <f>'Fiche info Avenant 2'!$H$11</f>
        <v>0</v>
      </c>
      <c r="CF230" s="449">
        <f>'Fiche info Avenant 2'!$I$11</f>
        <v>0</v>
      </c>
      <c r="ED230" s="16" t="str">
        <f t="shared" si="51"/>
        <v>Fiche info Avenant 2A</v>
      </c>
      <c r="EE230" s="16" t="str">
        <f t="shared" si="53"/>
        <v>Fiche info Avenant 2</v>
      </c>
      <c r="EF230" s="16" t="str">
        <f t="shared" si="54"/>
        <v>A</v>
      </c>
      <c r="EG230" s="16">
        <f t="shared" si="55"/>
        <v>5</v>
      </c>
      <c r="EH230" s="16" t="str">
        <f t="shared" si="56"/>
        <v>Vendredi</v>
      </c>
      <c r="EI230" s="16" t="str">
        <f t="shared" si="57"/>
        <v/>
      </c>
      <c r="FB230" s="16" t="str">
        <f t="shared" si="60"/>
        <v/>
      </c>
      <c r="FC230" s="16" t="str">
        <f t="shared" si="61"/>
        <v/>
      </c>
      <c r="FD230" s="30">
        <f t="shared" si="52"/>
        <v>44256</v>
      </c>
      <c r="FE230" s="30" t="str">
        <f>+IFERROR(VLOOKUP(FD230,BDD,71,FALSE),"")</f>
        <v/>
      </c>
      <c r="FF230" s="30" t="str">
        <f>IFERROR(+VLOOKUP(FD230,BDD,72,FALSE),"")</f>
        <v/>
      </c>
      <c r="FG230" s="30" t="str">
        <f>+IFERROR(VLOOKUP(FD230,BDD,73,FALSE),"")</f>
        <v/>
      </c>
      <c r="FH230" s="30" t="str">
        <f>+IFERROR(VLOOKUP(FD230,BDD,74,FALSE),"")</f>
        <v/>
      </c>
      <c r="FW230" s="16" t="str">
        <f>Aout!GB30</f>
        <v>332025</v>
      </c>
      <c r="FX230" s="16">
        <f>Aout!GC30</f>
        <v>0</v>
      </c>
    </row>
    <row r="231" spans="1:180" x14ac:dyDescent="0.2">
      <c r="A231" s="16" t="str">
        <f t="shared" si="49"/>
        <v>Fiche info Avenant 2A6</v>
      </c>
      <c r="B231" s="16" t="str">
        <f t="shared" si="62"/>
        <v>Fiche info Avenant 2</v>
      </c>
      <c r="C231" s="27" t="s">
        <v>235</v>
      </c>
      <c r="D231" s="27">
        <v>6</v>
      </c>
      <c r="E231" s="16" t="s">
        <v>193</v>
      </c>
      <c r="F231" s="34" t="str">
        <f>IF('Fiche info Avenant 2'!$K$12=0,"",'Fiche info Avenant 2'!$K$12)</f>
        <v/>
      </c>
      <c r="G231" s="16">
        <f t="shared" si="58"/>
        <v>0</v>
      </c>
      <c r="BX231" s="16" t="str">
        <f t="shared" si="59"/>
        <v>Fiche info Avenant 2A6</v>
      </c>
      <c r="BY231" s="449">
        <f>'Fiche info Avenant 2'!$B$12</f>
        <v>0</v>
      </c>
      <c r="BZ231" s="449">
        <f>'Fiche info Avenant 2'!$C$12</f>
        <v>0</v>
      </c>
      <c r="CA231" s="449">
        <f>'Fiche info Avenant 2'!$D$12</f>
        <v>0</v>
      </c>
      <c r="CB231" s="449">
        <f>'Fiche info Avenant 2'!$E$12</f>
        <v>0</v>
      </c>
      <c r="CC231" s="449">
        <f>'Fiche info Avenant 2'!$F$12</f>
        <v>0</v>
      </c>
      <c r="CD231" s="449">
        <f>'Fiche info Avenant 2'!$G$12</f>
        <v>0</v>
      </c>
      <c r="CE231" s="449">
        <f>'Fiche info Avenant 2'!$H$12</f>
        <v>0</v>
      </c>
      <c r="CF231" s="449">
        <f>'Fiche info Avenant 2'!$I$12</f>
        <v>0</v>
      </c>
      <c r="ED231" s="16" t="str">
        <f t="shared" si="51"/>
        <v>Fiche info Avenant 2A</v>
      </c>
      <c r="EE231" s="16" t="str">
        <f t="shared" si="53"/>
        <v>Fiche info Avenant 2</v>
      </c>
      <c r="EF231" s="16" t="str">
        <f t="shared" si="54"/>
        <v>A</v>
      </c>
      <c r="EG231" s="16">
        <f t="shared" si="55"/>
        <v>6</v>
      </c>
      <c r="EH231" s="16" t="str">
        <f t="shared" si="56"/>
        <v>Samedi</v>
      </c>
      <c r="EI231" s="16" t="str">
        <f t="shared" si="57"/>
        <v/>
      </c>
      <c r="FB231" s="16" t="str">
        <f t="shared" si="60"/>
        <v/>
      </c>
      <c r="FC231" s="16" t="str">
        <f t="shared" si="61"/>
        <v/>
      </c>
      <c r="FD231" s="30">
        <f t="shared" si="52"/>
        <v>44256</v>
      </c>
      <c r="FE231" s="30" t="str">
        <f>+IFERROR(VLOOKUP(FD231,BDD,75,FALSE),"")</f>
        <v/>
      </c>
      <c r="FF231" s="30" t="str">
        <f>+IFERROR(VLOOKUP(FD231,BDD,76,FALSE),"")</f>
        <v/>
      </c>
      <c r="FG231" s="30" t="str">
        <f>IFERROR(+VLOOKUP(FD231,BDD,77,FALSE),"")</f>
        <v/>
      </c>
      <c r="FH231" s="30" t="str">
        <f>+IFERROR(VLOOKUP(FD231,BDD,78,FALSE),"")</f>
        <v/>
      </c>
      <c r="FW231" s="16" t="str">
        <f>Aout!GB31</f>
        <v>332025</v>
      </c>
      <c r="FX231" s="16">
        <f>Aout!GC31</f>
        <v>0</v>
      </c>
    </row>
    <row r="232" spans="1:180" x14ac:dyDescent="0.2">
      <c r="A232" s="16" t="str">
        <f t="shared" si="49"/>
        <v>Fiche info Avenant 2A7</v>
      </c>
      <c r="B232" s="16" t="str">
        <f t="shared" si="62"/>
        <v>Fiche info Avenant 2</v>
      </c>
      <c r="C232" s="27" t="s">
        <v>235</v>
      </c>
      <c r="D232" s="27">
        <v>7</v>
      </c>
      <c r="E232" s="16" t="s">
        <v>194</v>
      </c>
      <c r="F232" s="34" t="str">
        <f>IF('Fiche info Avenant 2'!$K$13=0,"",'Fiche info Avenant 2'!$K$13)</f>
        <v/>
      </c>
      <c r="G232" s="16">
        <f t="shared" si="58"/>
        <v>0</v>
      </c>
      <c r="BX232" s="16" t="str">
        <f t="shared" si="59"/>
        <v>Fiche info Avenant 2A7</v>
      </c>
      <c r="BY232" s="449">
        <f>'Fiche info Avenant 2'!$B$13</f>
        <v>0</v>
      </c>
      <c r="BZ232" s="449">
        <f>'Fiche info Avenant 2'!$C$13</f>
        <v>0</v>
      </c>
      <c r="CA232" s="449">
        <f>'Fiche info Avenant 2'!$D$13</f>
        <v>0</v>
      </c>
      <c r="CB232" s="449">
        <f>'Fiche info Avenant 2'!$E$13</f>
        <v>0</v>
      </c>
      <c r="CC232" s="449">
        <f>'Fiche info Avenant 2'!$F$13</f>
        <v>0</v>
      </c>
      <c r="CD232" s="449">
        <f>'Fiche info Avenant 2'!$G$13</f>
        <v>0</v>
      </c>
      <c r="CE232" s="449">
        <f>'Fiche info Avenant 2'!$H$13</f>
        <v>0</v>
      </c>
      <c r="CF232" s="449">
        <f>'Fiche info Avenant 2'!$I$13</f>
        <v>0</v>
      </c>
      <c r="ED232" s="16" t="str">
        <f t="shared" si="51"/>
        <v>Fiche info Avenant 2A</v>
      </c>
      <c r="EE232" s="16" t="str">
        <f t="shared" si="53"/>
        <v>Fiche info Avenant 2</v>
      </c>
      <c r="EF232" s="16" t="str">
        <f t="shared" si="54"/>
        <v>A</v>
      </c>
      <c r="EG232" s="16">
        <f t="shared" si="55"/>
        <v>7</v>
      </c>
      <c r="EH232" s="16" t="str">
        <f t="shared" si="56"/>
        <v>Dimanche</v>
      </c>
      <c r="EI232" s="16" t="str">
        <f t="shared" si="57"/>
        <v/>
      </c>
      <c r="FB232" s="16" t="str">
        <f t="shared" si="60"/>
        <v/>
      </c>
      <c r="FC232" s="16" t="str">
        <f t="shared" si="61"/>
        <v/>
      </c>
      <c r="FD232" s="30">
        <f t="shared" si="52"/>
        <v>44256</v>
      </c>
      <c r="FE232" s="30" t="str">
        <f>+IFERROR(VLOOKUP(FD232,BDD,79,FALSE),"")</f>
        <v/>
      </c>
      <c r="FF232" s="30" t="str">
        <f>IFERROR(+VLOOKUP(FD232,BDD,80,FALSE),"")</f>
        <v/>
      </c>
      <c r="FG232" s="30" t="str">
        <f>+IFERROR(VLOOKUP(FD232,BDD,81,FALSE),"")</f>
        <v/>
      </c>
      <c r="FH232" s="30" t="str">
        <f>+IFERROR(VLOOKUP(FD232,BDD,82,FALSE),"")</f>
        <v/>
      </c>
      <c r="FW232" s="16" t="str">
        <f>Aout!GB32</f>
        <v>332025</v>
      </c>
      <c r="FX232" s="16">
        <f>Aout!GC32</f>
        <v>0</v>
      </c>
    </row>
    <row r="233" spans="1:180" x14ac:dyDescent="0.2">
      <c r="A233" s="16" t="str">
        <f t="shared" si="49"/>
        <v>Fiche info Avenant 2B1</v>
      </c>
      <c r="B233" s="16" t="str">
        <f t="shared" si="62"/>
        <v>Fiche info Avenant 2</v>
      </c>
      <c r="C233" s="27" t="s">
        <v>236</v>
      </c>
      <c r="D233" s="27">
        <v>1</v>
      </c>
      <c r="E233" s="16" t="s">
        <v>17</v>
      </c>
      <c r="F233" s="34" t="str">
        <f>+IF('Fiche info Avenant 2'!$V$7=0,"",'Fiche info Avenant 2'!$V$7)</f>
        <v/>
      </c>
      <c r="G233" s="16">
        <f t="shared" si="58"/>
        <v>0</v>
      </c>
      <c r="BX233" s="16" t="str">
        <f t="shared" si="59"/>
        <v>Fiche info Avenant 2B1</v>
      </c>
      <c r="BY233" s="449">
        <f>'Fiche info Avenant 2'!$M$7</f>
        <v>0</v>
      </c>
      <c r="BZ233" s="449">
        <f>'Fiche info Avenant 2'!$N$7</f>
        <v>0</v>
      </c>
      <c r="CA233" s="449">
        <f>'Fiche info Avenant 2'!$O$7</f>
        <v>0</v>
      </c>
      <c r="CB233" s="449">
        <f>'Fiche info Avenant 2'!$P$7</f>
        <v>0</v>
      </c>
      <c r="CC233" s="449">
        <f>'Fiche info Avenant 2'!$Q$7</f>
        <v>0</v>
      </c>
      <c r="CD233" s="449">
        <f>'Fiche info Avenant 2'!$R$7</f>
        <v>0</v>
      </c>
      <c r="CE233" s="449">
        <f>'Fiche info Avenant 2'!$S$7</f>
        <v>0</v>
      </c>
      <c r="CF233" s="449">
        <f>'Fiche info Avenant 2'!$T$7</f>
        <v>0</v>
      </c>
      <c r="ED233" s="16" t="str">
        <f t="shared" si="51"/>
        <v>Fiche info Avenant 2B</v>
      </c>
      <c r="EE233" s="16" t="str">
        <f t="shared" si="53"/>
        <v>Fiche info Avenant 2</v>
      </c>
      <c r="EF233" s="16" t="str">
        <f t="shared" si="54"/>
        <v>B</v>
      </c>
      <c r="EG233" s="16">
        <f t="shared" si="55"/>
        <v>1</v>
      </c>
      <c r="EH233" s="16" t="str">
        <f t="shared" si="56"/>
        <v>Lundi</v>
      </c>
      <c r="EI233" s="16" t="str">
        <f t="shared" si="57"/>
        <v/>
      </c>
      <c r="FB233" s="16" t="str">
        <f t="shared" si="60"/>
        <v/>
      </c>
      <c r="FC233" s="16" t="str">
        <f t="shared" si="61"/>
        <v/>
      </c>
      <c r="FD233" s="30">
        <f t="shared" si="52"/>
        <v>44256</v>
      </c>
      <c r="FE233" s="30" t="str">
        <f>+IFERROR(VLOOKUP(FD233,BDD,83,FALSE),"")</f>
        <v/>
      </c>
      <c r="FF233" s="30" t="str">
        <f>+IFERROR(VLOOKUP(FD233,BDD,84,FALSE),"")</f>
        <v/>
      </c>
      <c r="FG233" s="30" t="str">
        <f>+IFERROR(VLOOKUP(FD233,BDD,85,FALSE),"")</f>
        <v/>
      </c>
      <c r="FH233" s="30" t="str">
        <f>+IFERROR(VLOOKUP(FD233,BDD,86,FALSE),"")</f>
        <v/>
      </c>
      <c r="FW233" s="16" t="str">
        <f>Aout!GB33</f>
        <v>332025</v>
      </c>
      <c r="FX233" s="16">
        <f>Aout!GC33</f>
        <v>0</v>
      </c>
    </row>
    <row r="234" spans="1:180" x14ac:dyDescent="0.2">
      <c r="A234" s="16" t="str">
        <f t="shared" si="49"/>
        <v>Fiche info Avenant 2B2</v>
      </c>
      <c r="B234" s="16" t="str">
        <f t="shared" si="62"/>
        <v>Fiche info Avenant 2</v>
      </c>
      <c r="C234" s="27" t="s">
        <v>236</v>
      </c>
      <c r="D234" s="27">
        <v>2</v>
      </c>
      <c r="E234" s="16" t="s">
        <v>18</v>
      </c>
      <c r="F234" s="34" t="str">
        <f>+IF('Fiche info Avenant 2'!$V$8=0,"",'Fiche info Avenant 2'!$V$8)</f>
        <v/>
      </c>
      <c r="G234" s="16">
        <f t="shared" si="58"/>
        <v>0</v>
      </c>
      <c r="BX234" s="16" t="str">
        <f t="shared" si="59"/>
        <v>Fiche info Avenant 2B2</v>
      </c>
      <c r="BY234" s="449">
        <f>'Fiche info Avenant 2'!$M$8</f>
        <v>0</v>
      </c>
      <c r="BZ234" s="449">
        <f>'Fiche info Avenant 2'!$N$8</f>
        <v>0</v>
      </c>
      <c r="CA234" s="449">
        <f>'Fiche info Avenant 2'!$O$8</f>
        <v>0</v>
      </c>
      <c r="CB234" s="449">
        <f>'Fiche info Avenant 2'!$P$8</f>
        <v>0</v>
      </c>
      <c r="CC234" s="449">
        <f>'Fiche info Avenant 2'!$Q$8</f>
        <v>0</v>
      </c>
      <c r="CD234" s="449">
        <f>'Fiche info Avenant 2'!$R$8</f>
        <v>0</v>
      </c>
      <c r="CE234" s="449">
        <f>'Fiche info Avenant 2'!$S$8</f>
        <v>0</v>
      </c>
      <c r="CF234" s="449">
        <f>'Fiche info Avenant 2'!$T$8</f>
        <v>0</v>
      </c>
      <c r="ED234" s="16" t="str">
        <f t="shared" si="51"/>
        <v>Fiche info Avenant 2B</v>
      </c>
      <c r="EE234" s="16" t="str">
        <f t="shared" si="53"/>
        <v>Fiche info Avenant 2</v>
      </c>
      <c r="EF234" s="16" t="str">
        <f t="shared" si="54"/>
        <v>B</v>
      </c>
      <c r="EG234" s="16">
        <f t="shared" si="55"/>
        <v>2</v>
      </c>
      <c r="EH234" s="16" t="str">
        <f t="shared" si="56"/>
        <v>Mardi</v>
      </c>
      <c r="EI234" s="16" t="str">
        <f t="shared" si="57"/>
        <v/>
      </c>
      <c r="FB234" s="16" t="str">
        <f t="shared" si="60"/>
        <v/>
      </c>
      <c r="FC234" s="16" t="str">
        <f t="shared" si="61"/>
        <v/>
      </c>
      <c r="FD234" s="30">
        <f t="shared" si="52"/>
        <v>44228</v>
      </c>
      <c r="FE234" s="30" t="str">
        <f>+IFERROR(VLOOKUP(FD234,BDD,71,FALSE),"")</f>
        <v/>
      </c>
      <c r="FF234" s="30" t="str">
        <f>IFERROR(+VLOOKUP(FD234,BDD,72,FALSE),"")</f>
        <v/>
      </c>
      <c r="FG234" s="30" t="str">
        <f>+IFERROR(VLOOKUP(FD234,BDD,73,FALSE),"")</f>
        <v/>
      </c>
      <c r="FH234" s="30" t="str">
        <f>+IFERROR(VLOOKUP(FD234,BDD,74,FALSE),"")</f>
        <v/>
      </c>
      <c r="FW234" s="16" t="str">
        <f>Aout!GB34</f>
        <v>332025</v>
      </c>
      <c r="FX234" s="16">
        <f>Aout!GC34</f>
        <v>0</v>
      </c>
    </row>
    <row r="235" spans="1:180" x14ac:dyDescent="0.2">
      <c r="A235" s="16" t="str">
        <f t="shared" ref="A235:A298" si="63">+B235&amp;C235&amp;D235</f>
        <v>Fiche info Avenant 2B3</v>
      </c>
      <c r="B235" s="16" t="str">
        <f t="shared" si="62"/>
        <v>Fiche info Avenant 2</v>
      </c>
      <c r="C235" s="27" t="s">
        <v>236</v>
      </c>
      <c r="D235" s="27">
        <v>3</v>
      </c>
      <c r="E235" s="16" t="s">
        <v>19</v>
      </c>
      <c r="F235" s="34" t="str">
        <f>+IF('Fiche info Avenant 2'!$V$9=0,"",'Fiche info Avenant 2'!$V$9)</f>
        <v/>
      </c>
      <c r="G235" s="16">
        <f t="shared" si="58"/>
        <v>0</v>
      </c>
      <c r="BX235" s="16" t="str">
        <f t="shared" si="59"/>
        <v>Fiche info Avenant 2B3</v>
      </c>
      <c r="BY235" s="449">
        <f>'Fiche info Avenant 2'!$M$9</f>
        <v>0</v>
      </c>
      <c r="BZ235" s="449">
        <f>'Fiche info Avenant 2'!$N$9</f>
        <v>0</v>
      </c>
      <c r="CA235" s="449">
        <f>'Fiche info Avenant 2'!$O$9</f>
        <v>0</v>
      </c>
      <c r="CB235" s="449">
        <f>'Fiche info Avenant 2'!$P$9</f>
        <v>0</v>
      </c>
      <c r="CC235" s="449">
        <f>'Fiche info Avenant 2'!$Q$9</f>
        <v>0</v>
      </c>
      <c r="CD235" s="449">
        <f>'Fiche info Avenant 2'!$R$9</f>
        <v>0</v>
      </c>
      <c r="CE235" s="449">
        <f>'Fiche info Avenant 2'!$S$9</f>
        <v>0</v>
      </c>
      <c r="CF235" s="449">
        <f>'Fiche info Avenant 2'!$T$9</f>
        <v>0</v>
      </c>
      <c r="ED235" s="16" t="str">
        <f t="shared" si="51"/>
        <v>Fiche info Avenant 2B</v>
      </c>
      <c r="EE235" s="16" t="str">
        <f t="shared" si="53"/>
        <v>Fiche info Avenant 2</v>
      </c>
      <c r="EF235" s="16" t="str">
        <f t="shared" si="54"/>
        <v>B</v>
      </c>
      <c r="EG235" s="16">
        <f t="shared" si="55"/>
        <v>3</v>
      </c>
      <c r="EH235" s="16" t="str">
        <f t="shared" si="56"/>
        <v>Mercredi</v>
      </c>
      <c r="EI235" s="16" t="str">
        <f t="shared" si="57"/>
        <v/>
      </c>
      <c r="FB235" s="16" t="str">
        <f t="shared" si="60"/>
        <v/>
      </c>
      <c r="FC235" s="16" t="str">
        <f t="shared" si="61"/>
        <v/>
      </c>
      <c r="FD235" s="30">
        <f t="shared" si="52"/>
        <v>44228</v>
      </c>
      <c r="FE235" s="30" t="str">
        <f>+IFERROR(VLOOKUP(FD235,BDD,75,FALSE),"")</f>
        <v/>
      </c>
      <c r="FF235" s="30" t="str">
        <f>+IFERROR(VLOOKUP(FD235,BDD,76,FALSE),"")</f>
        <v/>
      </c>
      <c r="FG235" s="30" t="str">
        <f>IFERROR(+VLOOKUP(FD235,BDD,77,FALSE),"")</f>
        <v/>
      </c>
      <c r="FH235" s="30" t="str">
        <f>+IFERROR(VLOOKUP(FD235,BDD,78,FALSE),"")</f>
        <v/>
      </c>
      <c r="FW235" s="16" t="str">
        <f>Aout!GB35</f>
        <v>332025</v>
      </c>
      <c r="FX235" s="16">
        <f>Aout!GC35</f>
        <v>0</v>
      </c>
    </row>
    <row r="236" spans="1:180" x14ac:dyDescent="0.2">
      <c r="A236" s="16" t="str">
        <f t="shared" si="63"/>
        <v>Fiche info Avenant 2B4</v>
      </c>
      <c r="B236" s="16" t="str">
        <f t="shared" si="62"/>
        <v>Fiche info Avenant 2</v>
      </c>
      <c r="C236" s="27" t="s">
        <v>236</v>
      </c>
      <c r="D236" s="27">
        <v>4</v>
      </c>
      <c r="E236" s="16" t="s">
        <v>20</v>
      </c>
      <c r="F236" s="34" t="str">
        <f>+IF('Fiche info Avenant 2'!$V$10=0,"",'Fiche info Avenant 2'!$V$10)</f>
        <v/>
      </c>
      <c r="G236" s="16">
        <f t="shared" si="58"/>
        <v>0</v>
      </c>
      <c r="BX236" s="16" t="str">
        <f t="shared" si="59"/>
        <v>Fiche info Avenant 2B4</v>
      </c>
      <c r="BY236" s="449">
        <f>'Fiche info Avenant 2'!$M$10</f>
        <v>0</v>
      </c>
      <c r="BZ236" s="449">
        <f>'Fiche info Avenant 2'!$N$10</f>
        <v>0</v>
      </c>
      <c r="CA236" s="449">
        <f>'Fiche info Avenant 2'!$O$10</f>
        <v>0</v>
      </c>
      <c r="CB236" s="449">
        <f>'Fiche info Avenant 2'!$P$10</f>
        <v>0</v>
      </c>
      <c r="CC236" s="449">
        <f>'Fiche info Avenant 2'!$Q$10</f>
        <v>0</v>
      </c>
      <c r="CD236" s="449">
        <f>'Fiche info Avenant 2'!$R$10</f>
        <v>0</v>
      </c>
      <c r="CE236" s="449">
        <f>'Fiche info Avenant 2'!$S$10</f>
        <v>0</v>
      </c>
      <c r="CF236" s="449">
        <f>'Fiche info Avenant 2'!$T$10</f>
        <v>0</v>
      </c>
      <c r="ED236" s="16" t="str">
        <f t="shared" si="51"/>
        <v>Fiche info Avenant 2B</v>
      </c>
      <c r="EE236" s="16" t="str">
        <f t="shared" si="53"/>
        <v>Fiche info Avenant 2</v>
      </c>
      <c r="EF236" s="16" t="str">
        <f t="shared" si="54"/>
        <v>B</v>
      </c>
      <c r="EG236" s="16">
        <f t="shared" si="55"/>
        <v>4</v>
      </c>
      <c r="EH236" s="16" t="str">
        <f t="shared" si="56"/>
        <v>Jeudi</v>
      </c>
      <c r="EI236" s="16" t="str">
        <f t="shared" si="57"/>
        <v/>
      </c>
      <c r="FB236" s="16" t="str">
        <f t="shared" si="60"/>
        <v/>
      </c>
      <c r="FC236" s="16" t="str">
        <f t="shared" si="61"/>
        <v/>
      </c>
      <c r="FD236" s="30">
        <f t="shared" si="52"/>
        <v>44228</v>
      </c>
      <c r="FE236" s="30" t="str">
        <f>+IFERROR(VLOOKUP(FD236,BDD,79,FALSE),"")</f>
        <v/>
      </c>
      <c r="FF236" s="30" t="str">
        <f>IFERROR(+VLOOKUP(FD236,BDD,80,FALSE),"")</f>
        <v/>
      </c>
      <c r="FG236" s="30" t="str">
        <f>+IFERROR(VLOOKUP(FD236,BDD,81,FALSE),"")</f>
        <v/>
      </c>
      <c r="FH236" s="30" t="str">
        <f>+IFERROR(VLOOKUP(FD236,BDD,82,FALSE),"")</f>
        <v/>
      </c>
      <c r="FW236" s="16" t="str">
        <f>Aout!GB36</f>
        <v>332025</v>
      </c>
      <c r="FX236" s="16">
        <f>Aout!GC36</f>
        <v>0</v>
      </c>
    </row>
    <row r="237" spans="1:180" x14ac:dyDescent="0.2">
      <c r="A237" s="16" t="str">
        <f t="shared" si="63"/>
        <v>Fiche info Avenant 2B5</v>
      </c>
      <c r="B237" s="16" t="str">
        <f t="shared" si="62"/>
        <v>Fiche info Avenant 2</v>
      </c>
      <c r="C237" s="27" t="s">
        <v>236</v>
      </c>
      <c r="D237" s="27">
        <v>5</v>
      </c>
      <c r="E237" s="16" t="s">
        <v>21</v>
      </c>
      <c r="F237" s="34" t="str">
        <f>+IF('Fiche info Avenant 2'!$V$11=0,"",'Fiche info Avenant 2'!$V$11)</f>
        <v/>
      </c>
      <c r="G237" s="16">
        <f t="shared" si="58"/>
        <v>0</v>
      </c>
      <c r="BX237" s="16" t="str">
        <f t="shared" si="59"/>
        <v>Fiche info Avenant 2B5</v>
      </c>
      <c r="BY237" s="449">
        <f>'Fiche info Avenant 2'!$M$11</f>
        <v>0</v>
      </c>
      <c r="BZ237" s="449">
        <f>'Fiche info Avenant 2'!$N$11</f>
        <v>0</v>
      </c>
      <c r="CA237" s="449">
        <f>'Fiche info Avenant 2'!$O$11</f>
        <v>0</v>
      </c>
      <c r="CB237" s="449">
        <f>'Fiche info Avenant 2'!$P$11</f>
        <v>0</v>
      </c>
      <c r="CC237" s="449">
        <f>'Fiche info Avenant 2'!$Q$11</f>
        <v>0</v>
      </c>
      <c r="CD237" s="449">
        <f>'Fiche info Avenant 2'!$R$11</f>
        <v>0</v>
      </c>
      <c r="CE237" s="449">
        <f>'Fiche info Avenant 2'!$S$11</f>
        <v>0</v>
      </c>
      <c r="CF237" s="449">
        <f>'Fiche info Avenant 2'!$T$11</f>
        <v>0</v>
      </c>
      <c r="ED237" s="16" t="str">
        <f t="shared" si="51"/>
        <v>Fiche info Avenant 2B</v>
      </c>
      <c r="EE237" s="16" t="str">
        <f t="shared" si="53"/>
        <v>Fiche info Avenant 2</v>
      </c>
      <c r="EF237" s="16" t="str">
        <f t="shared" si="54"/>
        <v>B</v>
      </c>
      <c r="EG237" s="16">
        <f t="shared" si="55"/>
        <v>5</v>
      </c>
      <c r="EH237" s="16" t="str">
        <f t="shared" si="56"/>
        <v>Vendredi</v>
      </c>
      <c r="EI237" s="16" t="str">
        <f t="shared" si="57"/>
        <v/>
      </c>
      <c r="FB237" s="16" t="str">
        <f t="shared" si="60"/>
        <v/>
      </c>
      <c r="FC237" s="16" t="str">
        <f t="shared" si="61"/>
        <v/>
      </c>
      <c r="FD237" s="30">
        <f t="shared" si="52"/>
        <v>44228</v>
      </c>
      <c r="FE237" s="30" t="str">
        <f>+IFERROR(VLOOKUP(FD237,BDD,83,FALSE),"")</f>
        <v/>
      </c>
      <c r="FF237" s="30" t="str">
        <f>+IFERROR(VLOOKUP(FD237,BDD,84,FALSE),"")</f>
        <v/>
      </c>
      <c r="FG237" s="30" t="str">
        <f>+IFERROR(VLOOKUP(FD237,BDD,85,FALSE),"")</f>
        <v/>
      </c>
      <c r="FH237" s="30" t="str">
        <f>+IFERROR(VLOOKUP(FD237,BDD,86,FALSE),"")</f>
        <v/>
      </c>
      <c r="FW237" s="16" t="str">
        <f>Aout!GB37</f>
        <v>342025</v>
      </c>
      <c r="FX237" s="16">
        <f>Aout!GC37</f>
        <v>0</v>
      </c>
    </row>
    <row r="238" spans="1:180" x14ac:dyDescent="0.2">
      <c r="A238" s="16" t="str">
        <f t="shared" si="63"/>
        <v>Fiche info Avenant 2B6</v>
      </c>
      <c r="B238" s="16" t="str">
        <f t="shared" si="62"/>
        <v>Fiche info Avenant 2</v>
      </c>
      <c r="C238" s="27" t="s">
        <v>236</v>
      </c>
      <c r="D238" s="27">
        <v>6</v>
      </c>
      <c r="E238" s="16" t="s">
        <v>193</v>
      </c>
      <c r="F238" s="34" t="str">
        <f>+IF('Fiche info Avenant 2'!$V$12=0,"",'Fiche info Avenant 2'!$V$12)</f>
        <v/>
      </c>
      <c r="G238" s="16">
        <f t="shared" si="58"/>
        <v>0</v>
      </c>
      <c r="BX238" s="16" t="str">
        <f t="shared" si="59"/>
        <v>Fiche info Avenant 2B6</v>
      </c>
      <c r="BY238" s="449">
        <f>'Fiche info Avenant 2'!$M$12</f>
        <v>0</v>
      </c>
      <c r="BZ238" s="449">
        <f>'Fiche info Avenant 2'!$N$12</f>
        <v>0</v>
      </c>
      <c r="CA238" s="449">
        <f>'Fiche info Avenant 2'!$O$12</f>
        <v>0</v>
      </c>
      <c r="CB238" s="449">
        <f>'Fiche info Avenant 2'!$P$12</f>
        <v>0</v>
      </c>
      <c r="CC238" s="449">
        <f>'Fiche info Avenant 2'!$Q$12</f>
        <v>0</v>
      </c>
      <c r="CD238" s="449">
        <f>'Fiche info Avenant 2'!$R$12</f>
        <v>0</v>
      </c>
      <c r="CE238" s="449">
        <f>'Fiche info Avenant 2'!$S$12</f>
        <v>0</v>
      </c>
      <c r="CF238" s="449">
        <f>'Fiche info Avenant 2'!$T$12</f>
        <v>0</v>
      </c>
      <c r="ED238" s="16" t="str">
        <f t="shared" si="51"/>
        <v>Fiche info Avenant 2B</v>
      </c>
      <c r="EE238" s="16" t="str">
        <f t="shared" si="53"/>
        <v>Fiche info Avenant 2</v>
      </c>
      <c r="EF238" s="16" t="str">
        <f t="shared" si="54"/>
        <v>B</v>
      </c>
      <c r="EG238" s="16">
        <f t="shared" si="55"/>
        <v>6</v>
      </c>
      <c r="EH238" s="16" t="str">
        <f t="shared" si="56"/>
        <v>Samedi</v>
      </c>
      <c r="EI238" s="16" t="str">
        <f t="shared" si="57"/>
        <v/>
      </c>
      <c r="FB238" s="16" t="str">
        <f t="shared" si="60"/>
        <v/>
      </c>
      <c r="FC238" s="16" t="str">
        <f t="shared" si="61"/>
        <v/>
      </c>
      <c r="FD238" s="30">
        <f t="shared" si="52"/>
        <v>44197</v>
      </c>
      <c r="FE238" s="30" t="str">
        <f>+IFERROR(VLOOKUP(FD238,BDD,71,FALSE),"")</f>
        <v/>
      </c>
      <c r="FF238" s="30" t="str">
        <f>IFERROR(+VLOOKUP(FD238,BDD,72,FALSE),"")</f>
        <v/>
      </c>
      <c r="FG238" s="30" t="str">
        <f>+IFERROR(VLOOKUP(FD238,BDD,73,FALSE),"")</f>
        <v/>
      </c>
      <c r="FH238" s="30" t="str">
        <f>+IFERROR(VLOOKUP(FD238,BDD,74,FALSE),"")</f>
        <v/>
      </c>
      <c r="FW238" s="16" t="str">
        <f>Aout!GB38</f>
        <v>342025</v>
      </c>
      <c r="FX238" s="16">
        <f>Aout!GC38</f>
        <v>0</v>
      </c>
    </row>
    <row r="239" spans="1:180" x14ac:dyDescent="0.2">
      <c r="A239" s="16" t="str">
        <f t="shared" si="63"/>
        <v>Fiche info Avenant 2B7</v>
      </c>
      <c r="B239" s="16" t="str">
        <f t="shared" si="62"/>
        <v>Fiche info Avenant 2</v>
      </c>
      <c r="C239" s="27" t="s">
        <v>236</v>
      </c>
      <c r="D239" s="27">
        <v>7</v>
      </c>
      <c r="E239" s="16" t="s">
        <v>194</v>
      </c>
      <c r="F239" s="34" t="str">
        <f>+IF('Fiche info Avenant 2'!$V$13=0,"",'Fiche info Avenant 2'!$V$13)</f>
        <v/>
      </c>
      <c r="G239" s="16">
        <f t="shared" si="58"/>
        <v>0</v>
      </c>
      <c r="BX239" s="16" t="str">
        <f t="shared" si="59"/>
        <v>Fiche info Avenant 2B7</v>
      </c>
      <c r="BY239" s="449">
        <f>'Fiche info Avenant 2'!$M$13</f>
        <v>0</v>
      </c>
      <c r="BZ239" s="449">
        <f>'Fiche info Avenant 2'!$N$13</f>
        <v>0</v>
      </c>
      <c r="CA239" s="449">
        <f>'Fiche info Avenant 2'!$O$13</f>
        <v>0</v>
      </c>
      <c r="CB239" s="449">
        <f>'Fiche info Avenant 2'!$P$13</f>
        <v>0</v>
      </c>
      <c r="CC239" s="449">
        <f>'Fiche info Avenant 2'!$Q$13</f>
        <v>0</v>
      </c>
      <c r="CD239" s="449">
        <f>'Fiche info Avenant 2'!$R$13</f>
        <v>0</v>
      </c>
      <c r="CE239" s="449">
        <f>'Fiche info Avenant 2'!$S$13</f>
        <v>0</v>
      </c>
      <c r="CF239" s="449">
        <f>'Fiche info Avenant 2'!$T$13</f>
        <v>0</v>
      </c>
      <c r="ED239" s="16" t="str">
        <f t="shared" si="51"/>
        <v>Fiche info Avenant 2B</v>
      </c>
      <c r="EE239" s="16" t="str">
        <f t="shared" si="53"/>
        <v>Fiche info Avenant 2</v>
      </c>
      <c r="EF239" s="16" t="str">
        <f t="shared" si="54"/>
        <v>B</v>
      </c>
      <c r="EG239" s="16">
        <f t="shared" si="55"/>
        <v>7</v>
      </c>
      <c r="EH239" s="16" t="str">
        <f t="shared" si="56"/>
        <v>Dimanche</v>
      </c>
      <c r="EI239" s="16" t="str">
        <f t="shared" si="57"/>
        <v/>
      </c>
      <c r="FB239" s="16" t="str">
        <f t="shared" si="60"/>
        <v/>
      </c>
      <c r="FC239" s="16" t="str">
        <f t="shared" si="61"/>
        <v/>
      </c>
      <c r="FD239" s="30">
        <f t="shared" si="52"/>
        <v>44197</v>
      </c>
      <c r="FE239" s="30" t="str">
        <f>+IFERROR(VLOOKUP(FD239,BDD,75,FALSE),"")</f>
        <v/>
      </c>
      <c r="FF239" s="30" t="str">
        <f>+IFERROR(VLOOKUP(FD239,BDD,76,FALSE),"")</f>
        <v/>
      </c>
      <c r="FG239" s="30" t="str">
        <f>IFERROR(+VLOOKUP(FD239,BDD,77,FALSE),"")</f>
        <v/>
      </c>
      <c r="FH239" s="30" t="str">
        <f>+IFERROR(VLOOKUP(FD239,BDD,78,FALSE),"")</f>
        <v/>
      </c>
      <c r="FW239" s="16" t="str">
        <f>Aout!GB39</f>
        <v>342025</v>
      </c>
      <c r="FX239" s="16">
        <f>Aout!GC39</f>
        <v>0</v>
      </c>
    </row>
    <row r="240" spans="1:180" x14ac:dyDescent="0.2">
      <c r="A240" s="16" t="str">
        <f t="shared" si="63"/>
        <v>Fiche info Avenant 2C1</v>
      </c>
      <c r="B240" s="16" t="str">
        <f t="shared" si="62"/>
        <v>Fiche info Avenant 2</v>
      </c>
      <c r="C240" s="27" t="s">
        <v>241</v>
      </c>
      <c r="D240" s="27">
        <v>1</v>
      </c>
      <c r="E240" s="16" t="s">
        <v>17</v>
      </c>
      <c r="F240" s="34" t="str">
        <f>+IF('Fiche info Avenant 2'!$AG$7=0,"",'Fiche info Avenant 2'!$AG$7)</f>
        <v/>
      </c>
      <c r="G240" s="16">
        <f t="shared" si="58"/>
        <v>0</v>
      </c>
      <c r="BX240" s="16" t="str">
        <f t="shared" si="59"/>
        <v>Fiche info Avenant 2C1</v>
      </c>
      <c r="BY240" s="449">
        <f>'Fiche info Avenant 2'!$X$7</f>
        <v>0</v>
      </c>
      <c r="BZ240" s="449">
        <f>'Fiche info Avenant 2'!$Y$7</f>
        <v>0</v>
      </c>
      <c r="CA240" s="449">
        <f>'Fiche info Avenant 2'!$Z$7</f>
        <v>0</v>
      </c>
      <c r="CB240" s="449">
        <f>'Fiche info Avenant 2'!$AA$7</f>
        <v>0</v>
      </c>
      <c r="CC240" s="449">
        <f>'Fiche info Avenant 2'!$AB$7</f>
        <v>0</v>
      </c>
      <c r="CD240" s="449">
        <f>'Fiche info Avenant 2'!$AC$7</f>
        <v>0</v>
      </c>
      <c r="CE240" s="449">
        <f>'Fiche info Avenant 2'!$AD$7</f>
        <v>0</v>
      </c>
      <c r="CF240" s="449">
        <f>'Fiche info Avenant 2'!$AE$7</f>
        <v>0</v>
      </c>
      <c r="ED240" s="16" t="str">
        <f t="shared" si="51"/>
        <v>Fiche info Avenant 2C</v>
      </c>
      <c r="EE240" s="16" t="str">
        <f t="shared" si="53"/>
        <v>Fiche info Avenant 2</v>
      </c>
      <c r="EF240" s="16" t="str">
        <f t="shared" si="54"/>
        <v>C</v>
      </c>
      <c r="EG240" s="16">
        <f t="shared" si="55"/>
        <v>1</v>
      </c>
      <c r="EH240" s="16" t="str">
        <f t="shared" si="56"/>
        <v>Lundi</v>
      </c>
      <c r="EI240" s="16" t="str">
        <f t="shared" si="57"/>
        <v/>
      </c>
      <c r="FB240" s="16" t="str">
        <f t="shared" si="60"/>
        <v/>
      </c>
      <c r="FC240" s="16" t="str">
        <f t="shared" si="61"/>
        <v/>
      </c>
      <c r="FD240" s="30">
        <f t="shared" si="52"/>
        <v>44197</v>
      </c>
      <c r="FE240" s="30" t="str">
        <f>+IFERROR(VLOOKUP(FD240,BDD,79,FALSE),"")</f>
        <v/>
      </c>
      <c r="FF240" s="30" t="str">
        <f>IFERROR(+VLOOKUP(FD240,BDD,80,FALSE),"")</f>
        <v/>
      </c>
      <c r="FG240" s="30" t="str">
        <f>+IFERROR(VLOOKUP(FD240,BDD,81,FALSE),"")</f>
        <v/>
      </c>
      <c r="FH240" s="30" t="str">
        <f>+IFERROR(VLOOKUP(FD240,BDD,82,FALSE),"")</f>
        <v/>
      </c>
      <c r="FW240" s="16" t="str">
        <f>Aout!GB40</f>
        <v>342025</v>
      </c>
      <c r="FX240" s="16">
        <f>Aout!GC40</f>
        <v>0</v>
      </c>
    </row>
    <row r="241" spans="1:180" x14ac:dyDescent="0.2">
      <c r="A241" s="16" t="str">
        <f t="shared" si="63"/>
        <v>Fiche info Avenant 2C2</v>
      </c>
      <c r="B241" s="16" t="str">
        <f t="shared" si="62"/>
        <v>Fiche info Avenant 2</v>
      </c>
      <c r="C241" s="27" t="s">
        <v>241</v>
      </c>
      <c r="D241" s="27">
        <v>2</v>
      </c>
      <c r="E241" s="16" t="s">
        <v>18</v>
      </c>
      <c r="F241" s="34" t="str">
        <f>+IF('Fiche info Avenant 2'!$AG$8=0,"",'Fiche info Avenant 2'!$AG$8)</f>
        <v/>
      </c>
      <c r="G241" s="16">
        <f t="shared" si="58"/>
        <v>0</v>
      </c>
      <c r="BX241" s="16" t="str">
        <f t="shared" si="59"/>
        <v>Fiche info Avenant 2C2</v>
      </c>
      <c r="BY241" s="449">
        <f>'Fiche info Avenant 2'!$X$8</f>
        <v>0</v>
      </c>
      <c r="BZ241" s="449">
        <f>'Fiche info Avenant 2'!$Y$8</f>
        <v>0</v>
      </c>
      <c r="CA241" s="449">
        <f>'Fiche info Avenant 2'!$Z$8</f>
        <v>0</v>
      </c>
      <c r="CB241" s="449">
        <f>'Fiche info Avenant 2'!$AA$8</f>
        <v>0</v>
      </c>
      <c r="CC241" s="449">
        <f>'Fiche info Avenant 2'!$AB$8</f>
        <v>0</v>
      </c>
      <c r="CD241" s="449">
        <f>'Fiche info Avenant 2'!$AC$8</f>
        <v>0</v>
      </c>
      <c r="CE241" s="449">
        <f>'Fiche info Avenant 2'!$AD$8</f>
        <v>0</v>
      </c>
      <c r="CF241" s="449">
        <f>'Fiche info Avenant 2'!$AE$8</f>
        <v>0</v>
      </c>
      <c r="ED241" s="16" t="str">
        <f t="shared" si="51"/>
        <v>Fiche info Avenant 2C</v>
      </c>
      <c r="EE241" s="16" t="str">
        <f t="shared" si="53"/>
        <v>Fiche info Avenant 2</v>
      </c>
      <c r="EF241" s="16" t="str">
        <f t="shared" si="54"/>
        <v>C</v>
      </c>
      <c r="EG241" s="16">
        <f t="shared" si="55"/>
        <v>2</v>
      </c>
      <c r="EH241" s="16" t="str">
        <f t="shared" si="56"/>
        <v>Mardi</v>
      </c>
      <c r="EI241" s="16" t="str">
        <f t="shared" si="57"/>
        <v/>
      </c>
      <c r="FB241" s="16" t="str">
        <f t="shared" si="60"/>
        <v/>
      </c>
      <c r="FC241" s="16" t="str">
        <f t="shared" si="61"/>
        <v/>
      </c>
      <c r="FD241" s="30">
        <f t="shared" si="52"/>
        <v>44197</v>
      </c>
      <c r="FE241" s="30" t="str">
        <f>+IFERROR(VLOOKUP(FD241,BDD,83,FALSE),"")</f>
        <v/>
      </c>
      <c r="FF241" s="30" t="str">
        <f>+IFERROR(VLOOKUP(FD241,BDD,84,FALSE),"")</f>
        <v/>
      </c>
      <c r="FG241" s="30" t="str">
        <f>+IFERROR(VLOOKUP(FD241,BDD,85,FALSE),"")</f>
        <v/>
      </c>
      <c r="FH241" s="30" t="str">
        <f>+IFERROR(VLOOKUP(FD241,BDD,86,FALSE),"")</f>
        <v/>
      </c>
      <c r="FW241" s="16" t="str">
        <f>Aout!GB41</f>
        <v>342025</v>
      </c>
      <c r="FX241" s="16">
        <f>Aout!GC41</f>
        <v>0</v>
      </c>
    </row>
    <row r="242" spans="1:180" x14ac:dyDescent="0.2">
      <c r="A242" s="16" t="str">
        <f t="shared" si="63"/>
        <v>Fiche info Avenant 2C3</v>
      </c>
      <c r="B242" s="16" t="str">
        <f t="shared" si="62"/>
        <v>Fiche info Avenant 2</v>
      </c>
      <c r="C242" s="27" t="s">
        <v>241</v>
      </c>
      <c r="D242" s="27">
        <v>3</v>
      </c>
      <c r="E242" s="16" t="s">
        <v>19</v>
      </c>
      <c r="F242" s="34" t="str">
        <f>+IF('Fiche info Avenant 2'!$AG$9=0,"",'Fiche info Avenant 2'!$AG$9)</f>
        <v/>
      </c>
      <c r="G242" s="16">
        <f t="shared" si="58"/>
        <v>0</v>
      </c>
      <c r="BX242" s="16" t="str">
        <f t="shared" si="59"/>
        <v>Fiche info Avenant 2C3</v>
      </c>
      <c r="BY242" s="449">
        <f>'Fiche info Avenant 2'!$X$9</f>
        <v>0</v>
      </c>
      <c r="BZ242" s="449">
        <f>'Fiche info Avenant 2'!$Y$9</f>
        <v>0</v>
      </c>
      <c r="CA242" s="449">
        <f>'Fiche info Avenant 2'!$Z$9</f>
        <v>0</v>
      </c>
      <c r="CB242" s="449">
        <f>'Fiche info Avenant 2'!$AA$9</f>
        <v>0</v>
      </c>
      <c r="CC242" s="449">
        <f>'Fiche info Avenant 2'!$AB$9</f>
        <v>0</v>
      </c>
      <c r="CD242" s="449">
        <f>'Fiche info Avenant 2'!$AC$9</f>
        <v>0</v>
      </c>
      <c r="CE242" s="449">
        <f>'Fiche info Avenant 2'!$AD$9</f>
        <v>0</v>
      </c>
      <c r="CF242" s="449">
        <f>'Fiche info Avenant 2'!$AE$9</f>
        <v>0</v>
      </c>
      <c r="ED242" s="16" t="str">
        <f t="shared" si="51"/>
        <v>Fiche info Avenant 2C</v>
      </c>
      <c r="EE242" s="16" t="str">
        <f t="shared" si="53"/>
        <v>Fiche info Avenant 2</v>
      </c>
      <c r="EF242" s="16" t="str">
        <f t="shared" si="54"/>
        <v>C</v>
      </c>
      <c r="EG242" s="16">
        <f t="shared" si="55"/>
        <v>3</v>
      </c>
      <c r="EH242" s="16" t="str">
        <f t="shared" si="56"/>
        <v>Mercredi</v>
      </c>
      <c r="EI242" s="16" t="str">
        <f t="shared" si="57"/>
        <v/>
      </c>
      <c r="FB242" s="16" t="str">
        <f t="shared" si="60"/>
        <v/>
      </c>
      <c r="FC242" s="16" t="str">
        <f t="shared" si="61"/>
        <v/>
      </c>
      <c r="FD242" s="30">
        <f t="shared" si="52"/>
        <v>44166</v>
      </c>
      <c r="FE242" s="30" t="str">
        <f>+IFERROR(VLOOKUP(FD242,BDD,71,FALSE),"")</f>
        <v/>
      </c>
      <c r="FF242" s="30" t="str">
        <f>IFERROR(+VLOOKUP(FD242,BDD,72,FALSE),"")</f>
        <v/>
      </c>
      <c r="FG242" s="30" t="str">
        <f>+IFERROR(VLOOKUP(FD242,BDD,73,FALSE),"")</f>
        <v/>
      </c>
      <c r="FH242" s="30" t="str">
        <f>+IFERROR(VLOOKUP(FD242,BDD,74,FALSE),"")</f>
        <v/>
      </c>
      <c r="FW242" s="16" t="str">
        <f>Aout!GB42</f>
        <v>342025</v>
      </c>
      <c r="FX242" s="16">
        <f>Aout!GC42</f>
        <v>0</v>
      </c>
    </row>
    <row r="243" spans="1:180" x14ac:dyDescent="0.2">
      <c r="A243" s="16" t="str">
        <f t="shared" si="63"/>
        <v>Fiche info Avenant 2C4</v>
      </c>
      <c r="B243" s="16" t="str">
        <f t="shared" si="62"/>
        <v>Fiche info Avenant 2</v>
      </c>
      <c r="C243" s="27" t="s">
        <v>241</v>
      </c>
      <c r="D243" s="27">
        <v>4</v>
      </c>
      <c r="E243" s="16" t="s">
        <v>20</v>
      </c>
      <c r="F243" s="34" t="str">
        <f>+IF('Fiche info Avenant 2'!$AG$10=0,"",'Fiche info Avenant 2'!$AG$10)</f>
        <v/>
      </c>
      <c r="G243" s="16">
        <f t="shared" si="58"/>
        <v>0</v>
      </c>
      <c r="BX243" s="16" t="str">
        <f t="shared" si="59"/>
        <v>Fiche info Avenant 2C4</v>
      </c>
      <c r="BY243" s="449">
        <f>'Fiche info Avenant 2'!$X$10</f>
        <v>0</v>
      </c>
      <c r="BZ243" s="449">
        <f>'Fiche info Avenant 2'!$Y$10</f>
        <v>0</v>
      </c>
      <c r="CA243" s="449">
        <f>'Fiche info Avenant 2'!$Z$10</f>
        <v>0</v>
      </c>
      <c r="CB243" s="449">
        <f>'Fiche info Avenant 2'!$AA$10</f>
        <v>0</v>
      </c>
      <c r="CC243" s="449">
        <f>'Fiche info Avenant 2'!$AB$10</f>
        <v>0</v>
      </c>
      <c r="CD243" s="449">
        <f>'Fiche info Avenant 2'!$AC$10</f>
        <v>0</v>
      </c>
      <c r="CE243" s="449">
        <f>'Fiche info Avenant 2'!$AD$10</f>
        <v>0</v>
      </c>
      <c r="CF243" s="449">
        <f>'Fiche info Avenant 2'!$AE$10</f>
        <v>0</v>
      </c>
      <c r="ED243" s="16" t="str">
        <f t="shared" ref="ED243:ED306" si="64">+EE243&amp;EF243</f>
        <v>Fiche info Avenant 2C</v>
      </c>
      <c r="EE243" s="16" t="str">
        <f t="shared" si="53"/>
        <v>Fiche info Avenant 2</v>
      </c>
      <c r="EF243" s="16" t="str">
        <f t="shared" si="54"/>
        <v>C</v>
      </c>
      <c r="EG243" s="16">
        <f t="shared" si="55"/>
        <v>4</v>
      </c>
      <c r="EH243" s="16" t="str">
        <f t="shared" si="56"/>
        <v>Jeudi</v>
      </c>
      <c r="EI243" s="16" t="str">
        <f t="shared" si="57"/>
        <v/>
      </c>
      <c r="FB243" s="16" t="str">
        <f t="shared" si="60"/>
        <v/>
      </c>
      <c r="FC243" s="16" t="str">
        <f t="shared" si="61"/>
        <v/>
      </c>
      <c r="FD243" s="30">
        <f t="shared" si="52"/>
        <v>44166</v>
      </c>
      <c r="FE243" s="30" t="str">
        <f>+IFERROR(VLOOKUP(FD243,BDD,75,FALSE),"")</f>
        <v/>
      </c>
      <c r="FF243" s="30" t="str">
        <f>+IFERROR(VLOOKUP(FD243,BDD,76,FALSE),"")</f>
        <v/>
      </c>
      <c r="FG243" s="30" t="str">
        <f>IFERROR(+VLOOKUP(FD243,BDD,77,FALSE),"")</f>
        <v/>
      </c>
      <c r="FH243" s="30" t="str">
        <f>+IFERROR(VLOOKUP(FD243,BDD,78,FALSE),"")</f>
        <v/>
      </c>
      <c r="FW243" s="16" t="str">
        <f>Aout!GB43</f>
        <v>342025</v>
      </c>
      <c r="FX243" s="16">
        <f>Aout!GC43</f>
        <v>0</v>
      </c>
    </row>
    <row r="244" spans="1:180" x14ac:dyDescent="0.2">
      <c r="A244" s="16" t="str">
        <f t="shared" si="63"/>
        <v>Fiche info Avenant 2C5</v>
      </c>
      <c r="B244" s="16" t="str">
        <f t="shared" si="62"/>
        <v>Fiche info Avenant 2</v>
      </c>
      <c r="C244" s="27" t="s">
        <v>241</v>
      </c>
      <c r="D244" s="27">
        <v>5</v>
      </c>
      <c r="E244" s="16" t="s">
        <v>21</v>
      </c>
      <c r="F244" s="34" t="str">
        <f>+IF('Fiche info Avenant 2'!$AG$11=0,"",'Fiche info Avenant 2'!$AG$11)</f>
        <v/>
      </c>
      <c r="G244" s="16">
        <f t="shared" si="58"/>
        <v>0</v>
      </c>
      <c r="BX244" s="16" t="str">
        <f t="shared" si="59"/>
        <v>Fiche info Avenant 2C5</v>
      </c>
      <c r="BY244" s="449">
        <f>'Fiche info Avenant 2'!$X$11</f>
        <v>0</v>
      </c>
      <c r="BZ244" s="449">
        <f>'Fiche info Avenant 2'!$Y$11</f>
        <v>0</v>
      </c>
      <c r="CA244" s="449">
        <f>'Fiche info Avenant 2'!$Z$11</f>
        <v>0</v>
      </c>
      <c r="CB244" s="449">
        <f>'Fiche info Avenant 2'!$AA$11</f>
        <v>0</v>
      </c>
      <c r="CC244" s="449">
        <f>'Fiche info Avenant 2'!$AB$11</f>
        <v>0</v>
      </c>
      <c r="CD244" s="449">
        <f>'Fiche info Avenant 2'!$AC$11</f>
        <v>0</v>
      </c>
      <c r="CE244" s="449">
        <f>'Fiche info Avenant 2'!$AD$11</f>
        <v>0</v>
      </c>
      <c r="CF244" s="449">
        <f>'Fiche info Avenant 2'!$AE$11</f>
        <v>0</v>
      </c>
      <c r="ED244" s="16" t="str">
        <f t="shared" si="64"/>
        <v>Fiche info Avenant 2C</v>
      </c>
      <c r="EE244" s="16" t="str">
        <f t="shared" si="53"/>
        <v>Fiche info Avenant 2</v>
      </c>
      <c r="EF244" s="16" t="str">
        <f t="shared" si="54"/>
        <v>C</v>
      </c>
      <c r="EG244" s="16">
        <f t="shared" si="55"/>
        <v>5</v>
      </c>
      <c r="EH244" s="16" t="str">
        <f t="shared" si="56"/>
        <v>Vendredi</v>
      </c>
      <c r="EI244" s="16" t="str">
        <f t="shared" si="57"/>
        <v/>
      </c>
      <c r="FB244" s="16" t="str">
        <f t="shared" si="60"/>
        <v/>
      </c>
      <c r="FC244" s="16" t="str">
        <f t="shared" si="61"/>
        <v/>
      </c>
      <c r="FD244" s="30">
        <f t="shared" si="52"/>
        <v>44166</v>
      </c>
      <c r="FE244" s="30" t="str">
        <f>+IFERROR(VLOOKUP(FD244,BDD,79,FALSE),"")</f>
        <v/>
      </c>
      <c r="FF244" s="30" t="str">
        <f>IFERROR(+VLOOKUP(FD244,BDD,80,FALSE),"")</f>
        <v/>
      </c>
      <c r="FG244" s="30" t="str">
        <f>+IFERROR(VLOOKUP(FD244,BDD,81,FALSE),"")</f>
        <v/>
      </c>
      <c r="FH244" s="30" t="str">
        <f>+IFERROR(VLOOKUP(FD244,BDD,82,FALSE),"")</f>
        <v/>
      </c>
      <c r="FW244" s="16" t="str">
        <f>Aout!GB44</f>
        <v>352025</v>
      </c>
      <c r="FX244" s="16">
        <f>Aout!GC44</f>
        <v>0</v>
      </c>
    </row>
    <row r="245" spans="1:180" x14ac:dyDescent="0.2">
      <c r="A245" s="16" t="str">
        <f t="shared" si="63"/>
        <v>Fiche info Avenant 2C6</v>
      </c>
      <c r="B245" s="16" t="str">
        <f t="shared" si="62"/>
        <v>Fiche info Avenant 2</v>
      </c>
      <c r="C245" s="27" t="s">
        <v>241</v>
      </c>
      <c r="D245" s="27">
        <v>6</v>
      </c>
      <c r="E245" s="16" t="s">
        <v>193</v>
      </c>
      <c r="F245" s="34" t="str">
        <f>+IF('Fiche info Avenant 2'!$AG$12=0,"",'Fiche info Avenant 2'!$AG$12)</f>
        <v/>
      </c>
      <c r="G245" s="16">
        <f t="shared" si="58"/>
        <v>0</v>
      </c>
      <c r="BX245" s="16" t="str">
        <f t="shared" si="59"/>
        <v>Fiche info Avenant 2C6</v>
      </c>
      <c r="BY245" s="449">
        <f>'Fiche info Avenant 2'!$X$12</f>
        <v>0</v>
      </c>
      <c r="BZ245" s="449">
        <f>'Fiche info Avenant 2'!$Y$12</f>
        <v>0</v>
      </c>
      <c r="CA245" s="449">
        <f>'Fiche info Avenant 2'!$Z$12</f>
        <v>0</v>
      </c>
      <c r="CB245" s="449">
        <f>'Fiche info Avenant 2'!$AA$12</f>
        <v>0</v>
      </c>
      <c r="CC245" s="449">
        <f>'Fiche info Avenant 2'!$AB$12</f>
        <v>0</v>
      </c>
      <c r="CD245" s="449">
        <f>'Fiche info Avenant 2'!$AC$12</f>
        <v>0</v>
      </c>
      <c r="CE245" s="449">
        <f>'Fiche info Avenant 2'!$AD$12</f>
        <v>0</v>
      </c>
      <c r="CF245" s="449">
        <f>'Fiche info Avenant 2'!$AE$12</f>
        <v>0</v>
      </c>
      <c r="ED245" s="16" t="str">
        <f t="shared" si="64"/>
        <v>Fiche info Avenant 2C</v>
      </c>
      <c r="EE245" s="16" t="str">
        <f t="shared" si="53"/>
        <v>Fiche info Avenant 2</v>
      </c>
      <c r="EF245" s="16" t="str">
        <f t="shared" si="54"/>
        <v>C</v>
      </c>
      <c r="EG245" s="16">
        <f t="shared" si="55"/>
        <v>6</v>
      </c>
      <c r="EH245" s="16" t="str">
        <f t="shared" si="56"/>
        <v>Samedi</v>
      </c>
      <c r="EI245" s="16" t="str">
        <f t="shared" si="57"/>
        <v/>
      </c>
      <c r="FB245" s="16" t="str">
        <f t="shared" si="60"/>
        <v/>
      </c>
      <c r="FC245" s="16" t="str">
        <f t="shared" si="61"/>
        <v/>
      </c>
      <c r="FD245" s="30">
        <f t="shared" si="52"/>
        <v>44166</v>
      </c>
      <c r="FE245" s="30" t="str">
        <f>+IFERROR(VLOOKUP(FD245,BDD,83,FALSE),"")</f>
        <v/>
      </c>
      <c r="FF245" s="30" t="str">
        <f>+IFERROR(VLOOKUP(FD245,BDD,84,FALSE),"")</f>
        <v/>
      </c>
      <c r="FG245" s="30" t="str">
        <f>+IFERROR(VLOOKUP(FD245,BDD,85,FALSE),"")</f>
        <v/>
      </c>
      <c r="FH245" s="30" t="str">
        <f>+IFERROR(VLOOKUP(FD245,BDD,86,FALSE),"")</f>
        <v/>
      </c>
      <c r="FW245" s="16" t="str">
        <f>Aout!GB45</f>
        <v>352025</v>
      </c>
      <c r="FX245" s="16">
        <f>Aout!GC45</f>
        <v>0</v>
      </c>
    </row>
    <row r="246" spans="1:180" x14ac:dyDescent="0.2">
      <c r="A246" s="16" t="str">
        <f t="shared" si="63"/>
        <v>Fiche info Avenant 2C7</v>
      </c>
      <c r="B246" s="16" t="str">
        <f t="shared" si="62"/>
        <v>Fiche info Avenant 2</v>
      </c>
      <c r="C246" s="27" t="s">
        <v>241</v>
      </c>
      <c r="D246" s="27">
        <v>7</v>
      </c>
      <c r="E246" s="16" t="s">
        <v>194</v>
      </c>
      <c r="F246" s="34" t="str">
        <f>+IF('Fiche info Avenant 2'!$AG$13=0,"",'Fiche info Avenant 2'!$AG$13)</f>
        <v/>
      </c>
      <c r="G246" s="16">
        <f t="shared" si="58"/>
        <v>0</v>
      </c>
      <c r="BX246" s="16" t="str">
        <f t="shared" si="59"/>
        <v>Fiche info Avenant 2C7</v>
      </c>
      <c r="BY246" s="449">
        <f>'Fiche info Avenant 2'!$X$13</f>
        <v>0</v>
      </c>
      <c r="BZ246" s="449">
        <f>'Fiche info Avenant 2'!$Y$13</f>
        <v>0</v>
      </c>
      <c r="CA246" s="449">
        <f>'Fiche info Avenant 2'!$Z$13</f>
        <v>0</v>
      </c>
      <c r="CB246" s="449">
        <f>'Fiche info Avenant 2'!$AA$13</f>
        <v>0</v>
      </c>
      <c r="CC246" s="449">
        <f>'Fiche info Avenant 2'!$AB$13</f>
        <v>0</v>
      </c>
      <c r="CD246" s="449">
        <f>'Fiche info Avenant 2'!$AC$13</f>
        <v>0</v>
      </c>
      <c r="CE246" s="449">
        <f>'Fiche info Avenant 2'!$AD$13</f>
        <v>0</v>
      </c>
      <c r="CF246" s="449">
        <f>'Fiche info Avenant 2'!$AE$13</f>
        <v>0</v>
      </c>
      <c r="ED246" s="16" t="str">
        <f t="shared" si="64"/>
        <v>Fiche info Avenant 2C</v>
      </c>
      <c r="EE246" s="16" t="str">
        <f t="shared" si="53"/>
        <v>Fiche info Avenant 2</v>
      </c>
      <c r="EF246" s="16" t="str">
        <f t="shared" si="54"/>
        <v>C</v>
      </c>
      <c r="EG246" s="16">
        <f t="shared" si="55"/>
        <v>7</v>
      </c>
      <c r="EH246" s="16" t="str">
        <f t="shared" si="56"/>
        <v>Dimanche</v>
      </c>
      <c r="EI246" s="16" t="str">
        <f t="shared" si="57"/>
        <v/>
      </c>
      <c r="FB246" s="16" t="str">
        <f t="shared" si="60"/>
        <v/>
      </c>
      <c r="FC246" s="16" t="str">
        <f t="shared" si="61"/>
        <v/>
      </c>
      <c r="FD246" s="30">
        <f t="shared" si="52"/>
        <v>44136</v>
      </c>
      <c r="FE246" s="30" t="str">
        <f>+IFERROR(VLOOKUP(FD246,BDD,71,FALSE),"")</f>
        <v/>
      </c>
      <c r="FF246" s="30" t="str">
        <f>IFERROR(+VLOOKUP(FD246,BDD,72,FALSE),"")</f>
        <v/>
      </c>
      <c r="FG246" s="30" t="str">
        <f>+IFERROR(VLOOKUP(FD246,BDD,73,FALSE),"")</f>
        <v/>
      </c>
      <c r="FH246" s="30" t="str">
        <f>+IFERROR(VLOOKUP(FD246,BDD,74,FALSE),"")</f>
        <v/>
      </c>
      <c r="FW246" s="16" t="str">
        <f>Aout!GB46</f>
        <v>352025</v>
      </c>
      <c r="FX246" s="16">
        <f>Aout!GC46</f>
        <v>0</v>
      </c>
    </row>
    <row r="247" spans="1:180" x14ac:dyDescent="0.2">
      <c r="A247" s="16" t="str">
        <f t="shared" si="63"/>
        <v>Fiche info Avenant 2D1</v>
      </c>
      <c r="B247" s="16" t="str">
        <f t="shared" si="62"/>
        <v>Fiche info Avenant 2</v>
      </c>
      <c r="C247" s="27" t="s">
        <v>242</v>
      </c>
      <c r="D247" s="27">
        <v>1</v>
      </c>
      <c r="E247" s="16" t="s">
        <v>17</v>
      </c>
      <c r="F247" s="34" t="str">
        <f>+IF('Fiche info Avenant 2'!$AR$7=0,"",'Fiche info Avenant 2'!$AR$7)</f>
        <v/>
      </c>
      <c r="G247" s="16">
        <f t="shared" si="58"/>
        <v>0</v>
      </c>
      <c r="BX247" s="16" t="str">
        <f t="shared" si="59"/>
        <v>Fiche info Avenant 2D1</v>
      </c>
      <c r="BY247" s="449">
        <f>'Fiche info Avenant 2'!$AI$7</f>
        <v>0</v>
      </c>
      <c r="BZ247" s="449">
        <f>'Fiche info Avenant 2'!$AJ$7</f>
        <v>0</v>
      </c>
      <c r="CA247" s="449">
        <f>'Fiche info Avenant 2'!$AK$7</f>
        <v>0</v>
      </c>
      <c r="CB247" s="449">
        <f>'Fiche info Avenant 2'!$AL$7</f>
        <v>0</v>
      </c>
      <c r="CC247" s="449">
        <f>'Fiche info Avenant 2'!$AM$7</f>
        <v>0</v>
      </c>
      <c r="CD247" s="449">
        <f>'Fiche info Avenant 2'!$AN$7</f>
        <v>0</v>
      </c>
      <c r="CE247" s="449">
        <f>'Fiche info Avenant 2'!$AO$7</f>
        <v>0</v>
      </c>
      <c r="CF247" s="449">
        <f>'Fiche info Avenant 2'!$AP$7</f>
        <v>0</v>
      </c>
      <c r="ED247" s="16" t="str">
        <f t="shared" si="64"/>
        <v>Fiche info Avenant 2D</v>
      </c>
      <c r="EE247" s="16" t="str">
        <f t="shared" si="53"/>
        <v>Fiche info Avenant 2</v>
      </c>
      <c r="EF247" s="16" t="str">
        <f t="shared" si="54"/>
        <v>D</v>
      </c>
      <c r="EG247" s="16">
        <f t="shared" si="55"/>
        <v>1</v>
      </c>
      <c r="EH247" s="16" t="str">
        <f t="shared" si="56"/>
        <v>Lundi</v>
      </c>
      <c r="EI247" s="16" t="str">
        <f t="shared" si="57"/>
        <v/>
      </c>
      <c r="FB247" s="16" t="str">
        <f t="shared" si="60"/>
        <v/>
      </c>
      <c r="FC247" s="16" t="str">
        <f t="shared" si="61"/>
        <v/>
      </c>
      <c r="FD247" s="30">
        <f t="shared" si="52"/>
        <v>44136</v>
      </c>
      <c r="FE247" s="30" t="str">
        <f>+IFERROR(VLOOKUP(FD247,BDD,75,FALSE),"")</f>
        <v/>
      </c>
      <c r="FF247" s="30" t="str">
        <f>+IFERROR(VLOOKUP(FD247,BDD,76,FALSE),"")</f>
        <v/>
      </c>
      <c r="FG247" s="30" t="str">
        <f>IFERROR(+VLOOKUP(FD247,BDD,77,FALSE),"")</f>
        <v/>
      </c>
      <c r="FH247" s="30" t="str">
        <f>+IFERROR(VLOOKUP(FD247,BDD,78,FALSE),"")</f>
        <v/>
      </c>
      <c r="FW247" s="16" t="str">
        <f>Aout!GB47</f>
        <v>352025</v>
      </c>
      <c r="FX247" s="16">
        <f>Aout!GC47</f>
        <v>0</v>
      </c>
    </row>
    <row r="248" spans="1:180" x14ac:dyDescent="0.2">
      <c r="A248" s="16" t="str">
        <f t="shared" si="63"/>
        <v>Fiche info Avenant 2D2</v>
      </c>
      <c r="B248" s="16" t="str">
        <f t="shared" si="62"/>
        <v>Fiche info Avenant 2</v>
      </c>
      <c r="C248" s="27" t="s">
        <v>242</v>
      </c>
      <c r="D248" s="27">
        <v>2</v>
      </c>
      <c r="E248" s="16" t="s">
        <v>18</v>
      </c>
      <c r="F248" s="34" t="str">
        <f>IF(+'Fiche info Avenant 2'!$AR$8=0,"",'Fiche info Avenant 2'!$AR$8)</f>
        <v/>
      </c>
      <c r="G248" s="16">
        <f t="shared" si="58"/>
        <v>0</v>
      </c>
      <c r="BX248" s="16" t="str">
        <f t="shared" si="59"/>
        <v>Fiche info Avenant 2D2</v>
      </c>
      <c r="BY248" s="449">
        <f>'Fiche info Avenant 2'!$AI$8</f>
        <v>0</v>
      </c>
      <c r="BZ248" s="449">
        <f>'Fiche info Avenant 2'!$AJ$8</f>
        <v>0</v>
      </c>
      <c r="CA248" s="449">
        <f>'Fiche info Avenant 2'!$AK$8</f>
        <v>0</v>
      </c>
      <c r="CB248" s="449">
        <f>'Fiche info Avenant 2'!$AL$8</f>
        <v>0</v>
      </c>
      <c r="CC248" s="449">
        <f>'Fiche info Avenant 2'!$AM$8</f>
        <v>0</v>
      </c>
      <c r="CD248" s="449">
        <f>'Fiche info Avenant 2'!$AN$8</f>
        <v>0</v>
      </c>
      <c r="CE248" s="449">
        <f>'Fiche info Avenant 2'!$AO$8</f>
        <v>0</v>
      </c>
      <c r="CF248" s="449">
        <f>'Fiche info Avenant 2'!$AP$8</f>
        <v>0</v>
      </c>
      <c r="ED248" s="16" t="str">
        <f t="shared" si="64"/>
        <v>Fiche info Avenant 2D</v>
      </c>
      <c r="EE248" s="16" t="str">
        <f t="shared" si="53"/>
        <v>Fiche info Avenant 2</v>
      </c>
      <c r="EF248" s="16" t="str">
        <f t="shared" si="54"/>
        <v>D</v>
      </c>
      <c r="EG248" s="16">
        <f t="shared" si="55"/>
        <v>2</v>
      </c>
      <c r="EH248" s="16" t="str">
        <f t="shared" si="56"/>
        <v>Mardi</v>
      </c>
      <c r="EI248" s="16" t="str">
        <f t="shared" si="57"/>
        <v/>
      </c>
      <c r="FB248" s="16" t="str">
        <f t="shared" si="60"/>
        <v/>
      </c>
      <c r="FC248" s="16" t="str">
        <f t="shared" si="61"/>
        <v/>
      </c>
      <c r="FD248" s="30">
        <f t="shared" si="52"/>
        <v>44136</v>
      </c>
      <c r="FE248" s="30" t="str">
        <f>+IFERROR(VLOOKUP(FD248,BDD,79,FALSE),"")</f>
        <v/>
      </c>
      <c r="FF248" s="30" t="str">
        <f>IFERROR(+VLOOKUP(FD248,BDD,80,FALSE),"")</f>
        <v/>
      </c>
      <c r="FG248" s="30" t="str">
        <f>+IFERROR(VLOOKUP(FD248,BDD,81,FALSE),"")</f>
        <v/>
      </c>
      <c r="FH248" s="30" t="str">
        <f>+IFERROR(VLOOKUP(FD248,BDD,82,FALSE),"")</f>
        <v/>
      </c>
      <c r="FW248" s="16" t="str">
        <f>Aout!GB48</f>
        <v>352025</v>
      </c>
      <c r="FX248" s="16">
        <f>Aout!GC48</f>
        <v>0</v>
      </c>
    </row>
    <row r="249" spans="1:180" x14ac:dyDescent="0.2">
      <c r="A249" s="16" t="str">
        <f t="shared" si="63"/>
        <v>Fiche info Avenant 2D3</v>
      </c>
      <c r="B249" s="16" t="str">
        <f t="shared" si="62"/>
        <v>Fiche info Avenant 2</v>
      </c>
      <c r="C249" s="27" t="s">
        <v>242</v>
      </c>
      <c r="D249" s="27">
        <v>3</v>
      </c>
      <c r="E249" s="16" t="s">
        <v>19</v>
      </c>
      <c r="F249" s="34" t="str">
        <f>IF(+'Fiche info Avenant 2'!$AR$9=0,"",'Fiche info Avenant 2'!$AR$9)</f>
        <v/>
      </c>
      <c r="G249" s="16">
        <f t="shared" si="58"/>
        <v>0</v>
      </c>
      <c r="BX249" s="16" t="str">
        <f t="shared" si="59"/>
        <v>Fiche info Avenant 2D3</v>
      </c>
      <c r="BY249" s="449">
        <f>'Fiche info Avenant 2'!$AI$9</f>
        <v>0</v>
      </c>
      <c r="BZ249" s="449">
        <f>'Fiche info Avenant 2'!$AJ$9</f>
        <v>0</v>
      </c>
      <c r="CA249" s="449">
        <f>'Fiche info Avenant 2'!$AK$9</f>
        <v>0</v>
      </c>
      <c r="CB249" s="449">
        <f>'Fiche info Avenant 2'!$AL$9</f>
        <v>0</v>
      </c>
      <c r="CC249" s="449">
        <f>'Fiche info Avenant 2'!$AM$9</f>
        <v>0</v>
      </c>
      <c r="CD249" s="449">
        <f>'Fiche info Avenant 2'!$AN$9</f>
        <v>0</v>
      </c>
      <c r="CE249" s="449">
        <f>'Fiche info Avenant 2'!$AO$9</f>
        <v>0</v>
      </c>
      <c r="CF249" s="449">
        <f>'Fiche info Avenant 2'!$AP$9</f>
        <v>0</v>
      </c>
      <c r="ED249" s="16" t="str">
        <f t="shared" si="64"/>
        <v>Fiche info Avenant 2D</v>
      </c>
      <c r="EE249" s="16" t="str">
        <f t="shared" si="53"/>
        <v>Fiche info Avenant 2</v>
      </c>
      <c r="EF249" s="16" t="str">
        <f t="shared" si="54"/>
        <v>D</v>
      </c>
      <c r="EG249" s="16">
        <f t="shared" si="55"/>
        <v>3</v>
      </c>
      <c r="EH249" s="16" t="str">
        <f t="shared" si="56"/>
        <v>Mercredi</v>
      </c>
      <c r="EI249" s="16" t="str">
        <f t="shared" si="57"/>
        <v/>
      </c>
      <c r="FB249" s="16" t="str">
        <f t="shared" si="60"/>
        <v/>
      </c>
      <c r="FC249" s="16" t="str">
        <f t="shared" si="61"/>
        <v/>
      </c>
      <c r="FD249" s="30">
        <f t="shared" si="52"/>
        <v>44136</v>
      </c>
      <c r="FE249" s="30" t="str">
        <f>+IFERROR(VLOOKUP(FD249,BDD,83,FALSE),"")</f>
        <v/>
      </c>
      <c r="FF249" s="30" t="str">
        <f>+IFERROR(VLOOKUP(FD249,BDD,84,FALSE),"")</f>
        <v/>
      </c>
      <c r="FG249" s="30" t="str">
        <f>+IFERROR(VLOOKUP(FD249,BDD,85,FALSE),"")</f>
        <v/>
      </c>
      <c r="FH249" s="30" t="str">
        <f>+IFERROR(VLOOKUP(FD249,BDD,86,FALSE),"")</f>
        <v/>
      </c>
      <c r="FW249" s="16" t="str">
        <f>Aout!GB49</f>
        <v>352025</v>
      </c>
      <c r="FX249" s="16">
        <f>Aout!GC49</f>
        <v>0</v>
      </c>
    </row>
    <row r="250" spans="1:180" x14ac:dyDescent="0.2">
      <c r="A250" s="16" t="str">
        <f t="shared" si="63"/>
        <v>Fiche info Avenant 2D4</v>
      </c>
      <c r="B250" s="16" t="str">
        <f t="shared" si="62"/>
        <v>Fiche info Avenant 2</v>
      </c>
      <c r="C250" s="27" t="s">
        <v>242</v>
      </c>
      <c r="D250" s="27">
        <v>4</v>
      </c>
      <c r="E250" s="16" t="s">
        <v>20</v>
      </c>
      <c r="F250" s="34" t="str">
        <f>IF(+'Fiche info Avenant 2'!$AR$10=0,"",'Fiche info Avenant 2'!$AR$10)</f>
        <v/>
      </c>
      <c r="G250" s="16">
        <f t="shared" si="58"/>
        <v>0</v>
      </c>
      <c r="BX250" s="16" t="str">
        <f t="shared" si="59"/>
        <v>Fiche info Avenant 2D4</v>
      </c>
      <c r="BY250" s="449">
        <f>'Fiche info Avenant 2'!$AI$10</f>
        <v>0</v>
      </c>
      <c r="BZ250" s="449">
        <f>'Fiche info Avenant 2'!$AJ$10</f>
        <v>0</v>
      </c>
      <c r="CA250" s="449">
        <f>'Fiche info Avenant 2'!$AK$10</f>
        <v>0</v>
      </c>
      <c r="CB250" s="449">
        <f>'Fiche info Avenant 2'!$AL$10</f>
        <v>0</v>
      </c>
      <c r="CC250" s="449">
        <f>'Fiche info Avenant 2'!$AM$10</f>
        <v>0</v>
      </c>
      <c r="CD250" s="449">
        <f>'Fiche info Avenant 2'!$AN$10</f>
        <v>0</v>
      </c>
      <c r="CE250" s="449">
        <f>'Fiche info Avenant 2'!$AO$10</f>
        <v>0</v>
      </c>
      <c r="CF250" s="449">
        <f>'Fiche info Avenant 2'!$AP$10</f>
        <v>0</v>
      </c>
      <c r="ED250" s="16" t="str">
        <f t="shared" si="64"/>
        <v>Fiche info Avenant 2D</v>
      </c>
      <c r="EE250" s="16" t="str">
        <f t="shared" si="53"/>
        <v>Fiche info Avenant 2</v>
      </c>
      <c r="EF250" s="16" t="str">
        <f t="shared" si="54"/>
        <v>D</v>
      </c>
      <c r="EG250" s="16">
        <f t="shared" si="55"/>
        <v>4</v>
      </c>
      <c r="EH250" s="16" t="str">
        <f t="shared" si="56"/>
        <v>Jeudi</v>
      </c>
      <c r="EI250" s="16" t="str">
        <f t="shared" si="57"/>
        <v/>
      </c>
      <c r="FB250" s="16" t="str">
        <f t="shared" si="60"/>
        <v/>
      </c>
      <c r="FC250" s="16" t="str">
        <f t="shared" si="61"/>
        <v/>
      </c>
      <c r="FD250" s="30">
        <f t="shared" si="52"/>
        <v>44105</v>
      </c>
      <c r="FE250" s="30" t="str">
        <f>+IFERROR(VLOOKUP(FD250,BDD,71,FALSE),"")</f>
        <v/>
      </c>
      <c r="FF250" s="30" t="str">
        <f>IFERROR(+VLOOKUP(FD250,BDD,72,FALSE),"")</f>
        <v/>
      </c>
      <c r="FG250" s="30" t="str">
        <f>+IFERROR(VLOOKUP(FD250,BDD,73,FALSE),"")</f>
        <v/>
      </c>
      <c r="FH250" s="30" t="str">
        <f>+IFERROR(VLOOKUP(FD250,BDD,74,FALSE),"")</f>
        <v/>
      </c>
      <c r="FW250" s="16" t="str">
        <f>Aout!GB50</f>
        <v>352025</v>
      </c>
      <c r="FX250" s="16">
        <f>Aout!GC50</f>
        <v>0</v>
      </c>
    </row>
    <row r="251" spans="1:180" x14ac:dyDescent="0.2">
      <c r="A251" s="16" t="str">
        <f t="shared" si="63"/>
        <v>Fiche info Avenant 2D5</v>
      </c>
      <c r="B251" s="16" t="str">
        <f t="shared" si="62"/>
        <v>Fiche info Avenant 2</v>
      </c>
      <c r="C251" s="27" t="s">
        <v>242</v>
      </c>
      <c r="D251" s="27">
        <v>5</v>
      </c>
      <c r="E251" s="16" t="s">
        <v>21</v>
      </c>
      <c r="F251" s="34" t="str">
        <f>IF(+'Fiche info Avenant 2'!$AR$11=0,"",'Fiche info Avenant 2'!$AR$11)</f>
        <v/>
      </c>
      <c r="G251" s="16">
        <f t="shared" si="58"/>
        <v>0</v>
      </c>
      <c r="BX251" s="16" t="str">
        <f t="shared" si="59"/>
        <v>Fiche info Avenant 2D5</v>
      </c>
      <c r="BY251" s="449">
        <f>'Fiche info Avenant 2'!$AI$11</f>
        <v>0</v>
      </c>
      <c r="BZ251" s="449">
        <f>'Fiche info Avenant 2'!$AJ$11</f>
        <v>0</v>
      </c>
      <c r="CA251" s="449">
        <f>'Fiche info Avenant 2'!$AK$11</f>
        <v>0</v>
      </c>
      <c r="CB251" s="449">
        <f>'Fiche info Avenant 2'!$AL$11</f>
        <v>0</v>
      </c>
      <c r="CC251" s="449">
        <f>'Fiche info Avenant 2'!$AM$11</f>
        <v>0</v>
      </c>
      <c r="CD251" s="449">
        <f>'Fiche info Avenant 2'!$AN$11</f>
        <v>0</v>
      </c>
      <c r="CE251" s="449">
        <f>'Fiche info Avenant 2'!$AO$11</f>
        <v>0</v>
      </c>
      <c r="CF251" s="449">
        <f>'Fiche info Avenant 2'!$AP$11</f>
        <v>0</v>
      </c>
      <c r="ED251" s="16" t="str">
        <f t="shared" si="64"/>
        <v>Fiche info Avenant 2D</v>
      </c>
      <c r="EE251" s="16" t="str">
        <f t="shared" si="53"/>
        <v>Fiche info Avenant 2</v>
      </c>
      <c r="EF251" s="16" t="str">
        <f t="shared" si="54"/>
        <v>D</v>
      </c>
      <c r="EG251" s="16">
        <f t="shared" si="55"/>
        <v>5</v>
      </c>
      <c r="EH251" s="16" t="str">
        <f t="shared" si="56"/>
        <v>Vendredi</v>
      </c>
      <c r="EI251" s="16" t="str">
        <f t="shared" si="57"/>
        <v/>
      </c>
      <c r="FB251" s="16" t="str">
        <f t="shared" si="60"/>
        <v/>
      </c>
      <c r="FC251" s="16" t="str">
        <f t="shared" si="61"/>
        <v/>
      </c>
      <c r="FD251" s="30">
        <f t="shared" ref="FD251:FD314" si="65">+DATE(YEAR(FD247),MONTH(FD247)-1,DAY(FD247))</f>
        <v>44105</v>
      </c>
      <c r="FE251" s="30" t="str">
        <f>+IFERROR(VLOOKUP(FD251,BDD,75,FALSE),"")</f>
        <v/>
      </c>
      <c r="FF251" s="30" t="str">
        <f>+IFERROR(VLOOKUP(FD251,BDD,76,FALSE),"")</f>
        <v/>
      </c>
      <c r="FG251" s="30" t="str">
        <f>IFERROR(+VLOOKUP(FD251,BDD,77,FALSE),"")</f>
        <v/>
      </c>
      <c r="FH251" s="30" t="str">
        <f>+IFERROR(VLOOKUP(FD251,BDD,78,FALSE),"")</f>
        <v/>
      </c>
      <c r="FW251" s="16" t="str">
        <f>Septembre!GB20</f>
        <v>362025</v>
      </c>
      <c r="FX251" s="16">
        <f>Septembre!GC20</f>
        <v>0</v>
      </c>
    </row>
    <row r="252" spans="1:180" x14ac:dyDescent="0.2">
      <c r="A252" s="16" t="str">
        <f t="shared" si="63"/>
        <v>Fiche info Avenant 2D6</v>
      </c>
      <c r="B252" s="16" t="str">
        <f t="shared" si="62"/>
        <v>Fiche info Avenant 2</v>
      </c>
      <c r="C252" s="27" t="s">
        <v>242</v>
      </c>
      <c r="D252" s="27">
        <v>6</v>
      </c>
      <c r="E252" s="16" t="s">
        <v>193</v>
      </c>
      <c r="F252" s="34" t="str">
        <f>IF(+'Fiche info Avenant 2'!$AR$12=0,"",'Fiche info Avenant 2'!$AR$12)</f>
        <v/>
      </c>
      <c r="G252" s="16">
        <f t="shared" si="58"/>
        <v>0</v>
      </c>
      <c r="BX252" s="16" t="str">
        <f t="shared" si="59"/>
        <v>Fiche info Avenant 2D6</v>
      </c>
      <c r="BY252" s="449">
        <f>'Fiche info Avenant 2'!$AI$12</f>
        <v>0</v>
      </c>
      <c r="BZ252" s="449">
        <f>'Fiche info Avenant 2'!$AJ$12</f>
        <v>0</v>
      </c>
      <c r="CA252" s="449">
        <f>'Fiche info Avenant 2'!$AK$12</f>
        <v>0</v>
      </c>
      <c r="CB252" s="449">
        <f>'Fiche info Avenant 2'!$AL$12</f>
        <v>0</v>
      </c>
      <c r="CC252" s="449">
        <f>'Fiche info Avenant 2'!$AM$12</f>
        <v>0</v>
      </c>
      <c r="CD252" s="449">
        <f>'Fiche info Avenant 2'!$AN$12</f>
        <v>0</v>
      </c>
      <c r="CE252" s="449">
        <f>'Fiche info Avenant 2'!$AO$12</f>
        <v>0</v>
      </c>
      <c r="CF252" s="449">
        <f>'Fiche info Avenant 2'!$AP$12</f>
        <v>0</v>
      </c>
      <c r="ED252" s="16" t="str">
        <f t="shared" si="64"/>
        <v>Fiche info Avenant 2D</v>
      </c>
      <c r="EE252" s="16" t="str">
        <f t="shared" si="53"/>
        <v>Fiche info Avenant 2</v>
      </c>
      <c r="EF252" s="16" t="str">
        <f t="shared" si="54"/>
        <v>D</v>
      </c>
      <c r="EG252" s="16">
        <f t="shared" si="55"/>
        <v>6</v>
      </c>
      <c r="EH252" s="16" t="str">
        <f t="shared" si="56"/>
        <v>Samedi</v>
      </c>
      <c r="EI252" s="16" t="str">
        <f t="shared" si="57"/>
        <v/>
      </c>
      <c r="FB252" s="16" t="str">
        <f t="shared" si="60"/>
        <v/>
      </c>
      <c r="FC252" s="16" t="str">
        <f t="shared" si="61"/>
        <v/>
      </c>
      <c r="FD252" s="30">
        <f t="shared" si="65"/>
        <v>44105</v>
      </c>
      <c r="FE252" s="30" t="str">
        <f>+IFERROR(VLOOKUP(FD252,BDD,79,FALSE),"")</f>
        <v/>
      </c>
      <c r="FF252" s="30" t="str">
        <f>IFERROR(+VLOOKUP(FD252,BDD,80,FALSE),"")</f>
        <v/>
      </c>
      <c r="FG252" s="30" t="str">
        <f>+IFERROR(VLOOKUP(FD252,BDD,81,FALSE),"")</f>
        <v/>
      </c>
      <c r="FH252" s="30" t="str">
        <f>+IFERROR(VLOOKUP(FD252,BDD,82,FALSE),"")</f>
        <v/>
      </c>
      <c r="FW252" s="16" t="str">
        <f>Septembre!GB21</f>
        <v>362025</v>
      </c>
      <c r="FX252" s="16">
        <f>Septembre!GC21</f>
        <v>0</v>
      </c>
    </row>
    <row r="253" spans="1:180" x14ac:dyDescent="0.2">
      <c r="A253" s="16" t="str">
        <f t="shared" si="63"/>
        <v>Fiche info Avenant 2D7</v>
      </c>
      <c r="B253" s="16" t="str">
        <f t="shared" si="62"/>
        <v>Fiche info Avenant 2</v>
      </c>
      <c r="C253" s="27" t="s">
        <v>242</v>
      </c>
      <c r="D253" s="27">
        <v>7</v>
      </c>
      <c r="E253" s="16" t="s">
        <v>194</v>
      </c>
      <c r="F253" s="34" t="str">
        <f>IF(+'Fiche info Avenant 2'!$AR$13=0,"",'Fiche info Avenant 2'!$AR$13)</f>
        <v/>
      </c>
      <c r="G253" s="16">
        <f t="shared" si="58"/>
        <v>0</v>
      </c>
      <c r="BX253" s="16" t="str">
        <f t="shared" si="59"/>
        <v>Fiche info Avenant 2D7</v>
      </c>
      <c r="BY253" s="449">
        <f>'Fiche info Avenant 2'!$AI$13</f>
        <v>0</v>
      </c>
      <c r="BZ253" s="449">
        <f>'Fiche info Avenant 2'!$AJ$13</f>
        <v>0</v>
      </c>
      <c r="CA253" s="449">
        <f>'Fiche info Avenant 2'!$AK$13</f>
        <v>0</v>
      </c>
      <c r="CB253" s="449">
        <f>'Fiche info Avenant 2'!$AL$13</f>
        <v>0</v>
      </c>
      <c r="CC253" s="449">
        <f>'Fiche info Avenant 2'!$AM$13</f>
        <v>0</v>
      </c>
      <c r="CD253" s="449">
        <f>'Fiche info Avenant 2'!$AN$13</f>
        <v>0</v>
      </c>
      <c r="CE253" s="449">
        <f>'Fiche info Avenant 2'!$AO$13</f>
        <v>0</v>
      </c>
      <c r="CF253" s="449">
        <f>'Fiche info Avenant 2'!$AP$13</f>
        <v>0</v>
      </c>
      <c r="ED253" s="16" t="str">
        <f t="shared" si="64"/>
        <v>Fiche info Avenant 2D</v>
      </c>
      <c r="EE253" s="16" t="str">
        <f t="shared" si="53"/>
        <v>Fiche info Avenant 2</v>
      </c>
      <c r="EF253" s="16" t="str">
        <f t="shared" si="54"/>
        <v>D</v>
      </c>
      <c r="EG253" s="16">
        <f t="shared" si="55"/>
        <v>7</v>
      </c>
      <c r="EH253" s="16" t="str">
        <f t="shared" si="56"/>
        <v>Dimanche</v>
      </c>
      <c r="EI253" s="16" t="str">
        <f t="shared" si="57"/>
        <v/>
      </c>
      <c r="FB253" s="16" t="str">
        <f t="shared" si="60"/>
        <v/>
      </c>
      <c r="FC253" s="16" t="str">
        <f t="shared" si="61"/>
        <v/>
      </c>
      <c r="FD253" s="30">
        <f t="shared" si="65"/>
        <v>44105</v>
      </c>
      <c r="FE253" s="30" t="str">
        <f>+IFERROR(VLOOKUP(FD253,BDD,83,FALSE),"")</f>
        <v/>
      </c>
      <c r="FF253" s="30" t="str">
        <f>+IFERROR(VLOOKUP(FD253,BDD,84,FALSE),"")</f>
        <v/>
      </c>
      <c r="FG253" s="30" t="str">
        <f>+IFERROR(VLOOKUP(FD253,BDD,85,FALSE),"")</f>
        <v/>
      </c>
      <c r="FH253" s="30" t="str">
        <f>+IFERROR(VLOOKUP(FD253,BDD,86,FALSE),"")</f>
        <v/>
      </c>
      <c r="FW253" s="16" t="str">
        <f>Septembre!GB22</f>
        <v>362025</v>
      </c>
      <c r="FX253" s="16">
        <f>Septembre!GC22</f>
        <v>0</v>
      </c>
    </row>
    <row r="254" spans="1:180" x14ac:dyDescent="0.2">
      <c r="A254" s="16" t="str">
        <f t="shared" si="63"/>
        <v>Fiche info Avenant 2E1</v>
      </c>
      <c r="B254" s="16" t="str">
        <f t="shared" si="62"/>
        <v>Fiche info Avenant 2</v>
      </c>
      <c r="C254" s="27" t="s">
        <v>243</v>
      </c>
      <c r="D254" s="27">
        <v>1</v>
      </c>
      <c r="E254" s="16" t="s">
        <v>17</v>
      </c>
      <c r="F254" s="34" t="str">
        <f>IF(+'Fiche info Avenant 2'!$BC$7=0,"",'Fiche info Avenant 2'!$BC$7)</f>
        <v/>
      </c>
      <c r="G254" s="16">
        <f t="shared" si="58"/>
        <v>0</v>
      </c>
      <c r="BX254" s="16" t="str">
        <f t="shared" si="59"/>
        <v>Fiche info Avenant 2E1</v>
      </c>
      <c r="BY254" s="449">
        <f>'Fiche info Avenant 2'!$AT$7</f>
        <v>0</v>
      </c>
      <c r="BZ254" s="449">
        <f>'Fiche info Avenant 2'!$AU$7</f>
        <v>0</v>
      </c>
      <c r="CA254" s="449">
        <f>'Fiche info Avenant 2'!$AV$7</f>
        <v>0</v>
      </c>
      <c r="CB254" s="449">
        <f>'Fiche info Avenant 2'!$AW$7</f>
        <v>0</v>
      </c>
      <c r="CC254" s="449">
        <f>'Fiche info Avenant 2'!$AX$7</f>
        <v>0</v>
      </c>
      <c r="CD254" s="449">
        <f>'Fiche info Avenant 2'!$AY$7</f>
        <v>0</v>
      </c>
      <c r="CE254" s="449">
        <f>'Fiche info Avenant 2'!$AZ$7</f>
        <v>0</v>
      </c>
      <c r="CF254" s="449">
        <f>'Fiche info Avenant 2'!$BA$7</f>
        <v>0</v>
      </c>
      <c r="ED254" s="16" t="str">
        <f t="shared" si="64"/>
        <v>Fiche info Avenant 2E</v>
      </c>
      <c r="EE254" s="16" t="str">
        <f t="shared" si="53"/>
        <v>Fiche info Avenant 2</v>
      </c>
      <c r="EF254" s="16" t="str">
        <f t="shared" si="54"/>
        <v>E</v>
      </c>
      <c r="EG254" s="16">
        <f t="shared" si="55"/>
        <v>1</v>
      </c>
      <c r="EH254" s="16" t="str">
        <f t="shared" si="56"/>
        <v>Lundi</v>
      </c>
      <c r="EI254" s="16" t="str">
        <f t="shared" si="57"/>
        <v/>
      </c>
      <c r="FB254" s="16" t="str">
        <f t="shared" si="60"/>
        <v/>
      </c>
      <c r="FC254" s="16" t="str">
        <f t="shared" si="61"/>
        <v/>
      </c>
      <c r="FD254" s="30">
        <f t="shared" si="65"/>
        <v>44075</v>
      </c>
      <c r="FE254" s="30" t="str">
        <f>+IFERROR(VLOOKUP(FD254,BDD,71,FALSE),"")</f>
        <v/>
      </c>
      <c r="FF254" s="30" t="str">
        <f>IFERROR(+VLOOKUP(FD254,BDD,72,FALSE),"")</f>
        <v/>
      </c>
      <c r="FG254" s="30" t="str">
        <f>+IFERROR(VLOOKUP(FD254,BDD,73,FALSE),"")</f>
        <v/>
      </c>
      <c r="FH254" s="30" t="str">
        <f>+IFERROR(VLOOKUP(FD254,BDD,74,FALSE),"")</f>
        <v/>
      </c>
      <c r="FW254" s="16" t="str">
        <f>Septembre!GB23</f>
        <v>362025</v>
      </c>
      <c r="FX254" s="16">
        <f>Septembre!GC23</f>
        <v>0</v>
      </c>
    </row>
    <row r="255" spans="1:180" x14ac:dyDescent="0.2">
      <c r="A255" s="16" t="str">
        <f t="shared" si="63"/>
        <v>Fiche info Avenant 2E2</v>
      </c>
      <c r="B255" s="16" t="str">
        <f t="shared" si="62"/>
        <v>Fiche info Avenant 2</v>
      </c>
      <c r="C255" s="27" t="s">
        <v>243</v>
      </c>
      <c r="D255" s="27">
        <v>2</v>
      </c>
      <c r="E255" s="16" t="s">
        <v>18</v>
      </c>
      <c r="F255" s="34" t="str">
        <f>IF(+'Fiche info Avenant 2'!$BC$8=0,"",'Fiche info Avenant 2'!$BC$8)</f>
        <v/>
      </c>
      <c r="G255" s="16">
        <f t="shared" si="58"/>
        <v>0</v>
      </c>
      <c r="BX255" s="16" t="str">
        <f t="shared" si="59"/>
        <v>Fiche info Avenant 2E2</v>
      </c>
      <c r="BY255" s="449">
        <f>'Fiche info Avenant 2'!$AT$8</f>
        <v>0</v>
      </c>
      <c r="BZ255" s="449">
        <f>'Fiche info Avenant 2'!$AU$8</f>
        <v>0</v>
      </c>
      <c r="CA255" s="449">
        <f>'Fiche info Avenant 2'!$AV$8</f>
        <v>0</v>
      </c>
      <c r="CB255" s="449">
        <f>'Fiche info Avenant 2'!$AW$8</f>
        <v>0</v>
      </c>
      <c r="CC255" s="449">
        <f>'Fiche info Avenant 2'!$AX$8</f>
        <v>0</v>
      </c>
      <c r="CD255" s="449">
        <f>'Fiche info Avenant 2'!$AY$8</f>
        <v>0</v>
      </c>
      <c r="CE255" s="449">
        <f>'Fiche info Avenant 2'!$AZ$8</f>
        <v>0</v>
      </c>
      <c r="CF255" s="449">
        <f>'Fiche info Avenant 2'!$BA$8</f>
        <v>0</v>
      </c>
      <c r="ED255" s="16" t="str">
        <f t="shared" si="64"/>
        <v>Fiche info Avenant 2E</v>
      </c>
      <c r="EE255" s="16" t="str">
        <f t="shared" si="53"/>
        <v>Fiche info Avenant 2</v>
      </c>
      <c r="EF255" s="16" t="str">
        <f t="shared" si="54"/>
        <v>E</v>
      </c>
      <c r="EG255" s="16">
        <f t="shared" si="55"/>
        <v>2</v>
      </c>
      <c r="EH255" s="16" t="str">
        <f t="shared" si="56"/>
        <v>Mardi</v>
      </c>
      <c r="EI255" s="16" t="str">
        <f t="shared" si="57"/>
        <v/>
      </c>
      <c r="FB255" s="16" t="str">
        <f t="shared" si="60"/>
        <v/>
      </c>
      <c r="FC255" s="16" t="str">
        <f t="shared" si="61"/>
        <v/>
      </c>
      <c r="FD255" s="30">
        <f t="shared" si="65"/>
        <v>44075</v>
      </c>
      <c r="FE255" s="30" t="str">
        <f>+IFERROR(VLOOKUP(FD255,BDD,75,FALSE),"")</f>
        <v/>
      </c>
      <c r="FF255" s="30" t="str">
        <f>+IFERROR(VLOOKUP(FD255,BDD,76,FALSE),"")</f>
        <v/>
      </c>
      <c r="FG255" s="30" t="str">
        <f>IFERROR(+VLOOKUP(FD255,BDD,77,FALSE),"")</f>
        <v/>
      </c>
      <c r="FH255" s="30" t="str">
        <f>+IFERROR(VLOOKUP(FD255,BDD,78,FALSE),"")</f>
        <v/>
      </c>
      <c r="FW255" s="16" t="str">
        <f>Septembre!GB24</f>
        <v>362025</v>
      </c>
      <c r="FX255" s="16">
        <f>Septembre!GC24</f>
        <v>0</v>
      </c>
    </row>
    <row r="256" spans="1:180" x14ac:dyDescent="0.2">
      <c r="A256" s="16" t="str">
        <f t="shared" si="63"/>
        <v>Fiche info Avenant 2E3</v>
      </c>
      <c r="B256" s="16" t="str">
        <f t="shared" si="62"/>
        <v>Fiche info Avenant 2</v>
      </c>
      <c r="C256" s="27" t="s">
        <v>243</v>
      </c>
      <c r="D256" s="27">
        <v>3</v>
      </c>
      <c r="E256" s="16" t="s">
        <v>19</v>
      </c>
      <c r="F256" s="34" t="str">
        <f>IF(+'Fiche info Avenant 2'!$BC$9=0,"",'Fiche info Avenant 2'!$BC$9)</f>
        <v/>
      </c>
      <c r="G256" s="16">
        <f t="shared" si="58"/>
        <v>0</v>
      </c>
      <c r="BX256" s="16" t="str">
        <f t="shared" si="59"/>
        <v>Fiche info Avenant 2E3</v>
      </c>
      <c r="BY256" s="449">
        <f>'Fiche info Avenant 2'!$AT$9</f>
        <v>0</v>
      </c>
      <c r="BZ256" s="449">
        <f>'Fiche info Avenant 2'!$AU$9</f>
        <v>0</v>
      </c>
      <c r="CA256" s="449">
        <f>'Fiche info Avenant 2'!$AV$9</f>
        <v>0</v>
      </c>
      <c r="CB256" s="449">
        <f>'Fiche info Avenant 2'!$AW$9</f>
        <v>0</v>
      </c>
      <c r="CC256" s="449">
        <f>'Fiche info Avenant 2'!$AX$9</f>
        <v>0</v>
      </c>
      <c r="CD256" s="449">
        <f>'Fiche info Avenant 2'!$AY$9</f>
        <v>0</v>
      </c>
      <c r="CE256" s="449">
        <f>'Fiche info Avenant 2'!$AZ$9</f>
        <v>0</v>
      </c>
      <c r="CF256" s="449">
        <f>'Fiche info Avenant 2'!$BA$9</f>
        <v>0</v>
      </c>
      <c r="ED256" s="16" t="str">
        <f t="shared" si="64"/>
        <v>Fiche info Avenant 2E</v>
      </c>
      <c r="EE256" s="16" t="str">
        <f t="shared" si="53"/>
        <v>Fiche info Avenant 2</v>
      </c>
      <c r="EF256" s="16" t="str">
        <f t="shared" si="54"/>
        <v>E</v>
      </c>
      <c r="EG256" s="16">
        <f t="shared" si="55"/>
        <v>3</v>
      </c>
      <c r="EH256" s="16" t="str">
        <f t="shared" si="56"/>
        <v>Mercredi</v>
      </c>
      <c r="EI256" s="16" t="str">
        <f t="shared" si="57"/>
        <v/>
      </c>
      <c r="FB256" s="16" t="str">
        <f t="shared" si="60"/>
        <v/>
      </c>
      <c r="FC256" s="16" t="str">
        <f t="shared" si="61"/>
        <v/>
      </c>
      <c r="FD256" s="30">
        <f t="shared" si="65"/>
        <v>44075</v>
      </c>
      <c r="FE256" s="30" t="str">
        <f>+IFERROR(VLOOKUP(FD256,BDD,79,FALSE),"")</f>
        <v/>
      </c>
      <c r="FF256" s="30" t="str">
        <f>IFERROR(+VLOOKUP(FD256,BDD,80,FALSE),"")</f>
        <v/>
      </c>
      <c r="FG256" s="30" t="str">
        <f>+IFERROR(VLOOKUP(FD256,BDD,81,FALSE),"")</f>
        <v/>
      </c>
      <c r="FH256" s="30" t="str">
        <f>+IFERROR(VLOOKUP(FD256,BDD,82,FALSE),"")</f>
        <v/>
      </c>
      <c r="FW256" s="16" t="str">
        <f>Septembre!GB25</f>
        <v>362025</v>
      </c>
      <c r="FX256" s="16">
        <f>Septembre!GC25</f>
        <v>0</v>
      </c>
    </row>
    <row r="257" spans="1:180" x14ac:dyDescent="0.2">
      <c r="A257" s="16" t="str">
        <f t="shared" si="63"/>
        <v>Fiche info Avenant 2E4</v>
      </c>
      <c r="B257" s="16" t="str">
        <f t="shared" si="62"/>
        <v>Fiche info Avenant 2</v>
      </c>
      <c r="C257" s="27" t="s">
        <v>243</v>
      </c>
      <c r="D257" s="27">
        <v>4</v>
      </c>
      <c r="E257" s="16" t="s">
        <v>20</v>
      </c>
      <c r="F257" s="34" t="str">
        <f>IF(+'Fiche info Avenant 2'!$BC$10=0,"",'Fiche info Avenant 2'!$BC$10)</f>
        <v/>
      </c>
      <c r="G257" s="16">
        <f t="shared" si="58"/>
        <v>0</v>
      </c>
      <c r="BX257" s="16" t="str">
        <f t="shared" si="59"/>
        <v>Fiche info Avenant 2E4</v>
      </c>
      <c r="BY257" s="449">
        <f>'Fiche info Avenant 2'!$AT$10</f>
        <v>0</v>
      </c>
      <c r="BZ257" s="449">
        <f>'Fiche info Avenant 2'!$AU$10</f>
        <v>0</v>
      </c>
      <c r="CA257" s="449">
        <f>'Fiche info Avenant 2'!$AV$10</f>
        <v>0</v>
      </c>
      <c r="CB257" s="449">
        <f>'Fiche info Avenant 2'!$AW$10</f>
        <v>0</v>
      </c>
      <c r="CC257" s="449">
        <f>'Fiche info Avenant 2'!$AX$10</f>
        <v>0</v>
      </c>
      <c r="CD257" s="449">
        <f>'Fiche info Avenant 2'!$AY$10</f>
        <v>0</v>
      </c>
      <c r="CE257" s="449">
        <f>'Fiche info Avenant 2'!$AZ$10</f>
        <v>0</v>
      </c>
      <c r="CF257" s="449">
        <f>'Fiche info Avenant 2'!$BA$10</f>
        <v>0</v>
      </c>
      <c r="ED257" s="16" t="str">
        <f t="shared" si="64"/>
        <v>Fiche info Avenant 2E</v>
      </c>
      <c r="EE257" s="16" t="str">
        <f t="shared" ref="EE257:EE320" si="66">B257</f>
        <v>Fiche info Avenant 2</v>
      </c>
      <c r="EF257" s="16" t="str">
        <f t="shared" ref="EF257:EF320" si="67">C257</f>
        <v>E</v>
      </c>
      <c r="EG257" s="16">
        <f t="shared" ref="EG257:EG320" si="68">D257</f>
        <v>4</v>
      </c>
      <c r="EH257" s="16" t="str">
        <f t="shared" ref="EH257:EH320" si="69">E257</f>
        <v>Jeudi</v>
      </c>
      <c r="EI257" s="16" t="str">
        <f t="shared" ref="EI257:EI320" si="70">F257</f>
        <v/>
      </c>
      <c r="FB257" s="16" t="str">
        <f t="shared" si="60"/>
        <v/>
      </c>
      <c r="FC257" s="16" t="str">
        <f t="shared" si="61"/>
        <v/>
      </c>
      <c r="FD257" s="30">
        <f t="shared" si="65"/>
        <v>44075</v>
      </c>
      <c r="FE257" s="30" t="str">
        <f>+IFERROR(VLOOKUP(FD257,BDD,83,FALSE),"")</f>
        <v/>
      </c>
      <c r="FF257" s="30" t="str">
        <f>+IFERROR(VLOOKUP(FD257,BDD,84,FALSE),"")</f>
        <v/>
      </c>
      <c r="FG257" s="30" t="str">
        <f>+IFERROR(VLOOKUP(FD257,BDD,85,FALSE),"")</f>
        <v/>
      </c>
      <c r="FH257" s="30" t="str">
        <f>+IFERROR(VLOOKUP(FD257,BDD,86,FALSE),"")</f>
        <v/>
      </c>
      <c r="FW257" s="16" t="str">
        <f>Septembre!GB26</f>
        <v>362025</v>
      </c>
      <c r="FX257" s="16">
        <f>Septembre!GC26</f>
        <v>0</v>
      </c>
    </row>
    <row r="258" spans="1:180" x14ac:dyDescent="0.2">
      <c r="A258" s="16" t="str">
        <f t="shared" si="63"/>
        <v>Fiche info Avenant 2E5</v>
      </c>
      <c r="B258" s="16" t="str">
        <f t="shared" si="62"/>
        <v>Fiche info Avenant 2</v>
      </c>
      <c r="C258" s="27" t="s">
        <v>243</v>
      </c>
      <c r="D258" s="27">
        <v>5</v>
      </c>
      <c r="E258" s="16" t="s">
        <v>21</v>
      </c>
      <c r="F258" s="34" t="str">
        <f>IF(+'Fiche info Avenant 2'!$BC$11=0,"",'Fiche info Avenant 2'!$BC$11)</f>
        <v/>
      </c>
      <c r="G258" s="16">
        <f t="shared" ref="G258:G321" si="71">+IF(OR(F258=0,F258=""),0,1)</f>
        <v>0</v>
      </c>
      <c r="BX258" s="16" t="str">
        <f t="shared" ref="BX258:BX321" si="72">A258</f>
        <v>Fiche info Avenant 2E5</v>
      </c>
      <c r="BY258" s="449">
        <f>'Fiche info Avenant 2'!$AT$11</f>
        <v>0</v>
      </c>
      <c r="BZ258" s="449">
        <f>'Fiche info Avenant 2'!$AU$11</f>
        <v>0</v>
      </c>
      <c r="CA258" s="449">
        <f>'Fiche info Avenant 2'!$AV$11</f>
        <v>0</v>
      </c>
      <c r="CB258" s="449">
        <f>'Fiche info Avenant 2'!$AW$11</f>
        <v>0</v>
      </c>
      <c r="CC258" s="449">
        <f>'Fiche info Avenant 2'!$AX$11</f>
        <v>0</v>
      </c>
      <c r="CD258" s="449">
        <f>'Fiche info Avenant 2'!$AY$11</f>
        <v>0</v>
      </c>
      <c r="CE258" s="449">
        <f>'Fiche info Avenant 2'!$AZ$11</f>
        <v>0</v>
      </c>
      <c r="CF258" s="449">
        <f>'Fiche info Avenant 2'!$BA$11</f>
        <v>0</v>
      </c>
      <c r="ED258" s="16" t="str">
        <f t="shared" si="64"/>
        <v>Fiche info Avenant 2E</v>
      </c>
      <c r="EE258" s="16" t="str">
        <f t="shared" si="66"/>
        <v>Fiche info Avenant 2</v>
      </c>
      <c r="EF258" s="16" t="str">
        <f t="shared" si="67"/>
        <v>E</v>
      </c>
      <c r="EG258" s="16">
        <f t="shared" si="68"/>
        <v>5</v>
      </c>
      <c r="EH258" s="16" t="str">
        <f t="shared" si="69"/>
        <v>Vendredi</v>
      </c>
      <c r="EI258" s="16" t="str">
        <f t="shared" si="70"/>
        <v/>
      </c>
      <c r="FB258" s="16" t="str">
        <f t="shared" si="60"/>
        <v/>
      </c>
      <c r="FC258" s="16" t="str">
        <f t="shared" si="61"/>
        <v/>
      </c>
      <c r="FD258" s="30">
        <f t="shared" si="65"/>
        <v>44044</v>
      </c>
      <c r="FE258" s="30" t="str">
        <f>+IFERROR(VLOOKUP(FD258,BDD,71,FALSE),"")</f>
        <v/>
      </c>
      <c r="FF258" s="30" t="str">
        <f>IFERROR(+VLOOKUP(FD258,BDD,72,FALSE),"")</f>
        <v/>
      </c>
      <c r="FG258" s="30" t="str">
        <f>+IFERROR(VLOOKUP(FD258,BDD,73,FALSE),"")</f>
        <v/>
      </c>
      <c r="FH258" s="30" t="str">
        <f>+IFERROR(VLOOKUP(FD258,BDD,74,FALSE),"")</f>
        <v/>
      </c>
      <c r="FW258" s="16" t="str">
        <f>Septembre!GB27</f>
        <v>372025</v>
      </c>
      <c r="FX258" s="16">
        <f>Septembre!GC27</f>
        <v>0</v>
      </c>
    </row>
    <row r="259" spans="1:180" x14ac:dyDescent="0.2">
      <c r="A259" s="16" t="str">
        <f t="shared" si="63"/>
        <v>Fiche info Avenant 2E6</v>
      </c>
      <c r="B259" s="16" t="str">
        <f t="shared" si="62"/>
        <v>Fiche info Avenant 2</v>
      </c>
      <c r="C259" s="27" t="s">
        <v>243</v>
      </c>
      <c r="D259" s="27">
        <v>6</v>
      </c>
      <c r="E259" s="16" t="s">
        <v>193</v>
      </c>
      <c r="F259" s="34" t="str">
        <f>IF(+'Fiche info Avenant 2'!$BC$12=0,"",'Fiche info Avenant 2'!$BC$12)</f>
        <v/>
      </c>
      <c r="G259" s="16">
        <f t="shared" si="71"/>
        <v>0</v>
      </c>
      <c r="BX259" s="16" t="str">
        <f t="shared" si="72"/>
        <v>Fiche info Avenant 2E6</v>
      </c>
      <c r="BY259" s="449">
        <f>'Fiche info Avenant 2'!$AT$12</f>
        <v>0</v>
      </c>
      <c r="BZ259" s="449">
        <f>'Fiche info Avenant 2'!$AU$12</f>
        <v>0</v>
      </c>
      <c r="CA259" s="449">
        <f>'Fiche info Avenant 2'!$AV$12</f>
        <v>0</v>
      </c>
      <c r="CB259" s="449">
        <f>'Fiche info Avenant 2'!$AW$12</f>
        <v>0</v>
      </c>
      <c r="CC259" s="449">
        <f>'Fiche info Avenant 2'!$AX$12</f>
        <v>0</v>
      </c>
      <c r="CD259" s="449">
        <f>'Fiche info Avenant 2'!$AY$12</f>
        <v>0</v>
      </c>
      <c r="CE259" s="449">
        <f>'Fiche info Avenant 2'!$AZ$12</f>
        <v>0</v>
      </c>
      <c r="CF259" s="449">
        <f>'Fiche info Avenant 2'!$BA$12</f>
        <v>0</v>
      </c>
      <c r="ED259" s="16" t="str">
        <f t="shared" si="64"/>
        <v>Fiche info Avenant 2E</v>
      </c>
      <c r="EE259" s="16" t="str">
        <f t="shared" si="66"/>
        <v>Fiche info Avenant 2</v>
      </c>
      <c r="EF259" s="16" t="str">
        <f t="shared" si="67"/>
        <v>E</v>
      </c>
      <c r="EG259" s="16">
        <f t="shared" si="68"/>
        <v>6</v>
      </c>
      <c r="EH259" s="16" t="str">
        <f t="shared" si="69"/>
        <v>Samedi</v>
      </c>
      <c r="EI259" s="16" t="str">
        <f t="shared" si="70"/>
        <v/>
      </c>
      <c r="FB259" s="16" t="str">
        <f t="shared" ref="FB259:FB322" si="73">+IF(FE259=$EX$2,FE259&amp;FF259&amp;FG259,"")</f>
        <v/>
      </c>
      <c r="FC259" s="16" t="str">
        <f t="shared" ref="FC259:FC322" si="74">+IF(FE259=$EX$3,FE259&amp;FF259&amp;FG259,"")</f>
        <v/>
      </c>
      <c r="FD259" s="30">
        <f t="shared" si="65"/>
        <v>44044</v>
      </c>
      <c r="FE259" s="30" t="str">
        <f>+IFERROR(VLOOKUP(FD259,BDD,75,FALSE),"")</f>
        <v/>
      </c>
      <c r="FF259" s="30" t="str">
        <f>+IFERROR(VLOOKUP(FD259,BDD,76,FALSE),"")</f>
        <v/>
      </c>
      <c r="FG259" s="30" t="str">
        <f>IFERROR(+VLOOKUP(FD259,BDD,77,FALSE),"")</f>
        <v/>
      </c>
      <c r="FH259" s="30" t="str">
        <f>+IFERROR(VLOOKUP(FD259,BDD,78,FALSE),"")</f>
        <v/>
      </c>
      <c r="FW259" s="16" t="str">
        <f>Septembre!GB28</f>
        <v>372025</v>
      </c>
      <c r="FX259" s="16">
        <f>Septembre!GC28</f>
        <v>0</v>
      </c>
    </row>
    <row r="260" spans="1:180" x14ac:dyDescent="0.2">
      <c r="A260" s="16" t="str">
        <f t="shared" si="63"/>
        <v>Fiche info Avenant 2E7</v>
      </c>
      <c r="B260" s="16" t="str">
        <f t="shared" si="62"/>
        <v>Fiche info Avenant 2</v>
      </c>
      <c r="C260" s="27" t="s">
        <v>243</v>
      </c>
      <c r="D260" s="27">
        <v>7</v>
      </c>
      <c r="E260" s="16" t="s">
        <v>194</v>
      </c>
      <c r="F260" s="34" t="str">
        <f>IF(+'Fiche info Avenant 2'!$BC$13=0,"",'Fiche info Avenant 2'!$BC$13)</f>
        <v/>
      </c>
      <c r="G260" s="16">
        <f t="shared" si="71"/>
        <v>0</v>
      </c>
      <c r="BX260" s="16" t="str">
        <f t="shared" si="72"/>
        <v>Fiche info Avenant 2E7</v>
      </c>
      <c r="BY260" s="449">
        <f>'Fiche info Avenant 2'!$AT$13</f>
        <v>0</v>
      </c>
      <c r="BZ260" s="449">
        <f>'Fiche info Avenant 2'!$AU$13</f>
        <v>0</v>
      </c>
      <c r="CA260" s="449">
        <f>'Fiche info Avenant 2'!$AV$13</f>
        <v>0</v>
      </c>
      <c r="CB260" s="449">
        <f>'Fiche info Avenant 2'!$AW$13</f>
        <v>0</v>
      </c>
      <c r="CC260" s="449">
        <f>'Fiche info Avenant 2'!$AX$13</f>
        <v>0</v>
      </c>
      <c r="CD260" s="449">
        <f>'Fiche info Avenant 2'!$AY$13</f>
        <v>0</v>
      </c>
      <c r="CE260" s="449">
        <f>'Fiche info Avenant 2'!$AZ$13</f>
        <v>0</v>
      </c>
      <c r="CF260" s="449">
        <f>'Fiche info Avenant 2'!$BA$13</f>
        <v>0</v>
      </c>
      <c r="ED260" s="16" t="str">
        <f t="shared" si="64"/>
        <v>Fiche info Avenant 2E</v>
      </c>
      <c r="EE260" s="16" t="str">
        <f t="shared" si="66"/>
        <v>Fiche info Avenant 2</v>
      </c>
      <c r="EF260" s="16" t="str">
        <f t="shared" si="67"/>
        <v>E</v>
      </c>
      <c r="EG260" s="16">
        <f t="shared" si="68"/>
        <v>7</v>
      </c>
      <c r="EH260" s="16" t="str">
        <f t="shared" si="69"/>
        <v>Dimanche</v>
      </c>
      <c r="EI260" s="16" t="str">
        <f t="shared" si="70"/>
        <v/>
      </c>
      <c r="FB260" s="16" t="str">
        <f t="shared" si="73"/>
        <v/>
      </c>
      <c r="FC260" s="16" t="str">
        <f t="shared" si="74"/>
        <v/>
      </c>
      <c r="FD260" s="30">
        <f t="shared" si="65"/>
        <v>44044</v>
      </c>
      <c r="FE260" s="30" t="str">
        <f>+IFERROR(VLOOKUP(FD260,BDD,79,FALSE),"")</f>
        <v/>
      </c>
      <c r="FF260" s="30" t="str">
        <f>IFERROR(+VLOOKUP(FD260,BDD,80,FALSE),"")</f>
        <v/>
      </c>
      <c r="FG260" s="30" t="str">
        <f>+IFERROR(VLOOKUP(FD260,BDD,81,FALSE),"")</f>
        <v/>
      </c>
      <c r="FH260" s="30" t="str">
        <f>+IFERROR(VLOOKUP(FD260,BDD,82,FALSE),"")</f>
        <v/>
      </c>
      <c r="FW260" s="16" t="str">
        <f>Septembre!GB29</f>
        <v>372025</v>
      </c>
      <c r="FX260" s="16">
        <f>Septembre!GC29</f>
        <v>0</v>
      </c>
    </row>
    <row r="261" spans="1:180" x14ac:dyDescent="0.2">
      <c r="A261" s="16" t="str">
        <f t="shared" si="63"/>
        <v>Fiche info Avenant 2F1</v>
      </c>
      <c r="B261" s="16" t="str">
        <f t="shared" si="62"/>
        <v>Fiche info Avenant 2</v>
      </c>
      <c r="C261" s="27" t="s">
        <v>244</v>
      </c>
      <c r="D261" s="27">
        <v>1</v>
      </c>
      <c r="E261" s="16" t="s">
        <v>17</v>
      </c>
      <c r="F261" s="34" t="str">
        <f>+IF('Fiche info Avenant 2'!$BN$7=0,"",'Fiche info Avenant 2'!$BN$7)</f>
        <v/>
      </c>
      <c r="G261" s="16">
        <f t="shared" si="71"/>
        <v>0</v>
      </c>
      <c r="BX261" s="16" t="str">
        <f t="shared" si="72"/>
        <v>Fiche info Avenant 2F1</v>
      </c>
      <c r="BY261" s="449">
        <f>'Fiche info Avenant 2'!$BE$7</f>
        <v>0</v>
      </c>
      <c r="BZ261" s="449">
        <f>'Fiche info Avenant 2'!$BF$7</f>
        <v>0</v>
      </c>
      <c r="CA261" s="449">
        <f>'Fiche info Avenant 2'!$BG$7</f>
        <v>0</v>
      </c>
      <c r="CB261" s="449">
        <f>'Fiche info Avenant 2'!$BH$7</f>
        <v>0</v>
      </c>
      <c r="CC261" s="449">
        <f>'Fiche info Avenant 2'!$BI$7</f>
        <v>0</v>
      </c>
      <c r="CD261" s="449">
        <f>'Fiche info Avenant 2'!$BJ$7</f>
        <v>0</v>
      </c>
      <c r="CE261" s="449">
        <f>'Fiche info Avenant 2'!$BK$7</f>
        <v>0</v>
      </c>
      <c r="CF261" s="449">
        <f>'Fiche info Avenant 2'!$BL$7</f>
        <v>0</v>
      </c>
      <c r="ED261" s="16" t="str">
        <f t="shared" si="64"/>
        <v>Fiche info Avenant 2F</v>
      </c>
      <c r="EE261" s="16" t="str">
        <f t="shared" si="66"/>
        <v>Fiche info Avenant 2</v>
      </c>
      <c r="EF261" s="16" t="str">
        <f t="shared" si="67"/>
        <v>F</v>
      </c>
      <c r="EG261" s="16">
        <f t="shared" si="68"/>
        <v>1</v>
      </c>
      <c r="EH261" s="16" t="str">
        <f t="shared" si="69"/>
        <v>Lundi</v>
      </c>
      <c r="EI261" s="16" t="str">
        <f t="shared" si="70"/>
        <v/>
      </c>
      <c r="FB261" s="16" t="str">
        <f t="shared" si="73"/>
        <v/>
      </c>
      <c r="FC261" s="16" t="str">
        <f t="shared" si="74"/>
        <v/>
      </c>
      <c r="FD261" s="30">
        <f t="shared" si="65"/>
        <v>44044</v>
      </c>
      <c r="FE261" s="30" t="str">
        <f>+IFERROR(VLOOKUP(FD261,BDD,83,FALSE),"")</f>
        <v/>
      </c>
      <c r="FF261" s="30" t="str">
        <f>+IFERROR(VLOOKUP(FD261,BDD,84,FALSE),"")</f>
        <v/>
      </c>
      <c r="FG261" s="30" t="str">
        <f>+IFERROR(VLOOKUP(FD261,BDD,85,FALSE),"")</f>
        <v/>
      </c>
      <c r="FH261" s="30" t="str">
        <f>+IFERROR(VLOOKUP(FD261,BDD,86,FALSE),"")</f>
        <v/>
      </c>
      <c r="FW261" s="16" t="str">
        <f>Septembre!GB30</f>
        <v>372025</v>
      </c>
      <c r="FX261" s="16">
        <f>Septembre!GC30</f>
        <v>0</v>
      </c>
    </row>
    <row r="262" spans="1:180" x14ac:dyDescent="0.2">
      <c r="A262" s="16" t="str">
        <f t="shared" si="63"/>
        <v>Fiche info Avenant 2F2</v>
      </c>
      <c r="B262" s="16" t="str">
        <f t="shared" si="62"/>
        <v>Fiche info Avenant 2</v>
      </c>
      <c r="C262" s="27" t="s">
        <v>244</v>
      </c>
      <c r="D262" s="27">
        <v>2</v>
      </c>
      <c r="E262" s="16" t="s">
        <v>18</v>
      </c>
      <c r="F262" s="34" t="str">
        <f>+IF('Fiche info Avenant 2'!$BN$8=0,"",'Fiche info Avenant 2'!$BN$8)</f>
        <v/>
      </c>
      <c r="G262" s="16">
        <f t="shared" si="71"/>
        <v>0</v>
      </c>
      <c r="BX262" s="16" t="str">
        <f t="shared" si="72"/>
        <v>Fiche info Avenant 2F2</v>
      </c>
      <c r="BY262" s="449">
        <f>'Fiche info Avenant 2'!$BE$8</f>
        <v>0</v>
      </c>
      <c r="BZ262" s="449">
        <f>'Fiche info Avenant 2'!$BF$8</f>
        <v>0</v>
      </c>
      <c r="CA262" s="449">
        <f>'Fiche info Avenant 2'!$BG$8</f>
        <v>0</v>
      </c>
      <c r="CB262" s="449">
        <f>'Fiche info Avenant 2'!$BH$8</f>
        <v>0</v>
      </c>
      <c r="CC262" s="449">
        <f>'Fiche info Avenant 2'!$BI$8</f>
        <v>0</v>
      </c>
      <c r="CD262" s="449">
        <f>'Fiche info Avenant 2'!$BJ$8</f>
        <v>0</v>
      </c>
      <c r="CE262" s="449">
        <f>'Fiche info Avenant 2'!$BK$8</f>
        <v>0</v>
      </c>
      <c r="CF262" s="449">
        <f>'Fiche info Avenant 2'!$BL$8</f>
        <v>0</v>
      </c>
      <c r="ED262" s="16" t="str">
        <f t="shared" si="64"/>
        <v>Fiche info Avenant 2F</v>
      </c>
      <c r="EE262" s="16" t="str">
        <f t="shared" si="66"/>
        <v>Fiche info Avenant 2</v>
      </c>
      <c r="EF262" s="16" t="str">
        <f t="shared" si="67"/>
        <v>F</v>
      </c>
      <c r="EG262" s="16">
        <f t="shared" si="68"/>
        <v>2</v>
      </c>
      <c r="EH262" s="16" t="str">
        <f t="shared" si="69"/>
        <v>Mardi</v>
      </c>
      <c r="EI262" s="16" t="str">
        <f t="shared" si="70"/>
        <v/>
      </c>
      <c r="FB262" s="16" t="str">
        <f t="shared" si="73"/>
        <v/>
      </c>
      <c r="FC262" s="16" t="str">
        <f t="shared" si="74"/>
        <v/>
      </c>
      <c r="FD262" s="30">
        <f t="shared" si="65"/>
        <v>44013</v>
      </c>
      <c r="FE262" s="30" t="str">
        <f>+IFERROR(VLOOKUP(FD262,BDD,71,FALSE),"")</f>
        <v/>
      </c>
      <c r="FF262" s="30" t="str">
        <f>IFERROR(+VLOOKUP(FD262,BDD,72,FALSE),"")</f>
        <v/>
      </c>
      <c r="FG262" s="30" t="str">
        <f>+IFERROR(VLOOKUP(FD262,BDD,73,FALSE),"")</f>
        <v/>
      </c>
      <c r="FH262" s="30" t="str">
        <f>+IFERROR(VLOOKUP(FD262,BDD,74,FALSE),"")</f>
        <v/>
      </c>
      <c r="FW262" s="16" t="str">
        <f>Septembre!GB31</f>
        <v>372025</v>
      </c>
      <c r="FX262" s="16">
        <f>Septembre!GC31</f>
        <v>0</v>
      </c>
    </row>
    <row r="263" spans="1:180" x14ac:dyDescent="0.2">
      <c r="A263" s="16" t="str">
        <f t="shared" si="63"/>
        <v>Fiche info Avenant 2F3</v>
      </c>
      <c r="B263" s="16" t="str">
        <f t="shared" si="62"/>
        <v>Fiche info Avenant 2</v>
      </c>
      <c r="C263" s="27" t="s">
        <v>244</v>
      </c>
      <c r="D263" s="27">
        <v>3</v>
      </c>
      <c r="E263" s="16" t="s">
        <v>19</v>
      </c>
      <c r="F263" s="34" t="str">
        <f>+IF('Fiche info Avenant 2'!$BN$9=0,"",'Fiche info Avenant 2'!$BN$9)</f>
        <v/>
      </c>
      <c r="G263" s="16">
        <f t="shared" si="71"/>
        <v>0</v>
      </c>
      <c r="BX263" s="16" t="str">
        <f t="shared" si="72"/>
        <v>Fiche info Avenant 2F3</v>
      </c>
      <c r="BY263" s="449">
        <f>'Fiche info Avenant 2'!$BE$9</f>
        <v>0</v>
      </c>
      <c r="BZ263" s="449">
        <f>'Fiche info Avenant 2'!$BF$9</f>
        <v>0</v>
      </c>
      <c r="CA263" s="449">
        <f>'Fiche info Avenant 2'!$BG$9</f>
        <v>0</v>
      </c>
      <c r="CB263" s="449">
        <f>'Fiche info Avenant 2'!$BH$9</f>
        <v>0</v>
      </c>
      <c r="CC263" s="449">
        <f>'Fiche info Avenant 2'!$BI$9</f>
        <v>0</v>
      </c>
      <c r="CD263" s="449">
        <f>'Fiche info Avenant 2'!$BJ$9</f>
        <v>0</v>
      </c>
      <c r="CE263" s="449">
        <f>'Fiche info Avenant 2'!$BK$9</f>
        <v>0</v>
      </c>
      <c r="CF263" s="449">
        <f>'Fiche info Avenant 2'!$BL$9</f>
        <v>0</v>
      </c>
      <c r="ED263" s="16" t="str">
        <f t="shared" si="64"/>
        <v>Fiche info Avenant 2F</v>
      </c>
      <c r="EE263" s="16" t="str">
        <f t="shared" si="66"/>
        <v>Fiche info Avenant 2</v>
      </c>
      <c r="EF263" s="16" t="str">
        <f t="shared" si="67"/>
        <v>F</v>
      </c>
      <c r="EG263" s="16">
        <f t="shared" si="68"/>
        <v>3</v>
      </c>
      <c r="EH263" s="16" t="str">
        <f t="shared" si="69"/>
        <v>Mercredi</v>
      </c>
      <c r="EI263" s="16" t="str">
        <f t="shared" si="70"/>
        <v/>
      </c>
      <c r="FB263" s="16" t="str">
        <f t="shared" si="73"/>
        <v/>
      </c>
      <c r="FC263" s="16" t="str">
        <f t="shared" si="74"/>
        <v/>
      </c>
      <c r="FD263" s="30">
        <f t="shared" si="65"/>
        <v>44013</v>
      </c>
      <c r="FE263" s="30" t="str">
        <f>+IFERROR(VLOOKUP(FD263,BDD,75,FALSE),"")</f>
        <v/>
      </c>
      <c r="FF263" s="30" t="str">
        <f>+IFERROR(VLOOKUP(FD263,BDD,76,FALSE),"")</f>
        <v/>
      </c>
      <c r="FG263" s="30" t="str">
        <f>IFERROR(+VLOOKUP(FD263,BDD,77,FALSE),"")</f>
        <v/>
      </c>
      <c r="FH263" s="30" t="str">
        <f>+IFERROR(VLOOKUP(FD263,BDD,78,FALSE),"")</f>
        <v/>
      </c>
      <c r="FW263" s="16" t="str">
        <f>Septembre!GB32</f>
        <v>372025</v>
      </c>
      <c r="FX263" s="16">
        <f>Septembre!GC32</f>
        <v>0</v>
      </c>
    </row>
    <row r="264" spans="1:180" x14ac:dyDescent="0.2">
      <c r="A264" s="16" t="str">
        <f t="shared" si="63"/>
        <v>Fiche info Avenant 2F4</v>
      </c>
      <c r="B264" s="16" t="str">
        <f t="shared" si="62"/>
        <v>Fiche info Avenant 2</v>
      </c>
      <c r="C264" s="27" t="s">
        <v>244</v>
      </c>
      <c r="D264" s="27">
        <v>4</v>
      </c>
      <c r="E264" s="16" t="s">
        <v>20</v>
      </c>
      <c r="F264" s="34" t="str">
        <f>+IF('Fiche info Avenant 2'!$BN$10=0,"",'Fiche info Avenant 2'!$BN$10)</f>
        <v/>
      </c>
      <c r="G264" s="16">
        <f t="shared" si="71"/>
        <v>0</v>
      </c>
      <c r="BX264" s="16" t="str">
        <f t="shared" si="72"/>
        <v>Fiche info Avenant 2F4</v>
      </c>
      <c r="BY264" s="449">
        <f>'Fiche info Avenant 2'!$BE$10</f>
        <v>0</v>
      </c>
      <c r="BZ264" s="449">
        <f>'Fiche info Avenant 2'!$BF$10</f>
        <v>0</v>
      </c>
      <c r="CA264" s="449">
        <f>'Fiche info Avenant 2'!$BG$10</f>
        <v>0</v>
      </c>
      <c r="CB264" s="449">
        <f>'Fiche info Avenant 2'!$BH$10</f>
        <v>0</v>
      </c>
      <c r="CC264" s="449">
        <f>'Fiche info Avenant 2'!$BI$10</f>
        <v>0</v>
      </c>
      <c r="CD264" s="449">
        <f>'Fiche info Avenant 2'!$BJ$10</f>
        <v>0</v>
      </c>
      <c r="CE264" s="449">
        <f>'Fiche info Avenant 2'!$BK$10</f>
        <v>0</v>
      </c>
      <c r="CF264" s="449">
        <f>'Fiche info Avenant 2'!$BL$10</f>
        <v>0</v>
      </c>
      <c r="ED264" s="16" t="str">
        <f t="shared" si="64"/>
        <v>Fiche info Avenant 2F</v>
      </c>
      <c r="EE264" s="16" t="str">
        <f t="shared" si="66"/>
        <v>Fiche info Avenant 2</v>
      </c>
      <c r="EF264" s="16" t="str">
        <f t="shared" si="67"/>
        <v>F</v>
      </c>
      <c r="EG264" s="16">
        <f t="shared" si="68"/>
        <v>4</v>
      </c>
      <c r="EH264" s="16" t="str">
        <f t="shared" si="69"/>
        <v>Jeudi</v>
      </c>
      <c r="EI264" s="16" t="str">
        <f t="shared" si="70"/>
        <v/>
      </c>
      <c r="FB264" s="16" t="str">
        <f t="shared" si="73"/>
        <v/>
      </c>
      <c r="FC264" s="16" t="str">
        <f t="shared" si="74"/>
        <v/>
      </c>
      <c r="FD264" s="30">
        <f t="shared" si="65"/>
        <v>44013</v>
      </c>
      <c r="FE264" s="30" t="str">
        <f>+IFERROR(VLOOKUP(FD264,BDD,79,FALSE),"")</f>
        <v/>
      </c>
      <c r="FF264" s="30" t="str">
        <f>IFERROR(+VLOOKUP(FD264,BDD,80,FALSE),"")</f>
        <v/>
      </c>
      <c r="FG264" s="30" t="str">
        <f>+IFERROR(VLOOKUP(FD264,BDD,81,FALSE),"")</f>
        <v/>
      </c>
      <c r="FH264" s="30" t="str">
        <f>+IFERROR(VLOOKUP(FD264,BDD,82,FALSE),"")</f>
        <v/>
      </c>
      <c r="FW264" s="16" t="str">
        <f>Septembre!GB33</f>
        <v>372025</v>
      </c>
      <c r="FX264" s="16">
        <f>Septembre!GC33</f>
        <v>0</v>
      </c>
    </row>
    <row r="265" spans="1:180" x14ac:dyDescent="0.2">
      <c r="A265" s="16" t="str">
        <f t="shared" si="63"/>
        <v>Fiche info Avenant 2F5</v>
      </c>
      <c r="B265" s="16" t="str">
        <f t="shared" si="62"/>
        <v>Fiche info Avenant 2</v>
      </c>
      <c r="C265" s="27" t="s">
        <v>244</v>
      </c>
      <c r="D265" s="27">
        <v>5</v>
      </c>
      <c r="E265" s="16" t="s">
        <v>21</v>
      </c>
      <c r="F265" s="34" t="str">
        <f>+IF('Fiche info Avenant 2'!$BN$11=0,"",'Fiche info Avenant 2'!$BN$11)</f>
        <v/>
      </c>
      <c r="G265" s="16">
        <f t="shared" si="71"/>
        <v>0</v>
      </c>
      <c r="BX265" s="16" t="str">
        <f t="shared" si="72"/>
        <v>Fiche info Avenant 2F5</v>
      </c>
      <c r="BY265" s="449">
        <f>'Fiche info Avenant 2'!$BE$11</f>
        <v>0</v>
      </c>
      <c r="BZ265" s="449">
        <f>'Fiche info Avenant 2'!$BF$11</f>
        <v>0</v>
      </c>
      <c r="CA265" s="449">
        <f>'Fiche info Avenant 2'!$BG$11</f>
        <v>0</v>
      </c>
      <c r="CB265" s="449">
        <f>'Fiche info Avenant 2'!$BH$11</f>
        <v>0</v>
      </c>
      <c r="CC265" s="449">
        <f>'Fiche info Avenant 2'!$BI$11</f>
        <v>0</v>
      </c>
      <c r="CD265" s="449">
        <f>'Fiche info Avenant 2'!$BJ$11</f>
        <v>0</v>
      </c>
      <c r="CE265" s="449">
        <f>'Fiche info Avenant 2'!$BK$11</f>
        <v>0</v>
      </c>
      <c r="CF265" s="449">
        <f>'Fiche info Avenant 2'!$BL$11</f>
        <v>0</v>
      </c>
      <c r="ED265" s="16" t="str">
        <f t="shared" si="64"/>
        <v>Fiche info Avenant 2F</v>
      </c>
      <c r="EE265" s="16" t="str">
        <f t="shared" si="66"/>
        <v>Fiche info Avenant 2</v>
      </c>
      <c r="EF265" s="16" t="str">
        <f t="shared" si="67"/>
        <v>F</v>
      </c>
      <c r="EG265" s="16">
        <f t="shared" si="68"/>
        <v>5</v>
      </c>
      <c r="EH265" s="16" t="str">
        <f t="shared" si="69"/>
        <v>Vendredi</v>
      </c>
      <c r="EI265" s="16" t="str">
        <f t="shared" si="70"/>
        <v/>
      </c>
      <c r="FB265" s="16" t="str">
        <f t="shared" si="73"/>
        <v/>
      </c>
      <c r="FC265" s="16" t="str">
        <f t="shared" si="74"/>
        <v/>
      </c>
      <c r="FD265" s="30">
        <f t="shared" si="65"/>
        <v>44013</v>
      </c>
      <c r="FE265" s="30" t="str">
        <f>+IFERROR(VLOOKUP(FD265,BDD,83,FALSE),"")</f>
        <v/>
      </c>
      <c r="FF265" s="30" t="str">
        <f>+IFERROR(VLOOKUP(FD265,BDD,84,FALSE),"")</f>
        <v/>
      </c>
      <c r="FG265" s="30" t="str">
        <f>+IFERROR(VLOOKUP(FD265,BDD,85,FALSE),"")</f>
        <v/>
      </c>
      <c r="FH265" s="30" t="str">
        <f>+IFERROR(VLOOKUP(FD265,BDD,86,FALSE),"")</f>
        <v/>
      </c>
      <c r="FW265" s="16" t="str">
        <f>Septembre!GB34</f>
        <v>382025</v>
      </c>
      <c r="FX265" s="16">
        <f>Septembre!GC34</f>
        <v>0</v>
      </c>
    </row>
    <row r="266" spans="1:180" x14ac:dyDescent="0.2">
      <c r="A266" s="16" t="str">
        <f t="shared" si="63"/>
        <v>Fiche info Avenant 2F6</v>
      </c>
      <c r="B266" s="16" t="str">
        <f t="shared" si="62"/>
        <v>Fiche info Avenant 2</v>
      </c>
      <c r="C266" s="27" t="s">
        <v>244</v>
      </c>
      <c r="D266" s="27">
        <v>6</v>
      </c>
      <c r="E266" s="16" t="s">
        <v>193</v>
      </c>
      <c r="F266" s="34" t="str">
        <f>+IF('Fiche info Avenant 2'!$BN$12=0,"",'Fiche info Avenant 2'!$BN$12)</f>
        <v/>
      </c>
      <c r="G266" s="16">
        <f t="shared" si="71"/>
        <v>0</v>
      </c>
      <c r="BX266" s="16" t="str">
        <f t="shared" si="72"/>
        <v>Fiche info Avenant 2F6</v>
      </c>
      <c r="BY266" s="449">
        <f>'Fiche info Avenant 2'!$BE$12</f>
        <v>0</v>
      </c>
      <c r="BZ266" s="449">
        <f>'Fiche info Avenant 2'!$BF$12</f>
        <v>0</v>
      </c>
      <c r="CA266" s="449">
        <f>'Fiche info Avenant 2'!$BG$12</f>
        <v>0</v>
      </c>
      <c r="CB266" s="449">
        <f>'Fiche info Avenant 2'!$BH$12</f>
        <v>0</v>
      </c>
      <c r="CC266" s="449">
        <f>'Fiche info Avenant 2'!$BI$12</f>
        <v>0</v>
      </c>
      <c r="CD266" s="449">
        <f>'Fiche info Avenant 2'!$BJ$12</f>
        <v>0</v>
      </c>
      <c r="CE266" s="449">
        <f>'Fiche info Avenant 2'!$BK$12</f>
        <v>0</v>
      </c>
      <c r="CF266" s="449">
        <f>'Fiche info Avenant 2'!$BL$12</f>
        <v>0</v>
      </c>
      <c r="ED266" s="16" t="str">
        <f t="shared" si="64"/>
        <v>Fiche info Avenant 2F</v>
      </c>
      <c r="EE266" s="16" t="str">
        <f t="shared" si="66"/>
        <v>Fiche info Avenant 2</v>
      </c>
      <c r="EF266" s="16" t="str">
        <f t="shared" si="67"/>
        <v>F</v>
      </c>
      <c r="EG266" s="16">
        <f t="shared" si="68"/>
        <v>6</v>
      </c>
      <c r="EH266" s="16" t="str">
        <f t="shared" si="69"/>
        <v>Samedi</v>
      </c>
      <c r="EI266" s="16" t="str">
        <f t="shared" si="70"/>
        <v/>
      </c>
      <c r="FB266" s="16" t="str">
        <f t="shared" si="73"/>
        <v/>
      </c>
      <c r="FC266" s="16" t="str">
        <f t="shared" si="74"/>
        <v/>
      </c>
      <c r="FD266" s="30">
        <f t="shared" si="65"/>
        <v>43983</v>
      </c>
      <c r="FE266" s="30" t="str">
        <f>+IFERROR(VLOOKUP(FD266,BDD,71,FALSE),"")</f>
        <v/>
      </c>
      <c r="FF266" s="30" t="str">
        <f>IFERROR(+VLOOKUP(FD266,BDD,72,FALSE),"")</f>
        <v/>
      </c>
      <c r="FG266" s="30" t="str">
        <f>+IFERROR(VLOOKUP(FD266,BDD,73,FALSE),"")</f>
        <v/>
      </c>
      <c r="FH266" s="30" t="str">
        <f>+IFERROR(VLOOKUP(FD266,BDD,74,FALSE),"")</f>
        <v/>
      </c>
      <c r="FW266" s="16" t="str">
        <f>Septembre!GB35</f>
        <v>382025</v>
      </c>
      <c r="FX266" s="16">
        <f>Septembre!GC35</f>
        <v>0</v>
      </c>
    </row>
    <row r="267" spans="1:180" x14ac:dyDescent="0.2">
      <c r="A267" s="16" t="str">
        <f t="shared" si="63"/>
        <v>Fiche info Avenant 2F7</v>
      </c>
      <c r="B267" s="16" t="str">
        <f t="shared" si="62"/>
        <v>Fiche info Avenant 2</v>
      </c>
      <c r="C267" s="27" t="s">
        <v>244</v>
      </c>
      <c r="D267" s="27">
        <v>7</v>
      </c>
      <c r="E267" s="16" t="s">
        <v>194</v>
      </c>
      <c r="F267" s="34" t="str">
        <f>+IF('Fiche info Avenant 2'!$BN$13=0,"",'Fiche info Avenant 2'!$BN$13)</f>
        <v/>
      </c>
      <c r="G267" s="16">
        <f t="shared" si="71"/>
        <v>0</v>
      </c>
      <c r="BX267" s="16" t="str">
        <f t="shared" si="72"/>
        <v>Fiche info Avenant 2F7</v>
      </c>
      <c r="BY267" s="449">
        <f>'Fiche info Avenant 2'!$BE$13</f>
        <v>0</v>
      </c>
      <c r="BZ267" s="449">
        <f>'Fiche info Avenant 2'!$BF$13</f>
        <v>0</v>
      </c>
      <c r="CA267" s="449">
        <f>'Fiche info Avenant 2'!$BG$13</f>
        <v>0</v>
      </c>
      <c r="CB267" s="449">
        <f>'Fiche info Avenant 2'!$BH$13</f>
        <v>0</v>
      </c>
      <c r="CC267" s="449">
        <f>'Fiche info Avenant 2'!$BI$13</f>
        <v>0</v>
      </c>
      <c r="CD267" s="449">
        <f>'Fiche info Avenant 2'!$BJ$13</f>
        <v>0</v>
      </c>
      <c r="CE267" s="449">
        <f>'Fiche info Avenant 2'!$BK$13</f>
        <v>0</v>
      </c>
      <c r="CF267" s="449">
        <f>'Fiche info Avenant 2'!$BL$13</f>
        <v>0</v>
      </c>
      <c r="ED267" s="16" t="str">
        <f t="shared" si="64"/>
        <v>Fiche info Avenant 2F</v>
      </c>
      <c r="EE267" s="16" t="str">
        <f t="shared" si="66"/>
        <v>Fiche info Avenant 2</v>
      </c>
      <c r="EF267" s="16" t="str">
        <f t="shared" si="67"/>
        <v>F</v>
      </c>
      <c r="EG267" s="16">
        <f t="shared" si="68"/>
        <v>7</v>
      </c>
      <c r="EH267" s="16" t="str">
        <f t="shared" si="69"/>
        <v>Dimanche</v>
      </c>
      <c r="EI267" s="16" t="str">
        <f t="shared" si="70"/>
        <v/>
      </c>
      <c r="FB267" s="16" t="str">
        <f t="shared" si="73"/>
        <v/>
      </c>
      <c r="FC267" s="16" t="str">
        <f t="shared" si="74"/>
        <v/>
      </c>
      <c r="FD267" s="30">
        <f t="shared" si="65"/>
        <v>43983</v>
      </c>
      <c r="FE267" s="30" t="str">
        <f>+IFERROR(VLOOKUP(FD267,BDD,75,FALSE),"")</f>
        <v/>
      </c>
      <c r="FF267" s="30" t="str">
        <f>+IFERROR(VLOOKUP(FD267,BDD,76,FALSE),"")</f>
        <v/>
      </c>
      <c r="FG267" s="30" t="str">
        <f>IFERROR(+VLOOKUP(FD267,BDD,77,FALSE),"")</f>
        <v/>
      </c>
      <c r="FH267" s="30" t="str">
        <f>+IFERROR(VLOOKUP(FD267,BDD,78,FALSE),"")</f>
        <v/>
      </c>
      <c r="FW267" s="16" t="str">
        <f>Septembre!GB36</f>
        <v>382025</v>
      </c>
      <c r="FX267" s="16">
        <f>Septembre!GC36</f>
        <v>0</v>
      </c>
    </row>
    <row r="268" spans="1:180" x14ac:dyDescent="0.2">
      <c r="A268" s="16" t="str">
        <f t="shared" si="63"/>
        <v>Fiche info Avenant 2G1</v>
      </c>
      <c r="B268" s="16" t="str">
        <f t="shared" si="62"/>
        <v>Fiche info Avenant 2</v>
      </c>
      <c r="C268" s="27" t="s">
        <v>245</v>
      </c>
      <c r="D268" s="27">
        <v>1</v>
      </c>
      <c r="E268" s="16" t="s">
        <v>17</v>
      </c>
      <c r="F268" s="34" t="str">
        <f>+IF('Fiche info Avenant 2'!$BY$7=0,"",'Fiche info Avenant 2'!$BY$7)</f>
        <v/>
      </c>
      <c r="G268" s="16">
        <f t="shared" si="71"/>
        <v>0</v>
      </c>
      <c r="BX268" s="16" t="str">
        <f t="shared" si="72"/>
        <v>Fiche info Avenant 2G1</v>
      </c>
      <c r="BY268" s="449">
        <f>'Fiche info Avenant 2'!$BP$7</f>
        <v>0</v>
      </c>
      <c r="BZ268" s="449">
        <f>'Fiche info Avenant 2'!$BQ$7</f>
        <v>0</v>
      </c>
      <c r="CA268" s="449">
        <f>'Fiche info Avenant 2'!$BR$7</f>
        <v>0</v>
      </c>
      <c r="CB268" s="449">
        <f>'Fiche info Avenant 2'!$BS$7</f>
        <v>0</v>
      </c>
      <c r="CC268" s="449">
        <f>'Fiche info Avenant 2'!$BT$7</f>
        <v>0</v>
      </c>
      <c r="CD268" s="449">
        <f>'Fiche info Avenant 2'!$BU$7</f>
        <v>0</v>
      </c>
      <c r="CE268" s="449">
        <f>'Fiche info Avenant 2'!$BV$7</f>
        <v>0</v>
      </c>
      <c r="CF268" s="449">
        <f>'Fiche info Avenant 2'!$BW$7</f>
        <v>0</v>
      </c>
      <c r="ED268" s="16" t="str">
        <f t="shared" si="64"/>
        <v>Fiche info Avenant 2G</v>
      </c>
      <c r="EE268" s="16" t="str">
        <f t="shared" si="66"/>
        <v>Fiche info Avenant 2</v>
      </c>
      <c r="EF268" s="16" t="str">
        <f t="shared" si="67"/>
        <v>G</v>
      </c>
      <c r="EG268" s="16">
        <f t="shared" si="68"/>
        <v>1</v>
      </c>
      <c r="EH268" s="16" t="str">
        <f t="shared" si="69"/>
        <v>Lundi</v>
      </c>
      <c r="EI268" s="16" t="str">
        <f t="shared" si="70"/>
        <v/>
      </c>
      <c r="FB268" s="16" t="str">
        <f t="shared" si="73"/>
        <v/>
      </c>
      <c r="FC268" s="16" t="str">
        <f t="shared" si="74"/>
        <v/>
      </c>
      <c r="FD268" s="30">
        <f t="shared" si="65"/>
        <v>43983</v>
      </c>
      <c r="FE268" s="30" t="str">
        <f>+IFERROR(VLOOKUP(FD268,BDD,79,FALSE),"")</f>
        <v/>
      </c>
      <c r="FF268" s="30" t="str">
        <f>IFERROR(+VLOOKUP(FD268,BDD,80,FALSE),"")</f>
        <v/>
      </c>
      <c r="FG268" s="30" t="str">
        <f>+IFERROR(VLOOKUP(FD268,BDD,81,FALSE),"")</f>
        <v/>
      </c>
      <c r="FH268" s="30" t="str">
        <f>+IFERROR(VLOOKUP(FD268,BDD,82,FALSE),"")</f>
        <v/>
      </c>
      <c r="FW268" s="16" t="str">
        <f>Septembre!GB37</f>
        <v>382025</v>
      </c>
      <c r="FX268" s="16">
        <f>Septembre!GC37</f>
        <v>0</v>
      </c>
    </row>
    <row r="269" spans="1:180" x14ac:dyDescent="0.2">
      <c r="A269" s="16" t="str">
        <f t="shared" si="63"/>
        <v>Fiche info Avenant 2G2</v>
      </c>
      <c r="B269" s="16" t="str">
        <f t="shared" si="62"/>
        <v>Fiche info Avenant 2</v>
      </c>
      <c r="C269" s="27" t="s">
        <v>245</v>
      </c>
      <c r="D269" s="27">
        <v>2</v>
      </c>
      <c r="E269" s="16" t="s">
        <v>18</v>
      </c>
      <c r="F269" s="34" t="str">
        <f>+IF('Fiche info Avenant 2'!$BY$8=0,"",'Fiche info Avenant 2'!$BY$8)</f>
        <v/>
      </c>
      <c r="G269" s="16">
        <f t="shared" si="71"/>
        <v>0</v>
      </c>
      <c r="BX269" s="16" t="str">
        <f t="shared" si="72"/>
        <v>Fiche info Avenant 2G2</v>
      </c>
      <c r="BY269" s="449">
        <f>'Fiche info Avenant 2'!$BP$8</f>
        <v>0</v>
      </c>
      <c r="BZ269" s="449">
        <f>'Fiche info Avenant 2'!$BQ$8</f>
        <v>0</v>
      </c>
      <c r="CA269" s="449">
        <f>'Fiche info Avenant 2'!$BR$8</f>
        <v>0</v>
      </c>
      <c r="CB269" s="449">
        <f>'Fiche info Avenant 2'!$BS$8</f>
        <v>0</v>
      </c>
      <c r="CC269" s="449">
        <f>'Fiche info Avenant 2'!$BT$8</f>
        <v>0</v>
      </c>
      <c r="CD269" s="449">
        <f>'Fiche info Avenant 2'!$BU$8</f>
        <v>0</v>
      </c>
      <c r="CE269" s="449">
        <f>'Fiche info Avenant 2'!$BV$8</f>
        <v>0</v>
      </c>
      <c r="CF269" s="449">
        <f>'Fiche info Avenant 2'!$BW$8</f>
        <v>0</v>
      </c>
      <c r="ED269" s="16" t="str">
        <f t="shared" si="64"/>
        <v>Fiche info Avenant 2G</v>
      </c>
      <c r="EE269" s="16" t="str">
        <f t="shared" si="66"/>
        <v>Fiche info Avenant 2</v>
      </c>
      <c r="EF269" s="16" t="str">
        <f t="shared" si="67"/>
        <v>G</v>
      </c>
      <c r="EG269" s="16">
        <f t="shared" si="68"/>
        <v>2</v>
      </c>
      <c r="EH269" s="16" t="str">
        <f t="shared" si="69"/>
        <v>Mardi</v>
      </c>
      <c r="EI269" s="16" t="str">
        <f t="shared" si="70"/>
        <v/>
      </c>
      <c r="FB269" s="16" t="str">
        <f t="shared" si="73"/>
        <v/>
      </c>
      <c r="FC269" s="16" t="str">
        <f t="shared" si="74"/>
        <v/>
      </c>
      <c r="FD269" s="30">
        <f t="shared" si="65"/>
        <v>43983</v>
      </c>
      <c r="FE269" s="30" t="str">
        <f>+IFERROR(VLOOKUP(FD269,BDD,83,FALSE),"")</f>
        <v/>
      </c>
      <c r="FF269" s="30" t="str">
        <f>+IFERROR(VLOOKUP(FD269,BDD,84,FALSE),"")</f>
        <v/>
      </c>
      <c r="FG269" s="30" t="str">
        <f>+IFERROR(VLOOKUP(FD269,BDD,85,FALSE),"")</f>
        <v/>
      </c>
      <c r="FH269" s="30" t="str">
        <f>+IFERROR(VLOOKUP(FD269,BDD,86,FALSE),"")</f>
        <v/>
      </c>
      <c r="FW269" s="16" t="str">
        <f>Septembre!GB38</f>
        <v>382025</v>
      </c>
      <c r="FX269" s="16">
        <f>Septembre!GC38</f>
        <v>0</v>
      </c>
    </row>
    <row r="270" spans="1:180" x14ac:dyDescent="0.2">
      <c r="A270" s="16" t="str">
        <f t="shared" si="63"/>
        <v>Fiche info Avenant 2G3</v>
      </c>
      <c r="B270" s="16" t="str">
        <f t="shared" si="62"/>
        <v>Fiche info Avenant 2</v>
      </c>
      <c r="C270" s="27" t="s">
        <v>245</v>
      </c>
      <c r="D270" s="27">
        <v>3</v>
      </c>
      <c r="E270" s="16" t="s">
        <v>19</v>
      </c>
      <c r="F270" s="34" t="str">
        <f>+IF('Fiche info Avenant 2'!$BY$9=0,"",'Fiche info Avenant 2'!$BY$9)</f>
        <v/>
      </c>
      <c r="G270" s="16">
        <f t="shared" si="71"/>
        <v>0</v>
      </c>
      <c r="BX270" s="16" t="str">
        <f t="shared" si="72"/>
        <v>Fiche info Avenant 2G3</v>
      </c>
      <c r="BY270" s="449">
        <f>'Fiche info Avenant 2'!$BP$9</f>
        <v>0</v>
      </c>
      <c r="BZ270" s="449">
        <f>'Fiche info Avenant 2'!$BQ$9</f>
        <v>0</v>
      </c>
      <c r="CA270" s="449">
        <f>'Fiche info Avenant 2'!$BR$9</f>
        <v>0</v>
      </c>
      <c r="CB270" s="449">
        <f>'Fiche info Avenant 2'!$BS$9</f>
        <v>0</v>
      </c>
      <c r="CC270" s="449">
        <f>'Fiche info Avenant 2'!$BT$9</f>
        <v>0</v>
      </c>
      <c r="CD270" s="449">
        <f>'Fiche info Avenant 2'!$BU$9</f>
        <v>0</v>
      </c>
      <c r="CE270" s="449">
        <f>'Fiche info Avenant 2'!$BV$9</f>
        <v>0</v>
      </c>
      <c r="CF270" s="449">
        <f>'Fiche info Avenant 2'!$BW$9</f>
        <v>0</v>
      </c>
      <c r="ED270" s="16" t="str">
        <f t="shared" si="64"/>
        <v>Fiche info Avenant 2G</v>
      </c>
      <c r="EE270" s="16" t="str">
        <f t="shared" si="66"/>
        <v>Fiche info Avenant 2</v>
      </c>
      <c r="EF270" s="16" t="str">
        <f t="shared" si="67"/>
        <v>G</v>
      </c>
      <c r="EG270" s="16">
        <f t="shared" si="68"/>
        <v>3</v>
      </c>
      <c r="EH270" s="16" t="str">
        <f t="shared" si="69"/>
        <v>Mercredi</v>
      </c>
      <c r="EI270" s="16" t="str">
        <f t="shared" si="70"/>
        <v/>
      </c>
      <c r="FB270" s="16" t="str">
        <f t="shared" si="73"/>
        <v/>
      </c>
      <c r="FC270" s="16" t="str">
        <f t="shared" si="74"/>
        <v/>
      </c>
      <c r="FD270" s="30">
        <f t="shared" si="65"/>
        <v>43952</v>
      </c>
      <c r="FE270" s="30" t="str">
        <f>+IFERROR(VLOOKUP(FD270,BDD,71,FALSE),"")</f>
        <v/>
      </c>
      <c r="FF270" s="30" t="str">
        <f>IFERROR(+VLOOKUP(FD270,BDD,72,FALSE),"")</f>
        <v/>
      </c>
      <c r="FG270" s="30" t="str">
        <f>+IFERROR(VLOOKUP(FD270,BDD,73,FALSE),"")</f>
        <v/>
      </c>
      <c r="FH270" s="30" t="str">
        <f>+IFERROR(VLOOKUP(FD270,BDD,74,FALSE),"")</f>
        <v/>
      </c>
      <c r="FW270" s="16" t="str">
        <f>Septembre!GB39</f>
        <v>382025</v>
      </c>
      <c r="FX270" s="16">
        <f>Septembre!GC39</f>
        <v>0</v>
      </c>
    </row>
    <row r="271" spans="1:180" x14ac:dyDescent="0.2">
      <c r="A271" s="16" t="str">
        <f t="shared" si="63"/>
        <v>Fiche info Avenant 2G4</v>
      </c>
      <c r="B271" s="16" t="str">
        <f t="shared" si="62"/>
        <v>Fiche info Avenant 2</v>
      </c>
      <c r="C271" s="27" t="s">
        <v>245</v>
      </c>
      <c r="D271" s="27">
        <v>4</v>
      </c>
      <c r="E271" s="16" t="s">
        <v>20</v>
      </c>
      <c r="F271" s="34" t="str">
        <f>+IF('Fiche info Avenant 2'!$BY$10=0,"",'Fiche info Avenant 2'!$BY$10)</f>
        <v/>
      </c>
      <c r="G271" s="16">
        <f t="shared" si="71"/>
        <v>0</v>
      </c>
      <c r="BX271" s="16" t="str">
        <f t="shared" si="72"/>
        <v>Fiche info Avenant 2G4</v>
      </c>
      <c r="BY271" s="449">
        <f>'Fiche info Avenant 2'!$BP$10</f>
        <v>0</v>
      </c>
      <c r="BZ271" s="449">
        <f>'Fiche info Avenant 2'!$BQ$10</f>
        <v>0</v>
      </c>
      <c r="CA271" s="449">
        <f>'Fiche info Avenant 2'!$BR$10</f>
        <v>0</v>
      </c>
      <c r="CB271" s="449">
        <f>'Fiche info Avenant 2'!$BS$10</f>
        <v>0</v>
      </c>
      <c r="CC271" s="449">
        <f>'Fiche info Avenant 2'!$BT$10</f>
        <v>0</v>
      </c>
      <c r="CD271" s="449">
        <f>'Fiche info Avenant 2'!$BU$10</f>
        <v>0</v>
      </c>
      <c r="CE271" s="449">
        <f>'Fiche info Avenant 2'!$BV$10</f>
        <v>0</v>
      </c>
      <c r="CF271" s="449">
        <f>'Fiche info Avenant 2'!$BW$10</f>
        <v>0</v>
      </c>
      <c r="ED271" s="16" t="str">
        <f t="shared" si="64"/>
        <v>Fiche info Avenant 2G</v>
      </c>
      <c r="EE271" s="16" t="str">
        <f t="shared" si="66"/>
        <v>Fiche info Avenant 2</v>
      </c>
      <c r="EF271" s="16" t="str">
        <f t="shared" si="67"/>
        <v>G</v>
      </c>
      <c r="EG271" s="16">
        <f t="shared" si="68"/>
        <v>4</v>
      </c>
      <c r="EH271" s="16" t="str">
        <f t="shared" si="69"/>
        <v>Jeudi</v>
      </c>
      <c r="EI271" s="16" t="str">
        <f t="shared" si="70"/>
        <v/>
      </c>
      <c r="FB271" s="16" t="str">
        <f t="shared" si="73"/>
        <v/>
      </c>
      <c r="FC271" s="16" t="str">
        <f t="shared" si="74"/>
        <v/>
      </c>
      <c r="FD271" s="30">
        <f t="shared" si="65"/>
        <v>43952</v>
      </c>
      <c r="FE271" s="30" t="str">
        <f>+IFERROR(VLOOKUP(FD271,BDD,75,FALSE),"")</f>
        <v/>
      </c>
      <c r="FF271" s="30" t="str">
        <f>+IFERROR(VLOOKUP(FD271,BDD,76,FALSE),"")</f>
        <v/>
      </c>
      <c r="FG271" s="30" t="str">
        <f>IFERROR(+VLOOKUP(FD271,BDD,77,FALSE),"")</f>
        <v/>
      </c>
      <c r="FH271" s="30" t="str">
        <f>+IFERROR(VLOOKUP(FD271,BDD,78,FALSE),"")</f>
        <v/>
      </c>
      <c r="FW271" s="16" t="str">
        <f>Septembre!GB40</f>
        <v>382025</v>
      </c>
      <c r="FX271" s="16">
        <f>Septembre!GC40</f>
        <v>0</v>
      </c>
    </row>
    <row r="272" spans="1:180" x14ac:dyDescent="0.2">
      <c r="A272" s="16" t="str">
        <f t="shared" si="63"/>
        <v>Fiche info Avenant 2G5</v>
      </c>
      <c r="B272" s="16" t="str">
        <f t="shared" si="62"/>
        <v>Fiche info Avenant 2</v>
      </c>
      <c r="C272" s="27" t="s">
        <v>245</v>
      </c>
      <c r="D272" s="27">
        <v>5</v>
      </c>
      <c r="E272" s="16" t="s">
        <v>21</v>
      </c>
      <c r="F272" s="34" t="str">
        <f>+IF('Fiche info Avenant 2'!$BY$11=0,"",'Fiche info Avenant 2'!$BY$11)</f>
        <v/>
      </c>
      <c r="G272" s="16">
        <f t="shared" si="71"/>
        <v>0</v>
      </c>
      <c r="BX272" s="16" t="str">
        <f t="shared" si="72"/>
        <v>Fiche info Avenant 2G5</v>
      </c>
      <c r="BY272" s="449">
        <f>'Fiche info Avenant 2'!$BP$11</f>
        <v>0</v>
      </c>
      <c r="BZ272" s="449">
        <f>'Fiche info Avenant 2'!$BQ$11</f>
        <v>0</v>
      </c>
      <c r="CA272" s="449">
        <f>'Fiche info Avenant 2'!$BR$11</f>
        <v>0</v>
      </c>
      <c r="CB272" s="449">
        <f>'Fiche info Avenant 2'!$BS$11</f>
        <v>0</v>
      </c>
      <c r="CC272" s="449">
        <f>'Fiche info Avenant 2'!$BT$11</f>
        <v>0</v>
      </c>
      <c r="CD272" s="449">
        <f>'Fiche info Avenant 2'!$BU$11</f>
        <v>0</v>
      </c>
      <c r="CE272" s="449">
        <f>'Fiche info Avenant 2'!$BV$11</f>
        <v>0</v>
      </c>
      <c r="CF272" s="449">
        <f>'Fiche info Avenant 2'!$BW$11</f>
        <v>0</v>
      </c>
      <c r="ED272" s="16" t="str">
        <f t="shared" si="64"/>
        <v>Fiche info Avenant 2G</v>
      </c>
      <c r="EE272" s="16" t="str">
        <f t="shared" si="66"/>
        <v>Fiche info Avenant 2</v>
      </c>
      <c r="EF272" s="16" t="str">
        <f t="shared" si="67"/>
        <v>G</v>
      </c>
      <c r="EG272" s="16">
        <f t="shared" si="68"/>
        <v>5</v>
      </c>
      <c r="EH272" s="16" t="str">
        <f t="shared" si="69"/>
        <v>Vendredi</v>
      </c>
      <c r="EI272" s="16" t="str">
        <f t="shared" si="70"/>
        <v/>
      </c>
      <c r="FB272" s="16" t="str">
        <f t="shared" si="73"/>
        <v/>
      </c>
      <c r="FC272" s="16" t="str">
        <f t="shared" si="74"/>
        <v/>
      </c>
      <c r="FD272" s="30">
        <f t="shared" si="65"/>
        <v>43952</v>
      </c>
      <c r="FE272" s="30" t="str">
        <f>+IFERROR(VLOOKUP(FD272,BDD,79,FALSE),"")</f>
        <v/>
      </c>
      <c r="FF272" s="30" t="str">
        <f>IFERROR(+VLOOKUP(FD272,BDD,80,FALSE),"")</f>
        <v/>
      </c>
      <c r="FG272" s="30" t="str">
        <f>+IFERROR(VLOOKUP(FD272,BDD,81,FALSE),"")</f>
        <v/>
      </c>
      <c r="FH272" s="30" t="str">
        <f>+IFERROR(VLOOKUP(FD272,BDD,82,FALSE),"")</f>
        <v/>
      </c>
      <c r="FW272" s="16" t="str">
        <f>Septembre!GB41</f>
        <v>392025</v>
      </c>
      <c r="FX272" s="16">
        <f>Septembre!GC41</f>
        <v>0</v>
      </c>
    </row>
    <row r="273" spans="1:180" x14ac:dyDescent="0.2">
      <c r="A273" s="16" t="str">
        <f t="shared" si="63"/>
        <v>Fiche info Avenant 2G6</v>
      </c>
      <c r="B273" s="16" t="str">
        <f t="shared" si="62"/>
        <v>Fiche info Avenant 2</v>
      </c>
      <c r="C273" s="27" t="s">
        <v>245</v>
      </c>
      <c r="D273" s="27">
        <v>6</v>
      </c>
      <c r="E273" s="16" t="s">
        <v>193</v>
      </c>
      <c r="F273" s="34" t="str">
        <f>+IF('Fiche info Avenant 2'!$BY$12=0,"",'Fiche info Avenant 2'!$BY$12)</f>
        <v/>
      </c>
      <c r="G273" s="16">
        <f t="shared" si="71"/>
        <v>0</v>
      </c>
      <c r="BX273" s="16" t="str">
        <f t="shared" si="72"/>
        <v>Fiche info Avenant 2G6</v>
      </c>
      <c r="BY273" s="449">
        <f>'Fiche info Avenant 2'!$BP$12</f>
        <v>0</v>
      </c>
      <c r="BZ273" s="449">
        <f>'Fiche info Avenant 2'!$BQ$12</f>
        <v>0</v>
      </c>
      <c r="CA273" s="449">
        <f>'Fiche info Avenant 2'!$BR$12</f>
        <v>0</v>
      </c>
      <c r="CB273" s="449">
        <f>'Fiche info Avenant 2'!$BS$12</f>
        <v>0</v>
      </c>
      <c r="CC273" s="449">
        <f>'Fiche info Avenant 2'!$BT$12</f>
        <v>0</v>
      </c>
      <c r="CD273" s="449">
        <f>'Fiche info Avenant 2'!$BU$12</f>
        <v>0</v>
      </c>
      <c r="CE273" s="449">
        <f>'Fiche info Avenant 2'!$BV$12</f>
        <v>0</v>
      </c>
      <c r="CF273" s="449">
        <f>'Fiche info Avenant 2'!$BW$12</f>
        <v>0</v>
      </c>
      <c r="ED273" s="16" t="str">
        <f t="shared" si="64"/>
        <v>Fiche info Avenant 2G</v>
      </c>
      <c r="EE273" s="16" t="str">
        <f t="shared" si="66"/>
        <v>Fiche info Avenant 2</v>
      </c>
      <c r="EF273" s="16" t="str">
        <f t="shared" si="67"/>
        <v>G</v>
      </c>
      <c r="EG273" s="16">
        <f t="shared" si="68"/>
        <v>6</v>
      </c>
      <c r="EH273" s="16" t="str">
        <f t="shared" si="69"/>
        <v>Samedi</v>
      </c>
      <c r="EI273" s="16" t="str">
        <f t="shared" si="70"/>
        <v/>
      </c>
      <c r="FB273" s="16" t="str">
        <f t="shared" si="73"/>
        <v/>
      </c>
      <c r="FC273" s="16" t="str">
        <f t="shared" si="74"/>
        <v/>
      </c>
      <c r="FD273" s="30">
        <f t="shared" si="65"/>
        <v>43952</v>
      </c>
      <c r="FE273" s="30" t="str">
        <f>+IFERROR(VLOOKUP(FD273,BDD,83,FALSE),"")</f>
        <v/>
      </c>
      <c r="FF273" s="30" t="str">
        <f>+IFERROR(VLOOKUP(FD273,BDD,84,FALSE),"")</f>
        <v/>
      </c>
      <c r="FG273" s="30" t="str">
        <f>+IFERROR(VLOOKUP(FD273,BDD,85,FALSE),"")</f>
        <v/>
      </c>
      <c r="FH273" s="30" t="str">
        <f>+IFERROR(VLOOKUP(FD273,BDD,86,FALSE),"")</f>
        <v/>
      </c>
      <c r="FW273" s="16" t="str">
        <f>Septembre!GB42</f>
        <v>392025</v>
      </c>
      <c r="FX273" s="16">
        <f>Septembre!GC42</f>
        <v>0</v>
      </c>
    </row>
    <row r="274" spans="1:180" x14ac:dyDescent="0.2">
      <c r="A274" s="16" t="str">
        <f t="shared" si="63"/>
        <v>Fiche info Avenant 2G7</v>
      </c>
      <c r="B274" s="16" t="str">
        <f t="shared" si="62"/>
        <v>Fiche info Avenant 2</v>
      </c>
      <c r="C274" s="27" t="s">
        <v>245</v>
      </c>
      <c r="D274" s="27">
        <v>7</v>
      </c>
      <c r="E274" s="16" t="s">
        <v>194</v>
      </c>
      <c r="F274" s="34" t="str">
        <f>+IF('Fiche info Avenant 2'!$BY$13=0,"",'Fiche info Avenant 2'!$BY$13)</f>
        <v/>
      </c>
      <c r="G274" s="16">
        <f t="shared" si="71"/>
        <v>0</v>
      </c>
      <c r="BX274" s="16" t="str">
        <f t="shared" si="72"/>
        <v>Fiche info Avenant 2G7</v>
      </c>
      <c r="BY274" s="449">
        <f>'Fiche info Avenant 2'!$BP$13</f>
        <v>0</v>
      </c>
      <c r="BZ274" s="449">
        <f>'Fiche info Avenant 2'!$BQ$13</f>
        <v>0</v>
      </c>
      <c r="CA274" s="449">
        <f>'Fiche info Avenant 2'!$BR$13</f>
        <v>0</v>
      </c>
      <c r="CB274" s="449">
        <f>'Fiche info Avenant 2'!$BS$13</f>
        <v>0</v>
      </c>
      <c r="CC274" s="449">
        <f>'Fiche info Avenant 2'!$BT$13</f>
        <v>0</v>
      </c>
      <c r="CD274" s="449">
        <f>'Fiche info Avenant 2'!$BU$13</f>
        <v>0</v>
      </c>
      <c r="CE274" s="449">
        <f>'Fiche info Avenant 2'!$BV$13</f>
        <v>0</v>
      </c>
      <c r="CF274" s="449">
        <f>'Fiche info Avenant 2'!$BW$13</f>
        <v>0</v>
      </c>
      <c r="ED274" s="16" t="str">
        <f t="shared" si="64"/>
        <v>Fiche info Avenant 2G</v>
      </c>
      <c r="EE274" s="16" t="str">
        <f t="shared" si="66"/>
        <v>Fiche info Avenant 2</v>
      </c>
      <c r="EF274" s="16" t="str">
        <f t="shared" si="67"/>
        <v>G</v>
      </c>
      <c r="EG274" s="16">
        <f t="shared" si="68"/>
        <v>7</v>
      </c>
      <c r="EH274" s="16" t="str">
        <f t="shared" si="69"/>
        <v>Dimanche</v>
      </c>
      <c r="EI274" s="16" t="str">
        <f t="shared" si="70"/>
        <v/>
      </c>
      <c r="FB274" s="16" t="str">
        <f t="shared" si="73"/>
        <v/>
      </c>
      <c r="FC274" s="16" t="str">
        <f t="shared" si="74"/>
        <v/>
      </c>
      <c r="FD274" s="30">
        <f t="shared" si="65"/>
        <v>43922</v>
      </c>
      <c r="FE274" s="30" t="str">
        <f>+IFERROR(VLOOKUP(FD274,BDD,71,FALSE),"")</f>
        <v/>
      </c>
      <c r="FF274" s="30" t="str">
        <f>IFERROR(+VLOOKUP(FD274,BDD,72,FALSE),"")</f>
        <v/>
      </c>
      <c r="FG274" s="30" t="str">
        <f>+IFERROR(VLOOKUP(FD274,BDD,73,FALSE),"")</f>
        <v/>
      </c>
      <c r="FH274" s="30" t="str">
        <f>+IFERROR(VLOOKUP(FD274,BDD,74,FALSE),"")</f>
        <v/>
      </c>
      <c r="FW274" s="16" t="str">
        <f>Septembre!GB43</f>
        <v>392025</v>
      </c>
      <c r="FX274" s="16">
        <f>Septembre!GC43</f>
        <v>0</v>
      </c>
    </row>
    <row r="275" spans="1:180" x14ac:dyDescent="0.2">
      <c r="A275" s="16" t="str">
        <f t="shared" si="63"/>
        <v>Fiche info Avenant 2H1</v>
      </c>
      <c r="B275" s="16" t="str">
        <f t="shared" si="62"/>
        <v>Fiche info Avenant 2</v>
      </c>
      <c r="C275" s="27" t="s">
        <v>246</v>
      </c>
      <c r="D275" s="27">
        <v>1</v>
      </c>
      <c r="E275" s="16" t="s">
        <v>17</v>
      </c>
      <c r="F275" s="34" t="str">
        <f>+IF('Fiche info Avenant 2'!$CJ$7=0,"",'Fiche info Avenant 2'!$CJ$7)</f>
        <v/>
      </c>
      <c r="G275" s="16">
        <f t="shared" si="71"/>
        <v>0</v>
      </c>
      <c r="BX275" s="16" t="str">
        <f t="shared" si="72"/>
        <v>Fiche info Avenant 2H1</v>
      </c>
      <c r="BY275" s="449">
        <f>'Fiche info Avenant 2'!$CA$7</f>
        <v>0</v>
      </c>
      <c r="BZ275" s="449">
        <f>'Fiche info Avenant 2'!$CB$7</f>
        <v>0</v>
      </c>
      <c r="CA275" s="449">
        <f>'Fiche info Avenant 2'!$CC$7</f>
        <v>0</v>
      </c>
      <c r="CB275" s="449">
        <f>'Fiche info Avenant 2'!$CD$7</f>
        <v>0</v>
      </c>
      <c r="CC275" s="449">
        <f>'Fiche info Avenant 2'!$CE$7</f>
        <v>0</v>
      </c>
      <c r="CD275" s="449">
        <f>'Fiche info Avenant 2'!$CF$7</f>
        <v>0</v>
      </c>
      <c r="CE275" s="449">
        <f>'Fiche info Avenant 2'!$CG$7</f>
        <v>0</v>
      </c>
      <c r="CF275" s="449">
        <f>'Fiche info Avenant 2'!$CH$7</f>
        <v>0</v>
      </c>
      <c r="ED275" s="16" t="str">
        <f t="shared" si="64"/>
        <v>Fiche info Avenant 2H</v>
      </c>
      <c r="EE275" s="16" t="str">
        <f t="shared" si="66"/>
        <v>Fiche info Avenant 2</v>
      </c>
      <c r="EF275" s="16" t="str">
        <f t="shared" si="67"/>
        <v>H</v>
      </c>
      <c r="EG275" s="16">
        <f t="shared" si="68"/>
        <v>1</v>
      </c>
      <c r="EH275" s="16" t="str">
        <f t="shared" si="69"/>
        <v>Lundi</v>
      </c>
      <c r="EI275" s="16" t="str">
        <f t="shared" si="70"/>
        <v/>
      </c>
      <c r="FB275" s="16" t="str">
        <f t="shared" si="73"/>
        <v/>
      </c>
      <c r="FC275" s="16" t="str">
        <f t="shared" si="74"/>
        <v/>
      </c>
      <c r="FD275" s="30">
        <f t="shared" si="65"/>
        <v>43922</v>
      </c>
      <c r="FE275" s="30" t="str">
        <f>+IFERROR(VLOOKUP(FD275,BDD,75,FALSE),"")</f>
        <v/>
      </c>
      <c r="FF275" s="30" t="str">
        <f>+IFERROR(VLOOKUP(FD275,BDD,76,FALSE),"")</f>
        <v/>
      </c>
      <c r="FG275" s="30" t="str">
        <f>IFERROR(+VLOOKUP(FD275,BDD,77,FALSE),"")</f>
        <v/>
      </c>
      <c r="FH275" s="30" t="str">
        <f>+IFERROR(VLOOKUP(FD275,BDD,78,FALSE),"")</f>
        <v/>
      </c>
      <c r="FW275" s="16" t="str">
        <f>Septembre!GB44</f>
        <v>392025</v>
      </c>
      <c r="FX275" s="16">
        <f>Septembre!GC44</f>
        <v>0</v>
      </c>
    </row>
    <row r="276" spans="1:180" x14ac:dyDescent="0.2">
      <c r="A276" s="16" t="str">
        <f t="shared" si="63"/>
        <v>Fiche info Avenant 2H2</v>
      </c>
      <c r="B276" s="16" t="str">
        <f t="shared" si="62"/>
        <v>Fiche info Avenant 2</v>
      </c>
      <c r="C276" s="27" t="s">
        <v>246</v>
      </c>
      <c r="D276" s="27">
        <v>2</v>
      </c>
      <c r="E276" s="16" t="s">
        <v>18</v>
      </c>
      <c r="F276" s="34" t="str">
        <f>+IF('Fiche info Avenant 2'!$CJ$8=0,"",'Fiche info Avenant 2'!$CJ$8)</f>
        <v/>
      </c>
      <c r="G276" s="16">
        <f t="shared" si="71"/>
        <v>0</v>
      </c>
      <c r="BX276" s="16" t="str">
        <f t="shared" si="72"/>
        <v>Fiche info Avenant 2H2</v>
      </c>
      <c r="BY276" s="449">
        <f>'Fiche info Avenant 2'!$CA$8</f>
        <v>0</v>
      </c>
      <c r="BZ276" s="449">
        <f>'Fiche info Avenant 2'!$CB$8</f>
        <v>0</v>
      </c>
      <c r="CA276" s="449">
        <f>'Fiche info Avenant 2'!$CC$8</f>
        <v>0</v>
      </c>
      <c r="CB276" s="449">
        <f>'Fiche info Avenant 2'!$CD$8</f>
        <v>0</v>
      </c>
      <c r="CC276" s="449">
        <f>'Fiche info Avenant 2'!$CE$8</f>
        <v>0</v>
      </c>
      <c r="CD276" s="449">
        <f>'Fiche info Avenant 2'!$CF$8</f>
        <v>0</v>
      </c>
      <c r="CE276" s="449">
        <f>'Fiche info Avenant 2'!$CG$8</f>
        <v>0</v>
      </c>
      <c r="CF276" s="449">
        <f>'Fiche info Avenant 2'!$CH$8</f>
        <v>0</v>
      </c>
      <c r="ED276" s="16" t="str">
        <f t="shared" si="64"/>
        <v>Fiche info Avenant 2H</v>
      </c>
      <c r="EE276" s="16" t="str">
        <f t="shared" si="66"/>
        <v>Fiche info Avenant 2</v>
      </c>
      <c r="EF276" s="16" t="str">
        <f t="shared" si="67"/>
        <v>H</v>
      </c>
      <c r="EG276" s="16">
        <f t="shared" si="68"/>
        <v>2</v>
      </c>
      <c r="EH276" s="16" t="str">
        <f t="shared" si="69"/>
        <v>Mardi</v>
      </c>
      <c r="EI276" s="16" t="str">
        <f t="shared" si="70"/>
        <v/>
      </c>
      <c r="FB276" s="16" t="str">
        <f t="shared" si="73"/>
        <v/>
      </c>
      <c r="FC276" s="16" t="str">
        <f t="shared" si="74"/>
        <v/>
      </c>
      <c r="FD276" s="30">
        <f t="shared" si="65"/>
        <v>43922</v>
      </c>
      <c r="FE276" s="30" t="str">
        <f>+IFERROR(VLOOKUP(FD276,BDD,79,FALSE),"")</f>
        <v/>
      </c>
      <c r="FF276" s="30" t="str">
        <f>IFERROR(+VLOOKUP(FD276,BDD,80,FALSE),"")</f>
        <v/>
      </c>
      <c r="FG276" s="30" t="str">
        <f>+IFERROR(VLOOKUP(FD276,BDD,81,FALSE),"")</f>
        <v/>
      </c>
      <c r="FH276" s="30" t="str">
        <f>+IFERROR(VLOOKUP(FD276,BDD,82,FALSE),"")</f>
        <v/>
      </c>
      <c r="FW276" s="16" t="str">
        <f>Septembre!GB45</f>
        <v>392025</v>
      </c>
      <c r="FX276" s="16">
        <f>Septembre!GC45</f>
        <v>0</v>
      </c>
    </row>
    <row r="277" spans="1:180" x14ac:dyDescent="0.2">
      <c r="A277" s="16" t="str">
        <f t="shared" si="63"/>
        <v>Fiche info Avenant 2H3</v>
      </c>
      <c r="B277" s="16" t="str">
        <f t="shared" si="62"/>
        <v>Fiche info Avenant 2</v>
      </c>
      <c r="C277" s="27" t="s">
        <v>246</v>
      </c>
      <c r="D277" s="27">
        <v>3</v>
      </c>
      <c r="E277" s="16" t="s">
        <v>19</v>
      </c>
      <c r="F277" s="34" t="str">
        <f>+IF('Fiche info Avenant 2'!$CJ$9=0,"",'Fiche info Avenant 2'!$CJ$9)</f>
        <v/>
      </c>
      <c r="G277" s="16">
        <f t="shared" si="71"/>
        <v>0</v>
      </c>
      <c r="BX277" s="16" t="str">
        <f t="shared" si="72"/>
        <v>Fiche info Avenant 2H3</v>
      </c>
      <c r="BY277" s="449">
        <f>'Fiche info Avenant 2'!$CA$9</f>
        <v>0</v>
      </c>
      <c r="BZ277" s="449">
        <f>'Fiche info Avenant 2'!$CB$9</f>
        <v>0</v>
      </c>
      <c r="CA277" s="449">
        <f>'Fiche info Avenant 2'!$CC$9</f>
        <v>0</v>
      </c>
      <c r="CB277" s="449">
        <f>'Fiche info Avenant 2'!$CD$9</f>
        <v>0</v>
      </c>
      <c r="CC277" s="449">
        <f>'Fiche info Avenant 2'!$CE$9</f>
        <v>0</v>
      </c>
      <c r="CD277" s="449">
        <f>'Fiche info Avenant 2'!$CF$9</f>
        <v>0</v>
      </c>
      <c r="CE277" s="449">
        <f>'Fiche info Avenant 2'!$CG$9</f>
        <v>0</v>
      </c>
      <c r="CF277" s="449">
        <f>'Fiche info Avenant 2'!$CH$9</f>
        <v>0</v>
      </c>
      <c r="ED277" s="16" t="str">
        <f t="shared" si="64"/>
        <v>Fiche info Avenant 2H</v>
      </c>
      <c r="EE277" s="16" t="str">
        <f t="shared" si="66"/>
        <v>Fiche info Avenant 2</v>
      </c>
      <c r="EF277" s="16" t="str">
        <f t="shared" si="67"/>
        <v>H</v>
      </c>
      <c r="EG277" s="16">
        <f t="shared" si="68"/>
        <v>3</v>
      </c>
      <c r="EH277" s="16" t="str">
        <f t="shared" si="69"/>
        <v>Mercredi</v>
      </c>
      <c r="EI277" s="16" t="str">
        <f t="shared" si="70"/>
        <v/>
      </c>
      <c r="FB277" s="16" t="str">
        <f t="shared" si="73"/>
        <v/>
      </c>
      <c r="FC277" s="16" t="str">
        <f t="shared" si="74"/>
        <v/>
      </c>
      <c r="FD277" s="30">
        <f t="shared" si="65"/>
        <v>43922</v>
      </c>
      <c r="FE277" s="30" t="str">
        <f>+IFERROR(VLOOKUP(FD277,BDD,83,FALSE),"")</f>
        <v/>
      </c>
      <c r="FF277" s="30" t="str">
        <f>+IFERROR(VLOOKUP(FD277,BDD,84,FALSE),"")</f>
        <v/>
      </c>
      <c r="FG277" s="30" t="str">
        <f>+IFERROR(VLOOKUP(FD277,BDD,85,FALSE),"")</f>
        <v/>
      </c>
      <c r="FH277" s="30" t="str">
        <f>+IFERROR(VLOOKUP(FD277,BDD,86,FALSE),"")</f>
        <v/>
      </c>
      <c r="FW277" s="16" t="str">
        <f>Septembre!GB46</f>
        <v>392025</v>
      </c>
      <c r="FX277" s="16">
        <f>Septembre!GC46</f>
        <v>0</v>
      </c>
    </row>
    <row r="278" spans="1:180" x14ac:dyDescent="0.2">
      <c r="A278" s="16" t="str">
        <f t="shared" si="63"/>
        <v>Fiche info Avenant 2H4</v>
      </c>
      <c r="B278" s="16" t="str">
        <f t="shared" si="62"/>
        <v>Fiche info Avenant 2</v>
      </c>
      <c r="C278" s="27" t="s">
        <v>246</v>
      </c>
      <c r="D278" s="27">
        <v>4</v>
      </c>
      <c r="E278" s="16" t="s">
        <v>20</v>
      </c>
      <c r="F278" s="34" t="str">
        <f>+IF('Fiche info Avenant 2'!$CJ$10=0,"",'Fiche info Avenant 2'!$CJ$10)</f>
        <v/>
      </c>
      <c r="G278" s="16">
        <f t="shared" si="71"/>
        <v>0</v>
      </c>
      <c r="BX278" s="16" t="str">
        <f t="shared" si="72"/>
        <v>Fiche info Avenant 2H4</v>
      </c>
      <c r="BY278" s="449">
        <f>'Fiche info Avenant 2'!$CA$10</f>
        <v>0</v>
      </c>
      <c r="BZ278" s="449">
        <f>'Fiche info Avenant 2'!$CB$10</f>
        <v>0</v>
      </c>
      <c r="CA278" s="449">
        <f>'Fiche info Avenant 2'!$CC$10</f>
        <v>0</v>
      </c>
      <c r="CB278" s="449">
        <f>'Fiche info Avenant 2'!$CD$10</f>
        <v>0</v>
      </c>
      <c r="CC278" s="449">
        <f>'Fiche info Avenant 2'!$CE$10</f>
        <v>0</v>
      </c>
      <c r="CD278" s="449">
        <f>'Fiche info Avenant 2'!$CF$10</f>
        <v>0</v>
      </c>
      <c r="CE278" s="449">
        <f>'Fiche info Avenant 2'!$CG$10</f>
        <v>0</v>
      </c>
      <c r="CF278" s="449">
        <f>'Fiche info Avenant 2'!$CH$10</f>
        <v>0</v>
      </c>
      <c r="ED278" s="16" t="str">
        <f t="shared" si="64"/>
        <v>Fiche info Avenant 2H</v>
      </c>
      <c r="EE278" s="16" t="str">
        <f t="shared" si="66"/>
        <v>Fiche info Avenant 2</v>
      </c>
      <c r="EF278" s="16" t="str">
        <f t="shared" si="67"/>
        <v>H</v>
      </c>
      <c r="EG278" s="16">
        <f t="shared" si="68"/>
        <v>4</v>
      </c>
      <c r="EH278" s="16" t="str">
        <f t="shared" si="69"/>
        <v>Jeudi</v>
      </c>
      <c r="EI278" s="16" t="str">
        <f t="shared" si="70"/>
        <v/>
      </c>
      <c r="FB278" s="16" t="str">
        <f t="shared" si="73"/>
        <v/>
      </c>
      <c r="FC278" s="16" t="str">
        <f t="shared" si="74"/>
        <v/>
      </c>
      <c r="FD278" s="30">
        <f t="shared" si="65"/>
        <v>43891</v>
      </c>
      <c r="FE278" s="30" t="str">
        <f>+IFERROR(VLOOKUP(FD278,BDD,71,FALSE),"")</f>
        <v/>
      </c>
      <c r="FF278" s="30" t="str">
        <f>IFERROR(+VLOOKUP(FD278,BDD,72,FALSE),"")</f>
        <v/>
      </c>
      <c r="FG278" s="30" t="str">
        <f>+IFERROR(VLOOKUP(FD278,BDD,73,FALSE),"")</f>
        <v/>
      </c>
      <c r="FH278" s="30" t="str">
        <f>+IFERROR(VLOOKUP(FD278,BDD,74,FALSE),"")</f>
        <v/>
      </c>
      <c r="FW278" s="16" t="str">
        <f>Septembre!GB47</f>
        <v>392025</v>
      </c>
      <c r="FX278" s="16">
        <f>Septembre!GC47</f>
        <v>0</v>
      </c>
    </row>
    <row r="279" spans="1:180" x14ac:dyDescent="0.2">
      <c r="A279" s="16" t="str">
        <f t="shared" si="63"/>
        <v>Fiche info Avenant 2H5</v>
      </c>
      <c r="B279" s="16" t="str">
        <f t="shared" si="62"/>
        <v>Fiche info Avenant 2</v>
      </c>
      <c r="C279" s="27" t="s">
        <v>246</v>
      </c>
      <c r="D279" s="27">
        <v>5</v>
      </c>
      <c r="E279" s="16" t="s">
        <v>21</v>
      </c>
      <c r="F279" s="34" t="str">
        <f>+IF('Fiche info Avenant 2'!$CJ$11=0,"",'Fiche info Avenant 2'!$CJ$11)</f>
        <v/>
      </c>
      <c r="G279" s="16">
        <f t="shared" si="71"/>
        <v>0</v>
      </c>
      <c r="BX279" s="16" t="str">
        <f t="shared" si="72"/>
        <v>Fiche info Avenant 2H5</v>
      </c>
      <c r="BY279" s="449">
        <f>'Fiche info Avenant 2'!$CA$11</f>
        <v>0</v>
      </c>
      <c r="BZ279" s="449">
        <f>'Fiche info Avenant 2'!$CB$11</f>
        <v>0</v>
      </c>
      <c r="CA279" s="449">
        <f>'Fiche info Avenant 2'!$CC$11</f>
        <v>0</v>
      </c>
      <c r="CB279" s="449">
        <f>'Fiche info Avenant 2'!$CD$11</f>
        <v>0</v>
      </c>
      <c r="CC279" s="449">
        <f>'Fiche info Avenant 2'!$CE$11</f>
        <v>0</v>
      </c>
      <c r="CD279" s="449">
        <f>'Fiche info Avenant 2'!$CF$11</f>
        <v>0</v>
      </c>
      <c r="CE279" s="449">
        <f>'Fiche info Avenant 2'!$CG$11</f>
        <v>0</v>
      </c>
      <c r="CF279" s="449">
        <f>'Fiche info Avenant 2'!$CH$11</f>
        <v>0</v>
      </c>
      <c r="ED279" s="16" t="str">
        <f t="shared" si="64"/>
        <v>Fiche info Avenant 2H</v>
      </c>
      <c r="EE279" s="16" t="str">
        <f t="shared" si="66"/>
        <v>Fiche info Avenant 2</v>
      </c>
      <c r="EF279" s="16" t="str">
        <f t="shared" si="67"/>
        <v>H</v>
      </c>
      <c r="EG279" s="16">
        <f t="shared" si="68"/>
        <v>5</v>
      </c>
      <c r="EH279" s="16" t="str">
        <f t="shared" si="69"/>
        <v>Vendredi</v>
      </c>
      <c r="EI279" s="16" t="str">
        <f t="shared" si="70"/>
        <v/>
      </c>
      <c r="FB279" s="16" t="str">
        <f t="shared" si="73"/>
        <v/>
      </c>
      <c r="FC279" s="16" t="str">
        <f t="shared" si="74"/>
        <v/>
      </c>
      <c r="FD279" s="30">
        <f t="shared" si="65"/>
        <v>43891</v>
      </c>
      <c r="FE279" s="30" t="str">
        <f>+IFERROR(VLOOKUP(FD279,BDD,75,FALSE),"")</f>
        <v/>
      </c>
      <c r="FF279" s="30" t="str">
        <f>+IFERROR(VLOOKUP(FD279,BDD,76,FALSE),"")</f>
        <v/>
      </c>
      <c r="FG279" s="30" t="str">
        <f>IFERROR(+VLOOKUP(FD279,BDD,77,FALSE),"")</f>
        <v/>
      </c>
      <c r="FH279" s="30" t="str">
        <f>+IFERROR(VLOOKUP(FD279,BDD,78,FALSE),"")</f>
        <v/>
      </c>
      <c r="FW279" s="16" t="str">
        <f>Septembre!GB48</f>
        <v>402025</v>
      </c>
      <c r="FX279" s="16">
        <f>Septembre!GC48</f>
        <v>0</v>
      </c>
    </row>
    <row r="280" spans="1:180" x14ac:dyDescent="0.2">
      <c r="A280" s="16" t="str">
        <f t="shared" si="63"/>
        <v>Fiche info Avenant 2H6</v>
      </c>
      <c r="B280" s="16" t="str">
        <f t="shared" si="62"/>
        <v>Fiche info Avenant 2</v>
      </c>
      <c r="C280" s="27" t="s">
        <v>246</v>
      </c>
      <c r="D280" s="27">
        <v>6</v>
      </c>
      <c r="E280" s="16" t="s">
        <v>193</v>
      </c>
      <c r="F280" s="34" t="str">
        <f>+IF('Fiche info Avenant 2'!$CJ$12=0,"",'Fiche info Avenant 2'!$CJ$12)</f>
        <v/>
      </c>
      <c r="G280" s="16">
        <f t="shared" si="71"/>
        <v>0</v>
      </c>
      <c r="BX280" s="16" t="str">
        <f t="shared" si="72"/>
        <v>Fiche info Avenant 2H6</v>
      </c>
      <c r="BY280" s="449">
        <f>'Fiche info Avenant 2'!$CA$12</f>
        <v>0</v>
      </c>
      <c r="BZ280" s="449">
        <f>'Fiche info Avenant 2'!$CB$12</f>
        <v>0</v>
      </c>
      <c r="CA280" s="449">
        <f>'Fiche info Avenant 2'!$CC$12</f>
        <v>0</v>
      </c>
      <c r="CB280" s="449">
        <f>'Fiche info Avenant 2'!$CD$12</f>
        <v>0</v>
      </c>
      <c r="CC280" s="449">
        <f>'Fiche info Avenant 2'!$CE$12</f>
        <v>0</v>
      </c>
      <c r="CD280" s="449">
        <f>'Fiche info Avenant 2'!$CF$12</f>
        <v>0</v>
      </c>
      <c r="CE280" s="449">
        <f>'Fiche info Avenant 2'!$CG$12</f>
        <v>0</v>
      </c>
      <c r="CF280" s="449">
        <f>'Fiche info Avenant 2'!$CH$12</f>
        <v>0</v>
      </c>
      <c r="ED280" s="16" t="str">
        <f t="shared" si="64"/>
        <v>Fiche info Avenant 2H</v>
      </c>
      <c r="EE280" s="16" t="str">
        <f t="shared" si="66"/>
        <v>Fiche info Avenant 2</v>
      </c>
      <c r="EF280" s="16" t="str">
        <f t="shared" si="67"/>
        <v>H</v>
      </c>
      <c r="EG280" s="16">
        <f t="shared" si="68"/>
        <v>6</v>
      </c>
      <c r="EH280" s="16" t="str">
        <f t="shared" si="69"/>
        <v>Samedi</v>
      </c>
      <c r="EI280" s="16" t="str">
        <f t="shared" si="70"/>
        <v/>
      </c>
      <c r="FB280" s="16" t="str">
        <f t="shared" si="73"/>
        <v/>
      </c>
      <c r="FC280" s="16" t="str">
        <f t="shared" si="74"/>
        <v/>
      </c>
      <c r="FD280" s="30">
        <f t="shared" si="65"/>
        <v>43891</v>
      </c>
      <c r="FE280" s="30" t="str">
        <f>+IFERROR(VLOOKUP(FD280,BDD,79,FALSE),"")</f>
        <v/>
      </c>
      <c r="FF280" s="30" t="str">
        <f>IFERROR(+VLOOKUP(FD280,BDD,80,FALSE),"")</f>
        <v/>
      </c>
      <c r="FG280" s="30" t="str">
        <f>+IFERROR(VLOOKUP(FD280,BDD,81,FALSE),"")</f>
        <v/>
      </c>
      <c r="FH280" s="30" t="str">
        <f>+IFERROR(VLOOKUP(FD280,BDD,82,FALSE),"")</f>
        <v/>
      </c>
      <c r="FW280" s="16" t="str">
        <f>Septembre!GB49</f>
        <v>402025</v>
      </c>
      <c r="FX280" s="16">
        <f>Septembre!GC49</f>
        <v>0</v>
      </c>
    </row>
    <row r="281" spans="1:180" x14ac:dyDescent="0.2">
      <c r="A281" s="16" t="str">
        <f t="shared" si="63"/>
        <v>Fiche info Avenant 2H7</v>
      </c>
      <c r="B281" s="16" t="str">
        <f t="shared" si="62"/>
        <v>Fiche info Avenant 2</v>
      </c>
      <c r="C281" s="27" t="s">
        <v>246</v>
      </c>
      <c r="D281" s="27">
        <v>7</v>
      </c>
      <c r="E281" s="16" t="s">
        <v>194</v>
      </c>
      <c r="F281" s="34" t="str">
        <f>+IF('Fiche info'!$CJ$13=0,"",'Fiche info'!$CJ$13)</f>
        <v/>
      </c>
      <c r="G281" s="16">
        <f t="shared" si="71"/>
        <v>0</v>
      </c>
      <c r="BX281" s="16" t="str">
        <f t="shared" si="72"/>
        <v>Fiche info Avenant 2H7</v>
      </c>
      <c r="BY281" s="449">
        <f>'Fiche info Avenant 2'!$CA$13</f>
        <v>0</v>
      </c>
      <c r="BZ281" s="449">
        <f>'Fiche info Avenant 2'!$CB$13</f>
        <v>0</v>
      </c>
      <c r="CA281" s="449">
        <f>'Fiche info Avenant 2'!$CC$13</f>
        <v>0</v>
      </c>
      <c r="CB281" s="449">
        <f>'Fiche info Avenant 2'!$CD$13</f>
        <v>0</v>
      </c>
      <c r="CC281" s="449">
        <f>'Fiche info Avenant 2'!$CE$13</f>
        <v>0</v>
      </c>
      <c r="CD281" s="449">
        <f>'Fiche info Avenant 2'!$CF$13</f>
        <v>0</v>
      </c>
      <c r="CE281" s="449">
        <f>'Fiche info Avenant 2'!$CG$13</f>
        <v>0</v>
      </c>
      <c r="CF281" s="449">
        <f>'Fiche info Avenant 2'!$CH$13</f>
        <v>0</v>
      </c>
      <c r="ED281" s="16" t="str">
        <f t="shared" si="64"/>
        <v>Fiche info Avenant 2H</v>
      </c>
      <c r="EE281" s="16" t="str">
        <f t="shared" si="66"/>
        <v>Fiche info Avenant 2</v>
      </c>
      <c r="EF281" s="16" t="str">
        <f t="shared" si="67"/>
        <v>H</v>
      </c>
      <c r="EG281" s="16">
        <f t="shared" si="68"/>
        <v>7</v>
      </c>
      <c r="EH281" s="16" t="str">
        <f t="shared" si="69"/>
        <v>Dimanche</v>
      </c>
      <c r="EI281" s="16" t="str">
        <f t="shared" si="70"/>
        <v/>
      </c>
      <c r="FB281" s="16" t="str">
        <f t="shared" si="73"/>
        <v/>
      </c>
      <c r="FC281" s="16" t="str">
        <f t="shared" si="74"/>
        <v/>
      </c>
      <c r="FD281" s="30">
        <f t="shared" si="65"/>
        <v>43891</v>
      </c>
      <c r="FE281" s="30" t="str">
        <f>+IFERROR(VLOOKUP(FD281,BDD,83,FALSE),"")</f>
        <v/>
      </c>
      <c r="FF281" s="30" t="str">
        <f>+IFERROR(VLOOKUP(FD281,BDD,84,FALSE),"")</f>
        <v/>
      </c>
      <c r="FG281" s="30" t="str">
        <f>+IFERROR(VLOOKUP(FD281,BDD,85,FALSE),"")</f>
        <v/>
      </c>
      <c r="FH281" s="30" t="str">
        <f>+IFERROR(VLOOKUP(FD281,BDD,86,FALSE),"")</f>
        <v/>
      </c>
      <c r="FW281" s="16" t="str">
        <f>Septembre!GB50</f>
        <v>2025</v>
      </c>
      <c r="FX281" s="16">
        <f>Septembre!GC50</f>
        <v>0</v>
      </c>
    </row>
    <row r="282" spans="1:180" x14ac:dyDescent="0.2">
      <c r="A282" s="16" t="str">
        <f t="shared" si="63"/>
        <v>Fiche info Avenant 3A1</v>
      </c>
      <c r="B282" s="16" t="str">
        <f>+$P$7</f>
        <v>Fiche info Avenant 3</v>
      </c>
      <c r="C282" s="27" t="s">
        <v>235</v>
      </c>
      <c r="D282" s="27">
        <v>1</v>
      </c>
      <c r="E282" s="16" t="s">
        <v>17</v>
      </c>
      <c r="F282" s="34" t="str">
        <f>IF('Fiche info Avenant 3'!$K$7=0,"",'Fiche info Avenant 3'!$K$7)</f>
        <v/>
      </c>
      <c r="G282" s="16">
        <f t="shared" si="71"/>
        <v>0</v>
      </c>
      <c r="BX282" s="16" t="str">
        <f t="shared" si="72"/>
        <v>Fiche info Avenant 3A1</v>
      </c>
      <c r="BY282" s="449">
        <f>'Fiche info Avenant 3'!$B$7</f>
        <v>0</v>
      </c>
      <c r="BZ282" s="449">
        <f>'Fiche info Avenant 3'!$C$7</f>
        <v>0</v>
      </c>
      <c r="CA282" s="449">
        <f>'Fiche info Avenant 3'!$D$7</f>
        <v>0</v>
      </c>
      <c r="CB282" s="449">
        <f>'Fiche info Avenant 3'!$E$7</f>
        <v>0</v>
      </c>
      <c r="CC282" s="449">
        <f>'Fiche info Avenant 3'!$F$7</f>
        <v>0</v>
      </c>
      <c r="CD282" s="449">
        <f>'Fiche info Avenant 3'!$G$7</f>
        <v>0</v>
      </c>
      <c r="CE282" s="449">
        <f>'Fiche info Avenant 3'!$H$7</f>
        <v>0</v>
      </c>
      <c r="CF282" s="449">
        <f>'Fiche info Avenant 3'!$I$7</f>
        <v>0</v>
      </c>
      <c r="ED282" s="16" t="str">
        <f t="shared" si="64"/>
        <v>Fiche info Avenant 3A</v>
      </c>
      <c r="EE282" s="16" t="str">
        <f t="shared" si="66"/>
        <v>Fiche info Avenant 3</v>
      </c>
      <c r="EF282" s="16" t="str">
        <f t="shared" si="67"/>
        <v>A</v>
      </c>
      <c r="EG282" s="16">
        <f t="shared" si="68"/>
        <v>1</v>
      </c>
      <c r="EH282" s="16" t="str">
        <f t="shared" si="69"/>
        <v>Lundi</v>
      </c>
      <c r="EI282" s="16" t="str">
        <f t="shared" si="70"/>
        <v/>
      </c>
      <c r="FB282" s="16" t="str">
        <f t="shared" si="73"/>
        <v/>
      </c>
      <c r="FC282" s="16" t="str">
        <f t="shared" si="74"/>
        <v/>
      </c>
      <c r="FD282" s="30">
        <f t="shared" si="65"/>
        <v>43862</v>
      </c>
      <c r="FE282" s="30" t="str">
        <f>+IFERROR(VLOOKUP(FD282,BDD,71,FALSE),"")</f>
        <v/>
      </c>
      <c r="FF282" s="30" t="str">
        <f>IFERROR(+VLOOKUP(FD282,BDD,72,FALSE),"")</f>
        <v/>
      </c>
      <c r="FG282" s="30" t="str">
        <f>+IFERROR(VLOOKUP(FD282,BDD,73,FALSE),"")</f>
        <v/>
      </c>
      <c r="FH282" s="30" t="str">
        <f>+IFERROR(VLOOKUP(FD282,BDD,74,FALSE),"")</f>
        <v/>
      </c>
      <c r="FW282" s="16" t="str">
        <f>Octobre!GB20</f>
        <v>402025</v>
      </c>
      <c r="FX282" s="16">
        <f>Octobre!GC20</f>
        <v>0</v>
      </c>
    </row>
    <row r="283" spans="1:180" x14ac:dyDescent="0.2">
      <c r="A283" s="16" t="str">
        <f t="shared" si="63"/>
        <v>Fiche info Avenant 3A2</v>
      </c>
      <c r="B283" s="16" t="str">
        <f t="shared" ref="B283:B337" si="75">+$P$7</f>
        <v>Fiche info Avenant 3</v>
      </c>
      <c r="C283" s="27" t="s">
        <v>235</v>
      </c>
      <c r="D283" s="27">
        <v>2</v>
      </c>
      <c r="E283" s="16" t="s">
        <v>18</v>
      </c>
      <c r="F283" s="34" t="str">
        <f>IF('Fiche info Avenant 3'!$K$8=0,"",'Fiche info Avenant 3'!$K$8)</f>
        <v/>
      </c>
      <c r="G283" s="16">
        <f t="shared" si="71"/>
        <v>0</v>
      </c>
      <c r="BX283" s="16" t="str">
        <f t="shared" si="72"/>
        <v>Fiche info Avenant 3A2</v>
      </c>
      <c r="BY283" s="449">
        <f>'Fiche info Avenant 3'!$B$8</f>
        <v>0</v>
      </c>
      <c r="BZ283" s="449">
        <f>'Fiche info Avenant 3'!$C$8</f>
        <v>0</v>
      </c>
      <c r="CA283" s="449">
        <f>'Fiche info Avenant 3'!$D$8</f>
        <v>0</v>
      </c>
      <c r="CB283" s="449">
        <f>'Fiche info Avenant 3'!$E$8</f>
        <v>0</v>
      </c>
      <c r="CC283" s="449">
        <f>'Fiche info Avenant 3'!$F$8</f>
        <v>0</v>
      </c>
      <c r="CD283" s="449">
        <f>'Fiche info Avenant 3'!$G$8</f>
        <v>0</v>
      </c>
      <c r="CE283" s="449">
        <f>'Fiche info Avenant 3'!$H$8</f>
        <v>0</v>
      </c>
      <c r="CF283" s="449">
        <f>'Fiche info Avenant 3'!$I$8</f>
        <v>0</v>
      </c>
      <c r="ED283" s="16" t="str">
        <f t="shared" si="64"/>
        <v>Fiche info Avenant 3A</v>
      </c>
      <c r="EE283" s="16" t="str">
        <f t="shared" si="66"/>
        <v>Fiche info Avenant 3</v>
      </c>
      <c r="EF283" s="16" t="str">
        <f t="shared" si="67"/>
        <v>A</v>
      </c>
      <c r="EG283" s="16">
        <f t="shared" si="68"/>
        <v>2</v>
      </c>
      <c r="EH283" s="16" t="str">
        <f t="shared" si="69"/>
        <v>Mardi</v>
      </c>
      <c r="EI283" s="16" t="str">
        <f t="shared" si="70"/>
        <v/>
      </c>
      <c r="FB283" s="16" t="str">
        <f t="shared" si="73"/>
        <v/>
      </c>
      <c r="FC283" s="16" t="str">
        <f t="shared" si="74"/>
        <v/>
      </c>
      <c r="FD283" s="30">
        <f t="shared" si="65"/>
        <v>43862</v>
      </c>
      <c r="FE283" s="30" t="str">
        <f>+IFERROR(VLOOKUP(FD283,BDD,75,FALSE),"")</f>
        <v/>
      </c>
      <c r="FF283" s="30" t="str">
        <f>+IFERROR(VLOOKUP(FD283,BDD,76,FALSE),"")</f>
        <v/>
      </c>
      <c r="FG283" s="30" t="str">
        <f>IFERROR(+VLOOKUP(FD283,BDD,77,FALSE),"")</f>
        <v/>
      </c>
      <c r="FH283" s="30" t="str">
        <f>+IFERROR(VLOOKUP(FD283,BDD,78,FALSE),"")</f>
        <v/>
      </c>
      <c r="FW283" s="16" t="str">
        <f>Octobre!GB21</f>
        <v>402025</v>
      </c>
      <c r="FX283" s="16">
        <f>Octobre!GC21</f>
        <v>0</v>
      </c>
    </row>
    <row r="284" spans="1:180" x14ac:dyDescent="0.2">
      <c r="A284" s="16" t="str">
        <f t="shared" si="63"/>
        <v>Fiche info Avenant 3A3</v>
      </c>
      <c r="B284" s="16" t="str">
        <f t="shared" si="75"/>
        <v>Fiche info Avenant 3</v>
      </c>
      <c r="C284" s="27" t="s">
        <v>235</v>
      </c>
      <c r="D284" s="27">
        <v>3</v>
      </c>
      <c r="E284" s="16" t="s">
        <v>19</v>
      </c>
      <c r="F284" s="34" t="str">
        <f>IF('Fiche info Avenant 3'!$K$9=0,"",'Fiche info Avenant 3'!$K$9)</f>
        <v/>
      </c>
      <c r="G284" s="16">
        <f t="shared" si="71"/>
        <v>0</v>
      </c>
      <c r="BX284" s="16" t="str">
        <f t="shared" si="72"/>
        <v>Fiche info Avenant 3A3</v>
      </c>
      <c r="BY284" s="449">
        <f>'Fiche info Avenant 3'!$B$9</f>
        <v>0</v>
      </c>
      <c r="BZ284" s="449">
        <f>'Fiche info Avenant 3'!$C$9</f>
        <v>0</v>
      </c>
      <c r="CA284" s="449">
        <f>'Fiche info Avenant 3'!$D$9</f>
        <v>0</v>
      </c>
      <c r="CB284" s="449">
        <f>'Fiche info Avenant 3'!$E$9</f>
        <v>0</v>
      </c>
      <c r="CC284" s="449">
        <f>'Fiche info Avenant 3'!$F$9</f>
        <v>0</v>
      </c>
      <c r="CD284" s="449">
        <f>'Fiche info Avenant 3'!$G$9</f>
        <v>0</v>
      </c>
      <c r="CE284" s="449">
        <f>'Fiche info Avenant 3'!$H$9</f>
        <v>0</v>
      </c>
      <c r="CF284" s="449">
        <f>'Fiche info Avenant 3'!$I$9</f>
        <v>0</v>
      </c>
      <c r="ED284" s="16" t="str">
        <f t="shared" si="64"/>
        <v>Fiche info Avenant 3A</v>
      </c>
      <c r="EE284" s="16" t="str">
        <f t="shared" si="66"/>
        <v>Fiche info Avenant 3</v>
      </c>
      <c r="EF284" s="16" t="str">
        <f t="shared" si="67"/>
        <v>A</v>
      </c>
      <c r="EG284" s="16">
        <f t="shared" si="68"/>
        <v>3</v>
      </c>
      <c r="EH284" s="16" t="str">
        <f t="shared" si="69"/>
        <v>Mercredi</v>
      </c>
      <c r="EI284" s="16" t="str">
        <f t="shared" si="70"/>
        <v/>
      </c>
      <c r="FB284" s="16" t="str">
        <f t="shared" si="73"/>
        <v/>
      </c>
      <c r="FC284" s="16" t="str">
        <f t="shared" si="74"/>
        <v/>
      </c>
      <c r="FD284" s="30">
        <f t="shared" si="65"/>
        <v>43862</v>
      </c>
      <c r="FE284" s="30" t="str">
        <f>+IFERROR(VLOOKUP(FD284,BDD,79,FALSE),"")</f>
        <v/>
      </c>
      <c r="FF284" s="30" t="str">
        <f>IFERROR(+VLOOKUP(FD284,BDD,80,FALSE),"")</f>
        <v/>
      </c>
      <c r="FG284" s="30" t="str">
        <f>+IFERROR(VLOOKUP(FD284,BDD,81,FALSE),"")</f>
        <v/>
      </c>
      <c r="FH284" s="30" t="str">
        <f>+IFERROR(VLOOKUP(FD284,BDD,82,FALSE),"")</f>
        <v/>
      </c>
      <c r="FW284" s="16" t="str">
        <f>Octobre!GB22</f>
        <v>402025</v>
      </c>
      <c r="FX284" s="16">
        <f>Octobre!GC22</f>
        <v>0</v>
      </c>
    </row>
    <row r="285" spans="1:180" x14ac:dyDescent="0.2">
      <c r="A285" s="16" t="str">
        <f t="shared" si="63"/>
        <v>Fiche info Avenant 3A4</v>
      </c>
      <c r="B285" s="16" t="str">
        <f t="shared" si="75"/>
        <v>Fiche info Avenant 3</v>
      </c>
      <c r="C285" s="27" t="s">
        <v>235</v>
      </c>
      <c r="D285" s="27">
        <v>4</v>
      </c>
      <c r="E285" s="16" t="s">
        <v>20</v>
      </c>
      <c r="F285" s="34" t="str">
        <f>IF('Fiche info Avenant 3'!$K$10=0,"",'Fiche info Avenant 3'!$K$10)</f>
        <v/>
      </c>
      <c r="G285" s="16">
        <f t="shared" si="71"/>
        <v>0</v>
      </c>
      <c r="BX285" s="16" t="str">
        <f t="shared" si="72"/>
        <v>Fiche info Avenant 3A4</v>
      </c>
      <c r="BY285" s="449">
        <f>'Fiche info Avenant 3'!$B$10</f>
        <v>0</v>
      </c>
      <c r="BZ285" s="449">
        <f>'Fiche info Avenant 3'!$C$10</f>
        <v>0</v>
      </c>
      <c r="CA285" s="449">
        <f>'Fiche info Avenant 3'!$D$10</f>
        <v>0</v>
      </c>
      <c r="CB285" s="449">
        <f>'Fiche info Avenant 3'!$E$10</f>
        <v>0</v>
      </c>
      <c r="CC285" s="449">
        <f>'Fiche info Avenant 3'!$F$10</f>
        <v>0</v>
      </c>
      <c r="CD285" s="449">
        <f>'Fiche info Avenant 3'!$G$10</f>
        <v>0</v>
      </c>
      <c r="CE285" s="449">
        <f>'Fiche info Avenant 3'!$H$10</f>
        <v>0</v>
      </c>
      <c r="CF285" s="449">
        <f>'Fiche info Avenant 3'!$I$10</f>
        <v>0</v>
      </c>
      <c r="ED285" s="16" t="str">
        <f t="shared" si="64"/>
        <v>Fiche info Avenant 3A</v>
      </c>
      <c r="EE285" s="16" t="str">
        <f t="shared" si="66"/>
        <v>Fiche info Avenant 3</v>
      </c>
      <c r="EF285" s="16" t="str">
        <f t="shared" si="67"/>
        <v>A</v>
      </c>
      <c r="EG285" s="16">
        <f t="shared" si="68"/>
        <v>4</v>
      </c>
      <c r="EH285" s="16" t="str">
        <f t="shared" si="69"/>
        <v>Jeudi</v>
      </c>
      <c r="EI285" s="16" t="str">
        <f t="shared" si="70"/>
        <v/>
      </c>
      <c r="FB285" s="16" t="str">
        <f t="shared" si="73"/>
        <v/>
      </c>
      <c r="FC285" s="16" t="str">
        <f t="shared" si="74"/>
        <v/>
      </c>
      <c r="FD285" s="30">
        <f t="shared" si="65"/>
        <v>43862</v>
      </c>
      <c r="FE285" s="30" t="str">
        <f>+IFERROR(VLOOKUP(FD285,BDD,83,FALSE),"")</f>
        <v/>
      </c>
      <c r="FF285" s="30" t="str">
        <f>+IFERROR(VLOOKUP(FD285,BDD,84,FALSE),"")</f>
        <v/>
      </c>
      <c r="FG285" s="30" t="str">
        <f>+IFERROR(VLOOKUP(FD285,BDD,85,FALSE),"")</f>
        <v/>
      </c>
      <c r="FH285" s="30" t="str">
        <f>+IFERROR(VLOOKUP(FD285,BDD,86,FALSE),"")</f>
        <v/>
      </c>
      <c r="FW285" s="16" t="str">
        <f>Octobre!GB23</f>
        <v>402025</v>
      </c>
      <c r="FX285" s="16">
        <f>Octobre!GC23</f>
        <v>0</v>
      </c>
    </row>
    <row r="286" spans="1:180" x14ac:dyDescent="0.2">
      <c r="A286" s="16" t="str">
        <f t="shared" si="63"/>
        <v>Fiche info Avenant 3A5</v>
      </c>
      <c r="B286" s="16" t="str">
        <f t="shared" si="75"/>
        <v>Fiche info Avenant 3</v>
      </c>
      <c r="C286" s="27" t="s">
        <v>235</v>
      </c>
      <c r="D286" s="27">
        <v>5</v>
      </c>
      <c r="E286" s="16" t="s">
        <v>21</v>
      </c>
      <c r="F286" s="34" t="str">
        <f>IF('Fiche info Avenant 3'!$K$11=0,"",'Fiche info Avenant 3'!$K$11)</f>
        <v/>
      </c>
      <c r="G286" s="16">
        <f t="shared" si="71"/>
        <v>0</v>
      </c>
      <c r="BX286" s="16" t="str">
        <f t="shared" si="72"/>
        <v>Fiche info Avenant 3A5</v>
      </c>
      <c r="BY286" s="449">
        <f>'Fiche info Avenant 3'!$B$11</f>
        <v>0</v>
      </c>
      <c r="BZ286" s="449">
        <f>'Fiche info Avenant 3'!$C$11</f>
        <v>0</v>
      </c>
      <c r="CA286" s="449">
        <f>'Fiche info Avenant 3'!$D$11</f>
        <v>0</v>
      </c>
      <c r="CB286" s="449">
        <f>'Fiche info Avenant 3'!$E$11</f>
        <v>0</v>
      </c>
      <c r="CC286" s="449">
        <f>'Fiche info Avenant 3'!$F$11</f>
        <v>0</v>
      </c>
      <c r="CD286" s="449">
        <f>'Fiche info Avenant 3'!$G$11</f>
        <v>0</v>
      </c>
      <c r="CE286" s="449">
        <f>'Fiche info Avenant 3'!$H$11</f>
        <v>0</v>
      </c>
      <c r="CF286" s="449">
        <f>'Fiche info Avenant 3'!$I$11</f>
        <v>0</v>
      </c>
      <c r="ED286" s="16" t="str">
        <f t="shared" si="64"/>
        <v>Fiche info Avenant 3A</v>
      </c>
      <c r="EE286" s="16" t="str">
        <f t="shared" si="66"/>
        <v>Fiche info Avenant 3</v>
      </c>
      <c r="EF286" s="16" t="str">
        <f t="shared" si="67"/>
        <v>A</v>
      </c>
      <c r="EG286" s="16">
        <f t="shared" si="68"/>
        <v>5</v>
      </c>
      <c r="EH286" s="16" t="str">
        <f t="shared" si="69"/>
        <v>Vendredi</v>
      </c>
      <c r="EI286" s="16" t="str">
        <f t="shared" si="70"/>
        <v/>
      </c>
      <c r="FB286" s="16" t="str">
        <f t="shared" si="73"/>
        <v/>
      </c>
      <c r="FC286" s="16" t="str">
        <f t="shared" si="74"/>
        <v/>
      </c>
      <c r="FD286" s="30">
        <f t="shared" si="65"/>
        <v>43831</v>
      </c>
      <c r="FE286" s="30" t="str">
        <f>+IFERROR(VLOOKUP(FD286,BDD,71,FALSE),"")</f>
        <v/>
      </c>
      <c r="FF286" s="30" t="str">
        <f>IFERROR(+VLOOKUP(FD286,BDD,72,FALSE),"")</f>
        <v/>
      </c>
      <c r="FG286" s="30" t="str">
        <f>+IFERROR(VLOOKUP(FD286,BDD,73,FALSE),"")</f>
        <v/>
      </c>
      <c r="FH286" s="30" t="str">
        <f>+IFERROR(VLOOKUP(FD286,BDD,74,FALSE),"")</f>
        <v/>
      </c>
      <c r="FW286" s="16" t="str">
        <f>Octobre!GB24</f>
        <v>402025</v>
      </c>
      <c r="FX286" s="16">
        <f>Octobre!GC24</f>
        <v>0</v>
      </c>
    </row>
    <row r="287" spans="1:180" x14ac:dyDescent="0.2">
      <c r="A287" s="16" t="str">
        <f t="shared" si="63"/>
        <v>Fiche info Avenant 3A6</v>
      </c>
      <c r="B287" s="16" t="str">
        <f t="shared" si="75"/>
        <v>Fiche info Avenant 3</v>
      </c>
      <c r="C287" s="27" t="s">
        <v>235</v>
      </c>
      <c r="D287" s="27">
        <v>6</v>
      </c>
      <c r="E287" s="16" t="s">
        <v>193</v>
      </c>
      <c r="F287" s="34" t="str">
        <f>IF('Fiche info Avenant 3'!$K$12=0,"",'Fiche info Avenant 3'!$K$12)</f>
        <v/>
      </c>
      <c r="G287" s="16">
        <f t="shared" si="71"/>
        <v>0</v>
      </c>
      <c r="BX287" s="16" t="str">
        <f t="shared" si="72"/>
        <v>Fiche info Avenant 3A6</v>
      </c>
      <c r="BY287" s="449">
        <f>'Fiche info Avenant 3'!$B$12</f>
        <v>0</v>
      </c>
      <c r="BZ287" s="449">
        <f>'Fiche info Avenant 3'!$C$12</f>
        <v>0</v>
      </c>
      <c r="CA287" s="449">
        <f>'Fiche info Avenant 3'!$D$12</f>
        <v>0</v>
      </c>
      <c r="CB287" s="449">
        <f>'Fiche info Avenant 3'!$E$12</f>
        <v>0</v>
      </c>
      <c r="CC287" s="449">
        <f>'Fiche info Avenant 3'!$F$12</f>
        <v>0</v>
      </c>
      <c r="CD287" s="449">
        <f>'Fiche info Avenant 3'!$G$12</f>
        <v>0</v>
      </c>
      <c r="CE287" s="449">
        <f>'Fiche info Avenant 3'!$H$12</f>
        <v>0</v>
      </c>
      <c r="CF287" s="449">
        <f>'Fiche info Avenant 3'!$I$12</f>
        <v>0</v>
      </c>
      <c r="ED287" s="16" t="str">
        <f t="shared" si="64"/>
        <v>Fiche info Avenant 3A</v>
      </c>
      <c r="EE287" s="16" t="str">
        <f t="shared" si="66"/>
        <v>Fiche info Avenant 3</v>
      </c>
      <c r="EF287" s="16" t="str">
        <f t="shared" si="67"/>
        <v>A</v>
      </c>
      <c r="EG287" s="16">
        <f t="shared" si="68"/>
        <v>6</v>
      </c>
      <c r="EH287" s="16" t="str">
        <f t="shared" si="69"/>
        <v>Samedi</v>
      </c>
      <c r="EI287" s="16" t="str">
        <f t="shared" si="70"/>
        <v/>
      </c>
      <c r="FB287" s="16" t="str">
        <f t="shared" si="73"/>
        <v/>
      </c>
      <c r="FC287" s="16" t="str">
        <f t="shared" si="74"/>
        <v/>
      </c>
      <c r="FD287" s="30">
        <f t="shared" si="65"/>
        <v>43831</v>
      </c>
      <c r="FE287" s="30" t="str">
        <f>+IFERROR(VLOOKUP(FD287,BDD,75,FALSE),"")</f>
        <v/>
      </c>
      <c r="FF287" s="30" t="str">
        <f>+IFERROR(VLOOKUP(FD287,BDD,76,FALSE),"")</f>
        <v/>
      </c>
      <c r="FG287" s="30" t="str">
        <f>IFERROR(+VLOOKUP(FD287,BDD,77,FALSE),"")</f>
        <v/>
      </c>
      <c r="FH287" s="30" t="str">
        <f>+IFERROR(VLOOKUP(FD287,BDD,78,FALSE),"")</f>
        <v/>
      </c>
      <c r="FW287" s="16" t="str">
        <f>Octobre!GB25</f>
        <v>412025</v>
      </c>
      <c r="FX287" s="16">
        <f>Octobre!GC25</f>
        <v>0</v>
      </c>
    </row>
    <row r="288" spans="1:180" x14ac:dyDescent="0.2">
      <c r="A288" s="16" t="str">
        <f t="shared" si="63"/>
        <v>Fiche info Avenant 3A7</v>
      </c>
      <c r="B288" s="16" t="str">
        <f t="shared" si="75"/>
        <v>Fiche info Avenant 3</v>
      </c>
      <c r="C288" s="27" t="s">
        <v>235</v>
      </c>
      <c r="D288" s="27">
        <v>7</v>
      </c>
      <c r="E288" s="16" t="s">
        <v>194</v>
      </c>
      <c r="F288" s="34" t="str">
        <f>IF('Fiche info Avenant 3'!$K$13=0,"",'Fiche info Avenant 3'!$K$13)</f>
        <v/>
      </c>
      <c r="G288" s="16">
        <f t="shared" si="71"/>
        <v>0</v>
      </c>
      <c r="BX288" s="16" t="str">
        <f t="shared" si="72"/>
        <v>Fiche info Avenant 3A7</v>
      </c>
      <c r="BY288" s="449">
        <f>'Fiche info Avenant 3'!$B$13</f>
        <v>0</v>
      </c>
      <c r="BZ288" s="449">
        <f>'Fiche info Avenant 3'!$C$13</f>
        <v>0</v>
      </c>
      <c r="CA288" s="449">
        <f>'Fiche info Avenant 3'!$D$13</f>
        <v>0</v>
      </c>
      <c r="CB288" s="449">
        <f>'Fiche info Avenant 3'!$E$13</f>
        <v>0</v>
      </c>
      <c r="CC288" s="449">
        <f>'Fiche info Avenant 3'!$F$13</f>
        <v>0</v>
      </c>
      <c r="CD288" s="449">
        <f>'Fiche info Avenant 3'!$G$13</f>
        <v>0</v>
      </c>
      <c r="CE288" s="449">
        <f>'Fiche info Avenant 3'!$H$13</f>
        <v>0</v>
      </c>
      <c r="CF288" s="449">
        <f>'Fiche info Avenant 3'!$I$13</f>
        <v>0</v>
      </c>
      <c r="ED288" s="16" t="str">
        <f t="shared" si="64"/>
        <v>Fiche info Avenant 3A</v>
      </c>
      <c r="EE288" s="16" t="str">
        <f t="shared" si="66"/>
        <v>Fiche info Avenant 3</v>
      </c>
      <c r="EF288" s="16" t="str">
        <f t="shared" si="67"/>
        <v>A</v>
      </c>
      <c r="EG288" s="16">
        <f t="shared" si="68"/>
        <v>7</v>
      </c>
      <c r="EH288" s="16" t="str">
        <f t="shared" si="69"/>
        <v>Dimanche</v>
      </c>
      <c r="EI288" s="16" t="str">
        <f t="shared" si="70"/>
        <v/>
      </c>
      <c r="FB288" s="16" t="str">
        <f t="shared" si="73"/>
        <v/>
      </c>
      <c r="FC288" s="16" t="str">
        <f t="shared" si="74"/>
        <v/>
      </c>
      <c r="FD288" s="30">
        <f t="shared" si="65"/>
        <v>43831</v>
      </c>
      <c r="FE288" s="30" t="str">
        <f>+IFERROR(VLOOKUP(FD288,BDD,79,FALSE),"")</f>
        <v/>
      </c>
      <c r="FF288" s="30" t="str">
        <f>IFERROR(+VLOOKUP(FD288,BDD,80,FALSE),"")</f>
        <v/>
      </c>
      <c r="FG288" s="30" t="str">
        <f>+IFERROR(VLOOKUP(FD288,BDD,81,FALSE),"")</f>
        <v/>
      </c>
      <c r="FH288" s="30" t="str">
        <f>+IFERROR(VLOOKUP(FD288,BDD,82,FALSE),"")</f>
        <v/>
      </c>
      <c r="FW288" s="16" t="str">
        <f>Octobre!GB26</f>
        <v>412025</v>
      </c>
      <c r="FX288" s="16">
        <f>Octobre!GC26</f>
        <v>0</v>
      </c>
    </row>
    <row r="289" spans="1:180" x14ac:dyDescent="0.2">
      <c r="A289" s="16" t="str">
        <f t="shared" si="63"/>
        <v>Fiche info Avenant 3B1</v>
      </c>
      <c r="B289" s="16" t="str">
        <f t="shared" si="75"/>
        <v>Fiche info Avenant 3</v>
      </c>
      <c r="C289" s="27" t="s">
        <v>236</v>
      </c>
      <c r="D289" s="27">
        <v>1</v>
      </c>
      <c r="E289" s="16" t="s">
        <v>17</v>
      </c>
      <c r="F289" s="34" t="str">
        <f>+IF('Fiche info Avenant 3'!$V$7=0,"",'Fiche info Avenant 3'!$V$7)</f>
        <v/>
      </c>
      <c r="G289" s="16">
        <f t="shared" si="71"/>
        <v>0</v>
      </c>
      <c r="BX289" s="16" t="str">
        <f t="shared" si="72"/>
        <v>Fiche info Avenant 3B1</v>
      </c>
      <c r="BY289" s="449">
        <f>'Fiche info Avenant 3'!$M$7</f>
        <v>0</v>
      </c>
      <c r="BZ289" s="449">
        <f>'Fiche info Avenant 3'!$N$7</f>
        <v>0</v>
      </c>
      <c r="CA289" s="449">
        <f>'Fiche info Avenant 3'!$O$7</f>
        <v>0</v>
      </c>
      <c r="CB289" s="449">
        <f>'Fiche info Avenant 3'!$P$7</f>
        <v>0</v>
      </c>
      <c r="CC289" s="449">
        <f>'Fiche info Avenant 3'!$Q$7</f>
        <v>0</v>
      </c>
      <c r="CD289" s="449">
        <f>'Fiche info Avenant 3'!$R$7</f>
        <v>0</v>
      </c>
      <c r="CE289" s="449">
        <f>'Fiche info Avenant 3'!$S$7</f>
        <v>0</v>
      </c>
      <c r="CF289" s="449">
        <f>'Fiche info Avenant 3'!$T$7</f>
        <v>0</v>
      </c>
      <c r="ED289" s="16" t="str">
        <f t="shared" si="64"/>
        <v>Fiche info Avenant 3B</v>
      </c>
      <c r="EE289" s="16" t="str">
        <f t="shared" si="66"/>
        <v>Fiche info Avenant 3</v>
      </c>
      <c r="EF289" s="16" t="str">
        <f t="shared" si="67"/>
        <v>B</v>
      </c>
      <c r="EG289" s="16">
        <f t="shared" si="68"/>
        <v>1</v>
      </c>
      <c r="EH289" s="16" t="str">
        <f t="shared" si="69"/>
        <v>Lundi</v>
      </c>
      <c r="EI289" s="16" t="str">
        <f t="shared" si="70"/>
        <v/>
      </c>
      <c r="FB289" s="16" t="str">
        <f t="shared" si="73"/>
        <v/>
      </c>
      <c r="FC289" s="16" t="str">
        <f t="shared" si="74"/>
        <v/>
      </c>
      <c r="FD289" s="30">
        <f t="shared" si="65"/>
        <v>43831</v>
      </c>
      <c r="FE289" s="30" t="str">
        <f>+IFERROR(VLOOKUP(FD289,BDD,83,FALSE),"")</f>
        <v/>
      </c>
      <c r="FF289" s="30" t="str">
        <f>+IFERROR(VLOOKUP(FD289,BDD,84,FALSE),"")</f>
        <v/>
      </c>
      <c r="FG289" s="30" t="str">
        <f>+IFERROR(VLOOKUP(FD289,BDD,85,FALSE),"")</f>
        <v/>
      </c>
      <c r="FH289" s="30" t="str">
        <f>+IFERROR(VLOOKUP(FD289,BDD,86,FALSE),"")</f>
        <v/>
      </c>
      <c r="FW289" s="16" t="str">
        <f>Octobre!GB27</f>
        <v>412025</v>
      </c>
      <c r="FX289" s="16">
        <f>Octobre!GC27</f>
        <v>0</v>
      </c>
    </row>
    <row r="290" spans="1:180" x14ac:dyDescent="0.2">
      <c r="A290" s="16" t="str">
        <f t="shared" si="63"/>
        <v>Fiche info Avenant 3B2</v>
      </c>
      <c r="B290" s="16" t="str">
        <f t="shared" si="75"/>
        <v>Fiche info Avenant 3</v>
      </c>
      <c r="C290" s="27" t="s">
        <v>236</v>
      </c>
      <c r="D290" s="27">
        <v>2</v>
      </c>
      <c r="E290" s="16" t="s">
        <v>18</v>
      </c>
      <c r="F290" s="34" t="str">
        <f>+IF('Fiche info Avenant 3'!$V$8=0,"",'Fiche info Avenant 3'!$V$8)</f>
        <v/>
      </c>
      <c r="G290" s="16">
        <f t="shared" si="71"/>
        <v>0</v>
      </c>
      <c r="BX290" s="16" t="str">
        <f t="shared" si="72"/>
        <v>Fiche info Avenant 3B2</v>
      </c>
      <c r="BY290" s="449">
        <f>'Fiche info Avenant 3'!$M$8</f>
        <v>0</v>
      </c>
      <c r="BZ290" s="449">
        <f>'Fiche info Avenant 3'!$N$8</f>
        <v>0</v>
      </c>
      <c r="CA290" s="449">
        <f>'Fiche info Avenant 3'!$O$8</f>
        <v>0</v>
      </c>
      <c r="CB290" s="449">
        <f>'Fiche info Avenant 3'!$P$8</f>
        <v>0</v>
      </c>
      <c r="CC290" s="449">
        <f>'Fiche info Avenant 3'!$Q$8</f>
        <v>0</v>
      </c>
      <c r="CD290" s="449">
        <f>'Fiche info Avenant 3'!$R$8</f>
        <v>0</v>
      </c>
      <c r="CE290" s="449">
        <f>'Fiche info Avenant 3'!$S$8</f>
        <v>0</v>
      </c>
      <c r="CF290" s="449">
        <f>'Fiche info Avenant 3'!$T$8</f>
        <v>0</v>
      </c>
      <c r="ED290" s="16" t="str">
        <f t="shared" si="64"/>
        <v>Fiche info Avenant 3B</v>
      </c>
      <c r="EE290" s="16" t="str">
        <f t="shared" si="66"/>
        <v>Fiche info Avenant 3</v>
      </c>
      <c r="EF290" s="16" t="str">
        <f t="shared" si="67"/>
        <v>B</v>
      </c>
      <c r="EG290" s="16">
        <f t="shared" si="68"/>
        <v>2</v>
      </c>
      <c r="EH290" s="16" t="str">
        <f t="shared" si="69"/>
        <v>Mardi</v>
      </c>
      <c r="EI290" s="16" t="str">
        <f t="shared" si="70"/>
        <v/>
      </c>
      <c r="FB290" s="16" t="str">
        <f t="shared" si="73"/>
        <v/>
      </c>
      <c r="FC290" s="16" t="str">
        <f t="shared" si="74"/>
        <v/>
      </c>
      <c r="FD290" s="30">
        <f t="shared" si="65"/>
        <v>43800</v>
      </c>
      <c r="FE290" s="30" t="str">
        <f>+IFERROR(VLOOKUP(FD290,BDD,71,FALSE),"")</f>
        <v/>
      </c>
      <c r="FF290" s="30" t="str">
        <f>IFERROR(+VLOOKUP(FD290,BDD,72,FALSE),"")</f>
        <v/>
      </c>
      <c r="FG290" s="30" t="str">
        <f>+IFERROR(VLOOKUP(FD290,BDD,73,FALSE),"")</f>
        <v/>
      </c>
      <c r="FH290" s="30" t="str">
        <f>+IFERROR(VLOOKUP(FD290,BDD,74,FALSE),"")</f>
        <v/>
      </c>
      <c r="FW290" s="16" t="str">
        <f>Octobre!GB28</f>
        <v>412025</v>
      </c>
      <c r="FX290" s="16">
        <f>Octobre!GC28</f>
        <v>0</v>
      </c>
    </row>
    <row r="291" spans="1:180" x14ac:dyDescent="0.2">
      <c r="A291" s="16" t="str">
        <f t="shared" si="63"/>
        <v>Fiche info Avenant 3B3</v>
      </c>
      <c r="B291" s="16" t="str">
        <f t="shared" si="75"/>
        <v>Fiche info Avenant 3</v>
      </c>
      <c r="C291" s="27" t="s">
        <v>236</v>
      </c>
      <c r="D291" s="27">
        <v>3</v>
      </c>
      <c r="E291" s="16" t="s">
        <v>19</v>
      </c>
      <c r="F291" s="34" t="str">
        <f>+IF('Fiche info Avenant 3'!$V$9=0,"",'Fiche info Avenant 3'!$V$9)</f>
        <v/>
      </c>
      <c r="G291" s="16">
        <f t="shared" si="71"/>
        <v>0</v>
      </c>
      <c r="BX291" s="16" t="str">
        <f t="shared" si="72"/>
        <v>Fiche info Avenant 3B3</v>
      </c>
      <c r="BY291" s="449">
        <f>'Fiche info Avenant 3'!$M$9</f>
        <v>0</v>
      </c>
      <c r="BZ291" s="449">
        <f>'Fiche info Avenant 3'!$N$9</f>
        <v>0</v>
      </c>
      <c r="CA291" s="449">
        <f>'Fiche info Avenant 3'!$O$9</f>
        <v>0</v>
      </c>
      <c r="CB291" s="449">
        <f>'Fiche info Avenant 3'!$P$9</f>
        <v>0</v>
      </c>
      <c r="CC291" s="449">
        <f>'Fiche info Avenant 3'!$Q$9</f>
        <v>0</v>
      </c>
      <c r="CD291" s="449">
        <f>'Fiche info Avenant 3'!$R$9</f>
        <v>0</v>
      </c>
      <c r="CE291" s="449">
        <f>'Fiche info Avenant 3'!$S$9</f>
        <v>0</v>
      </c>
      <c r="CF291" s="449">
        <f>'Fiche info Avenant 3'!$T$9</f>
        <v>0</v>
      </c>
      <c r="ED291" s="16" t="str">
        <f t="shared" si="64"/>
        <v>Fiche info Avenant 3B</v>
      </c>
      <c r="EE291" s="16" t="str">
        <f t="shared" si="66"/>
        <v>Fiche info Avenant 3</v>
      </c>
      <c r="EF291" s="16" t="str">
        <f t="shared" si="67"/>
        <v>B</v>
      </c>
      <c r="EG291" s="16">
        <f t="shared" si="68"/>
        <v>3</v>
      </c>
      <c r="EH291" s="16" t="str">
        <f t="shared" si="69"/>
        <v>Mercredi</v>
      </c>
      <c r="EI291" s="16" t="str">
        <f t="shared" si="70"/>
        <v/>
      </c>
      <c r="FB291" s="16" t="str">
        <f t="shared" si="73"/>
        <v/>
      </c>
      <c r="FC291" s="16" t="str">
        <f t="shared" si="74"/>
        <v/>
      </c>
      <c r="FD291" s="30">
        <f t="shared" si="65"/>
        <v>43800</v>
      </c>
      <c r="FE291" s="30" t="str">
        <f>+IFERROR(VLOOKUP(FD291,BDD,75,FALSE),"")</f>
        <v/>
      </c>
      <c r="FF291" s="30" t="str">
        <f>+IFERROR(VLOOKUP(FD291,BDD,76,FALSE),"")</f>
        <v/>
      </c>
      <c r="FG291" s="30" t="str">
        <f>IFERROR(+VLOOKUP(FD291,BDD,77,FALSE),"")</f>
        <v/>
      </c>
      <c r="FH291" s="30" t="str">
        <f>+IFERROR(VLOOKUP(FD291,BDD,78,FALSE),"")</f>
        <v/>
      </c>
      <c r="FW291" s="16" t="str">
        <f>Octobre!GB29</f>
        <v>412025</v>
      </c>
      <c r="FX291" s="16">
        <f>Octobre!GC29</f>
        <v>0</v>
      </c>
    </row>
    <row r="292" spans="1:180" x14ac:dyDescent="0.2">
      <c r="A292" s="16" t="str">
        <f t="shared" si="63"/>
        <v>Fiche info Avenant 3B4</v>
      </c>
      <c r="B292" s="16" t="str">
        <f t="shared" si="75"/>
        <v>Fiche info Avenant 3</v>
      </c>
      <c r="C292" s="27" t="s">
        <v>236</v>
      </c>
      <c r="D292" s="27">
        <v>4</v>
      </c>
      <c r="E292" s="16" t="s">
        <v>20</v>
      </c>
      <c r="F292" s="34" t="str">
        <f>+IF('Fiche info Avenant 3'!$V$10=0,"",'Fiche info Avenant 3'!$V$10)</f>
        <v/>
      </c>
      <c r="G292" s="16">
        <f t="shared" si="71"/>
        <v>0</v>
      </c>
      <c r="BX292" s="16" t="str">
        <f t="shared" si="72"/>
        <v>Fiche info Avenant 3B4</v>
      </c>
      <c r="BY292" s="449">
        <f>'Fiche info Avenant 3'!$M$10</f>
        <v>0</v>
      </c>
      <c r="BZ292" s="449">
        <f>'Fiche info Avenant 3'!$N$10</f>
        <v>0</v>
      </c>
      <c r="CA292" s="449">
        <f>'Fiche info Avenant 3'!$O$10</f>
        <v>0</v>
      </c>
      <c r="CB292" s="449">
        <f>'Fiche info Avenant 3'!$P$10</f>
        <v>0</v>
      </c>
      <c r="CC292" s="449">
        <f>'Fiche info Avenant 3'!$Q$10</f>
        <v>0</v>
      </c>
      <c r="CD292" s="449">
        <f>'Fiche info Avenant 3'!$R$10</f>
        <v>0</v>
      </c>
      <c r="CE292" s="449">
        <f>'Fiche info Avenant 3'!$S$10</f>
        <v>0</v>
      </c>
      <c r="CF292" s="449">
        <f>'Fiche info Avenant 3'!$T$10</f>
        <v>0</v>
      </c>
      <c r="ED292" s="16" t="str">
        <f t="shared" si="64"/>
        <v>Fiche info Avenant 3B</v>
      </c>
      <c r="EE292" s="16" t="str">
        <f t="shared" si="66"/>
        <v>Fiche info Avenant 3</v>
      </c>
      <c r="EF292" s="16" t="str">
        <f t="shared" si="67"/>
        <v>B</v>
      </c>
      <c r="EG292" s="16">
        <f t="shared" si="68"/>
        <v>4</v>
      </c>
      <c r="EH292" s="16" t="str">
        <f t="shared" si="69"/>
        <v>Jeudi</v>
      </c>
      <c r="EI292" s="16" t="str">
        <f t="shared" si="70"/>
        <v/>
      </c>
      <c r="FB292" s="16" t="str">
        <f t="shared" si="73"/>
        <v/>
      </c>
      <c r="FC292" s="16" t="str">
        <f t="shared" si="74"/>
        <v/>
      </c>
      <c r="FD292" s="30">
        <f t="shared" si="65"/>
        <v>43800</v>
      </c>
      <c r="FE292" s="30" t="str">
        <f>+IFERROR(VLOOKUP(FD292,BDD,79,FALSE),"")</f>
        <v/>
      </c>
      <c r="FF292" s="30" t="str">
        <f>IFERROR(+VLOOKUP(FD292,BDD,80,FALSE),"")</f>
        <v/>
      </c>
      <c r="FG292" s="30" t="str">
        <f>+IFERROR(VLOOKUP(FD292,BDD,81,FALSE),"")</f>
        <v/>
      </c>
      <c r="FH292" s="30" t="str">
        <f>+IFERROR(VLOOKUP(FD292,BDD,82,FALSE),"")</f>
        <v/>
      </c>
      <c r="FW292" s="16" t="str">
        <f>Octobre!GB30</f>
        <v>412025</v>
      </c>
      <c r="FX292" s="16">
        <f>Octobre!GC30</f>
        <v>0</v>
      </c>
    </row>
    <row r="293" spans="1:180" x14ac:dyDescent="0.2">
      <c r="A293" s="16" t="str">
        <f t="shared" si="63"/>
        <v>Fiche info Avenant 3B5</v>
      </c>
      <c r="B293" s="16" t="str">
        <f t="shared" si="75"/>
        <v>Fiche info Avenant 3</v>
      </c>
      <c r="C293" s="27" t="s">
        <v>236</v>
      </c>
      <c r="D293" s="27">
        <v>5</v>
      </c>
      <c r="E293" s="16" t="s">
        <v>21</v>
      </c>
      <c r="F293" s="34" t="str">
        <f>+IF('Fiche info Avenant 3'!$V$11=0,"",'Fiche info Avenant 3'!$V$11)</f>
        <v/>
      </c>
      <c r="G293" s="16">
        <f t="shared" si="71"/>
        <v>0</v>
      </c>
      <c r="BX293" s="16" t="str">
        <f t="shared" si="72"/>
        <v>Fiche info Avenant 3B5</v>
      </c>
      <c r="BY293" s="449">
        <f>'Fiche info Avenant 3'!$M$11</f>
        <v>0</v>
      </c>
      <c r="BZ293" s="449">
        <f>'Fiche info Avenant 3'!$N$11</f>
        <v>0</v>
      </c>
      <c r="CA293" s="449">
        <f>'Fiche info Avenant 3'!$O$11</f>
        <v>0</v>
      </c>
      <c r="CB293" s="449">
        <f>'Fiche info Avenant 3'!$P$11</f>
        <v>0</v>
      </c>
      <c r="CC293" s="449">
        <f>'Fiche info Avenant 3'!$Q$11</f>
        <v>0</v>
      </c>
      <c r="CD293" s="449">
        <f>'Fiche info Avenant 3'!$R$11</f>
        <v>0</v>
      </c>
      <c r="CE293" s="449">
        <f>'Fiche info Avenant 3'!$S$11</f>
        <v>0</v>
      </c>
      <c r="CF293" s="449">
        <f>'Fiche info Avenant 3'!$T$11</f>
        <v>0</v>
      </c>
      <c r="ED293" s="16" t="str">
        <f t="shared" si="64"/>
        <v>Fiche info Avenant 3B</v>
      </c>
      <c r="EE293" s="16" t="str">
        <f t="shared" si="66"/>
        <v>Fiche info Avenant 3</v>
      </c>
      <c r="EF293" s="16" t="str">
        <f t="shared" si="67"/>
        <v>B</v>
      </c>
      <c r="EG293" s="16">
        <f t="shared" si="68"/>
        <v>5</v>
      </c>
      <c r="EH293" s="16" t="str">
        <f t="shared" si="69"/>
        <v>Vendredi</v>
      </c>
      <c r="EI293" s="16" t="str">
        <f t="shared" si="70"/>
        <v/>
      </c>
      <c r="FB293" s="16" t="str">
        <f t="shared" si="73"/>
        <v/>
      </c>
      <c r="FC293" s="16" t="str">
        <f t="shared" si="74"/>
        <v/>
      </c>
      <c r="FD293" s="30">
        <f t="shared" si="65"/>
        <v>43800</v>
      </c>
      <c r="FE293" s="30" t="str">
        <f>+IFERROR(VLOOKUP(FD293,BDD,83,FALSE),"")</f>
        <v/>
      </c>
      <c r="FF293" s="30" t="str">
        <f>+IFERROR(VLOOKUP(FD293,BDD,84,FALSE),"")</f>
        <v/>
      </c>
      <c r="FG293" s="30" t="str">
        <f>+IFERROR(VLOOKUP(FD293,BDD,85,FALSE),"")</f>
        <v/>
      </c>
      <c r="FH293" s="30" t="str">
        <f>+IFERROR(VLOOKUP(FD293,BDD,86,FALSE),"")</f>
        <v/>
      </c>
      <c r="FW293" s="16" t="str">
        <f>Octobre!GB31</f>
        <v>412025</v>
      </c>
      <c r="FX293" s="16">
        <f>Octobre!GC31</f>
        <v>0</v>
      </c>
    </row>
    <row r="294" spans="1:180" x14ac:dyDescent="0.2">
      <c r="A294" s="16" t="str">
        <f t="shared" si="63"/>
        <v>Fiche info Avenant 3B6</v>
      </c>
      <c r="B294" s="16" t="str">
        <f t="shared" si="75"/>
        <v>Fiche info Avenant 3</v>
      </c>
      <c r="C294" s="27" t="s">
        <v>236</v>
      </c>
      <c r="D294" s="27">
        <v>6</v>
      </c>
      <c r="E294" s="16" t="s">
        <v>193</v>
      </c>
      <c r="F294" s="34" t="str">
        <f>+IF('Fiche info Avenant 3'!$V$12=0,"",'Fiche info Avenant 3'!$V$12)</f>
        <v/>
      </c>
      <c r="G294" s="16">
        <f t="shared" si="71"/>
        <v>0</v>
      </c>
      <c r="BX294" s="16" t="str">
        <f t="shared" si="72"/>
        <v>Fiche info Avenant 3B6</v>
      </c>
      <c r="BY294" s="449">
        <f>'Fiche info Avenant 3'!$M$12</f>
        <v>0</v>
      </c>
      <c r="BZ294" s="449">
        <f>'Fiche info Avenant 3'!$N$12</f>
        <v>0</v>
      </c>
      <c r="CA294" s="449">
        <f>'Fiche info Avenant 3'!$O$12</f>
        <v>0</v>
      </c>
      <c r="CB294" s="449">
        <f>'Fiche info Avenant 3'!$P$12</f>
        <v>0</v>
      </c>
      <c r="CC294" s="449">
        <f>'Fiche info Avenant 3'!$Q$12</f>
        <v>0</v>
      </c>
      <c r="CD294" s="449">
        <f>'Fiche info Avenant 3'!$R$12</f>
        <v>0</v>
      </c>
      <c r="CE294" s="449">
        <f>'Fiche info Avenant 3'!$S$12</f>
        <v>0</v>
      </c>
      <c r="CF294" s="449">
        <f>'Fiche info Avenant 3'!$T$12</f>
        <v>0</v>
      </c>
      <c r="ED294" s="16" t="str">
        <f t="shared" si="64"/>
        <v>Fiche info Avenant 3B</v>
      </c>
      <c r="EE294" s="16" t="str">
        <f t="shared" si="66"/>
        <v>Fiche info Avenant 3</v>
      </c>
      <c r="EF294" s="16" t="str">
        <f t="shared" si="67"/>
        <v>B</v>
      </c>
      <c r="EG294" s="16">
        <f t="shared" si="68"/>
        <v>6</v>
      </c>
      <c r="EH294" s="16" t="str">
        <f t="shared" si="69"/>
        <v>Samedi</v>
      </c>
      <c r="EI294" s="16" t="str">
        <f t="shared" si="70"/>
        <v/>
      </c>
      <c r="FB294" s="16" t="str">
        <f t="shared" si="73"/>
        <v/>
      </c>
      <c r="FC294" s="16" t="str">
        <f t="shared" si="74"/>
        <v/>
      </c>
      <c r="FD294" s="30">
        <f t="shared" si="65"/>
        <v>43770</v>
      </c>
      <c r="FE294" s="30" t="str">
        <f>+IFERROR(VLOOKUP(FD294,BDD,71,FALSE),"")</f>
        <v/>
      </c>
      <c r="FF294" s="30" t="str">
        <f>IFERROR(+VLOOKUP(FD294,BDD,72,FALSE),"")</f>
        <v/>
      </c>
      <c r="FG294" s="30" t="str">
        <f>+IFERROR(VLOOKUP(FD294,BDD,73,FALSE),"")</f>
        <v/>
      </c>
      <c r="FH294" s="30" t="str">
        <f>+IFERROR(VLOOKUP(FD294,BDD,74,FALSE),"")</f>
        <v/>
      </c>
      <c r="FW294" s="16" t="str">
        <f>Octobre!GB32</f>
        <v>422025</v>
      </c>
      <c r="FX294" s="16">
        <f>Octobre!GC32</f>
        <v>0</v>
      </c>
    </row>
    <row r="295" spans="1:180" x14ac:dyDescent="0.2">
      <c r="A295" s="16" t="str">
        <f t="shared" si="63"/>
        <v>Fiche info Avenant 3B7</v>
      </c>
      <c r="B295" s="16" t="str">
        <f t="shared" si="75"/>
        <v>Fiche info Avenant 3</v>
      </c>
      <c r="C295" s="27" t="s">
        <v>236</v>
      </c>
      <c r="D295" s="27">
        <v>7</v>
      </c>
      <c r="E295" s="16" t="s">
        <v>194</v>
      </c>
      <c r="F295" s="34" t="str">
        <f>+IF('Fiche info Avenant 3'!$V$13=0,"",'Fiche info Avenant 3'!$V$13)</f>
        <v/>
      </c>
      <c r="G295" s="16">
        <f t="shared" si="71"/>
        <v>0</v>
      </c>
      <c r="BX295" s="16" t="str">
        <f t="shared" si="72"/>
        <v>Fiche info Avenant 3B7</v>
      </c>
      <c r="BY295" s="449">
        <f>'Fiche info Avenant 3'!$M$13</f>
        <v>0</v>
      </c>
      <c r="BZ295" s="449">
        <f>'Fiche info Avenant 3'!$N$13</f>
        <v>0</v>
      </c>
      <c r="CA295" s="449">
        <f>'Fiche info Avenant 3'!$O$13</f>
        <v>0</v>
      </c>
      <c r="CB295" s="449">
        <f>'Fiche info Avenant 3'!$P$13</f>
        <v>0</v>
      </c>
      <c r="CC295" s="449">
        <f>'Fiche info Avenant 3'!$Q$13</f>
        <v>0</v>
      </c>
      <c r="CD295" s="449">
        <f>'Fiche info Avenant 3'!$R$13</f>
        <v>0</v>
      </c>
      <c r="CE295" s="449">
        <f>'Fiche info Avenant 3'!$S$13</f>
        <v>0</v>
      </c>
      <c r="CF295" s="449">
        <f>'Fiche info Avenant 3'!$T$13</f>
        <v>0</v>
      </c>
      <c r="ED295" s="16" t="str">
        <f t="shared" si="64"/>
        <v>Fiche info Avenant 3B</v>
      </c>
      <c r="EE295" s="16" t="str">
        <f t="shared" si="66"/>
        <v>Fiche info Avenant 3</v>
      </c>
      <c r="EF295" s="16" t="str">
        <f t="shared" si="67"/>
        <v>B</v>
      </c>
      <c r="EG295" s="16">
        <f t="shared" si="68"/>
        <v>7</v>
      </c>
      <c r="EH295" s="16" t="str">
        <f t="shared" si="69"/>
        <v>Dimanche</v>
      </c>
      <c r="EI295" s="16" t="str">
        <f t="shared" si="70"/>
        <v/>
      </c>
      <c r="FB295" s="16" t="str">
        <f t="shared" si="73"/>
        <v/>
      </c>
      <c r="FC295" s="16" t="str">
        <f t="shared" si="74"/>
        <v/>
      </c>
      <c r="FD295" s="30">
        <f t="shared" si="65"/>
        <v>43770</v>
      </c>
      <c r="FE295" s="30" t="str">
        <f>+IFERROR(VLOOKUP(FD295,BDD,75,FALSE),"")</f>
        <v/>
      </c>
      <c r="FF295" s="30" t="str">
        <f>+IFERROR(VLOOKUP(FD295,BDD,76,FALSE),"")</f>
        <v/>
      </c>
      <c r="FG295" s="30" t="str">
        <f>IFERROR(+VLOOKUP(FD295,BDD,77,FALSE),"")</f>
        <v/>
      </c>
      <c r="FH295" s="30" t="str">
        <f>+IFERROR(VLOOKUP(FD295,BDD,78,FALSE),"")</f>
        <v/>
      </c>
      <c r="FW295" s="16" t="str">
        <f>Octobre!GB33</f>
        <v>422025</v>
      </c>
      <c r="FX295" s="16">
        <f>Octobre!GC33</f>
        <v>0</v>
      </c>
    </row>
    <row r="296" spans="1:180" x14ac:dyDescent="0.2">
      <c r="A296" s="16" t="str">
        <f t="shared" si="63"/>
        <v>Fiche info Avenant 3C1</v>
      </c>
      <c r="B296" s="16" t="str">
        <f t="shared" si="75"/>
        <v>Fiche info Avenant 3</v>
      </c>
      <c r="C296" s="27" t="s">
        <v>241</v>
      </c>
      <c r="D296" s="27">
        <v>1</v>
      </c>
      <c r="E296" s="16" t="s">
        <v>17</v>
      </c>
      <c r="F296" s="34" t="str">
        <f>+IF('Fiche info Avenant 3'!$AG$7=0,"",'Fiche info Avenant 3'!$AG$7)</f>
        <v/>
      </c>
      <c r="G296" s="16">
        <f t="shared" si="71"/>
        <v>0</v>
      </c>
      <c r="BX296" s="16" t="str">
        <f t="shared" si="72"/>
        <v>Fiche info Avenant 3C1</v>
      </c>
      <c r="BY296" s="449">
        <f>'Fiche info Avenant 3'!$X$7</f>
        <v>0</v>
      </c>
      <c r="BZ296" s="449">
        <f>'Fiche info Avenant 3'!$Y$7</f>
        <v>0</v>
      </c>
      <c r="CA296" s="449">
        <f>'Fiche info Avenant 3'!$Z$7</f>
        <v>0</v>
      </c>
      <c r="CB296" s="449">
        <f>'Fiche info Avenant 3'!$AA$7</f>
        <v>0</v>
      </c>
      <c r="CC296" s="449">
        <f>'Fiche info Avenant 3'!$AB$7</f>
        <v>0</v>
      </c>
      <c r="CD296" s="449">
        <f>'Fiche info Avenant 3'!$AC$7</f>
        <v>0</v>
      </c>
      <c r="CE296" s="449">
        <f>'Fiche info Avenant 3'!$AD$7</f>
        <v>0</v>
      </c>
      <c r="CF296" s="449">
        <f>'Fiche info Avenant 3'!$AE$7</f>
        <v>0</v>
      </c>
      <c r="ED296" s="16" t="str">
        <f t="shared" si="64"/>
        <v>Fiche info Avenant 3C</v>
      </c>
      <c r="EE296" s="16" t="str">
        <f t="shared" si="66"/>
        <v>Fiche info Avenant 3</v>
      </c>
      <c r="EF296" s="16" t="str">
        <f t="shared" si="67"/>
        <v>C</v>
      </c>
      <c r="EG296" s="16">
        <f t="shared" si="68"/>
        <v>1</v>
      </c>
      <c r="EH296" s="16" t="str">
        <f t="shared" si="69"/>
        <v>Lundi</v>
      </c>
      <c r="EI296" s="16" t="str">
        <f t="shared" si="70"/>
        <v/>
      </c>
      <c r="FB296" s="16" t="str">
        <f t="shared" si="73"/>
        <v/>
      </c>
      <c r="FC296" s="16" t="str">
        <f t="shared" si="74"/>
        <v/>
      </c>
      <c r="FD296" s="30">
        <f t="shared" si="65"/>
        <v>43770</v>
      </c>
      <c r="FE296" s="30" t="str">
        <f>+IFERROR(VLOOKUP(FD296,BDD,79,FALSE),"")</f>
        <v/>
      </c>
      <c r="FF296" s="30" t="str">
        <f>IFERROR(+VLOOKUP(FD296,BDD,80,FALSE),"")</f>
        <v/>
      </c>
      <c r="FG296" s="30" t="str">
        <f>+IFERROR(VLOOKUP(FD296,BDD,81,FALSE),"")</f>
        <v/>
      </c>
      <c r="FH296" s="30" t="str">
        <f>+IFERROR(VLOOKUP(FD296,BDD,82,FALSE),"")</f>
        <v/>
      </c>
      <c r="FW296" s="16" t="str">
        <f>Octobre!GB34</f>
        <v>422025</v>
      </c>
      <c r="FX296" s="16">
        <f>Octobre!GC34</f>
        <v>0</v>
      </c>
    </row>
    <row r="297" spans="1:180" x14ac:dyDescent="0.2">
      <c r="A297" s="16" t="str">
        <f t="shared" si="63"/>
        <v>Fiche info Avenant 3C2</v>
      </c>
      <c r="B297" s="16" t="str">
        <f t="shared" si="75"/>
        <v>Fiche info Avenant 3</v>
      </c>
      <c r="C297" s="27" t="s">
        <v>241</v>
      </c>
      <c r="D297" s="27">
        <v>2</v>
      </c>
      <c r="E297" s="16" t="s">
        <v>18</v>
      </c>
      <c r="F297" s="34" t="str">
        <f>+IF('Fiche info Avenant 3'!$AG$8=0,"",'Fiche info Avenant 3'!$AG$8)</f>
        <v/>
      </c>
      <c r="G297" s="16">
        <f t="shared" si="71"/>
        <v>0</v>
      </c>
      <c r="BX297" s="16" t="str">
        <f t="shared" si="72"/>
        <v>Fiche info Avenant 3C2</v>
      </c>
      <c r="BY297" s="449">
        <f>'Fiche info Avenant 3'!$X$8</f>
        <v>0</v>
      </c>
      <c r="BZ297" s="449">
        <f>'Fiche info Avenant 3'!$Y$8</f>
        <v>0</v>
      </c>
      <c r="CA297" s="449">
        <f>'Fiche info Avenant 3'!$Z$8</f>
        <v>0</v>
      </c>
      <c r="CB297" s="449">
        <f>'Fiche info Avenant 3'!$AA$8</f>
        <v>0</v>
      </c>
      <c r="CC297" s="449">
        <f>'Fiche info Avenant 3'!$AB$8</f>
        <v>0</v>
      </c>
      <c r="CD297" s="449">
        <f>'Fiche info Avenant 3'!$AC$8</f>
        <v>0</v>
      </c>
      <c r="CE297" s="449">
        <f>'Fiche info Avenant 3'!$AD$8</f>
        <v>0</v>
      </c>
      <c r="CF297" s="449">
        <f>'Fiche info Avenant 3'!$AE$8</f>
        <v>0</v>
      </c>
      <c r="ED297" s="16" t="str">
        <f t="shared" si="64"/>
        <v>Fiche info Avenant 3C</v>
      </c>
      <c r="EE297" s="16" t="str">
        <f t="shared" si="66"/>
        <v>Fiche info Avenant 3</v>
      </c>
      <c r="EF297" s="16" t="str">
        <f t="shared" si="67"/>
        <v>C</v>
      </c>
      <c r="EG297" s="16">
        <f t="shared" si="68"/>
        <v>2</v>
      </c>
      <c r="EH297" s="16" t="str">
        <f t="shared" si="69"/>
        <v>Mardi</v>
      </c>
      <c r="EI297" s="16" t="str">
        <f t="shared" si="70"/>
        <v/>
      </c>
      <c r="FB297" s="16" t="str">
        <f t="shared" si="73"/>
        <v/>
      </c>
      <c r="FC297" s="16" t="str">
        <f t="shared" si="74"/>
        <v/>
      </c>
      <c r="FD297" s="30">
        <f t="shared" si="65"/>
        <v>43770</v>
      </c>
      <c r="FE297" s="30" t="str">
        <f>+IFERROR(VLOOKUP(FD297,BDD,83,FALSE),"")</f>
        <v/>
      </c>
      <c r="FF297" s="30" t="str">
        <f>+IFERROR(VLOOKUP(FD297,BDD,84,FALSE),"")</f>
        <v/>
      </c>
      <c r="FG297" s="30" t="str">
        <f>+IFERROR(VLOOKUP(FD297,BDD,85,FALSE),"")</f>
        <v/>
      </c>
      <c r="FH297" s="30" t="str">
        <f>+IFERROR(VLOOKUP(FD297,BDD,86,FALSE),"")</f>
        <v/>
      </c>
      <c r="FW297" s="16" t="str">
        <f>Octobre!GB35</f>
        <v>422025</v>
      </c>
      <c r="FX297" s="16">
        <f>Octobre!GC35</f>
        <v>0</v>
      </c>
    </row>
    <row r="298" spans="1:180" x14ac:dyDescent="0.2">
      <c r="A298" s="16" t="str">
        <f t="shared" si="63"/>
        <v>Fiche info Avenant 3C3</v>
      </c>
      <c r="B298" s="16" t="str">
        <f t="shared" si="75"/>
        <v>Fiche info Avenant 3</v>
      </c>
      <c r="C298" s="27" t="s">
        <v>241</v>
      </c>
      <c r="D298" s="27">
        <v>3</v>
      </c>
      <c r="E298" s="16" t="s">
        <v>19</v>
      </c>
      <c r="F298" s="34" t="str">
        <f>+IF('Fiche info Avenant 3'!$AG$9=0,"",'Fiche info Avenant 3'!$AG$9)</f>
        <v/>
      </c>
      <c r="G298" s="16">
        <f t="shared" si="71"/>
        <v>0</v>
      </c>
      <c r="BX298" s="16" t="str">
        <f t="shared" si="72"/>
        <v>Fiche info Avenant 3C3</v>
      </c>
      <c r="BY298" s="449">
        <f>'Fiche info Avenant 3'!$X$9</f>
        <v>0</v>
      </c>
      <c r="BZ298" s="449">
        <f>'Fiche info Avenant 3'!$Y$9</f>
        <v>0</v>
      </c>
      <c r="CA298" s="449">
        <f>'Fiche info Avenant 3'!$Z$9</f>
        <v>0</v>
      </c>
      <c r="CB298" s="449">
        <f>'Fiche info Avenant 3'!$AA$9</f>
        <v>0</v>
      </c>
      <c r="CC298" s="449">
        <f>'Fiche info Avenant 3'!$AB$9</f>
        <v>0</v>
      </c>
      <c r="CD298" s="449">
        <f>'Fiche info Avenant 3'!$AC$9</f>
        <v>0</v>
      </c>
      <c r="CE298" s="449">
        <f>'Fiche info Avenant 3'!$AD$9</f>
        <v>0</v>
      </c>
      <c r="CF298" s="449">
        <f>'Fiche info Avenant 3'!$AE$9</f>
        <v>0</v>
      </c>
      <c r="ED298" s="16" t="str">
        <f t="shared" si="64"/>
        <v>Fiche info Avenant 3C</v>
      </c>
      <c r="EE298" s="16" t="str">
        <f t="shared" si="66"/>
        <v>Fiche info Avenant 3</v>
      </c>
      <c r="EF298" s="16" t="str">
        <f t="shared" si="67"/>
        <v>C</v>
      </c>
      <c r="EG298" s="16">
        <f t="shared" si="68"/>
        <v>3</v>
      </c>
      <c r="EH298" s="16" t="str">
        <f t="shared" si="69"/>
        <v>Mercredi</v>
      </c>
      <c r="EI298" s="16" t="str">
        <f t="shared" si="70"/>
        <v/>
      </c>
      <c r="FB298" s="16" t="str">
        <f t="shared" si="73"/>
        <v/>
      </c>
      <c r="FC298" s="16" t="str">
        <f t="shared" si="74"/>
        <v/>
      </c>
      <c r="FD298" s="30">
        <f t="shared" si="65"/>
        <v>43739</v>
      </c>
      <c r="FE298" s="30" t="str">
        <f>+IFERROR(VLOOKUP(FD298,BDD,71,FALSE),"")</f>
        <v/>
      </c>
      <c r="FF298" s="30" t="str">
        <f>IFERROR(+VLOOKUP(FD298,BDD,72,FALSE),"")</f>
        <v/>
      </c>
      <c r="FG298" s="30" t="str">
        <f>+IFERROR(VLOOKUP(FD298,BDD,73,FALSE),"")</f>
        <v/>
      </c>
      <c r="FH298" s="30" t="str">
        <f>+IFERROR(VLOOKUP(FD298,BDD,74,FALSE),"")</f>
        <v/>
      </c>
      <c r="FW298" s="16" t="str">
        <f>Octobre!GB36</f>
        <v>422025</v>
      </c>
      <c r="FX298" s="16">
        <f>Octobre!GC36</f>
        <v>0</v>
      </c>
    </row>
    <row r="299" spans="1:180" x14ac:dyDescent="0.2">
      <c r="A299" s="16" t="str">
        <f t="shared" ref="A299:A362" si="76">+B299&amp;C299&amp;D299</f>
        <v>Fiche info Avenant 3C4</v>
      </c>
      <c r="B299" s="16" t="str">
        <f t="shared" si="75"/>
        <v>Fiche info Avenant 3</v>
      </c>
      <c r="C299" s="27" t="s">
        <v>241</v>
      </c>
      <c r="D299" s="27">
        <v>4</v>
      </c>
      <c r="E299" s="16" t="s">
        <v>20</v>
      </c>
      <c r="F299" s="34" t="str">
        <f>+IF('Fiche info Avenant 3'!$AG$10=0,"",'Fiche info Avenant 3'!$AG$10)</f>
        <v/>
      </c>
      <c r="G299" s="16">
        <f t="shared" si="71"/>
        <v>0</v>
      </c>
      <c r="BX299" s="16" t="str">
        <f t="shared" si="72"/>
        <v>Fiche info Avenant 3C4</v>
      </c>
      <c r="BY299" s="449">
        <f>'Fiche info Avenant 3'!$X$10</f>
        <v>0</v>
      </c>
      <c r="BZ299" s="449">
        <f>'Fiche info Avenant 3'!$Y$10</f>
        <v>0</v>
      </c>
      <c r="CA299" s="449">
        <f>'Fiche info Avenant 3'!$Z$10</f>
        <v>0</v>
      </c>
      <c r="CB299" s="449">
        <f>'Fiche info Avenant 3'!$AA$10</f>
        <v>0</v>
      </c>
      <c r="CC299" s="449">
        <f>'Fiche info Avenant 3'!$AB$10</f>
        <v>0</v>
      </c>
      <c r="CD299" s="449">
        <f>'Fiche info Avenant 3'!$AC$10</f>
        <v>0</v>
      </c>
      <c r="CE299" s="449">
        <f>'Fiche info Avenant 3'!$AD$10</f>
        <v>0</v>
      </c>
      <c r="CF299" s="449">
        <f>'Fiche info Avenant 3'!$AE$10</f>
        <v>0</v>
      </c>
      <c r="ED299" s="16" t="str">
        <f t="shared" si="64"/>
        <v>Fiche info Avenant 3C</v>
      </c>
      <c r="EE299" s="16" t="str">
        <f t="shared" si="66"/>
        <v>Fiche info Avenant 3</v>
      </c>
      <c r="EF299" s="16" t="str">
        <f t="shared" si="67"/>
        <v>C</v>
      </c>
      <c r="EG299" s="16">
        <f t="shared" si="68"/>
        <v>4</v>
      </c>
      <c r="EH299" s="16" t="str">
        <f t="shared" si="69"/>
        <v>Jeudi</v>
      </c>
      <c r="EI299" s="16" t="str">
        <f t="shared" si="70"/>
        <v/>
      </c>
      <c r="FB299" s="16" t="str">
        <f t="shared" si="73"/>
        <v/>
      </c>
      <c r="FC299" s="16" t="str">
        <f t="shared" si="74"/>
        <v/>
      </c>
      <c r="FD299" s="30">
        <f t="shared" si="65"/>
        <v>43739</v>
      </c>
      <c r="FE299" s="30" t="str">
        <f>+IFERROR(VLOOKUP(FD299,BDD,75,FALSE),"")</f>
        <v/>
      </c>
      <c r="FF299" s="30" t="str">
        <f>+IFERROR(VLOOKUP(FD299,BDD,76,FALSE),"")</f>
        <v/>
      </c>
      <c r="FG299" s="30" t="str">
        <f>IFERROR(+VLOOKUP(FD299,BDD,77,FALSE),"")</f>
        <v/>
      </c>
      <c r="FH299" s="30" t="str">
        <f>+IFERROR(VLOOKUP(FD299,BDD,78,FALSE),"")</f>
        <v/>
      </c>
      <c r="FW299" s="16" t="str">
        <f>Octobre!GB37</f>
        <v>422025</v>
      </c>
      <c r="FX299" s="16">
        <f>Octobre!GC37</f>
        <v>0</v>
      </c>
    </row>
    <row r="300" spans="1:180" x14ac:dyDescent="0.2">
      <c r="A300" s="16" t="str">
        <f t="shared" si="76"/>
        <v>Fiche info Avenant 3C5</v>
      </c>
      <c r="B300" s="16" t="str">
        <f t="shared" si="75"/>
        <v>Fiche info Avenant 3</v>
      </c>
      <c r="C300" s="27" t="s">
        <v>241</v>
      </c>
      <c r="D300" s="27">
        <v>5</v>
      </c>
      <c r="E300" s="16" t="s">
        <v>21</v>
      </c>
      <c r="F300" s="34" t="str">
        <f>+IF('Fiche info Avenant 3'!$AG$11=0,"",'Fiche info Avenant 3'!$AG$11)</f>
        <v/>
      </c>
      <c r="G300" s="16">
        <f t="shared" si="71"/>
        <v>0</v>
      </c>
      <c r="BX300" s="16" t="str">
        <f t="shared" si="72"/>
        <v>Fiche info Avenant 3C5</v>
      </c>
      <c r="BY300" s="449">
        <f>'Fiche info Avenant 3'!$X$11</f>
        <v>0</v>
      </c>
      <c r="BZ300" s="449">
        <f>'Fiche info Avenant 3'!$Y$11</f>
        <v>0</v>
      </c>
      <c r="CA300" s="449">
        <f>'Fiche info Avenant 3'!$Z$11</f>
        <v>0</v>
      </c>
      <c r="CB300" s="449">
        <f>'Fiche info Avenant 3'!$AA$11</f>
        <v>0</v>
      </c>
      <c r="CC300" s="449">
        <f>'Fiche info Avenant 3'!$AB$11</f>
        <v>0</v>
      </c>
      <c r="CD300" s="449">
        <f>'Fiche info Avenant 3'!$AC$11</f>
        <v>0</v>
      </c>
      <c r="CE300" s="449">
        <f>'Fiche info Avenant 3'!$AD$11</f>
        <v>0</v>
      </c>
      <c r="CF300" s="449">
        <f>'Fiche info Avenant 3'!$AE$11</f>
        <v>0</v>
      </c>
      <c r="ED300" s="16" t="str">
        <f t="shared" si="64"/>
        <v>Fiche info Avenant 3C</v>
      </c>
      <c r="EE300" s="16" t="str">
        <f t="shared" si="66"/>
        <v>Fiche info Avenant 3</v>
      </c>
      <c r="EF300" s="16" t="str">
        <f t="shared" si="67"/>
        <v>C</v>
      </c>
      <c r="EG300" s="16">
        <f t="shared" si="68"/>
        <v>5</v>
      </c>
      <c r="EH300" s="16" t="str">
        <f t="shared" si="69"/>
        <v>Vendredi</v>
      </c>
      <c r="EI300" s="16" t="str">
        <f t="shared" si="70"/>
        <v/>
      </c>
      <c r="FB300" s="16" t="str">
        <f t="shared" si="73"/>
        <v/>
      </c>
      <c r="FC300" s="16" t="str">
        <f t="shared" si="74"/>
        <v/>
      </c>
      <c r="FD300" s="30">
        <f t="shared" si="65"/>
        <v>43739</v>
      </c>
      <c r="FE300" s="30" t="str">
        <f>+IFERROR(VLOOKUP(FD300,BDD,79,FALSE),"")</f>
        <v/>
      </c>
      <c r="FF300" s="30" t="str">
        <f>IFERROR(+VLOOKUP(FD300,BDD,80,FALSE),"")</f>
        <v/>
      </c>
      <c r="FG300" s="30" t="str">
        <f>+IFERROR(VLOOKUP(FD300,BDD,81,FALSE),"")</f>
        <v/>
      </c>
      <c r="FH300" s="30" t="str">
        <f>+IFERROR(VLOOKUP(FD300,BDD,82,FALSE),"")</f>
        <v/>
      </c>
      <c r="FW300" s="16" t="str">
        <f>Octobre!GB38</f>
        <v>422025</v>
      </c>
      <c r="FX300" s="16">
        <f>Octobre!GC38</f>
        <v>0</v>
      </c>
    </row>
    <row r="301" spans="1:180" x14ac:dyDescent="0.2">
      <c r="A301" s="16" t="str">
        <f t="shared" si="76"/>
        <v>Fiche info Avenant 3C6</v>
      </c>
      <c r="B301" s="16" t="str">
        <f t="shared" si="75"/>
        <v>Fiche info Avenant 3</v>
      </c>
      <c r="C301" s="27" t="s">
        <v>241</v>
      </c>
      <c r="D301" s="27">
        <v>6</v>
      </c>
      <c r="E301" s="16" t="s">
        <v>193</v>
      </c>
      <c r="F301" s="34" t="str">
        <f>+IF('Fiche info Avenant 3'!$AG$12=0,"",'Fiche info Avenant 3'!$AG$12)</f>
        <v/>
      </c>
      <c r="G301" s="16">
        <f t="shared" si="71"/>
        <v>0</v>
      </c>
      <c r="BX301" s="16" t="str">
        <f t="shared" si="72"/>
        <v>Fiche info Avenant 3C6</v>
      </c>
      <c r="BY301" s="449">
        <f>'Fiche info Avenant 3'!$X$12</f>
        <v>0</v>
      </c>
      <c r="BZ301" s="449">
        <f>'Fiche info Avenant 3'!$Y$12</f>
        <v>0</v>
      </c>
      <c r="CA301" s="449">
        <f>'Fiche info Avenant 3'!$Z$12</f>
        <v>0</v>
      </c>
      <c r="CB301" s="449">
        <f>'Fiche info Avenant 3'!$AA$12</f>
        <v>0</v>
      </c>
      <c r="CC301" s="449">
        <f>'Fiche info Avenant 3'!$AB$12</f>
        <v>0</v>
      </c>
      <c r="CD301" s="449">
        <f>'Fiche info Avenant 3'!$AC$12</f>
        <v>0</v>
      </c>
      <c r="CE301" s="449">
        <f>'Fiche info Avenant 3'!$AD$12</f>
        <v>0</v>
      </c>
      <c r="CF301" s="449">
        <f>'Fiche info Avenant 3'!$AE$12</f>
        <v>0</v>
      </c>
      <c r="ED301" s="16" t="str">
        <f t="shared" si="64"/>
        <v>Fiche info Avenant 3C</v>
      </c>
      <c r="EE301" s="16" t="str">
        <f t="shared" si="66"/>
        <v>Fiche info Avenant 3</v>
      </c>
      <c r="EF301" s="16" t="str">
        <f t="shared" si="67"/>
        <v>C</v>
      </c>
      <c r="EG301" s="16">
        <f t="shared" si="68"/>
        <v>6</v>
      </c>
      <c r="EH301" s="16" t="str">
        <f t="shared" si="69"/>
        <v>Samedi</v>
      </c>
      <c r="EI301" s="16" t="str">
        <f t="shared" si="70"/>
        <v/>
      </c>
      <c r="FB301" s="16" t="str">
        <f t="shared" si="73"/>
        <v/>
      </c>
      <c r="FC301" s="16" t="str">
        <f t="shared" si="74"/>
        <v/>
      </c>
      <c r="FD301" s="30">
        <f t="shared" si="65"/>
        <v>43739</v>
      </c>
      <c r="FE301" s="30" t="str">
        <f>+IFERROR(VLOOKUP(FD301,BDD,83,FALSE),"")</f>
        <v/>
      </c>
      <c r="FF301" s="30" t="str">
        <f>+IFERROR(VLOOKUP(FD301,BDD,84,FALSE),"")</f>
        <v/>
      </c>
      <c r="FG301" s="30" t="str">
        <f>+IFERROR(VLOOKUP(FD301,BDD,85,FALSE),"")</f>
        <v/>
      </c>
      <c r="FH301" s="30" t="str">
        <f>+IFERROR(VLOOKUP(FD301,BDD,86,FALSE),"")</f>
        <v/>
      </c>
      <c r="FW301" s="16" t="str">
        <f>Octobre!GB39</f>
        <v>432025</v>
      </c>
      <c r="FX301" s="16">
        <f>Octobre!GC39</f>
        <v>0</v>
      </c>
    </row>
    <row r="302" spans="1:180" x14ac:dyDescent="0.2">
      <c r="A302" s="16" t="str">
        <f t="shared" si="76"/>
        <v>Fiche info Avenant 3C7</v>
      </c>
      <c r="B302" s="16" t="str">
        <f t="shared" si="75"/>
        <v>Fiche info Avenant 3</v>
      </c>
      <c r="C302" s="27" t="s">
        <v>241</v>
      </c>
      <c r="D302" s="27">
        <v>7</v>
      </c>
      <c r="E302" s="16" t="s">
        <v>194</v>
      </c>
      <c r="F302" s="34" t="str">
        <f>+IF('Fiche info Avenant 3'!$AG$13=0,"",'Fiche info Avenant 3'!$AG$13)</f>
        <v/>
      </c>
      <c r="G302" s="16">
        <f t="shared" si="71"/>
        <v>0</v>
      </c>
      <c r="BX302" s="16" t="str">
        <f t="shared" si="72"/>
        <v>Fiche info Avenant 3C7</v>
      </c>
      <c r="BY302" s="449">
        <f>'Fiche info Avenant 3'!$X$13</f>
        <v>0</v>
      </c>
      <c r="BZ302" s="449">
        <f>'Fiche info Avenant 3'!$Y$13</f>
        <v>0</v>
      </c>
      <c r="CA302" s="449">
        <f>'Fiche info Avenant 3'!$Z$13</f>
        <v>0</v>
      </c>
      <c r="CB302" s="449">
        <f>'Fiche info Avenant 3'!$AA$13</f>
        <v>0</v>
      </c>
      <c r="CC302" s="449">
        <f>'Fiche info Avenant 3'!$AB$13</f>
        <v>0</v>
      </c>
      <c r="CD302" s="449">
        <f>'Fiche info Avenant 3'!$AC$13</f>
        <v>0</v>
      </c>
      <c r="CE302" s="449">
        <f>'Fiche info Avenant 3'!$AD$13</f>
        <v>0</v>
      </c>
      <c r="CF302" s="449">
        <f>'Fiche info Avenant 3'!$AE$13</f>
        <v>0</v>
      </c>
      <c r="ED302" s="16" t="str">
        <f t="shared" si="64"/>
        <v>Fiche info Avenant 3C</v>
      </c>
      <c r="EE302" s="16" t="str">
        <f t="shared" si="66"/>
        <v>Fiche info Avenant 3</v>
      </c>
      <c r="EF302" s="16" t="str">
        <f t="shared" si="67"/>
        <v>C</v>
      </c>
      <c r="EG302" s="16">
        <f t="shared" si="68"/>
        <v>7</v>
      </c>
      <c r="EH302" s="16" t="str">
        <f t="shared" si="69"/>
        <v>Dimanche</v>
      </c>
      <c r="EI302" s="16" t="str">
        <f t="shared" si="70"/>
        <v/>
      </c>
      <c r="FB302" s="16" t="str">
        <f t="shared" si="73"/>
        <v/>
      </c>
      <c r="FC302" s="16" t="str">
        <f t="shared" si="74"/>
        <v/>
      </c>
      <c r="FD302" s="30">
        <f t="shared" si="65"/>
        <v>43709</v>
      </c>
      <c r="FE302" s="30" t="str">
        <f>+IFERROR(VLOOKUP(FD302,BDD,71,FALSE),"")</f>
        <v/>
      </c>
      <c r="FF302" s="30" t="str">
        <f>IFERROR(+VLOOKUP(FD302,BDD,72,FALSE),"")</f>
        <v/>
      </c>
      <c r="FG302" s="30" t="str">
        <f>+IFERROR(VLOOKUP(FD302,BDD,73,FALSE),"")</f>
        <v/>
      </c>
      <c r="FH302" s="30" t="str">
        <f>+IFERROR(VLOOKUP(FD302,BDD,74,FALSE),"")</f>
        <v/>
      </c>
      <c r="FW302" s="16" t="str">
        <f>Octobre!GB40</f>
        <v>432025</v>
      </c>
      <c r="FX302" s="16">
        <f>Octobre!GC40</f>
        <v>0</v>
      </c>
    </row>
    <row r="303" spans="1:180" x14ac:dyDescent="0.2">
      <c r="A303" s="16" t="str">
        <f t="shared" si="76"/>
        <v>Fiche info Avenant 3D1</v>
      </c>
      <c r="B303" s="16" t="str">
        <f t="shared" si="75"/>
        <v>Fiche info Avenant 3</v>
      </c>
      <c r="C303" s="27" t="s">
        <v>242</v>
      </c>
      <c r="D303" s="27">
        <v>1</v>
      </c>
      <c r="E303" s="16" t="s">
        <v>17</v>
      </c>
      <c r="F303" s="34" t="str">
        <f>+IF('Fiche info Avenant 3'!$AR$7=0,"",'Fiche info Avenant 3'!$AR$7)</f>
        <v/>
      </c>
      <c r="G303" s="16">
        <f t="shared" si="71"/>
        <v>0</v>
      </c>
      <c r="BX303" s="16" t="str">
        <f t="shared" si="72"/>
        <v>Fiche info Avenant 3D1</v>
      </c>
      <c r="BY303" s="449">
        <f>'Fiche info Avenant 3'!$AI$7</f>
        <v>0</v>
      </c>
      <c r="BZ303" s="449">
        <f>'Fiche info Avenant 3'!$AJ$7</f>
        <v>0</v>
      </c>
      <c r="CA303" s="449">
        <f>'Fiche info Avenant 3'!$AK$7</f>
        <v>0</v>
      </c>
      <c r="CB303" s="449">
        <f>'Fiche info Avenant 3'!$AL$7</f>
        <v>0</v>
      </c>
      <c r="CC303" s="449">
        <f>'Fiche info Avenant 3'!$AM$7</f>
        <v>0</v>
      </c>
      <c r="CD303" s="449">
        <f>'Fiche info Avenant 3'!$AN$7</f>
        <v>0</v>
      </c>
      <c r="CE303" s="449">
        <f>'Fiche info Avenant 3'!$AO$7</f>
        <v>0</v>
      </c>
      <c r="CF303" s="449">
        <f>'Fiche info Avenant 3'!$AP$7</f>
        <v>0</v>
      </c>
      <c r="ED303" s="16" t="str">
        <f t="shared" si="64"/>
        <v>Fiche info Avenant 3D</v>
      </c>
      <c r="EE303" s="16" t="str">
        <f t="shared" si="66"/>
        <v>Fiche info Avenant 3</v>
      </c>
      <c r="EF303" s="16" t="str">
        <f t="shared" si="67"/>
        <v>D</v>
      </c>
      <c r="EG303" s="16">
        <f t="shared" si="68"/>
        <v>1</v>
      </c>
      <c r="EH303" s="16" t="str">
        <f t="shared" si="69"/>
        <v>Lundi</v>
      </c>
      <c r="EI303" s="16" t="str">
        <f t="shared" si="70"/>
        <v/>
      </c>
      <c r="FB303" s="16" t="str">
        <f t="shared" si="73"/>
        <v/>
      </c>
      <c r="FC303" s="16" t="str">
        <f t="shared" si="74"/>
        <v/>
      </c>
      <c r="FD303" s="30">
        <f t="shared" si="65"/>
        <v>43709</v>
      </c>
      <c r="FE303" s="30" t="str">
        <f>+IFERROR(VLOOKUP(FD303,BDD,75,FALSE),"")</f>
        <v/>
      </c>
      <c r="FF303" s="30" t="str">
        <f>+IFERROR(VLOOKUP(FD303,BDD,76,FALSE),"")</f>
        <v/>
      </c>
      <c r="FG303" s="30" t="str">
        <f>IFERROR(+VLOOKUP(FD303,BDD,77,FALSE),"")</f>
        <v/>
      </c>
      <c r="FH303" s="30" t="str">
        <f>+IFERROR(VLOOKUP(FD303,BDD,78,FALSE),"")</f>
        <v/>
      </c>
      <c r="FW303" s="16" t="str">
        <f>Octobre!GB41</f>
        <v>432025</v>
      </c>
      <c r="FX303" s="16">
        <f>Octobre!GC41</f>
        <v>0</v>
      </c>
    </row>
    <row r="304" spans="1:180" x14ac:dyDescent="0.2">
      <c r="A304" s="16" t="str">
        <f t="shared" si="76"/>
        <v>Fiche info Avenant 3D2</v>
      </c>
      <c r="B304" s="16" t="str">
        <f t="shared" si="75"/>
        <v>Fiche info Avenant 3</v>
      </c>
      <c r="C304" s="27" t="s">
        <v>242</v>
      </c>
      <c r="D304" s="27">
        <v>2</v>
      </c>
      <c r="E304" s="16" t="s">
        <v>18</v>
      </c>
      <c r="F304" s="34" t="str">
        <f>IF(+'Fiche info Avenant 3'!$AR$8=0,"",'Fiche info Avenant 3'!$AR$8)</f>
        <v/>
      </c>
      <c r="G304" s="16">
        <f t="shared" si="71"/>
        <v>0</v>
      </c>
      <c r="BX304" s="16" t="str">
        <f t="shared" si="72"/>
        <v>Fiche info Avenant 3D2</v>
      </c>
      <c r="BY304" s="449">
        <f>'Fiche info Avenant 3'!$AI$8</f>
        <v>0</v>
      </c>
      <c r="BZ304" s="449">
        <f>'Fiche info Avenant 3'!$AJ$8</f>
        <v>0</v>
      </c>
      <c r="CA304" s="449">
        <f>'Fiche info Avenant 3'!$AK$8</f>
        <v>0</v>
      </c>
      <c r="CB304" s="449">
        <f>'Fiche info Avenant 3'!$AL$8</f>
        <v>0</v>
      </c>
      <c r="CC304" s="449">
        <f>'Fiche info Avenant 3'!$AM$8</f>
        <v>0</v>
      </c>
      <c r="CD304" s="449">
        <f>'Fiche info Avenant 3'!$AN$8</f>
        <v>0</v>
      </c>
      <c r="CE304" s="449">
        <f>'Fiche info Avenant 3'!$AO$8</f>
        <v>0</v>
      </c>
      <c r="CF304" s="449">
        <f>'Fiche info Avenant 3'!$AP$8</f>
        <v>0</v>
      </c>
      <c r="ED304" s="16" t="str">
        <f t="shared" si="64"/>
        <v>Fiche info Avenant 3D</v>
      </c>
      <c r="EE304" s="16" t="str">
        <f t="shared" si="66"/>
        <v>Fiche info Avenant 3</v>
      </c>
      <c r="EF304" s="16" t="str">
        <f t="shared" si="67"/>
        <v>D</v>
      </c>
      <c r="EG304" s="16">
        <f t="shared" si="68"/>
        <v>2</v>
      </c>
      <c r="EH304" s="16" t="str">
        <f t="shared" si="69"/>
        <v>Mardi</v>
      </c>
      <c r="EI304" s="16" t="str">
        <f t="shared" si="70"/>
        <v/>
      </c>
      <c r="FB304" s="16" t="str">
        <f t="shared" si="73"/>
        <v/>
      </c>
      <c r="FC304" s="16" t="str">
        <f t="shared" si="74"/>
        <v/>
      </c>
      <c r="FD304" s="30">
        <f t="shared" si="65"/>
        <v>43709</v>
      </c>
      <c r="FE304" s="30" t="str">
        <f>+IFERROR(VLOOKUP(FD304,BDD,79,FALSE),"")</f>
        <v/>
      </c>
      <c r="FF304" s="30" t="str">
        <f>IFERROR(+VLOOKUP(FD304,BDD,80,FALSE),"")</f>
        <v/>
      </c>
      <c r="FG304" s="30" t="str">
        <f>+IFERROR(VLOOKUP(FD304,BDD,81,FALSE),"")</f>
        <v/>
      </c>
      <c r="FH304" s="30" t="str">
        <f>+IFERROR(VLOOKUP(FD304,BDD,82,FALSE),"")</f>
        <v/>
      </c>
      <c r="FW304" s="16" t="str">
        <f>Octobre!GB42</f>
        <v>432025</v>
      </c>
      <c r="FX304" s="16">
        <f>Octobre!GC42</f>
        <v>0</v>
      </c>
    </row>
    <row r="305" spans="1:180" x14ac:dyDescent="0.2">
      <c r="A305" s="16" t="str">
        <f t="shared" si="76"/>
        <v>Fiche info Avenant 3D3</v>
      </c>
      <c r="B305" s="16" t="str">
        <f t="shared" si="75"/>
        <v>Fiche info Avenant 3</v>
      </c>
      <c r="C305" s="27" t="s">
        <v>242</v>
      </c>
      <c r="D305" s="27">
        <v>3</v>
      </c>
      <c r="E305" s="16" t="s">
        <v>19</v>
      </c>
      <c r="F305" s="34" t="str">
        <f>IF(+'Fiche info Avenant 3'!$AR$9=0,"",'Fiche info Avenant 3'!$AR$9)</f>
        <v/>
      </c>
      <c r="G305" s="16">
        <f t="shared" si="71"/>
        <v>0</v>
      </c>
      <c r="BX305" s="16" t="str">
        <f t="shared" si="72"/>
        <v>Fiche info Avenant 3D3</v>
      </c>
      <c r="BY305" s="449">
        <f>'Fiche info Avenant 3'!$AI$9</f>
        <v>0</v>
      </c>
      <c r="BZ305" s="449">
        <f>'Fiche info Avenant 3'!$AJ$9</f>
        <v>0</v>
      </c>
      <c r="CA305" s="449">
        <f>'Fiche info Avenant 3'!$AK$9</f>
        <v>0</v>
      </c>
      <c r="CB305" s="449">
        <f>'Fiche info Avenant 3'!$AL$9</f>
        <v>0</v>
      </c>
      <c r="CC305" s="449">
        <f>'Fiche info Avenant 3'!$AM$9</f>
        <v>0</v>
      </c>
      <c r="CD305" s="449">
        <f>'Fiche info Avenant 3'!$AN$9</f>
        <v>0</v>
      </c>
      <c r="CE305" s="449">
        <f>'Fiche info Avenant 3'!$AO$9</f>
        <v>0</v>
      </c>
      <c r="CF305" s="449">
        <f>'Fiche info Avenant 3'!$AP$9</f>
        <v>0</v>
      </c>
      <c r="ED305" s="16" t="str">
        <f t="shared" si="64"/>
        <v>Fiche info Avenant 3D</v>
      </c>
      <c r="EE305" s="16" t="str">
        <f t="shared" si="66"/>
        <v>Fiche info Avenant 3</v>
      </c>
      <c r="EF305" s="16" t="str">
        <f t="shared" si="67"/>
        <v>D</v>
      </c>
      <c r="EG305" s="16">
        <f t="shared" si="68"/>
        <v>3</v>
      </c>
      <c r="EH305" s="16" t="str">
        <f t="shared" si="69"/>
        <v>Mercredi</v>
      </c>
      <c r="EI305" s="16" t="str">
        <f t="shared" si="70"/>
        <v/>
      </c>
      <c r="FB305" s="16" t="str">
        <f t="shared" si="73"/>
        <v/>
      </c>
      <c r="FC305" s="16" t="str">
        <f t="shared" si="74"/>
        <v/>
      </c>
      <c r="FD305" s="30">
        <f t="shared" si="65"/>
        <v>43709</v>
      </c>
      <c r="FE305" s="30" t="str">
        <f>+IFERROR(VLOOKUP(FD305,BDD,83,FALSE),"")</f>
        <v/>
      </c>
      <c r="FF305" s="30" t="str">
        <f>+IFERROR(VLOOKUP(FD305,BDD,84,FALSE),"")</f>
        <v/>
      </c>
      <c r="FG305" s="30" t="str">
        <f>+IFERROR(VLOOKUP(FD305,BDD,85,FALSE),"")</f>
        <v/>
      </c>
      <c r="FH305" s="30" t="str">
        <f>+IFERROR(VLOOKUP(FD305,BDD,86,FALSE),"")</f>
        <v/>
      </c>
      <c r="FW305" s="16" t="str">
        <f>Octobre!GB43</f>
        <v>432025</v>
      </c>
      <c r="FX305" s="16">
        <f>Octobre!GC43</f>
        <v>0</v>
      </c>
    </row>
    <row r="306" spans="1:180" x14ac:dyDescent="0.2">
      <c r="A306" s="16" t="str">
        <f t="shared" si="76"/>
        <v>Fiche info Avenant 3D4</v>
      </c>
      <c r="B306" s="16" t="str">
        <f t="shared" si="75"/>
        <v>Fiche info Avenant 3</v>
      </c>
      <c r="C306" s="27" t="s">
        <v>242</v>
      </c>
      <c r="D306" s="27">
        <v>4</v>
      </c>
      <c r="E306" s="16" t="s">
        <v>20</v>
      </c>
      <c r="F306" s="34" t="str">
        <f>IF(+'Fiche info Avenant 3'!$AR$10=0,"",'Fiche info Avenant 3'!$AR$10)</f>
        <v/>
      </c>
      <c r="G306" s="16">
        <f t="shared" si="71"/>
        <v>0</v>
      </c>
      <c r="BX306" s="16" t="str">
        <f t="shared" si="72"/>
        <v>Fiche info Avenant 3D4</v>
      </c>
      <c r="BY306" s="449">
        <f>'Fiche info Avenant 3'!$AI$10</f>
        <v>0</v>
      </c>
      <c r="BZ306" s="449">
        <f>'Fiche info Avenant 3'!$AJ$10</f>
        <v>0</v>
      </c>
      <c r="CA306" s="449">
        <f>'Fiche info Avenant 3'!$AK$10</f>
        <v>0</v>
      </c>
      <c r="CB306" s="449">
        <f>'Fiche info Avenant 3'!$AL$10</f>
        <v>0</v>
      </c>
      <c r="CC306" s="449">
        <f>'Fiche info Avenant 3'!$AM$10</f>
        <v>0</v>
      </c>
      <c r="CD306" s="449">
        <f>'Fiche info Avenant 3'!$AN$10</f>
        <v>0</v>
      </c>
      <c r="CE306" s="449">
        <f>'Fiche info Avenant 3'!$AO$10</f>
        <v>0</v>
      </c>
      <c r="CF306" s="449">
        <f>'Fiche info Avenant 3'!$AP$10</f>
        <v>0</v>
      </c>
      <c r="ED306" s="16" t="str">
        <f t="shared" si="64"/>
        <v>Fiche info Avenant 3D</v>
      </c>
      <c r="EE306" s="16" t="str">
        <f t="shared" si="66"/>
        <v>Fiche info Avenant 3</v>
      </c>
      <c r="EF306" s="16" t="str">
        <f t="shared" si="67"/>
        <v>D</v>
      </c>
      <c r="EG306" s="16">
        <f t="shared" si="68"/>
        <v>4</v>
      </c>
      <c r="EH306" s="16" t="str">
        <f t="shared" si="69"/>
        <v>Jeudi</v>
      </c>
      <c r="EI306" s="16" t="str">
        <f t="shared" si="70"/>
        <v/>
      </c>
      <c r="FB306" s="16" t="str">
        <f t="shared" si="73"/>
        <v/>
      </c>
      <c r="FC306" s="16" t="str">
        <f t="shared" si="74"/>
        <v/>
      </c>
      <c r="FD306" s="30">
        <f t="shared" si="65"/>
        <v>43678</v>
      </c>
      <c r="FE306" s="30" t="str">
        <f>+IFERROR(VLOOKUP(FD306,BDD,71,FALSE),"")</f>
        <v/>
      </c>
      <c r="FF306" s="30" t="str">
        <f>IFERROR(+VLOOKUP(FD306,BDD,72,FALSE),"")</f>
        <v/>
      </c>
      <c r="FG306" s="30" t="str">
        <f>+IFERROR(VLOOKUP(FD306,BDD,73,FALSE),"")</f>
        <v/>
      </c>
      <c r="FH306" s="30" t="str">
        <f>+IFERROR(VLOOKUP(FD306,BDD,74,FALSE),"")</f>
        <v/>
      </c>
      <c r="FW306" s="16" t="str">
        <f>Octobre!GB44</f>
        <v>432025</v>
      </c>
      <c r="FX306" s="16">
        <f>Octobre!GC44</f>
        <v>0</v>
      </c>
    </row>
    <row r="307" spans="1:180" x14ac:dyDescent="0.2">
      <c r="A307" s="16" t="str">
        <f t="shared" si="76"/>
        <v>Fiche info Avenant 3D5</v>
      </c>
      <c r="B307" s="16" t="str">
        <f t="shared" si="75"/>
        <v>Fiche info Avenant 3</v>
      </c>
      <c r="C307" s="27" t="s">
        <v>242</v>
      </c>
      <c r="D307" s="27">
        <v>5</v>
      </c>
      <c r="E307" s="16" t="s">
        <v>21</v>
      </c>
      <c r="F307" s="34" t="str">
        <f>IF(+'Fiche info Avenant 3'!$AR$11=0,"",'Fiche info Avenant 3'!$AR$11)</f>
        <v/>
      </c>
      <c r="G307" s="16">
        <f t="shared" si="71"/>
        <v>0</v>
      </c>
      <c r="BX307" s="16" t="str">
        <f t="shared" si="72"/>
        <v>Fiche info Avenant 3D5</v>
      </c>
      <c r="BY307" s="449">
        <f>'Fiche info Avenant 3'!$AI$11</f>
        <v>0</v>
      </c>
      <c r="BZ307" s="449">
        <f>'Fiche info Avenant 3'!$AJ$11</f>
        <v>0</v>
      </c>
      <c r="CA307" s="449">
        <f>'Fiche info Avenant 3'!$AK$11</f>
        <v>0</v>
      </c>
      <c r="CB307" s="449">
        <f>'Fiche info Avenant 3'!$AL$11</f>
        <v>0</v>
      </c>
      <c r="CC307" s="449">
        <f>'Fiche info Avenant 3'!$AM$11</f>
        <v>0</v>
      </c>
      <c r="CD307" s="449">
        <f>'Fiche info Avenant 3'!$AN$11</f>
        <v>0</v>
      </c>
      <c r="CE307" s="449">
        <f>'Fiche info Avenant 3'!$AO$11</f>
        <v>0</v>
      </c>
      <c r="CF307" s="449">
        <f>'Fiche info Avenant 3'!$AP$11</f>
        <v>0</v>
      </c>
      <c r="ED307" s="16" t="str">
        <f t="shared" ref="ED307:ED370" si="77">+EE307&amp;EF307</f>
        <v>Fiche info Avenant 3D</v>
      </c>
      <c r="EE307" s="16" t="str">
        <f t="shared" si="66"/>
        <v>Fiche info Avenant 3</v>
      </c>
      <c r="EF307" s="16" t="str">
        <f t="shared" si="67"/>
        <v>D</v>
      </c>
      <c r="EG307" s="16">
        <f t="shared" si="68"/>
        <v>5</v>
      </c>
      <c r="EH307" s="16" t="str">
        <f t="shared" si="69"/>
        <v>Vendredi</v>
      </c>
      <c r="EI307" s="16" t="str">
        <f t="shared" si="70"/>
        <v/>
      </c>
      <c r="FB307" s="16" t="str">
        <f t="shared" si="73"/>
        <v/>
      </c>
      <c r="FC307" s="16" t="str">
        <f t="shared" si="74"/>
        <v/>
      </c>
      <c r="FD307" s="30">
        <f t="shared" si="65"/>
        <v>43678</v>
      </c>
      <c r="FE307" s="30" t="str">
        <f>+IFERROR(VLOOKUP(FD307,BDD,75,FALSE),"")</f>
        <v/>
      </c>
      <c r="FF307" s="30" t="str">
        <f>+IFERROR(VLOOKUP(FD307,BDD,76,FALSE),"")</f>
        <v/>
      </c>
      <c r="FG307" s="30" t="str">
        <f>IFERROR(+VLOOKUP(FD307,BDD,77,FALSE),"")</f>
        <v/>
      </c>
      <c r="FH307" s="30" t="str">
        <f>+IFERROR(VLOOKUP(FD307,BDD,78,FALSE),"")</f>
        <v/>
      </c>
      <c r="FW307" s="16" t="str">
        <f>Octobre!GB45</f>
        <v>432025</v>
      </c>
      <c r="FX307" s="16">
        <f>Octobre!GC45</f>
        <v>0</v>
      </c>
    </row>
    <row r="308" spans="1:180" x14ac:dyDescent="0.2">
      <c r="A308" s="16" t="str">
        <f t="shared" si="76"/>
        <v>Fiche info Avenant 3D6</v>
      </c>
      <c r="B308" s="16" t="str">
        <f t="shared" si="75"/>
        <v>Fiche info Avenant 3</v>
      </c>
      <c r="C308" s="27" t="s">
        <v>242</v>
      </c>
      <c r="D308" s="27">
        <v>6</v>
      </c>
      <c r="E308" s="16" t="s">
        <v>193</v>
      </c>
      <c r="F308" s="34" t="str">
        <f>IF(+'Fiche info Avenant 3'!$AR$12=0,"",'Fiche info Avenant 3'!$AR$12)</f>
        <v/>
      </c>
      <c r="G308" s="16">
        <f t="shared" si="71"/>
        <v>0</v>
      </c>
      <c r="BX308" s="16" t="str">
        <f t="shared" si="72"/>
        <v>Fiche info Avenant 3D6</v>
      </c>
      <c r="BY308" s="449">
        <f>'Fiche info Avenant 3'!$AI$12</f>
        <v>0</v>
      </c>
      <c r="BZ308" s="449">
        <f>'Fiche info Avenant 3'!$AJ$12</f>
        <v>0</v>
      </c>
      <c r="CA308" s="449">
        <f>'Fiche info Avenant 3'!$AK$12</f>
        <v>0</v>
      </c>
      <c r="CB308" s="449">
        <f>'Fiche info Avenant 3'!$AL$12</f>
        <v>0</v>
      </c>
      <c r="CC308" s="449">
        <f>'Fiche info Avenant 3'!$AM$12</f>
        <v>0</v>
      </c>
      <c r="CD308" s="449">
        <f>'Fiche info Avenant 3'!$AN$12</f>
        <v>0</v>
      </c>
      <c r="CE308" s="449">
        <f>'Fiche info Avenant 3'!$AO$12</f>
        <v>0</v>
      </c>
      <c r="CF308" s="449">
        <f>'Fiche info Avenant 3'!$AP$12</f>
        <v>0</v>
      </c>
      <c r="ED308" s="16" t="str">
        <f t="shared" si="77"/>
        <v>Fiche info Avenant 3D</v>
      </c>
      <c r="EE308" s="16" t="str">
        <f t="shared" si="66"/>
        <v>Fiche info Avenant 3</v>
      </c>
      <c r="EF308" s="16" t="str">
        <f t="shared" si="67"/>
        <v>D</v>
      </c>
      <c r="EG308" s="16">
        <f t="shared" si="68"/>
        <v>6</v>
      </c>
      <c r="EH308" s="16" t="str">
        <f t="shared" si="69"/>
        <v>Samedi</v>
      </c>
      <c r="EI308" s="16" t="str">
        <f t="shared" si="70"/>
        <v/>
      </c>
      <c r="FB308" s="16" t="str">
        <f t="shared" si="73"/>
        <v/>
      </c>
      <c r="FC308" s="16" t="str">
        <f t="shared" si="74"/>
        <v/>
      </c>
      <c r="FD308" s="30">
        <f t="shared" si="65"/>
        <v>43678</v>
      </c>
      <c r="FE308" s="30" t="str">
        <f>+IFERROR(VLOOKUP(FD308,BDD,79,FALSE),"")</f>
        <v/>
      </c>
      <c r="FF308" s="30" t="str">
        <f>IFERROR(+VLOOKUP(FD308,BDD,80,FALSE),"")</f>
        <v/>
      </c>
      <c r="FG308" s="30" t="str">
        <f>+IFERROR(VLOOKUP(FD308,BDD,81,FALSE),"")</f>
        <v/>
      </c>
      <c r="FH308" s="30" t="str">
        <f>+IFERROR(VLOOKUP(FD308,BDD,82,FALSE),"")</f>
        <v/>
      </c>
      <c r="FW308" s="16" t="str">
        <f>Octobre!GB46</f>
        <v>442025</v>
      </c>
      <c r="FX308" s="16">
        <f>Octobre!GC46</f>
        <v>0</v>
      </c>
    </row>
    <row r="309" spans="1:180" x14ac:dyDescent="0.2">
      <c r="A309" s="16" t="str">
        <f t="shared" si="76"/>
        <v>Fiche info Avenant 3D7</v>
      </c>
      <c r="B309" s="16" t="str">
        <f t="shared" si="75"/>
        <v>Fiche info Avenant 3</v>
      </c>
      <c r="C309" s="27" t="s">
        <v>242</v>
      </c>
      <c r="D309" s="27">
        <v>7</v>
      </c>
      <c r="E309" s="16" t="s">
        <v>194</v>
      </c>
      <c r="F309" s="34" t="str">
        <f>IF(+'Fiche info Avenant 3'!$AR$13=0,"",'Fiche info Avenant 3'!$AR$13)</f>
        <v/>
      </c>
      <c r="G309" s="16">
        <f t="shared" si="71"/>
        <v>0</v>
      </c>
      <c r="BX309" s="16" t="str">
        <f t="shared" si="72"/>
        <v>Fiche info Avenant 3D7</v>
      </c>
      <c r="BY309" s="449">
        <f>'Fiche info Avenant 3'!$AI$13</f>
        <v>0</v>
      </c>
      <c r="BZ309" s="449">
        <f>'Fiche info Avenant 3'!$AJ$13</f>
        <v>0</v>
      </c>
      <c r="CA309" s="449">
        <f>'Fiche info Avenant 3'!$AK$13</f>
        <v>0</v>
      </c>
      <c r="CB309" s="449">
        <f>'Fiche info Avenant 3'!$AL$13</f>
        <v>0</v>
      </c>
      <c r="CC309" s="449">
        <f>'Fiche info Avenant 3'!$AM$13</f>
        <v>0</v>
      </c>
      <c r="CD309" s="449">
        <f>'Fiche info Avenant 3'!$AN$13</f>
        <v>0</v>
      </c>
      <c r="CE309" s="449">
        <f>'Fiche info Avenant 3'!$AO$13</f>
        <v>0</v>
      </c>
      <c r="CF309" s="449">
        <f>'Fiche info Avenant 3'!$AP$13</f>
        <v>0</v>
      </c>
      <c r="ED309" s="16" t="str">
        <f t="shared" si="77"/>
        <v>Fiche info Avenant 3D</v>
      </c>
      <c r="EE309" s="16" t="str">
        <f t="shared" si="66"/>
        <v>Fiche info Avenant 3</v>
      </c>
      <c r="EF309" s="16" t="str">
        <f t="shared" si="67"/>
        <v>D</v>
      </c>
      <c r="EG309" s="16">
        <f t="shared" si="68"/>
        <v>7</v>
      </c>
      <c r="EH309" s="16" t="str">
        <f t="shared" si="69"/>
        <v>Dimanche</v>
      </c>
      <c r="EI309" s="16" t="str">
        <f t="shared" si="70"/>
        <v/>
      </c>
      <c r="FB309" s="16" t="str">
        <f t="shared" si="73"/>
        <v/>
      </c>
      <c r="FC309" s="16" t="str">
        <f t="shared" si="74"/>
        <v/>
      </c>
      <c r="FD309" s="30">
        <f t="shared" si="65"/>
        <v>43678</v>
      </c>
      <c r="FE309" s="30" t="str">
        <f>+IFERROR(VLOOKUP(FD309,BDD,83,FALSE),"")</f>
        <v/>
      </c>
      <c r="FF309" s="30" t="str">
        <f>+IFERROR(VLOOKUP(FD309,BDD,84,FALSE),"")</f>
        <v/>
      </c>
      <c r="FG309" s="30" t="str">
        <f>+IFERROR(VLOOKUP(FD309,BDD,85,FALSE),"")</f>
        <v/>
      </c>
      <c r="FH309" s="30" t="str">
        <f>+IFERROR(VLOOKUP(FD309,BDD,86,FALSE),"")</f>
        <v/>
      </c>
      <c r="FW309" s="16" t="str">
        <f>Octobre!GB47</f>
        <v>442025</v>
      </c>
      <c r="FX309" s="16">
        <f>Octobre!GC47</f>
        <v>0</v>
      </c>
    </row>
    <row r="310" spans="1:180" x14ac:dyDescent="0.2">
      <c r="A310" s="16" t="str">
        <f t="shared" si="76"/>
        <v>Fiche info Avenant 3E1</v>
      </c>
      <c r="B310" s="16" t="str">
        <f t="shared" si="75"/>
        <v>Fiche info Avenant 3</v>
      </c>
      <c r="C310" s="27" t="s">
        <v>243</v>
      </c>
      <c r="D310" s="27">
        <v>1</v>
      </c>
      <c r="E310" s="16" t="s">
        <v>17</v>
      </c>
      <c r="F310" s="34" t="str">
        <f>IF(+'Fiche info Avenant 3'!$BC$7=0,"",'Fiche info Avenant 3'!$BC$7)</f>
        <v/>
      </c>
      <c r="G310" s="16">
        <f t="shared" si="71"/>
        <v>0</v>
      </c>
      <c r="BX310" s="16" t="str">
        <f t="shared" si="72"/>
        <v>Fiche info Avenant 3E1</v>
      </c>
      <c r="BY310" s="449">
        <f>'Fiche info Avenant 3'!$AT$7</f>
        <v>0</v>
      </c>
      <c r="BZ310" s="449">
        <f>'Fiche info Avenant 3'!$AU$7</f>
        <v>0</v>
      </c>
      <c r="CA310" s="449">
        <f>'Fiche info Avenant 3'!$AV$7</f>
        <v>0</v>
      </c>
      <c r="CB310" s="449">
        <f>'Fiche info Avenant 3'!$AW$7</f>
        <v>0</v>
      </c>
      <c r="CC310" s="449">
        <f>'Fiche info Avenant 3'!$AX$7</f>
        <v>0</v>
      </c>
      <c r="CD310" s="449">
        <f>'Fiche info Avenant 3'!$AY$7</f>
        <v>0</v>
      </c>
      <c r="CE310" s="449">
        <f>'Fiche info Avenant 3'!$AZ$7</f>
        <v>0</v>
      </c>
      <c r="CF310" s="449">
        <f>'Fiche info Avenant 3'!$BA$7</f>
        <v>0</v>
      </c>
      <c r="ED310" s="16" t="str">
        <f t="shared" si="77"/>
        <v>Fiche info Avenant 3E</v>
      </c>
      <c r="EE310" s="16" t="str">
        <f t="shared" si="66"/>
        <v>Fiche info Avenant 3</v>
      </c>
      <c r="EF310" s="16" t="str">
        <f t="shared" si="67"/>
        <v>E</v>
      </c>
      <c r="EG310" s="16">
        <f t="shared" si="68"/>
        <v>1</v>
      </c>
      <c r="EH310" s="16" t="str">
        <f t="shared" si="69"/>
        <v>Lundi</v>
      </c>
      <c r="EI310" s="16" t="str">
        <f t="shared" si="70"/>
        <v/>
      </c>
      <c r="FB310" s="16" t="str">
        <f t="shared" si="73"/>
        <v/>
      </c>
      <c r="FC310" s="16" t="str">
        <f t="shared" si="74"/>
        <v/>
      </c>
      <c r="FD310" s="30">
        <f t="shared" si="65"/>
        <v>43647</v>
      </c>
      <c r="FE310" s="30" t="str">
        <f>+IFERROR(VLOOKUP(FD310,BDD,71,FALSE),"")</f>
        <v/>
      </c>
      <c r="FF310" s="30" t="str">
        <f>IFERROR(+VLOOKUP(FD310,BDD,72,FALSE),"")</f>
        <v/>
      </c>
      <c r="FG310" s="30" t="str">
        <f>+IFERROR(VLOOKUP(FD310,BDD,73,FALSE),"")</f>
        <v/>
      </c>
      <c r="FH310" s="30" t="str">
        <f>+IFERROR(VLOOKUP(FD310,BDD,74,FALSE),"")</f>
        <v/>
      </c>
      <c r="FW310" s="16" t="str">
        <f>Octobre!GB48</f>
        <v>442025</v>
      </c>
      <c r="FX310" s="16">
        <f>Octobre!GC48</f>
        <v>0</v>
      </c>
    </row>
    <row r="311" spans="1:180" x14ac:dyDescent="0.2">
      <c r="A311" s="16" t="str">
        <f t="shared" si="76"/>
        <v>Fiche info Avenant 3E2</v>
      </c>
      <c r="B311" s="16" t="str">
        <f t="shared" si="75"/>
        <v>Fiche info Avenant 3</v>
      </c>
      <c r="C311" s="27" t="s">
        <v>243</v>
      </c>
      <c r="D311" s="27">
        <v>2</v>
      </c>
      <c r="E311" s="16" t="s">
        <v>18</v>
      </c>
      <c r="F311" s="34" t="str">
        <f>IF(+'Fiche info Avenant 3'!$BC$8=0,"",'Fiche info Avenant 3'!$BC$8)</f>
        <v/>
      </c>
      <c r="G311" s="16">
        <f t="shared" si="71"/>
        <v>0</v>
      </c>
      <c r="BX311" s="16" t="str">
        <f t="shared" si="72"/>
        <v>Fiche info Avenant 3E2</v>
      </c>
      <c r="BY311" s="449">
        <f>'Fiche info Avenant 3'!$AT$8</f>
        <v>0</v>
      </c>
      <c r="BZ311" s="449">
        <f>'Fiche info Avenant 3'!$AU$8</f>
        <v>0</v>
      </c>
      <c r="CA311" s="449">
        <f>'Fiche info Avenant 3'!$AV$8</f>
        <v>0</v>
      </c>
      <c r="CB311" s="449">
        <f>'Fiche info Avenant 3'!$AW$8</f>
        <v>0</v>
      </c>
      <c r="CC311" s="449">
        <f>'Fiche info Avenant 3'!$AX$8</f>
        <v>0</v>
      </c>
      <c r="CD311" s="449">
        <f>'Fiche info Avenant 3'!$AY$8</f>
        <v>0</v>
      </c>
      <c r="CE311" s="449">
        <f>'Fiche info Avenant 3'!$AZ$8</f>
        <v>0</v>
      </c>
      <c r="CF311" s="449">
        <f>'Fiche info Avenant 3'!$BA$8</f>
        <v>0</v>
      </c>
      <c r="ED311" s="16" t="str">
        <f t="shared" si="77"/>
        <v>Fiche info Avenant 3E</v>
      </c>
      <c r="EE311" s="16" t="str">
        <f t="shared" si="66"/>
        <v>Fiche info Avenant 3</v>
      </c>
      <c r="EF311" s="16" t="str">
        <f t="shared" si="67"/>
        <v>E</v>
      </c>
      <c r="EG311" s="16">
        <f t="shared" si="68"/>
        <v>2</v>
      </c>
      <c r="EH311" s="16" t="str">
        <f t="shared" si="69"/>
        <v>Mardi</v>
      </c>
      <c r="EI311" s="16" t="str">
        <f t="shared" si="70"/>
        <v/>
      </c>
      <c r="FB311" s="16" t="str">
        <f t="shared" si="73"/>
        <v/>
      </c>
      <c r="FC311" s="16" t="str">
        <f t="shared" si="74"/>
        <v/>
      </c>
      <c r="FD311" s="30">
        <f t="shared" si="65"/>
        <v>43647</v>
      </c>
      <c r="FE311" s="30" t="str">
        <f>+IFERROR(VLOOKUP(FD311,BDD,75,FALSE),"")</f>
        <v/>
      </c>
      <c r="FF311" s="30" t="str">
        <f>+IFERROR(VLOOKUP(FD311,BDD,76,FALSE),"")</f>
        <v/>
      </c>
      <c r="FG311" s="30" t="str">
        <f>IFERROR(+VLOOKUP(FD311,BDD,77,FALSE),"")</f>
        <v/>
      </c>
      <c r="FH311" s="30" t="str">
        <f>+IFERROR(VLOOKUP(FD311,BDD,78,FALSE),"")</f>
        <v/>
      </c>
      <c r="FW311" s="16" t="str">
        <f>Octobre!GB49</f>
        <v>442025</v>
      </c>
      <c r="FX311" s="16">
        <f>Octobre!GC49</f>
        <v>0</v>
      </c>
    </row>
    <row r="312" spans="1:180" x14ac:dyDescent="0.2">
      <c r="A312" s="16" t="str">
        <f t="shared" si="76"/>
        <v>Fiche info Avenant 3E3</v>
      </c>
      <c r="B312" s="16" t="str">
        <f t="shared" si="75"/>
        <v>Fiche info Avenant 3</v>
      </c>
      <c r="C312" s="27" t="s">
        <v>243</v>
      </c>
      <c r="D312" s="27">
        <v>3</v>
      </c>
      <c r="E312" s="16" t="s">
        <v>19</v>
      </c>
      <c r="F312" s="34" t="str">
        <f>IF(+'Fiche info Avenant 3'!$BC$9=0,"",'Fiche info Avenant 3'!$BC$9)</f>
        <v/>
      </c>
      <c r="G312" s="16">
        <f t="shared" si="71"/>
        <v>0</v>
      </c>
      <c r="BX312" s="16" t="str">
        <f t="shared" si="72"/>
        <v>Fiche info Avenant 3E3</v>
      </c>
      <c r="BY312" s="449">
        <f>'Fiche info Avenant 3'!$AT$9</f>
        <v>0</v>
      </c>
      <c r="BZ312" s="449">
        <f>'Fiche info Avenant 3'!$AU$9</f>
        <v>0</v>
      </c>
      <c r="CA312" s="449">
        <f>'Fiche info Avenant 3'!$AV$9</f>
        <v>0</v>
      </c>
      <c r="CB312" s="449">
        <f>'Fiche info Avenant 3'!$AW$9</f>
        <v>0</v>
      </c>
      <c r="CC312" s="449">
        <f>'Fiche info Avenant 3'!$AX$9</f>
        <v>0</v>
      </c>
      <c r="CD312" s="449">
        <f>'Fiche info Avenant 3'!$AY$9</f>
        <v>0</v>
      </c>
      <c r="CE312" s="449">
        <f>'Fiche info Avenant 3'!$AZ$9</f>
        <v>0</v>
      </c>
      <c r="CF312" s="449">
        <f>'Fiche info Avenant 3'!$BA$9</f>
        <v>0</v>
      </c>
      <c r="ED312" s="16" t="str">
        <f t="shared" si="77"/>
        <v>Fiche info Avenant 3E</v>
      </c>
      <c r="EE312" s="16" t="str">
        <f t="shared" si="66"/>
        <v>Fiche info Avenant 3</v>
      </c>
      <c r="EF312" s="16" t="str">
        <f t="shared" si="67"/>
        <v>E</v>
      </c>
      <c r="EG312" s="16">
        <f t="shared" si="68"/>
        <v>3</v>
      </c>
      <c r="EH312" s="16" t="str">
        <f t="shared" si="69"/>
        <v>Mercredi</v>
      </c>
      <c r="EI312" s="16" t="str">
        <f t="shared" si="70"/>
        <v/>
      </c>
      <c r="FB312" s="16" t="str">
        <f t="shared" si="73"/>
        <v/>
      </c>
      <c r="FC312" s="16" t="str">
        <f t="shared" si="74"/>
        <v/>
      </c>
      <c r="FD312" s="30">
        <f t="shared" si="65"/>
        <v>43647</v>
      </c>
      <c r="FE312" s="30" t="str">
        <f>+IFERROR(VLOOKUP(FD312,BDD,79,FALSE),"")</f>
        <v/>
      </c>
      <c r="FF312" s="30" t="str">
        <f>IFERROR(+VLOOKUP(FD312,BDD,80,FALSE),"")</f>
        <v/>
      </c>
      <c r="FG312" s="30" t="str">
        <f>+IFERROR(VLOOKUP(FD312,BDD,81,FALSE),"")</f>
        <v/>
      </c>
      <c r="FH312" s="30" t="str">
        <f>+IFERROR(VLOOKUP(FD312,BDD,82,FALSE),"")</f>
        <v/>
      </c>
      <c r="FW312" s="16" t="str">
        <f>Octobre!GB50</f>
        <v>442025</v>
      </c>
      <c r="FX312" s="16">
        <f>Octobre!GC50</f>
        <v>0</v>
      </c>
    </row>
    <row r="313" spans="1:180" x14ac:dyDescent="0.2">
      <c r="A313" s="16" t="str">
        <f t="shared" si="76"/>
        <v>Fiche info Avenant 3E4</v>
      </c>
      <c r="B313" s="16" t="str">
        <f t="shared" si="75"/>
        <v>Fiche info Avenant 3</v>
      </c>
      <c r="C313" s="27" t="s">
        <v>243</v>
      </c>
      <c r="D313" s="27">
        <v>4</v>
      </c>
      <c r="E313" s="16" t="s">
        <v>20</v>
      </c>
      <c r="F313" s="34" t="str">
        <f>IF(+'Fiche info Avenant 3'!$BC$10=0,"",'Fiche info Avenant 3'!$BC$10)</f>
        <v/>
      </c>
      <c r="G313" s="16">
        <f t="shared" si="71"/>
        <v>0</v>
      </c>
      <c r="BX313" s="16" t="str">
        <f t="shared" si="72"/>
        <v>Fiche info Avenant 3E4</v>
      </c>
      <c r="BY313" s="449">
        <f>'Fiche info Avenant 3'!$AT$10</f>
        <v>0</v>
      </c>
      <c r="BZ313" s="449">
        <f>'Fiche info Avenant 3'!$AU$10</f>
        <v>0</v>
      </c>
      <c r="CA313" s="449">
        <f>'Fiche info Avenant 3'!$AV$10</f>
        <v>0</v>
      </c>
      <c r="CB313" s="449">
        <f>'Fiche info Avenant 3'!$AW$10</f>
        <v>0</v>
      </c>
      <c r="CC313" s="449">
        <f>'Fiche info Avenant 3'!$AX$10</f>
        <v>0</v>
      </c>
      <c r="CD313" s="449">
        <f>'Fiche info Avenant 3'!$AY$10</f>
        <v>0</v>
      </c>
      <c r="CE313" s="449">
        <f>'Fiche info Avenant 3'!$AZ$10</f>
        <v>0</v>
      </c>
      <c r="CF313" s="449">
        <f>'Fiche info Avenant 3'!$BA$10</f>
        <v>0</v>
      </c>
      <c r="ED313" s="16" t="str">
        <f t="shared" si="77"/>
        <v>Fiche info Avenant 3E</v>
      </c>
      <c r="EE313" s="16" t="str">
        <f t="shared" si="66"/>
        <v>Fiche info Avenant 3</v>
      </c>
      <c r="EF313" s="16" t="str">
        <f t="shared" si="67"/>
        <v>E</v>
      </c>
      <c r="EG313" s="16">
        <f t="shared" si="68"/>
        <v>4</v>
      </c>
      <c r="EH313" s="16" t="str">
        <f t="shared" si="69"/>
        <v>Jeudi</v>
      </c>
      <c r="EI313" s="16" t="str">
        <f t="shared" si="70"/>
        <v/>
      </c>
      <c r="FB313" s="16" t="str">
        <f t="shared" si="73"/>
        <v/>
      </c>
      <c r="FC313" s="16" t="str">
        <f t="shared" si="74"/>
        <v/>
      </c>
      <c r="FD313" s="30">
        <f t="shared" si="65"/>
        <v>43647</v>
      </c>
      <c r="FE313" s="30" t="str">
        <f>+IFERROR(VLOOKUP(FD313,BDD,83,FALSE),"")</f>
        <v/>
      </c>
      <c r="FF313" s="30" t="str">
        <f>+IFERROR(VLOOKUP(FD313,BDD,84,FALSE),"")</f>
        <v/>
      </c>
      <c r="FG313" s="30" t="str">
        <f>+IFERROR(VLOOKUP(FD313,BDD,85,FALSE),"")</f>
        <v/>
      </c>
      <c r="FH313" s="30" t="str">
        <f>+IFERROR(VLOOKUP(FD313,BDD,86,FALSE),"")</f>
        <v/>
      </c>
      <c r="FW313" s="16" t="str">
        <f>Novembre!GB20</f>
        <v>442025</v>
      </c>
      <c r="FX313" s="16">
        <f>Novembre!GC20</f>
        <v>0</v>
      </c>
    </row>
    <row r="314" spans="1:180" x14ac:dyDescent="0.2">
      <c r="A314" s="16" t="str">
        <f t="shared" si="76"/>
        <v>Fiche info Avenant 3E5</v>
      </c>
      <c r="B314" s="16" t="str">
        <f t="shared" si="75"/>
        <v>Fiche info Avenant 3</v>
      </c>
      <c r="C314" s="27" t="s">
        <v>243</v>
      </c>
      <c r="D314" s="27">
        <v>5</v>
      </c>
      <c r="E314" s="16" t="s">
        <v>21</v>
      </c>
      <c r="F314" s="34" t="str">
        <f>IF(+'Fiche info Avenant 3'!$BC$11=0,"",'Fiche info Avenant 3'!$BC$11)</f>
        <v/>
      </c>
      <c r="G314" s="16">
        <f t="shared" si="71"/>
        <v>0</v>
      </c>
      <c r="BX314" s="16" t="str">
        <f t="shared" si="72"/>
        <v>Fiche info Avenant 3E5</v>
      </c>
      <c r="BY314" s="449">
        <f>'Fiche info Avenant 3'!$AT$11</f>
        <v>0</v>
      </c>
      <c r="BZ314" s="449">
        <f>'Fiche info Avenant 3'!$AU$11</f>
        <v>0</v>
      </c>
      <c r="CA314" s="449">
        <f>'Fiche info Avenant 3'!$AV$11</f>
        <v>0</v>
      </c>
      <c r="CB314" s="449">
        <f>'Fiche info Avenant 3'!$AW$11</f>
        <v>0</v>
      </c>
      <c r="CC314" s="449">
        <f>'Fiche info Avenant 3'!$AX$11</f>
        <v>0</v>
      </c>
      <c r="CD314" s="449">
        <f>'Fiche info Avenant 3'!$AY$11</f>
        <v>0</v>
      </c>
      <c r="CE314" s="449">
        <f>'Fiche info Avenant 3'!$AZ$11</f>
        <v>0</v>
      </c>
      <c r="CF314" s="449">
        <f>'Fiche info Avenant 3'!$BA$11</f>
        <v>0</v>
      </c>
      <c r="ED314" s="16" t="str">
        <f t="shared" si="77"/>
        <v>Fiche info Avenant 3E</v>
      </c>
      <c r="EE314" s="16" t="str">
        <f t="shared" si="66"/>
        <v>Fiche info Avenant 3</v>
      </c>
      <c r="EF314" s="16" t="str">
        <f t="shared" si="67"/>
        <v>E</v>
      </c>
      <c r="EG314" s="16">
        <f t="shared" si="68"/>
        <v>5</v>
      </c>
      <c r="EH314" s="16" t="str">
        <f t="shared" si="69"/>
        <v>Vendredi</v>
      </c>
      <c r="EI314" s="16" t="str">
        <f t="shared" si="70"/>
        <v/>
      </c>
      <c r="FB314" s="16" t="str">
        <f t="shared" si="73"/>
        <v/>
      </c>
      <c r="FC314" s="16" t="str">
        <f t="shared" si="74"/>
        <v/>
      </c>
      <c r="FD314" s="30">
        <f t="shared" si="65"/>
        <v>43617</v>
      </c>
      <c r="FE314" s="30" t="str">
        <f>+IFERROR(VLOOKUP(FD314,BDD,71,FALSE),"")</f>
        <v/>
      </c>
      <c r="FF314" s="30" t="str">
        <f>IFERROR(+VLOOKUP(FD314,BDD,72,FALSE),"")</f>
        <v/>
      </c>
      <c r="FG314" s="30" t="str">
        <f>+IFERROR(VLOOKUP(FD314,BDD,73,FALSE),"")</f>
        <v/>
      </c>
      <c r="FH314" s="30" t="str">
        <f>+IFERROR(VLOOKUP(FD314,BDD,74,FALSE),"")</f>
        <v/>
      </c>
      <c r="FW314" s="16" t="str">
        <f>Novembre!GB21</f>
        <v>442025</v>
      </c>
      <c r="FX314" s="16">
        <f>Novembre!GC21</f>
        <v>0</v>
      </c>
    </row>
    <row r="315" spans="1:180" x14ac:dyDescent="0.2">
      <c r="A315" s="16" t="str">
        <f t="shared" si="76"/>
        <v>Fiche info Avenant 3E6</v>
      </c>
      <c r="B315" s="16" t="str">
        <f t="shared" si="75"/>
        <v>Fiche info Avenant 3</v>
      </c>
      <c r="C315" s="27" t="s">
        <v>243</v>
      </c>
      <c r="D315" s="27">
        <v>6</v>
      </c>
      <c r="E315" s="16" t="s">
        <v>193</v>
      </c>
      <c r="F315" s="34" t="str">
        <f>IF(+'Fiche info Avenant 3'!$BC$12=0,"",'Fiche info Avenant 3'!$BC$12)</f>
        <v/>
      </c>
      <c r="G315" s="16">
        <f t="shared" si="71"/>
        <v>0</v>
      </c>
      <c r="BX315" s="16" t="str">
        <f t="shared" si="72"/>
        <v>Fiche info Avenant 3E6</v>
      </c>
      <c r="BY315" s="449">
        <f>'Fiche info Avenant 3'!$AT$12</f>
        <v>0</v>
      </c>
      <c r="BZ315" s="449">
        <f>'Fiche info Avenant 3'!$AU$12</f>
        <v>0</v>
      </c>
      <c r="CA315" s="449">
        <f>'Fiche info Avenant 3'!$AV$12</f>
        <v>0</v>
      </c>
      <c r="CB315" s="449">
        <f>'Fiche info Avenant 3'!$AW$12</f>
        <v>0</v>
      </c>
      <c r="CC315" s="449">
        <f>'Fiche info Avenant 3'!$AX$12</f>
        <v>0</v>
      </c>
      <c r="CD315" s="449">
        <f>'Fiche info Avenant 3'!$AY$12</f>
        <v>0</v>
      </c>
      <c r="CE315" s="449">
        <f>'Fiche info Avenant 3'!$AZ$12</f>
        <v>0</v>
      </c>
      <c r="CF315" s="449">
        <f>'Fiche info Avenant 3'!$BA$12</f>
        <v>0</v>
      </c>
      <c r="ED315" s="16" t="str">
        <f t="shared" si="77"/>
        <v>Fiche info Avenant 3E</v>
      </c>
      <c r="EE315" s="16" t="str">
        <f t="shared" si="66"/>
        <v>Fiche info Avenant 3</v>
      </c>
      <c r="EF315" s="16" t="str">
        <f t="shared" si="67"/>
        <v>E</v>
      </c>
      <c r="EG315" s="16">
        <f t="shared" si="68"/>
        <v>6</v>
      </c>
      <c r="EH315" s="16" t="str">
        <f t="shared" si="69"/>
        <v>Samedi</v>
      </c>
      <c r="EI315" s="16" t="str">
        <f t="shared" si="70"/>
        <v/>
      </c>
      <c r="FB315" s="16" t="str">
        <f t="shared" si="73"/>
        <v/>
      </c>
      <c r="FC315" s="16" t="str">
        <f t="shared" si="74"/>
        <v/>
      </c>
      <c r="FD315" s="30">
        <f t="shared" ref="FD315:FD378" si="78">+DATE(YEAR(FD311),MONTH(FD311)-1,DAY(FD311))</f>
        <v>43617</v>
      </c>
      <c r="FE315" s="30" t="str">
        <f>+IFERROR(VLOOKUP(FD315,BDD,75,FALSE),"")</f>
        <v/>
      </c>
      <c r="FF315" s="30" t="str">
        <f>+IFERROR(VLOOKUP(FD315,BDD,76,FALSE),"")</f>
        <v/>
      </c>
      <c r="FG315" s="30" t="str">
        <f>IFERROR(+VLOOKUP(FD315,BDD,77,FALSE),"")</f>
        <v/>
      </c>
      <c r="FH315" s="30" t="str">
        <f>+IFERROR(VLOOKUP(FD315,BDD,78,FALSE),"")</f>
        <v/>
      </c>
      <c r="FW315" s="16" t="str">
        <f>Novembre!GB22</f>
        <v>452025</v>
      </c>
      <c r="FX315" s="16">
        <f>Novembre!GC22</f>
        <v>0</v>
      </c>
    </row>
    <row r="316" spans="1:180" x14ac:dyDescent="0.2">
      <c r="A316" s="16" t="str">
        <f t="shared" si="76"/>
        <v>Fiche info Avenant 3E7</v>
      </c>
      <c r="B316" s="16" t="str">
        <f t="shared" si="75"/>
        <v>Fiche info Avenant 3</v>
      </c>
      <c r="C316" s="27" t="s">
        <v>243</v>
      </c>
      <c r="D316" s="27">
        <v>7</v>
      </c>
      <c r="E316" s="16" t="s">
        <v>194</v>
      </c>
      <c r="F316" s="34" t="str">
        <f>IF(+'Fiche info Avenant 3'!$BC$13=0,"",'Fiche info Avenant 3'!$BC$13)</f>
        <v/>
      </c>
      <c r="G316" s="16">
        <f t="shared" si="71"/>
        <v>0</v>
      </c>
      <c r="BX316" s="16" t="str">
        <f t="shared" si="72"/>
        <v>Fiche info Avenant 3E7</v>
      </c>
      <c r="BY316" s="449">
        <f>'Fiche info Avenant 3'!$AT$13</f>
        <v>0</v>
      </c>
      <c r="BZ316" s="449">
        <f>'Fiche info Avenant 3'!$AU$13</f>
        <v>0</v>
      </c>
      <c r="CA316" s="449">
        <f>'Fiche info Avenant 3'!$AV$13</f>
        <v>0</v>
      </c>
      <c r="CB316" s="449">
        <f>'Fiche info Avenant 3'!$AW$13</f>
        <v>0</v>
      </c>
      <c r="CC316" s="449">
        <f>'Fiche info Avenant 3'!$AX$13</f>
        <v>0</v>
      </c>
      <c r="CD316" s="449">
        <f>'Fiche info Avenant 3'!$AY$13</f>
        <v>0</v>
      </c>
      <c r="CE316" s="449">
        <f>'Fiche info Avenant 3'!$AZ$13</f>
        <v>0</v>
      </c>
      <c r="CF316" s="449">
        <f>'Fiche info Avenant 3'!$BA$13</f>
        <v>0</v>
      </c>
      <c r="ED316" s="16" t="str">
        <f t="shared" si="77"/>
        <v>Fiche info Avenant 3E</v>
      </c>
      <c r="EE316" s="16" t="str">
        <f t="shared" si="66"/>
        <v>Fiche info Avenant 3</v>
      </c>
      <c r="EF316" s="16" t="str">
        <f t="shared" si="67"/>
        <v>E</v>
      </c>
      <c r="EG316" s="16">
        <f t="shared" si="68"/>
        <v>7</v>
      </c>
      <c r="EH316" s="16" t="str">
        <f t="shared" si="69"/>
        <v>Dimanche</v>
      </c>
      <c r="EI316" s="16" t="str">
        <f t="shared" si="70"/>
        <v/>
      </c>
      <c r="FB316" s="16" t="str">
        <f t="shared" si="73"/>
        <v/>
      </c>
      <c r="FC316" s="16" t="str">
        <f t="shared" si="74"/>
        <v/>
      </c>
      <c r="FD316" s="30">
        <f t="shared" si="78"/>
        <v>43617</v>
      </c>
      <c r="FE316" s="30" t="str">
        <f>+IFERROR(VLOOKUP(FD316,BDD,79,FALSE),"")</f>
        <v/>
      </c>
      <c r="FF316" s="30" t="str">
        <f>IFERROR(+VLOOKUP(FD316,BDD,80,FALSE),"")</f>
        <v/>
      </c>
      <c r="FG316" s="30" t="str">
        <f>+IFERROR(VLOOKUP(FD316,BDD,81,FALSE),"")</f>
        <v/>
      </c>
      <c r="FH316" s="30" t="str">
        <f>+IFERROR(VLOOKUP(FD316,BDD,82,FALSE),"")</f>
        <v/>
      </c>
      <c r="FW316" s="16" t="str">
        <f>Novembre!GB23</f>
        <v>452025</v>
      </c>
      <c r="FX316" s="16">
        <f>Novembre!GC23</f>
        <v>0</v>
      </c>
    </row>
    <row r="317" spans="1:180" x14ac:dyDescent="0.2">
      <c r="A317" s="16" t="str">
        <f t="shared" si="76"/>
        <v>Fiche info Avenant 3F1</v>
      </c>
      <c r="B317" s="16" t="str">
        <f t="shared" si="75"/>
        <v>Fiche info Avenant 3</v>
      </c>
      <c r="C317" s="27" t="s">
        <v>244</v>
      </c>
      <c r="D317" s="27">
        <v>1</v>
      </c>
      <c r="E317" s="16" t="s">
        <v>17</v>
      </c>
      <c r="F317" s="34" t="str">
        <f>+IF('Fiche info Avenant 3'!$BN$7=0,"",'Fiche info Avenant 3'!$BN$7)</f>
        <v/>
      </c>
      <c r="G317" s="16">
        <f t="shared" si="71"/>
        <v>0</v>
      </c>
      <c r="BX317" s="16" t="str">
        <f t="shared" si="72"/>
        <v>Fiche info Avenant 3F1</v>
      </c>
      <c r="BY317" s="449">
        <f>'Fiche info Avenant 3'!$BE$7</f>
        <v>0</v>
      </c>
      <c r="BZ317" s="449">
        <f>'Fiche info Avenant 3'!$BF$7</f>
        <v>0</v>
      </c>
      <c r="CA317" s="449">
        <f>'Fiche info Avenant 3'!$BG$7</f>
        <v>0</v>
      </c>
      <c r="CB317" s="449">
        <f>'Fiche info Avenant 3'!$BH$7</f>
        <v>0</v>
      </c>
      <c r="CC317" s="449">
        <f>'Fiche info Avenant 3'!$BI$7</f>
        <v>0</v>
      </c>
      <c r="CD317" s="449">
        <f>'Fiche info Avenant 3'!$BJ$7</f>
        <v>0</v>
      </c>
      <c r="CE317" s="449">
        <f>'Fiche info Avenant 3'!$BK$7</f>
        <v>0</v>
      </c>
      <c r="CF317" s="449">
        <f>'Fiche info Avenant 3'!$BL$7</f>
        <v>0</v>
      </c>
      <c r="ED317" s="16" t="str">
        <f t="shared" si="77"/>
        <v>Fiche info Avenant 3F</v>
      </c>
      <c r="EE317" s="16" t="str">
        <f t="shared" si="66"/>
        <v>Fiche info Avenant 3</v>
      </c>
      <c r="EF317" s="16" t="str">
        <f t="shared" si="67"/>
        <v>F</v>
      </c>
      <c r="EG317" s="16">
        <f t="shared" si="68"/>
        <v>1</v>
      </c>
      <c r="EH317" s="16" t="str">
        <f t="shared" si="69"/>
        <v>Lundi</v>
      </c>
      <c r="EI317" s="16" t="str">
        <f t="shared" si="70"/>
        <v/>
      </c>
      <c r="FB317" s="16" t="str">
        <f t="shared" si="73"/>
        <v/>
      </c>
      <c r="FC317" s="16" t="str">
        <f t="shared" si="74"/>
        <v/>
      </c>
      <c r="FD317" s="30">
        <f t="shared" si="78"/>
        <v>43617</v>
      </c>
      <c r="FE317" s="30" t="str">
        <f>+IFERROR(VLOOKUP(FD317,BDD,83,FALSE),"")</f>
        <v/>
      </c>
      <c r="FF317" s="30" t="str">
        <f>+IFERROR(VLOOKUP(FD317,BDD,84,FALSE),"")</f>
        <v/>
      </c>
      <c r="FG317" s="30" t="str">
        <f>+IFERROR(VLOOKUP(FD317,BDD,85,FALSE),"")</f>
        <v/>
      </c>
      <c r="FH317" s="30" t="str">
        <f>+IFERROR(VLOOKUP(FD317,BDD,86,FALSE),"")</f>
        <v/>
      </c>
      <c r="FW317" s="16" t="str">
        <f>Novembre!GB24</f>
        <v>452025</v>
      </c>
      <c r="FX317" s="16">
        <f>Novembre!GC24</f>
        <v>0</v>
      </c>
    </row>
    <row r="318" spans="1:180" x14ac:dyDescent="0.2">
      <c r="A318" s="16" t="str">
        <f t="shared" si="76"/>
        <v>Fiche info Avenant 3F2</v>
      </c>
      <c r="B318" s="16" t="str">
        <f t="shared" si="75"/>
        <v>Fiche info Avenant 3</v>
      </c>
      <c r="C318" s="27" t="s">
        <v>244</v>
      </c>
      <c r="D318" s="27">
        <v>2</v>
      </c>
      <c r="E318" s="16" t="s">
        <v>18</v>
      </c>
      <c r="F318" s="34" t="str">
        <f>+IF('Fiche info Avenant 3'!$BN$8=0,"",'Fiche info Avenant 3'!$BN$8)</f>
        <v/>
      </c>
      <c r="G318" s="16">
        <f t="shared" si="71"/>
        <v>0</v>
      </c>
      <c r="BX318" s="16" t="str">
        <f t="shared" si="72"/>
        <v>Fiche info Avenant 3F2</v>
      </c>
      <c r="BY318" s="449">
        <f>'Fiche info Avenant 3'!$BE$8</f>
        <v>0</v>
      </c>
      <c r="BZ318" s="449">
        <f>'Fiche info Avenant 3'!$BF$8</f>
        <v>0</v>
      </c>
      <c r="CA318" s="449">
        <f>'Fiche info Avenant 3'!$BG$8</f>
        <v>0</v>
      </c>
      <c r="CB318" s="449">
        <f>'Fiche info Avenant 3'!$BH$8</f>
        <v>0</v>
      </c>
      <c r="CC318" s="449">
        <f>'Fiche info Avenant 3'!$BI$8</f>
        <v>0</v>
      </c>
      <c r="CD318" s="449">
        <f>'Fiche info Avenant 3'!$BJ$8</f>
        <v>0</v>
      </c>
      <c r="CE318" s="449">
        <f>'Fiche info Avenant 3'!$BK$8</f>
        <v>0</v>
      </c>
      <c r="CF318" s="449">
        <f>'Fiche info Avenant 3'!$BL$8</f>
        <v>0</v>
      </c>
      <c r="ED318" s="16" t="str">
        <f t="shared" si="77"/>
        <v>Fiche info Avenant 3F</v>
      </c>
      <c r="EE318" s="16" t="str">
        <f t="shared" si="66"/>
        <v>Fiche info Avenant 3</v>
      </c>
      <c r="EF318" s="16" t="str">
        <f t="shared" si="67"/>
        <v>F</v>
      </c>
      <c r="EG318" s="16">
        <f t="shared" si="68"/>
        <v>2</v>
      </c>
      <c r="EH318" s="16" t="str">
        <f t="shared" si="69"/>
        <v>Mardi</v>
      </c>
      <c r="EI318" s="16" t="str">
        <f t="shared" si="70"/>
        <v/>
      </c>
      <c r="FB318" s="16" t="str">
        <f t="shared" si="73"/>
        <v/>
      </c>
      <c r="FC318" s="16" t="str">
        <f t="shared" si="74"/>
        <v/>
      </c>
      <c r="FD318" s="30">
        <f t="shared" si="78"/>
        <v>43586</v>
      </c>
      <c r="FE318" s="30" t="str">
        <f>+IFERROR(VLOOKUP(FD318,BDD,71,FALSE),"")</f>
        <v/>
      </c>
      <c r="FF318" s="30" t="str">
        <f>IFERROR(+VLOOKUP(FD318,BDD,72,FALSE),"")</f>
        <v/>
      </c>
      <c r="FG318" s="30" t="str">
        <f>+IFERROR(VLOOKUP(FD318,BDD,73,FALSE),"")</f>
        <v/>
      </c>
      <c r="FH318" s="30" t="str">
        <f>+IFERROR(VLOOKUP(FD318,BDD,74,FALSE),"")</f>
        <v/>
      </c>
      <c r="FW318" s="16" t="str">
        <f>Novembre!GB25</f>
        <v>452025</v>
      </c>
      <c r="FX318" s="16">
        <f>Novembre!GC25</f>
        <v>0</v>
      </c>
    </row>
    <row r="319" spans="1:180" x14ac:dyDescent="0.2">
      <c r="A319" s="16" t="str">
        <f t="shared" si="76"/>
        <v>Fiche info Avenant 3F3</v>
      </c>
      <c r="B319" s="16" t="str">
        <f t="shared" si="75"/>
        <v>Fiche info Avenant 3</v>
      </c>
      <c r="C319" s="27" t="s">
        <v>244</v>
      </c>
      <c r="D319" s="27">
        <v>3</v>
      </c>
      <c r="E319" s="16" t="s">
        <v>19</v>
      </c>
      <c r="F319" s="34" t="str">
        <f>+IF('Fiche info Avenant 3'!$BN$9=0,"",'Fiche info Avenant 3'!$BN$9)</f>
        <v/>
      </c>
      <c r="G319" s="16">
        <f t="shared" si="71"/>
        <v>0</v>
      </c>
      <c r="BX319" s="16" t="str">
        <f t="shared" si="72"/>
        <v>Fiche info Avenant 3F3</v>
      </c>
      <c r="BY319" s="449">
        <f>'Fiche info Avenant 3'!$BE$9</f>
        <v>0</v>
      </c>
      <c r="BZ319" s="449">
        <f>'Fiche info Avenant 3'!$BF$9</f>
        <v>0</v>
      </c>
      <c r="CA319" s="449">
        <f>'Fiche info Avenant 3'!$BG$9</f>
        <v>0</v>
      </c>
      <c r="CB319" s="449">
        <f>'Fiche info Avenant 3'!$BH$9</f>
        <v>0</v>
      </c>
      <c r="CC319" s="449">
        <f>'Fiche info Avenant 3'!$BI$9</f>
        <v>0</v>
      </c>
      <c r="CD319" s="449">
        <f>'Fiche info Avenant 3'!$BJ$9</f>
        <v>0</v>
      </c>
      <c r="CE319" s="449">
        <f>'Fiche info Avenant 3'!$BK$9</f>
        <v>0</v>
      </c>
      <c r="CF319" s="449">
        <f>'Fiche info Avenant 3'!$BL$9</f>
        <v>0</v>
      </c>
      <c r="ED319" s="16" t="str">
        <f t="shared" si="77"/>
        <v>Fiche info Avenant 3F</v>
      </c>
      <c r="EE319" s="16" t="str">
        <f t="shared" si="66"/>
        <v>Fiche info Avenant 3</v>
      </c>
      <c r="EF319" s="16" t="str">
        <f t="shared" si="67"/>
        <v>F</v>
      </c>
      <c r="EG319" s="16">
        <f t="shared" si="68"/>
        <v>3</v>
      </c>
      <c r="EH319" s="16" t="str">
        <f t="shared" si="69"/>
        <v>Mercredi</v>
      </c>
      <c r="EI319" s="16" t="str">
        <f t="shared" si="70"/>
        <v/>
      </c>
      <c r="FB319" s="16" t="str">
        <f t="shared" si="73"/>
        <v/>
      </c>
      <c r="FC319" s="16" t="str">
        <f t="shared" si="74"/>
        <v/>
      </c>
      <c r="FD319" s="30">
        <f t="shared" si="78"/>
        <v>43586</v>
      </c>
      <c r="FE319" s="30" t="str">
        <f>+IFERROR(VLOOKUP(FD319,BDD,75,FALSE),"")</f>
        <v/>
      </c>
      <c r="FF319" s="30" t="str">
        <f>+IFERROR(VLOOKUP(FD319,BDD,76,FALSE),"")</f>
        <v/>
      </c>
      <c r="FG319" s="30" t="str">
        <f>IFERROR(+VLOOKUP(FD319,BDD,77,FALSE),"")</f>
        <v/>
      </c>
      <c r="FH319" s="30" t="str">
        <f>+IFERROR(VLOOKUP(FD319,BDD,78,FALSE),"")</f>
        <v/>
      </c>
      <c r="FW319" s="16" t="str">
        <f>Novembre!GB26</f>
        <v>452025</v>
      </c>
      <c r="FX319" s="16">
        <f>Novembre!GC26</f>
        <v>0</v>
      </c>
    </row>
    <row r="320" spans="1:180" x14ac:dyDescent="0.2">
      <c r="A320" s="16" t="str">
        <f t="shared" si="76"/>
        <v>Fiche info Avenant 3F4</v>
      </c>
      <c r="B320" s="16" t="str">
        <f t="shared" si="75"/>
        <v>Fiche info Avenant 3</v>
      </c>
      <c r="C320" s="27" t="s">
        <v>244</v>
      </c>
      <c r="D320" s="27">
        <v>4</v>
      </c>
      <c r="E320" s="16" t="s">
        <v>20</v>
      </c>
      <c r="F320" s="34" t="str">
        <f>+IF('Fiche info Avenant 3'!$BN$10=0,"",'Fiche info Avenant 3'!$BN$10)</f>
        <v/>
      </c>
      <c r="G320" s="16">
        <f t="shared" si="71"/>
        <v>0</v>
      </c>
      <c r="BX320" s="16" t="str">
        <f t="shared" si="72"/>
        <v>Fiche info Avenant 3F4</v>
      </c>
      <c r="BY320" s="449">
        <f>'Fiche info Avenant 3'!$BE$10</f>
        <v>0</v>
      </c>
      <c r="BZ320" s="449">
        <f>'Fiche info Avenant 3'!$BF$10</f>
        <v>0</v>
      </c>
      <c r="CA320" s="449">
        <f>'Fiche info Avenant 3'!$BG$10</f>
        <v>0</v>
      </c>
      <c r="CB320" s="449">
        <f>'Fiche info Avenant 3'!$BH$10</f>
        <v>0</v>
      </c>
      <c r="CC320" s="449">
        <f>'Fiche info Avenant 3'!$BI$10</f>
        <v>0</v>
      </c>
      <c r="CD320" s="449">
        <f>'Fiche info Avenant 3'!$BJ$10</f>
        <v>0</v>
      </c>
      <c r="CE320" s="449">
        <f>'Fiche info Avenant 3'!$BK$10</f>
        <v>0</v>
      </c>
      <c r="CF320" s="449">
        <f>'Fiche info Avenant 3'!$BL$10</f>
        <v>0</v>
      </c>
      <c r="ED320" s="16" t="str">
        <f t="shared" si="77"/>
        <v>Fiche info Avenant 3F</v>
      </c>
      <c r="EE320" s="16" t="str">
        <f t="shared" si="66"/>
        <v>Fiche info Avenant 3</v>
      </c>
      <c r="EF320" s="16" t="str">
        <f t="shared" si="67"/>
        <v>F</v>
      </c>
      <c r="EG320" s="16">
        <f t="shared" si="68"/>
        <v>4</v>
      </c>
      <c r="EH320" s="16" t="str">
        <f t="shared" si="69"/>
        <v>Jeudi</v>
      </c>
      <c r="EI320" s="16" t="str">
        <f t="shared" si="70"/>
        <v/>
      </c>
      <c r="FB320" s="16" t="str">
        <f t="shared" si="73"/>
        <v/>
      </c>
      <c r="FC320" s="16" t="str">
        <f t="shared" si="74"/>
        <v/>
      </c>
      <c r="FD320" s="30">
        <f t="shared" si="78"/>
        <v>43586</v>
      </c>
      <c r="FE320" s="30" t="str">
        <f>+IFERROR(VLOOKUP(FD320,BDD,79,FALSE),"")</f>
        <v/>
      </c>
      <c r="FF320" s="30" t="str">
        <f>IFERROR(+VLOOKUP(FD320,BDD,80,FALSE),"")</f>
        <v/>
      </c>
      <c r="FG320" s="30" t="str">
        <f>+IFERROR(VLOOKUP(FD320,BDD,81,FALSE),"")</f>
        <v/>
      </c>
      <c r="FH320" s="30" t="str">
        <f>+IFERROR(VLOOKUP(FD320,BDD,82,FALSE),"")</f>
        <v/>
      </c>
      <c r="FW320" s="16" t="str">
        <f>Novembre!GB27</f>
        <v>452025</v>
      </c>
      <c r="FX320" s="16">
        <f>Novembre!GC27</f>
        <v>0</v>
      </c>
    </row>
    <row r="321" spans="1:180" x14ac:dyDescent="0.2">
      <c r="A321" s="16" t="str">
        <f t="shared" si="76"/>
        <v>Fiche info Avenant 3F5</v>
      </c>
      <c r="B321" s="16" t="str">
        <f t="shared" si="75"/>
        <v>Fiche info Avenant 3</v>
      </c>
      <c r="C321" s="27" t="s">
        <v>244</v>
      </c>
      <c r="D321" s="27">
        <v>5</v>
      </c>
      <c r="E321" s="16" t="s">
        <v>21</v>
      </c>
      <c r="F321" s="34" t="str">
        <f>+IF('Fiche info Avenant 3'!$BN$11=0,"",'Fiche info Avenant 3'!$BN$11)</f>
        <v/>
      </c>
      <c r="G321" s="16">
        <f t="shared" si="71"/>
        <v>0</v>
      </c>
      <c r="BX321" s="16" t="str">
        <f t="shared" si="72"/>
        <v>Fiche info Avenant 3F5</v>
      </c>
      <c r="BY321" s="449">
        <f>'Fiche info Avenant 3'!$BE$11</f>
        <v>0</v>
      </c>
      <c r="BZ321" s="449">
        <f>'Fiche info Avenant 3'!$BF$11</f>
        <v>0</v>
      </c>
      <c r="CA321" s="449">
        <f>'Fiche info Avenant 3'!$BG$11</f>
        <v>0</v>
      </c>
      <c r="CB321" s="449">
        <f>'Fiche info Avenant 3'!$BH$11</f>
        <v>0</v>
      </c>
      <c r="CC321" s="449">
        <f>'Fiche info Avenant 3'!$BI$11</f>
        <v>0</v>
      </c>
      <c r="CD321" s="449">
        <f>'Fiche info Avenant 3'!$BJ$11</f>
        <v>0</v>
      </c>
      <c r="CE321" s="449">
        <f>'Fiche info Avenant 3'!$BK$11</f>
        <v>0</v>
      </c>
      <c r="CF321" s="449">
        <f>'Fiche info Avenant 3'!$BL$11</f>
        <v>0</v>
      </c>
      <c r="ED321" s="16" t="str">
        <f t="shared" si="77"/>
        <v>Fiche info Avenant 3F</v>
      </c>
      <c r="EE321" s="16" t="str">
        <f t="shared" ref="EE321:EE384" si="79">B321</f>
        <v>Fiche info Avenant 3</v>
      </c>
      <c r="EF321" s="16" t="str">
        <f t="shared" ref="EF321:EF384" si="80">C321</f>
        <v>F</v>
      </c>
      <c r="EG321" s="16">
        <f t="shared" ref="EG321:EG384" si="81">D321</f>
        <v>5</v>
      </c>
      <c r="EH321" s="16" t="str">
        <f t="shared" ref="EH321:EH384" si="82">E321</f>
        <v>Vendredi</v>
      </c>
      <c r="EI321" s="16" t="str">
        <f t="shared" ref="EI321:EI384" si="83">F321</f>
        <v/>
      </c>
      <c r="FB321" s="16" t="str">
        <f t="shared" si="73"/>
        <v/>
      </c>
      <c r="FC321" s="16" t="str">
        <f t="shared" si="74"/>
        <v/>
      </c>
      <c r="FD321" s="30">
        <f t="shared" si="78"/>
        <v>43586</v>
      </c>
      <c r="FE321" s="30" t="str">
        <f>+IFERROR(VLOOKUP(FD321,BDD,83,FALSE),"")</f>
        <v/>
      </c>
      <c r="FF321" s="30" t="str">
        <f>+IFERROR(VLOOKUP(FD321,BDD,84,FALSE),"")</f>
        <v/>
      </c>
      <c r="FG321" s="30" t="str">
        <f>+IFERROR(VLOOKUP(FD321,BDD,85,FALSE),"")</f>
        <v/>
      </c>
      <c r="FH321" s="30" t="str">
        <f>+IFERROR(VLOOKUP(FD321,BDD,86,FALSE),"")</f>
        <v/>
      </c>
      <c r="FW321" s="16" t="str">
        <f>Novembre!GB28</f>
        <v>452025</v>
      </c>
      <c r="FX321" s="16">
        <f>Novembre!GC28</f>
        <v>0</v>
      </c>
    </row>
    <row r="322" spans="1:180" x14ac:dyDescent="0.2">
      <c r="A322" s="16" t="str">
        <f t="shared" si="76"/>
        <v>Fiche info Avenant 3F6</v>
      </c>
      <c r="B322" s="16" t="str">
        <f t="shared" si="75"/>
        <v>Fiche info Avenant 3</v>
      </c>
      <c r="C322" s="27" t="s">
        <v>244</v>
      </c>
      <c r="D322" s="27">
        <v>6</v>
      </c>
      <c r="E322" s="16" t="s">
        <v>193</v>
      </c>
      <c r="F322" s="34" t="str">
        <f>+IF('Fiche info Avenant 3'!$BN$12=0,"",'Fiche info Avenant 3'!$BN$12)</f>
        <v/>
      </c>
      <c r="G322" s="16">
        <f t="shared" ref="G322:G385" si="84">+IF(OR(F322=0,F322=""),0,1)</f>
        <v>0</v>
      </c>
      <c r="BX322" s="16" t="str">
        <f t="shared" ref="BX322:BX385" si="85">A322</f>
        <v>Fiche info Avenant 3F6</v>
      </c>
      <c r="BY322" s="449">
        <f>'Fiche info Avenant 3'!$BE$12</f>
        <v>0</v>
      </c>
      <c r="BZ322" s="449">
        <f>'Fiche info Avenant 3'!$BF$12</f>
        <v>0</v>
      </c>
      <c r="CA322" s="449">
        <f>'Fiche info Avenant 3'!$BG$12</f>
        <v>0</v>
      </c>
      <c r="CB322" s="449">
        <f>'Fiche info Avenant 3'!$BH$12</f>
        <v>0</v>
      </c>
      <c r="CC322" s="449">
        <f>'Fiche info Avenant 3'!$BI$12</f>
        <v>0</v>
      </c>
      <c r="CD322" s="449">
        <f>'Fiche info Avenant 3'!$BJ$12</f>
        <v>0</v>
      </c>
      <c r="CE322" s="449">
        <f>'Fiche info Avenant 3'!$BK$12</f>
        <v>0</v>
      </c>
      <c r="CF322" s="449">
        <f>'Fiche info Avenant 3'!$BL$12</f>
        <v>0</v>
      </c>
      <c r="ED322" s="16" t="str">
        <f t="shared" si="77"/>
        <v>Fiche info Avenant 3F</v>
      </c>
      <c r="EE322" s="16" t="str">
        <f t="shared" si="79"/>
        <v>Fiche info Avenant 3</v>
      </c>
      <c r="EF322" s="16" t="str">
        <f t="shared" si="80"/>
        <v>F</v>
      </c>
      <c r="EG322" s="16">
        <f t="shared" si="81"/>
        <v>6</v>
      </c>
      <c r="EH322" s="16" t="str">
        <f t="shared" si="82"/>
        <v>Samedi</v>
      </c>
      <c r="EI322" s="16" t="str">
        <f t="shared" si="83"/>
        <v/>
      </c>
      <c r="FB322" s="16" t="str">
        <f t="shared" si="73"/>
        <v/>
      </c>
      <c r="FC322" s="16" t="str">
        <f t="shared" si="74"/>
        <v/>
      </c>
      <c r="FD322" s="30">
        <f t="shared" si="78"/>
        <v>43556</v>
      </c>
      <c r="FE322" s="30" t="str">
        <f>+IFERROR(VLOOKUP(FD322,BDD,71,FALSE),"")</f>
        <v/>
      </c>
      <c r="FF322" s="30" t="str">
        <f>IFERROR(+VLOOKUP(FD322,BDD,72,FALSE),"")</f>
        <v/>
      </c>
      <c r="FG322" s="30" t="str">
        <f>+IFERROR(VLOOKUP(FD322,BDD,73,FALSE),"")</f>
        <v/>
      </c>
      <c r="FH322" s="30" t="str">
        <f>+IFERROR(VLOOKUP(FD322,BDD,74,FALSE),"")</f>
        <v/>
      </c>
      <c r="FW322" s="16" t="str">
        <f>Novembre!GB29</f>
        <v>462025</v>
      </c>
      <c r="FX322" s="16">
        <f>Novembre!GC29</f>
        <v>0</v>
      </c>
    </row>
    <row r="323" spans="1:180" x14ac:dyDescent="0.2">
      <c r="A323" s="16" t="str">
        <f t="shared" si="76"/>
        <v>Fiche info Avenant 3F7</v>
      </c>
      <c r="B323" s="16" t="str">
        <f t="shared" si="75"/>
        <v>Fiche info Avenant 3</v>
      </c>
      <c r="C323" s="27" t="s">
        <v>244</v>
      </c>
      <c r="D323" s="27">
        <v>7</v>
      </c>
      <c r="E323" s="16" t="s">
        <v>194</v>
      </c>
      <c r="F323" s="34" t="str">
        <f>+IF('Fiche info Avenant 3'!$BN$13=0,"",'Fiche info Avenant 3'!$BN$13)</f>
        <v/>
      </c>
      <c r="G323" s="16">
        <f t="shared" si="84"/>
        <v>0</v>
      </c>
      <c r="BX323" s="16" t="str">
        <f t="shared" si="85"/>
        <v>Fiche info Avenant 3F7</v>
      </c>
      <c r="BY323" s="449">
        <f>'Fiche info Avenant 3'!$BE$13</f>
        <v>0</v>
      </c>
      <c r="BZ323" s="449">
        <f>'Fiche info Avenant 3'!$BF$13</f>
        <v>0</v>
      </c>
      <c r="CA323" s="449">
        <f>'Fiche info Avenant 3'!$BG$13</f>
        <v>0</v>
      </c>
      <c r="CB323" s="449">
        <f>'Fiche info Avenant 3'!$BH$13</f>
        <v>0</v>
      </c>
      <c r="CC323" s="449">
        <f>'Fiche info Avenant 3'!$BI$13</f>
        <v>0</v>
      </c>
      <c r="CD323" s="449">
        <f>'Fiche info Avenant 3'!$BJ$13</f>
        <v>0</v>
      </c>
      <c r="CE323" s="449">
        <f>'Fiche info Avenant 3'!$BK$13</f>
        <v>0</v>
      </c>
      <c r="CF323" s="449">
        <f>'Fiche info Avenant 3'!$BL$13</f>
        <v>0</v>
      </c>
      <c r="ED323" s="16" t="str">
        <f t="shared" si="77"/>
        <v>Fiche info Avenant 3F</v>
      </c>
      <c r="EE323" s="16" t="str">
        <f t="shared" si="79"/>
        <v>Fiche info Avenant 3</v>
      </c>
      <c r="EF323" s="16" t="str">
        <f t="shared" si="80"/>
        <v>F</v>
      </c>
      <c r="EG323" s="16">
        <f t="shared" si="81"/>
        <v>7</v>
      </c>
      <c r="EH323" s="16" t="str">
        <f t="shared" si="82"/>
        <v>Dimanche</v>
      </c>
      <c r="EI323" s="16" t="str">
        <f t="shared" si="83"/>
        <v/>
      </c>
      <c r="FB323" s="16" t="str">
        <f t="shared" ref="FB323:FB385" si="86">+IF(FE323=$EX$2,FE323&amp;FF323&amp;FG323,"")</f>
        <v/>
      </c>
      <c r="FC323" s="16" t="str">
        <f t="shared" ref="FC323:FC385" si="87">+IF(FE323=$EX$3,FE323&amp;FF323&amp;FG323,"")</f>
        <v/>
      </c>
      <c r="FD323" s="30">
        <f t="shared" si="78"/>
        <v>43556</v>
      </c>
      <c r="FE323" s="30" t="str">
        <f>+IFERROR(VLOOKUP(FD323,BDD,75,FALSE),"")</f>
        <v/>
      </c>
      <c r="FF323" s="30" t="str">
        <f>+IFERROR(VLOOKUP(FD323,BDD,76,FALSE),"")</f>
        <v/>
      </c>
      <c r="FG323" s="30" t="str">
        <f>IFERROR(+VLOOKUP(FD323,BDD,77,FALSE),"")</f>
        <v/>
      </c>
      <c r="FH323" s="30" t="str">
        <f>+IFERROR(VLOOKUP(FD323,BDD,78,FALSE),"")</f>
        <v/>
      </c>
      <c r="FW323" s="16" t="str">
        <f>Novembre!GB30</f>
        <v>462025</v>
      </c>
      <c r="FX323" s="16">
        <f>Novembre!GC30</f>
        <v>0</v>
      </c>
    </row>
    <row r="324" spans="1:180" x14ac:dyDescent="0.2">
      <c r="A324" s="16" t="str">
        <f t="shared" si="76"/>
        <v>Fiche info Avenant 3G1</v>
      </c>
      <c r="B324" s="16" t="str">
        <f t="shared" si="75"/>
        <v>Fiche info Avenant 3</v>
      </c>
      <c r="C324" s="27" t="s">
        <v>245</v>
      </c>
      <c r="D324" s="27">
        <v>1</v>
      </c>
      <c r="E324" s="16" t="s">
        <v>17</v>
      </c>
      <c r="F324" s="34" t="str">
        <f>+IF('Fiche info Avenant 3'!$BY$7=0,"",'Fiche info Avenant 3'!$BY$7)</f>
        <v/>
      </c>
      <c r="G324" s="16">
        <f t="shared" si="84"/>
        <v>0</v>
      </c>
      <c r="BX324" s="16" t="str">
        <f t="shared" si="85"/>
        <v>Fiche info Avenant 3G1</v>
      </c>
      <c r="BY324" s="449">
        <f>'Fiche info Avenant 3'!$BP$7</f>
        <v>0</v>
      </c>
      <c r="BZ324" s="449">
        <f>'Fiche info Avenant 3'!$BQ$7</f>
        <v>0</v>
      </c>
      <c r="CA324" s="449">
        <f>'Fiche info Avenant 3'!$BR$7</f>
        <v>0</v>
      </c>
      <c r="CB324" s="449">
        <f>'Fiche info Avenant 3'!$BS$7</f>
        <v>0</v>
      </c>
      <c r="CC324" s="449">
        <f>'Fiche info Avenant 3'!$BT$7</f>
        <v>0</v>
      </c>
      <c r="CD324" s="449">
        <f>'Fiche info Avenant 3'!$BU$7</f>
        <v>0</v>
      </c>
      <c r="CE324" s="449">
        <f>'Fiche info Avenant 3'!$BV$7</f>
        <v>0</v>
      </c>
      <c r="CF324" s="449">
        <f>'Fiche info Avenant 3'!$BW$7</f>
        <v>0</v>
      </c>
      <c r="ED324" s="16" t="str">
        <f t="shared" si="77"/>
        <v>Fiche info Avenant 3G</v>
      </c>
      <c r="EE324" s="16" t="str">
        <f t="shared" si="79"/>
        <v>Fiche info Avenant 3</v>
      </c>
      <c r="EF324" s="16" t="str">
        <f t="shared" si="80"/>
        <v>G</v>
      </c>
      <c r="EG324" s="16">
        <f t="shared" si="81"/>
        <v>1</v>
      </c>
      <c r="EH324" s="16" t="str">
        <f t="shared" si="82"/>
        <v>Lundi</v>
      </c>
      <c r="EI324" s="16" t="str">
        <f t="shared" si="83"/>
        <v/>
      </c>
      <c r="FB324" s="16" t="str">
        <f t="shared" si="86"/>
        <v/>
      </c>
      <c r="FC324" s="16" t="str">
        <f t="shared" si="87"/>
        <v/>
      </c>
      <c r="FD324" s="30">
        <f t="shared" si="78"/>
        <v>43556</v>
      </c>
      <c r="FE324" s="30" t="str">
        <f>+IFERROR(VLOOKUP(FD324,BDD,79,FALSE),"")</f>
        <v/>
      </c>
      <c r="FF324" s="30" t="str">
        <f>IFERROR(+VLOOKUP(FD324,BDD,80,FALSE),"")</f>
        <v/>
      </c>
      <c r="FG324" s="30" t="str">
        <f>+IFERROR(VLOOKUP(FD324,BDD,81,FALSE),"")</f>
        <v/>
      </c>
      <c r="FH324" s="30" t="str">
        <f>+IFERROR(VLOOKUP(FD324,BDD,82,FALSE),"")</f>
        <v/>
      </c>
      <c r="FW324" s="16" t="str">
        <f>Novembre!GB31</f>
        <v>462025</v>
      </c>
      <c r="FX324" s="16">
        <f>Novembre!GC31</f>
        <v>0</v>
      </c>
    </row>
    <row r="325" spans="1:180" x14ac:dyDescent="0.2">
      <c r="A325" s="16" t="str">
        <f t="shared" si="76"/>
        <v>Fiche info Avenant 3G2</v>
      </c>
      <c r="B325" s="16" t="str">
        <f t="shared" si="75"/>
        <v>Fiche info Avenant 3</v>
      </c>
      <c r="C325" s="27" t="s">
        <v>245</v>
      </c>
      <c r="D325" s="27">
        <v>2</v>
      </c>
      <c r="E325" s="16" t="s">
        <v>18</v>
      </c>
      <c r="F325" s="34" t="str">
        <f>+IF('Fiche info Avenant 3'!$BY$8=0,"",'Fiche info Avenant 3'!$BY$8)</f>
        <v/>
      </c>
      <c r="G325" s="16">
        <f t="shared" si="84"/>
        <v>0</v>
      </c>
      <c r="BX325" s="16" t="str">
        <f t="shared" si="85"/>
        <v>Fiche info Avenant 3G2</v>
      </c>
      <c r="BY325" s="449">
        <f>'Fiche info Avenant 3'!$BP$8</f>
        <v>0</v>
      </c>
      <c r="BZ325" s="449">
        <f>'Fiche info Avenant 3'!$BQ$8</f>
        <v>0</v>
      </c>
      <c r="CA325" s="449">
        <f>'Fiche info Avenant 3'!$BR$8</f>
        <v>0</v>
      </c>
      <c r="CB325" s="449">
        <f>'Fiche info Avenant 3'!$BS$8</f>
        <v>0</v>
      </c>
      <c r="CC325" s="449">
        <f>'Fiche info Avenant 3'!$BT$8</f>
        <v>0</v>
      </c>
      <c r="CD325" s="449">
        <f>'Fiche info Avenant 3'!$BU$8</f>
        <v>0</v>
      </c>
      <c r="CE325" s="449">
        <f>'Fiche info Avenant 3'!$BV$8</f>
        <v>0</v>
      </c>
      <c r="CF325" s="449">
        <f>'Fiche info Avenant 3'!$BW$8</f>
        <v>0</v>
      </c>
      <c r="ED325" s="16" t="str">
        <f t="shared" si="77"/>
        <v>Fiche info Avenant 3G</v>
      </c>
      <c r="EE325" s="16" t="str">
        <f t="shared" si="79"/>
        <v>Fiche info Avenant 3</v>
      </c>
      <c r="EF325" s="16" t="str">
        <f t="shared" si="80"/>
        <v>G</v>
      </c>
      <c r="EG325" s="16">
        <f t="shared" si="81"/>
        <v>2</v>
      </c>
      <c r="EH325" s="16" t="str">
        <f t="shared" si="82"/>
        <v>Mardi</v>
      </c>
      <c r="EI325" s="16" t="str">
        <f t="shared" si="83"/>
        <v/>
      </c>
      <c r="FB325" s="16" t="str">
        <f t="shared" si="86"/>
        <v/>
      </c>
      <c r="FC325" s="16" t="str">
        <f t="shared" si="87"/>
        <v/>
      </c>
      <c r="FD325" s="30">
        <f t="shared" si="78"/>
        <v>43556</v>
      </c>
      <c r="FE325" s="30" t="str">
        <f>+IFERROR(VLOOKUP(FD325,BDD,83,FALSE),"")</f>
        <v/>
      </c>
      <c r="FF325" s="30" t="str">
        <f>+IFERROR(VLOOKUP(FD325,BDD,84,FALSE),"")</f>
        <v/>
      </c>
      <c r="FG325" s="30" t="str">
        <f>+IFERROR(VLOOKUP(FD325,BDD,85,FALSE),"")</f>
        <v/>
      </c>
      <c r="FH325" s="30" t="str">
        <f>+IFERROR(VLOOKUP(FD325,BDD,86,FALSE),"")</f>
        <v/>
      </c>
      <c r="FW325" s="16" t="str">
        <f>Novembre!GB32</f>
        <v>462025</v>
      </c>
      <c r="FX325" s="16">
        <f>Novembre!GC32</f>
        <v>0</v>
      </c>
    </row>
    <row r="326" spans="1:180" x14ac:dyDescent="0.2">
      <c r="A326" s="16" t="str">
        <f t="shared" si="76"/>
        <v>Fiche info Avenant 3G3</v>
      </c>
      <c r="B326" s="16" t="str">
        <f t="shared" si="75"/>
        <v>Fiche info Avenant 3</v>
      </c>
      <c r="C326" s="27" t="s">
        <v>245</v>
      </c>
      <c r="D326" s="27">
        <v>3</v>
      </c>
      <c r="E326" s="16" t="s">
        <v>19</v>
      </c>
      <c r="F326" s="34" t="str">
        <f>+IF('Fiche info Avenant 3'!$BY$9=0,"",'Fiche info Avenant 3'!$BY$9)</f>
        <v/>
      </c>
      <c r="G326" s="16">
        <f t="shared" si="84"/>
        <v>0</v>
      </c>
      <c r="BX326" s="16" t="str">
        <f t="shared" si="85"/>
        <v>Fiche info Avenant 3G3</v>
      </c>
      <c r="BY326" s="449">
        <f>'Fiche info Avenant 3'!$BP$9</f>
        <v>0</v>
      </c>
      <c r="BZ326" s="449">
        <f>'Fiche info Avenant 3'!$BQ$9</f>
        <v>0</v>
      </c>
      <c r="CA326" s="449">
        <f>'Fiche info Avenant 3'!$BR$9</f>
        <v>0</v>
      </c>
      <c r="CB326" s="449">
        <f>'Fiche info Avenant 3'!$BS$9</f>
        <v>0</v>
      </c>
      <c r="CC326" s="449">
        <f>'Fiche info Avenant 3'!$BT$9</f>
        <v>0</v>
      </c>
      <c r="CD326" s="449">
        <f>'Fiche info Avenant 3'!$BU$9</f>
        <v>0</v>
      </c>
      <c r="CE326" s="449">
        <f>'Fiche info Avenant 3'!$BV$9</f>
        <v>0</v>
      </c>
      <c r="CF326" s="449">
        <f>'Fiche info Avenant 3'!$BW$9</f>
        <v>0</v>
      </c>
      <c r="ED326" s="16" t="str">
        <f t="shared" si="77"/>
        <v>Fiche info Avenant 3G</v>
      </c>
      <c r="EE326" s="16" t="str">
        <f t="shared" si="79"/>
        <v>Fiche info Avenant 3</v>
      </c>
      <c r="EF326" s="16" t="str">
        <f t="shared" si="80"/>
        <v>G</v>
      </c>
      <c r="EG326" s="16">
        <f t="shared" si="81"/>
        <v>3</v>
      </c>
      <c r="EH326" s="16" t="str">
        <f t="shared" si="82"/>
        <v>Mercredi</v>
      </c>
      <c r="EI326" s="16" t="str">
        <f t="shared" si="83"/>
        <v/>
      </c>
      <c r="FB326" s="16" t="str">
        <f t="shared" si="86"/>
        <v/>
      </c>
      <c r="FC326" s="16" t="str">
        <f t="shared" si="87"/>
        <v/>
      </c>
      <c r="FD326" s="30">
        <f t="shared" si="78"/>
        <v>43525</v>
      </c>
      <c r="FE326" s="30" t="str">
        <f>+IFERROR(VLOOKUP(FD326,BDD,71,FALSE),"")</f>
        <v/>
      </c>
      <c r="FF326" s="30" t="str">
        <f>IFERROR(+VLOOKUP(FD326,BDD,72,FALSE),"")</f>
        <v/>
      </c>
      <c r="FG326" s="30" t="str">
        <f>+IFERROR(VLOOKUP(FD326,BDD,73,FALSE),"")</f>
        <v/>
      </c>
      <c r="FH326" s="30" t="str">
        <f>+IFERROR(VLOOKUP(FD326,BDD,74,FALSE),"")</f>
        <v/>
      </c>
      <c r="FW326" s="16" t="str">
        <f>Novembre!GB33</f>
        <v>462025</v>
      </c>
      <c r="FX326" s="16">
        <f>Novembre!GC33</f>
        <v>0</v>
      </c>
    </row>
    <row r="327" spans="1:180" x14ac:dyDescent="0.2">
      <c r="A327" s="16" t="str">
        <f t="shared" si="76"/>
        <v>Fiche info Avenant 3G4</v>
      </c>
      <c r="B327" s="16" t="str">
        <f t="shared" si="75"/>
        <v>Fiche info Avenant 3</v>
      </c>
      <c r="C327" s="27" t="s">
        <v>245</v>
      </c>
      <c r="D327" s="27">
        <v>4</v>
      </c>
      <c r="E327" s="16" t="s">
        <v>20</v>
      </c>
      <c r="F327" s="34" t="str">
        <f>+IF('Fiche info Avenant 3'!$BY$10=0,"",'Fiche info Avenant 3'!$BY$10)</f>
        <v/>
      </c>
      <c r="G327" s="16">
        <f t="shared" si="84"/>
        <v>0</v>
      </c>
      <c r="BX327" s="16" t="str">
        <f t="shared" si="85"/>
        <v>Fiche info Avenant 3G4</v>
      </c>
      <c r="BY327" s="449">
        <f>'Fiche info Avenant 3'!$BP$10</f>
        <v>0</v>
      </c>
      <c r="BZ327" s="449">
        <f>'Fiche info Avenant 3'!$BQ$10</f>
        <v>0</v>
      </c>
      <c r="CA327" s="449">
        <f>'Fiche info Avenant 3'!$BR$10</f>
        <v>0</v>
      </c>
      <c r="CB327" s="449">
        <f>'Fiche info Avenant 3'!$BS$10</f>
        <v>0</v>
      </c>
      <c r="CC327" s="449">
        <f>'Fiche info Avenant 3'!$BT$10</f>
        <v>0</v>
      </c>
      <c r="CD327" s="449">
        <f>'Fiche info Avenant 3'!$BU$10</f>
        <v>0</v>
      </c>
      <c r="CE327" s="449">
        <f>'Fiche info Avenant 3'!$BV$10</f>
        <v>0</v>
      </c>
      <c r="CF327" s="449">
        <f>'Fiche info Avenant 3'!$BW$10</f>
        <v>0</v>
      </c>
      <c r="ED327" s="16" t="str">
        <f t="shared" si="77"/>
        <v>Fiche info Avenant 3G</v>
      </c>
      <c r="EE327" s="16" t="str">
        <f t="shared" si="79"/>
        <v>Fiche info Avenant 3</v>
      </c>
      <c r="EF327" s="16" t="str">
        <f t="shared" si="80"/>
        <v>G</v>
      </c>
      <c r="EG327" s="16">
        <f t="shared" si="81"/>
        <v>4</v>
      </c>
      <c r="EH327" s="16" t="str">
        <f t="shared" si="82"/>
        <v>Jeudi</v>
      </c>
      <c r="EI327" s="16" t="str">
        <f t="shared" si="83"/>
        <v/>
      </c>
      <c r="FB327" s="16" t="str">
        <f t="shared" si="86"/>
        <v/>
      </c>
      <c r="FC327" s="16" t="str">
        <f t="shared" si="87"/>
        <v/>
      </c>
      <c r="FD327" s="30">
        <f t="shared" si="78"/>
        <v>43525</v>
      </c>
      <c r="FE327" s="30" t="str">
        <f>+IFERROR(VLOOKUP(FD327,BDD,75,FALSE),"")</f>
        <v/>
      </c>
      <c r="FF327" s="30" t="str">
        <f>+IFERROR(VLOOKUP(FD327,BDD,76,FALSE),"")</f>
        <v/>
      </c>
      <c r="FG327" s="30" t="str">
        <f>IFERROR(+VLOOKUP(FD327,BDD,77,FALSE),"")</f>
        <v/>
      </c>
      <c r="FH327" s="30" t="str">
        <f>+IFERROR(VLOOKUP(FD327,BDD,78,FALSE),"")</f>
        <v/>
      </c>
      <c r="FW327" s="16" t="str">
        <f>Novembre!GB34</f>
        <v>462025</v>
      </c>
      <c r="FX327" s="16">
        <f>Novembre!GC34</f>
        <v>0</v>
      </c>
    </row>
    <row r="328" spans="1:180" x14ac:dyDescent="0.2">
      <c r="A328" s="16" t="str">
        <f t="shared" si="76"/>
        <v>Fiche info Avenant 3G5</v>
      </c>
      <c r="B328" s="16" t="str">
        <f t="shared" si="75"/>
        <v>Fiche info Avenant 3</v>
      </c>
      <c r="C328" s="27" t="s">
        <v>245</v>
      </c>
      <c r="D328" s="27">
        <v>5</v>
      </c>
      <c r="E328" s="16" t="s">
        <v>21</v>
      </c>
      <c r="F328" s="34" t="str">
        <f>+IF('Fiche info Avenant 3'!$BY$11=0,"",'Fiche info Avenant 3'!$BY$11)</f>
        <v/>
      </c>
      <c r="G328" s="16">
        <f t="shared" si="84"/>
        <v>0</v>
      </c>
      <c r="BX328" s="16" t="str">
        <f t="shared" si="85"/>
        <v>Fiche info Avenant 3G5</v>
      </c>
      <c r="BY328" s="449">
        <f>'Fiche info Avenant 3'!$BP$11</f>
        <v>0</v>
      </c>
      <c r="BZ328" s="449">
        <f>'Fiche info Avenant 3'!$BQ$11</f>
        <v>0</v>
      </c>
      <c r="CA328" s="449">
        <f>'Fiche info Avenant 3'!$BR$11</f>
        <v>0</v>
      </c>
      <c r="CB328" s="449">
        <f>'Fiche info Avenant 3'!$BS$11</f>
        <v>0</v>
      </c>
      <c r="CC328" s="449">
        <f>'Fiche info Avenant 3'!$BT$11</f>
        <v>0</v>
      </c>
      <c r="CD328" s="449">
        <f>'Fiche info Avenant 3'!$BU$11</f>
        <v>0</v>
      </c>
      <c r="CE328" s="449">
        <f>'Fiche info Avenant 3'!$BV$11</f>
        <v>0</v>
      </c>
      <c r="CF328" s="449">
        <f>'Fiche info Avenant 3'!$BW$11</f>
        <v>0</v>
      </c>
      <c r="ED328" s="16" t="str">
        <f t="shared" si="77"/>
        <v>Fiche info Avenant 3G</v>
      </c>
      <c r="EE328" s="16" t="str">
        <f t="shared" si="79"/>
        <v>Fiche info Avenant 3</v>
      </c>
      <c r="EF328" s="16" t="str">
        <f t="shared" si="80"/>
        <v>G</v>
      </c>
      <c r="EG328" s="16">
        <f t="shared" si="81"/>
        <v>5</v>
      </c>
      <c r="EH328" s="16" t="str">
        <f t="shared" si="82"/>
        <v>Vendredi</v>
      </c>
      <c r="EI328" s="16" t="str">
        <f t="shared" si="83"/>
        <v/>
      </c>
      <c r="FB328" s="16" t="str">
        <f t="shared" si="86"/>
        <v/>
      </c>
      <c r="FC328" s="16" t="str">
        <f t="shared" si="87"/>
        <v/>
      </c>
      <c r="FD328" s="30">
        <f t="shared" si="78"/>
        <v>43525</v>
      </c>
      <c r="FE328" s="30" t="str">
        <f>+IFERROR(VLOOKUP(FD328,BDD,79,FALSE),"")</f>
        <v/>
      </c>
      <c r="FF328" s="30" t="str">
        <f>IFERROR(+VLOOKUP(FD328,BDD,80,FALSE),"")</f>
        <v/>
      </c>
      <c r="FG328" s="30" t="str">
        <f>+IFERROR(VLOOKUP(FD328,BDD,81,FALSE),"")</f>
        <v/>
      </c>
      <c r="FH328" s="30" t="str">
        <f>+IFERROR(VLOOKUP(FD328,BDD,82,FALSE),"")</f>
        <v/>
      </c>
      <c r="FW328" s="16" t="str">
        <f>Novembre!GB35</f>
        <v>462025</v>
      </c>
      <c r="FX328" s="16">
        <f>Novembre!GC35</f>
        <v>0</v>
      </c>
    </row>
    <row r="329" spans="1:180" x14ac:dyDescent="0.2">
      <c r="A329" s="16" t="str">
        <f t="shared" si="76"/>
        <v>Fiche info Avenant 3G6</v>
      </c>
      <c r="B329" s="16" t="str">
        <f t="shared" si="75"/>
        <v>Fiche info Avenant 3</v>
      </c>
      <c r="C329" s="27" t="s">
        <v>245</v>
      </c>
      <c r="D329" s="27">
        <v>6</v>
      </c>
      <c r="E329" s="16" t="s">
        <v>193</v>
      </c>
      <c r="F329" s="34" t="str">
        <f>+IF('Fiche info Avenant 3'!$BY$12=0,"",'Fiche info Avenant 3'!$BY$12)</f>
        <v/>
      </c>
      <c r="G329" s="16">
        <f t="shared" si="84"/>
        <v>0</v>
      </c>
      <c r="BX329" s="16" t="str">
        <f t="shared" si="85"/>
        <v>Fiche info Avenant 3G6</v>
      </c>
      <c r="BY329" s="449">
        <f>'Fiche info Avenant 3'!$BP$12</f>
        <v>0</v>
      </c>
      <c r="BZ329" s="449">
        <f>'Fiche info Avenant 3'!$BQ$12</f>
        <v>0</v>
      </c>
      <c r="CA329" s="449">
        <f>'Fiche info Avenant 3'!$BR$12</f>
        <v>0</v>
      </c>
      <c r="CB329" s="449">
        <f>'Fiche info Avenant 3'!$BS$12</f>
        <v>0</v>
      </c>
      <c r="CC329" s="449">
        <f>'Fiche info Avenant 3'!$BT$12</f>
        <v>0</v>
      </c>
      <c r="CD329" s="449">
        <f>'Fiche info Avenant 3'!$BU$12</f>
        <v>0</v>
      </c>
      <c r="CE329" s="449">
        <f>'Fiche info Avenant 3'!$BV$12</f>
        <v>0</v>
      </c>
      <c r="CF329" s="449">
        <f>'Fiche info Avenant 3'!$BW$12</f>
        <v>0</v>
      </c>
      <c r="ED329" s="16" t="str">
        <f t="shared" si="77"/>
        <v>Fiche info Avenant 3G</v>
      </c>
      <c r="EE329" s="16" t="str">
        <f t="shared" si="79"/>
        <v>Fiche info Avenant 3</v>
      </c>
      <c r="EF329" s="16" t="str">
        <f t="shared" si="80"/>
        <v>G</v>
      </c>
      <c r="EG329" s="16">
        <f t="shared" si="81"/>
        <v>6</v>
      </c>
      <c r="EH329" s="16" t="str">
        <f t="shared" si="82"/>
        <v>Samedi</v>
      </c>
      <c r="EI329" s="16" t="str">
        <f t="shared" si="83"/>
        <v/>
      </c>
      <c r="FB329" s="16" t="str">
        <f t="shared" si="86"/>
        <v/>
      </c>
      <c r="FC329" s="16" t="str">
        <f t="shared" si="87"/>
        <v/>
      </c>
      <c r="FD329" s="30">
        <f t="shared" si="78"/>
        <v>43525</v>
      </c>
      <c r="FE329" s="30" t="str">
        <f>+IFERROR(VLOOKUP(FD329,BDD,83,FALSE),"")</f>
        <v/>
      </c>
      <c r="FF329" s="30" t="str">
        <f>+IFERROR(VLOOKUP(FD329,BDD,84,FALSE),"")</f>
        <v/>
      </c>
      <c r="FG329" s="30" t="str">
        <f>+IFERROR(VLOOKUP(FD329,BDD,85,FALSE),"")</f>
        <v/>
      </c>
      <c r="FH329" s="30" t="str">
        <f>+IFERROR(VLOOKUP(FD329,BDD,86,FALSE),"")</f>
        <v/>
      </c>
      <c r="FW329" s="16" t="str">
        <f>Novembre!GB36</f>
        <v>472025</v>
      </c>
      <c r="FX329" s="16">
        <f>Novembre!GC36</f>
        <v>0</v>
      </c>
    </row>
    <row r="330" spans="1:180" x14ac:dyDescent="0.2">
      <c r="A330" s="16" t="str">
        <f t="shared" si="76"/>
        <v>Fiche info Avenant 3G7</v>
      </c>
      <c r="B330" s="16" t="str">
        <f t="shared" si="75"/>
        <v>Fiche info Avenant 3</v>
      </c>
      <c r="C330" s="27" t="s">
        <v>245</v>
      </c>
      <c r="D330" s="27">
        <v>7</v>
      </c>
      <c r="E330" s="16" t="s">
        <v>194</v>
      </c>
      <c r="F330" s="34" t="str">
        <f>+IF('Fiche info Avenant 3'!$BY$13=0,"",'Fiche info Avenant 3'!$BY$13)</f>
        <v/>
      </c>
      <c r="G330" s="16">
        <f t="shared" si="84"/>
        <v>0</v>
      </c>
      <c r="BX330" s="16" t="str">
        <f t="shared" si="85"/>
        <v>Fiche info Avenant 3G7</v>
      </c>
      <c r="BY330" s="449">
        <f>'Fiche info Avenant 3'!$BP$13</f>
        <v>0</v>
      </c>
      <c r="BZ330" s="449">
        <f>'Fiche info Avenant 3'!$BQ$13</f>
        <v>0</v>
      </c>
      <c r="CA330" s="449">
        <f>'Fiche info Avenant 3'!$BR$13</f>
        <v>0</v>
      </c>
      <c r="CB330" s="449">
        <f>'Fiche info Avenant 3'!$BS$13</f>
        <v>0</v>
      </c>
      <c r="CC330" s="449">
        <f>'Fiche info Avenant 3'!$BT$13</f>
        <v>0</v>
      </c>
      <c r="CD330" s="449">
        <f>'Fiche info Avenant 3'!$BU$13</f>
        <v>0</v>
      </c>
      <c r="CE330" s="449">
        <f>'Fiche info Avenant 3'!$BV$13</f>
        <v>0</v>
      </c>
      <c r="CF330" s="449">
        <f>'Fiche info Avenant 3'!$BW$13</f>
        <v>0</v>
      </c>
      <c r="ED330" s="16" t="str">
        <f t="shared" si="77"/>
        <v>Fiche info Avenant 3G</v>
      </c>
      <c r="EE330" s="16" t="str">
        <f t="shared" si="79"/>
        <v>Fiche info Avenant 3</v>
      </c>
      <c r="EF330" s="16" t="str">
        <f t="shared" si="80"/>
        <v>G</v>
      </c>
      <c r="EG330" s="16">
        <f t="shared" si="81"/>
        <v>7</v>
      </c>
      <c r="EH330" s="16" t="str">
        <f t="shared" si="82"/>
        <v>Dimanche</v>
      </c>
      <c r="EI330" s="16" t="str">
        <f t="shared" si="83"/>
        <v/>
      </c>
      <c r="FB330" s="16" t="str">
        <f t="shared" si="86"/>
        <v/>
      </c>
      <c r="FC330" s="16" t="str">
        <f t="shared" si="87"/>
        <v/>
      </c>
      <c r="FD330" s="30">
        <f t="shared" si="78"/>
        <v>43497</v>
      </c>
      <c r="FE330" s="30" t="str">
        <f>+IFERROR(VLOOKUP(FD330,BDD,71,FALSE),"")</f>
        <v/>
      </c>
      <c r="FF330" s="30" t="str">
        <f>IFERROR(+VLOOKUP(FD330,BDD,72,FALSE),"")</f>
        <v/>
      </c>
      <c r="FG330" s="30" t="str">
        <f>+IFERROR(VLOOKUP(FD330,BDD,73,FALSE),"")</f>
        <v/>
      </c>
      <c r="FH330" s="30" t="str">
        <f>+IFERROR(VLOOKUP(FD330,BDD,74,FALSE),"")</f>
        <v/>
      </c>
      <c r="FW330" s="16" t="str">
        <f>Novembre!GB37</f>
        <v>472025</v>
      </c>
      <c r="FX330" s="16">
        <f>Novembre!GC37</f>
        <v>0</v>
      </c>
    </row>
    <row r="331" spans="1:180" x14ac:dyDescent="0.2">
      <c r="A331" s="16" t="str">
        <f t="shared" si="76"/>
        <v>Fiche info Avenant 3H1</v>
      </c>
      <c r="B331" s="16" t="str">
        <f t="shared" si="75"/>
        <v>Fiche info Avenant 3</v>
      </c>
      <c r="C331" s="27" t="s">
        <v>246</v>
      </c>
      <c r="D331" s="27">
        <v>1</v>
      </c>
      <c r="E331" s="16" t="s">
        <v>17</v>
      </c>
      <c r="F331" s="34" t="str">
        <f>+IF('Fiche info Avenant 3'!$CJ$7=0,"",'Fiche info Avenant 3'!$CJ$7)</f>
        <v/>
      </c>
      <c r="G331" s="16">
        <f t="shared" si="84"/>
        <v>0</v>
      </c>
      <c r="BX331" s="16" t="str">
        <f t="shared" si="85"/>
        <v>Fiche info Avenant 3H1</v>
      </c>
      <c r="BY331" s="449">
        <f>'Fiche info Avenant 3'!$CA$7</f>
        <v>0</v>
      </c>
      <c r="BZ331" s="449">
        <f>'Fiche info Avenant 3'!$CB$7</f>
        <v>0</v>
      </c>
      <c r="CA331" s="449">
        <f>'Fiche info Avenant 3'!$CC$7</f>
        <v>0</v>
      </c>
      <c r="CB331" s="449">
        <f>'Fiche info Avenant 3'!$CD$7</f>
        <v>0</v>
      </c>
      <c r="CC331" s="449">
        <f>'Fiche info Avenant 3'!$CE$7</f>
        <v>0</v>
      </c>
      <c r="CD331" s="449">
        <f>'Fiche info Avenant 3'!$CF$7</f>
        <v>0</v>
      </c>
      <c r="CE331" s="449">
        <f>'Fiche info Avenant 3'!$CG$7</f>
        <v>0</v>
      </c>
      <c r="CF331" s="449">
        <f>'Fiche info Avenant 3'!$CH$7</f>
        <v>0</v>
      </c>
      <c r="ED331" s="16" t="str">
        <f t="shared" si="77"/>
        <v>Fiche info Avenant 3H</v>
      </c>
      <c r="EE331" s="16" t="str">
        <f t="shared" si="79"/>
        <v>Fiche info Avenant 3</v>
      </c>
      <c r="EF331" s="16" t="str">
        <f t="shared" si="80"/>
        <v>H</v>
      </c>
      <c r="EG331" s="16">
        <f t="shared" si="81"/>
        <v>1</v>
      </c>
      <c r="EH331" s="16" t="str">
        <f t="shared" si="82"/>
        <v>Lundi</v>
      </c>
      <c r="EI331" s="16" t="str">
        <f t="shared" si="83"/>
        <v/>
      </c>
      <c r="FB331" s="16" t="str">
        <f t="shared" si="86"/>
        <v/>
      </c>
      <c r="FC331" s="16" t="str">
        <f t="shared" si="87"/>
        <v/>
      </c>
      <c r="FD331" s="30">
        <f t="shared" si="78"/>
        <v>43497</v>
      </c>
      <c r="FE331" s="30" t="str">
        <f>+IFERROR(VLOOKUP(FD331,BDD,75,FALSE),"")</f>
        <v/>
      </c>
      <c r="FF331" s="30" t="str">
        <f>+IFERROR(VLOOKUP(FD331,BDD,76,FALSE),"")</f>
        <v/>
      </c>
      <c r="FG331" s="30" t="str">
        <f>IFERROR(+VLOOKUP(FD331,BDD,77,FALSE),"")</f>
        <v/>
      </c>
      <c r="FH331" s="30" t="str">
        <f>+IFERROR(VLOOKUP(FD331,BDD,78,FALSE),"")</f>
        <v/>
      </c>
      <c r="FW331" s="16" t="str">
        <f>Novembre!GB38</f>
        <v>472025</v>
      </c>
      <c r="FX331" s="16">
        <f>Novembre!GC38</f>
        <v>0</v>
      </c>
    </row>
    <row r="332" spans="1:180" x14ac:dyDescent="0.2">
      <c r="A332" s="16" t="str">
        <f t="shared" si="76"/>
        <v>Fiche info Avenant 3H2</v>
      </c>
      <c r="B332" s="16" t="str">
        <f t="shared" si="75"/>
        <v>Fiche info Avenant 3</v>
      </c>
      <c r="C332" s="27" t="s">
        <v>246</v>
      </c>
      <c r="D332" s="27">
        <v>2</v>
      </c>
      <c r="E332" s="16" t="s">
        <v>18</v>
      </c>
      <c r="F332" s="34" t="str">
        <f>+IF('Fiche info Avenant 3'!$CJ$8=0,"",'Fiche info Avenant 3'!$CJ$8)</f>
        <v/>
      </c>
      <c r="G332" s="16">
        <f t="shared" si="84"/>
        <v>0</v>
      </c>
      <c r="BX332" s="16" t="str">
        <f t="shared" si="85"/>
        <v>Fiche info Avenant 3H2</v>
      </c>
      <c r="BY332" s="449">
        <f>'Fiche info Avenant 3'!$CA$8</f>
        <v>0</v>
      </c>
      <c r="BZ332" s="449">
        <f>'Fiche info Avenant 3'!$CB$8</f>
        <v>0</v>
      </c>
      <c r="CA332" s="449">
        <f>'Fiche info Avenant 3'!$CC$8</f>
        <v>0</v>
      </c>
      <c r="CB332" s="449">
        <f>'Fiche info Avenant 3'!$CD$8</f>
        <v>0</v>
      </c>
      <c r="CC332" s="449">
        <f>'Fiche info Avenant 3'!$CE$8</f>
        <v>0</v>
      </c>
      <c r="CD332" s="449">
        <f>'Fiche info Avenant 3'!$CF$8</f>
        <v>0</v>
      </c>
      <c r="CE332" s="449">
        <f>'Fiche info Avenant 3'!$CG$8</f>
        <v>0</v>
      </c>
      <c r="CF332" s="449">
        <f>'Fiche info Avenant 3'!$CH$8</f>
        <v>0</v>
      </c>
      <c r="ED332" s="16" t="str">
        <f t="shared" si="77"/>
        <v>Fiche info Avenant 3H</v>
      </c>
      <c r="EE332" s="16" t="str">
        <f t="shared" si="79"/>
        <v>Fiche info Avenant 3</v>
      </c>
      <c r="EF332" s="16" t="str">
        <f t="shared" si="80"/>
        <v>H</v>
      </c>
      <c r="EG332" s="16">
        <f t="shared" si="81"/>
        <v>2</v>
      </c>
      <c r="EH332" s="16" t="str">
        <f t="shared" si="82"/>
        <v>Mardi</v>
      </c>
      <c r="EI332" s="16" t="str">
        <f t="shared" si="83"/>
        <v/>
      </c>
      <c r="FB332" s="16" t="str">
        <f t="shared" si="86"/>
        <v/>
      </c>
      <c r="FC332" s="16" t="str">
        <f t="shared" si="87"/>
        <v/>
      </c>
      <c r="FD332" s="30">
        <f t="shared" si="78"/>
        <v>43497</v>
      </c>
      <c r="FE332" s="30" t="str">
        <f>+IFERROR(VLOOKUP(FD332,BDD,79,FALSE),"")</f>
        <v/>
      </c>
      <c r="FF332" s="30" t="str">
        <f>IFERROR(+VLOOKUP(FD332,BDD,80,FALSE),"")</f>
        <v/>
      </c>
      <c r="FG332" s="30" t="str">
        <f>+IFERROR(VLOOKUP(FD332,BDD,81,FALSE),"")</f>
        <v/>
      </c>
      <c r="FH332" s="30" t="str">
        <f>+IFERROR(VLOOKUP(FD332,BDD,82,FALSE),"")</f>
        <v/>
      </c>
      <c r="FW332" s="16" t="str">
        <f>Novembre!GB39</f>
        <v>472025</v>
      </c>
      <c r="FX332" s="16">
        <f>Novembre!GC39</f>
        <v>0</v>
      </c>
    </row>
    <row r="333" spans="1:180" x14ac:dyDescent="0.2">
      <c r="A333" s="16" t="str">
        <f t="shared" si="76"/>
        <v>Fiche info Avenant 3H3</v>
      </c>
      <c r="B333" s="16" t="str">
        <f t="shared" si="75"/>
        <v>Fiche info Avenant 3</v>
      </c>
      <c r="C333" s="27" t="s">
        <v>246</v>
      </c>
      <c r="D333" s="27">
        <v>3</v>
      </c>
      <c r="E333" s="16" t="s">
        <v>19</v>
      </c>
      <c r="F333" s="34" t="str">
        <f>+IF('Fiche info Avenant 3'!$CJ$9=0,"",'Fiche info Avenant 3'!$CJ$9)</f>
        <v/>
      </c>
      <c r="G333" s="16">
        <f t="shared" si="84"/>
        <v>0</v>
      </c>
      <c r="BX333" s="16" t="str">
        <f t="shared" si="85"/>
        <v>Fiche info Avenant 3H3</v>
      </c>
      <c r="BY333" s="449">
        <f>'Fiche info Avenant 3'!$CA$9</f>
        <v>0</v>
      </c>
      <c r="BZ333" s="449">
        <f>'Fiche info Avenant 3'!$CB$9</f>
        <v>0</v>
      </c>
      <c r="CA333" s="449">
        <f>'Fiche info Avenant 3'!$CC$9</f>
        <v>0</v>
      </c>
      <c r="CB333" s="449">
        <f>'Fiche info Avenant 3'!$CD$9</f>
        <v>0</v>
      </c>
      <c r="CC333" s="449">
        <f>'Fiche info Avenant 3'!$CE$9</f>
        <v>0</v>
      </c>
      <c r="CD333" s="449">
        <f>'Fiche info Avenant 3'!$CF$9</f>
        <v>0</v>
      </c>
      <c r="CE333" s="449">
        <f>'Fiche info Avenant 3'!$CG$9</f>
        <v>0</v>
      </c>
      <c r="CF333" s="449">
        <f>'Fiche info Avenant 3'!$CH$9</f>
        <v>0</v>
      </c>
      <c r="ED333" s="16" t="str">
        <f t="shared" si="77"/>
        <v>Fiche info Avenant 3H</v>
      </c>
      <c r="EE333" s="16" t="str">
        <f t="shared" si="79"/>
        <v>Fiche info Avenant 3</v>
      </c>
      <c r="EF333" s="16" t="str">
        <f t="shared" si="80"/>
        <v>H</v>
      </c>
      <c r="EG333" s="16">
        <f t="shared" si="81"/>
        <v>3</v>
      </c>
      <c r="EH333" s="16" t="str">
        <f t="shared" si="82"/>
        <v>Mercredi</v>
      </c>
      <c r="EI333" s="16" t="str">
        <f t="shared" si="83"/>
        <v/>
      </c>
      <c r="FB333" s="16" t="str">
        <f t="shared" si="86"/>
        <v/>
      </c>
      <c r="FC333" s="16" t="str">
        <f t="shared" si="87"/>
        <v/>
      </c>
      <c r="FD333" s="30">
        <f t="shared" si="78"/>
        <v>43497</v>
      </c>
      <c r="FE333" s="30" t="str">
        <f>+IFERROR(VLOOKUP(FD333,BDD,83,FALSE),"")</f>
        <v/>
      </c>
      <c r="FF333" s="30" t="str">
        <f>+IFERROR(VLOOKUP(FD333,BDD,84,FALSE),"")</f>
        <v/>
      </c>
      <c r="FG333" s="30" t="str">
        <f>+IFERROR(VLOOKUP(FD333,BDD,85,FALSE),"")</f>
        <v/>
      </c>
      <c r="FH333" s="30" t="str">
        <f>+IFERROR(VLOOKUP(FD333,BDD,86,FALSE),"")</f>
        <v/>
      </c>
      <c r="FW333" s="16" t="str">
        <f>Novembre!GB40</f>
        <v>472025</v>
      </c>
      <c r="FX333" s="16">
        <f>Novembre!GC40</f>
        <v>0</v>
      </c>
    </row>
    <row r="334" spans="1:180" x14ac:dyDescent="0.2">
      <c r="A334" s="16" t="str">
        <f t="shared" si="76"/>
        <v>Fiche info Avenant 3H4</v>
      </c>
      <c r="B334" s="16" t="str">
        <f t="shared" si="75"/>
        <v>Fiche info Avenant 3</v>
      </c>
      <c r="C334" s="27" t="s">
        <v>246</v>
      </c>
      <c r="D334" s="27">
        <v>4</v>
      </c>
      <c r="E334" s="16" t="s">
        <v>20</v>
      </c>
      <c r="F334" s="34" t="str">
        <f>+IF('Fiche info Avenant 3'!$CJ$10=0,"",'Fiche info Avenant 3'!$CJ$10)</f>
        <v/>
      </c>
      <c r="G334" s="16">
        <f t="shared" si="84"/>
        <v>0</v>
      </c>
      <c r="BX334" s="16" t="str">
        <f t="shared" si="85"/>
        <v>Fiche info Avenant 3H4</v>
      </c>
      <c r="BY334" s="449">
        <f>'Fiche info Avenant 3'!$CA$10</f>
        <v>0</v>
      </c>
      <c r="BZ334" s="449">
        <f>'Fiche info Avenant 3'!$CB$10</f>
        <v>0</v>
      </c>
      <c r="CA334" s="449">
        <f>'Fiche info Avenant 3'!$CC$10</f>
        <v>0</v>
      </c>
      <c r="CB334" s="449">
        <f>'Fiche info Avenant 3'!$CD$10</f>
        <v>0</v>
      </c>
      <c r="CC334" s="449">
        <f>'Fiche info Avenant 3'!$CE$10</f>
        <v>0</v>
      </c>
      <c r="CD334" s="449">
        <f>'Fiche info Avenant 3'!$CF$10</f>
        <v>0</v>
      </c>
      <c r="CE334" s="449">
        <f>'Fiche info Avenant 3'!$CG$10</f>
        <v>0</v>
      </c>
      <c r="CF334" s="449">
        <f>'Fiche info Avenant 3'!$CH$10</f>
        <v>0</v>
      </c>
      <c r="ED334" s="16" t="str">
        <f t="shared" si="77"/>
        <v>Fiche info Avenant 3H</v>
      </c>
      <c r="EE334" s="16" t="str">
        <f t="shared" si="79"/>
        <v>Fiche info Avenant 3</v>
      </c>
      <c r="EF334" s="16" t="str">
        <f t="shared" si="80"/>
        <v>H</v>
      </c>
      <c r="EG334" s="16">
        <f t="shared" si="81"/>
        <v>4</v>
      </c>
      <c r="EH334" s="16" t="str">
        <f t="shared" si="82"/>
        <v>Jeudi</v>
      </c>
      <c r="EI334" s="16" t="str">
        <f t="shared" si="83"/>
        <v/>
      </c>
      <c r="FB334" s="16" t="str">
        <f t="shared" si="86"/>
        <v/>
      </c>
      <c r="FC334" s="16" t="str">
        <f t="shared" si="87"/>
        <v/>
      </c>
      <c r="FD334" s="30">
        <f t="shared" si="78"/>
        <v>43466</v>
      </c>
      <c r="FE334" s="30" t="str">
        <f>+IFERROR(VLOOKUP(FD334,BDD,71,FALSE),"")</f>
        <v/>
      </c>
      <c r="FF334" s="30" t="str">
        <f>IFERROR(+VLOOKUP(FD334,BDD,72,FALSE),"")</f>
        <v/>
      </c>
      <c r="FG334" s="30" t="str">
        <f>+IFERROR(VLOOKUP(FD334,BDD,73,FALSE),"")</f>
        <v/>
      </c>
      <c r="FH334" s="30" t="str">
        <f>+IFERROR(VLOOKUP(FD334,BDD,74,FALSE),"")</f>
        <v/>
      </c>
      <c r="FW334" s="16" t="str">
        <f>Novembre!GB41</f>
        <v>472025</v>
      </c>
      <c r="FX334" s="16">
        <f>Novembre!GC41</f>
        <v>0</v>
      </c>
    </row>
    <row r="335" spans="1:180" x14ac:dyDescent="0.2">
      <c r="A335" s="16" t="str">
        <f t="shared" si="76"/>
        <v>Fiche info Avenant 3H5</v>
      </c>
      <c r="B335" s="16" t="str">
        <f t="shared" si="75"/>
        <v>Fiche info Avenant 3</v>
      </c>
      <c r="C335" s="27" t="s">
        <v>246</v>
      </c>
      <c r="D335" s="27">
        <v>5</v>
      </c>
      <c r="E335" s="16" t="s">
        <v>21</v>
      </c>
      <c r="F335" s="34" t="str">
        <f>+IF('Fiche info Avenant 3'!$CJ$11=0,"",'Fiche info Avenant 3'!$CJ$11)</f>
        <v/>
      </c>
      <c r="G335" s="16">
        <f t="shared" si="84"/>
        <v>0</v>
      </c>
      <c r="BX335" s="16" t="str">
        <f t="shared" si="85"/>
        <v>Fiche info Avenant 3H5</v>
      </c>
      <c r="BY335" s="449">
        <f>'Fiche info Avenant 3'!$CA$11</f>
        <v>0</v>
      </c>
      <c r="BZ335" s="449">
        <f>'Fiche info Avenant 3'!$CB$11</f>
        <v>0</v>
      </c>
      <c r="CA335" s="449">
        <f>'Fiche info Avenant 3'!$CC$11</f>
        <v>0</v>
      </c>
      <c r="CB335" s="449">
        <f>'Fiche info Avenant 3'!$CD$11</f>
        <v>0</v>
      </c>
      <c r="CC335" s="449">
        <f>'Fiche info Avenant 3'!$CE$11</f>
        <v>0</v>
      </c>
      <c r="CD335" s="449">
        <f>'Fiche info Avenant 3'!$CF$11</f>
        <v>0</v>
      </c>
      <c r="CE335" s="449">
        <f>'Fiche info Avenant 3'!$CG$11</f>
        <v>0</v>
      </c>
      <c r="CF335" s="449">
        <f>'Fiche info Avenant 3'!$CH$11</f>
        <v>0</v>
      </c>
      <c r="ED335" s="16" t="str">
        <f t="shared" si="77"/>
        <v>Fiche info Avenant 3H</v>
      </c>
      <c r="EE335" s="16" t="str">
        <f t="shared" si="79"/>
        <v>Fiche info Avenant 3</v>
      </c>
      <c r="EF335" s="16" t="str">
        <f t="shared" si="80"/>
        <v>H</v>
      </c>
      <c r="EG335" s="16">
        <f t="shared" si="81"/>
        <v>5</v>
      </c>
      <c r="EH335" s="16" t="str">
        <f t="shared" si="82"/>
        <v>Vendredi</v>
      </c>
      <c r="EI335" s="16" t="str">
        <f t="shared" si="83"/>
        <v/>
      </c>
      <c r="FB335" s="16" t="str">
        <f t="shared" si="86"/>
        <v/>
      </c>
      <c r="FC335" s="16" t="str">
        <f t="shared" si="87"/>
        <v/>
      </c>
      <c r="FD335" s="30">
        <f t="shared" si="78"/>
        <v>43466</v>
      </c>
      <c r="FE335" s="30" t="str">
        <f>+IFERROR(VLOOKUP(FD335,BDD,75,FALSE),"")</f>
        <v/>
      </c>
      <c r="FF335" s="30" t="str">
        <f>+IFERROR(VLOOKUP(FD335,BDD,76,FALSE),"")</f>
        <v/>
      </c>
      <c r="FG335" s="30" t="str">
        <f>IFERROR(+VLOOKUP(FD335,BDD,77,FALSE),"")</f>
        <v/>
      </c>
      <c r="FH335" s="30" t="str">
        <f>+IFERROR(VLOOKUP(FD335,BDD,78,FALSE),"")</f>
        <v/>
      </c>
      <c r="FW335" s="16" t="str">
        <f>Novembre!GB42</f>
        <v>472025</v>
      </c>
      <c r="FX335" s="16">
        <f>Novembre!GC42</f>
        <v>0</v>
      </c>
    </row>
    <row r="336" spans="1:180" x14ac:dyDescent="0.2">
      <c r="A336" s="16" t="str">
        <f t="shared" si="76"/>
        <v>Fiche info Avenant 3H6</v>
      </c>
      <c r="B336" s="16" t="str">
        <f t="shared" si="75"/>
        <v>Fiche info Avenant 3</v>
      </c>
      <c r="C336" s="27" t="s">
        <v>246</v>
      </c>
      <c r="D336" s="27">
        <v>6</v>
      </c>
      <c r="E336" s="16" t="s">
        <v>193</v>
      </c>
      <c r="F336" s="34" t="str">
        <f>+IF('Fiche info Avenant 3'!$CJ$12=0,"",'Fiche info Avenant 3'!$CJ$12)</f>
        <v/>
      </c>
      <c r="G336" s="16">
        <f t="shared" si="84"/>
        <v>0</v>
      </c>
      <c r="BX336" s="16" t="str">
        <f t="shared" si="85"/>
        <v>Fiche info Avenant 3H6</v>
      </c>
      <c r="BY336" s="449">
        <f>'Fiche info Avenant 3'!$CA$12</f>
        <v>0</v>
      </c>
      <c r="BZ336" s="449">
        <f>'Fiche info Avenant 3'!$CB$12</f>
        <v>0</v>
      </c>
      <c r="CA336" s="449">
        <f>'Fiche info Avenant 3'!$CC$12</f>
        <v>0</v>
      </c>
      <c r="CB336" s="449">
        <f>'Fiche info Avenant 3'!$CD$12</f>
        <v>0</v>
      </c>
      <c r="CC336" s="449">
        <f>'Fiche info Avenant 3'!$CE$12</f>
        <v>0</v>
      </c>
      <c r="CD336" s="449">
        <f>'Fiche info Avenant 3'!$CF$12</f>
        <v>0</v>
      </c>
      <c r="CE336" s="449">
        <f>'Fiche info Avenant 3'!$CG$12</f>
        <v>0</v>
      </c>
      <c r="CF336" s="449">
        <f>'Fiche info Avenant 3'!$CH$12</f>
        <v>0</v>
      </c>
      <c r="ED336" s="16" t="str">
        <f t="shared" si="77"/>
        <v>Fiche info Avenant 3H</v>
      </c>
      <c r="EE336" s="16" t="str">
        <f t="shared" si="79"/>
        <v>Fiche info Avenant 3</v>
      </c>
      <c r="EF336" s="16" t="str">
        <f t="shared" si="80"/>
        <v>H</v>
      </c>
      <c r="EG336" s="16">
        <f t="shared" si="81"/>
        <v>6</v>
      </c>
      <c r="EH336" s="16" t="str">
        <f t="shared" si="82"/>
        <v>Samedi</v>
      </c>
      <c r="EI336" s="16" t="str">
        <f t="shared" si="83"/>
        <v/>
      </c>
      <c r="FB336" s="16" t="str">
        <f t="shared" si="86"/>
        <v/>
      </c>
      <c r="FC336" s="16" t="str">
        <f t="shared" si="87"/>
        <v/>
      </c>
      <c r="FD336" s="30">
        <f t="shared" si="78"/>
        <v>43466</v>
      </c>
      <c r="FE336" s="30" t="str">
        <f>+IFERROR(VLOOKUP(FD336,BDD,79,FALSE),"")</f>
        <v/>
      </c>
      <c r="FF336" s="30" t="str">
        <f>IFERROR(+VLOOKUP(FD336,BDD,80,FALSE),"")</f>
        <v/>
      </c>
      <c r="FG336" s="30" t="str">
        <f>+IFERROR(VLOOKUP(FD336,BDD,81,FALSE),"")</f>
        <v/>
      </c>
      <c r="FH336" s="30" t="str">
        <f>+IFERROR(VLOOKUP(FD336,BDD,82,FALSE),"")</f>
        <v/>
      </c>
      <c r="FW336" s="16" t="str">
        <f>Novembre!GB43</f>
        <v>482025</v>
      </c>
      <c r="FX336" s="16">
        <f>Novembre!GC43</f>
        <v>0</v>
      </c>
    </row>
    <row r="337" spans="1:180" x14ac:dyDescent="0.2">
      <c r="A337" s="16" t="str">
        <f t="shared" si="76"/>
        <v>Fiche info Avenant 3H7</v>
      </c>
      <c r="B337" s="16" t="str">
        <f t="shared" si="75"/>
        <v>Fiche info Avenant 3</v>
      </c>
      <c r="C337" s="27" t="s">
        <v>246</v>
      </c>
      <c r="D337" s="27">
        <v>7</v>
      </c>
      <c r="E337" s="16" t="s">
        <v>194</v>
      </c>
      <c r="F337" s="34" t="str">
        <f>+IF('Fiche info'!$CJ$13=0,"",'Fiche info'!$CJ$13)</f>
        <v/>
      </c>
      <c r="G337" s="16">
        <f t="shared" si="84"/>
        <v>0</v>
      </c>
      <c r="BX337" s="16" t="str">
        <f t="shared" si="85"/>
        <v>Fiche info Avenant 3H7</v>
      </c>
      <c r="BY337" s="449">
        <f>'Fiche info Avenant 3'!$CA$13</f>
        <v>0</v>
      </c>
      <c r="BZ337" s="449">
        <f>'Fiche info Avenant 3'!$CB$13</f>
        <v>0</v>
      </c>
      <c r="CA337" s="449">
        <f>'Fiche info Avenant 3'!$CC$13</f>
        <v>0</v>
      </c>
      <c r="CB337" s="449">
        <f>'Fiche info Avenant 3'!$CD$13</f>
        <v>0</v>
      </c>
      <c r="CC337" s="449">
        <f>'Fiche info Avenant 3'!$CE$13</f>
        <v>0</v>
      </c>
      <c r="CD337" s="449">
        <f>'Fiche info Avenant 3'!$CF$13</f>
        <v>0</v>
      </c>
      <c r="CE337" s="449">
        <f>'Fiche info Avenant 3'!$CG$13</f>
        <v>0</v>
      </c>
      <c r="CF337" s="449">
        <f>'Fiche info Avenant 3'!$CH$13</f>
        <v>0</v>
      </c>
      <c r="ED337" s="16" t="str">
        <f t="shared" si="77"/>
        <v>Fiche info Avenant 3H</v>
      </c>
      <c r="EE337" s="16" t="str">
        <f t="shared" si="79"/>
        <v>Fiche info Avenant 3</v>
      </c>
      <c r="EF337" s="16" t="str">
        <f t="shared" si="80"/>
        <v>H</v>
      </c>
      <c r="EG337" s="16">
        <f t="shared" si="81"/>
        <v>7</v>
      </c>
      <c r="EH337" s="16" t="str">
        <f t="shared" si="82"/>
        <v>Dimanche</v>
      </c>
      <c r="EI337" s="16" t="str">
        <f t="shared" si="83"/>
        <v/>
      </c>
      <c r="FB337" s="16" t="str">
        <f t="shared" si="86"/>
        <v/>
      </c>
      <c r="FC337" s="16" t="str">
        <f t="shared" si="87"/>
        <v/>
      </c>
      <c r="FD337" s="30">
        <f t="shared" si="78"/>
        <v>43466</v>
      </c>
      <c r="FE337" s="30" t="str">
        <f>+IFERROR(VLOOKUP(FD337,BDD,83,FALSE),"")</f>
        <v/>
      </c>
      <c r="FF337" s="30" t="str">
        <f>+IFERROR(VLOOKUP(FD337,BDD,84,FALSE),"")</f>
        <v/>
      </c>
      <c r="FG337" s="30" t="str">
        <f>+IFERROR(VLOOKUP(FD337,BDD,85,FALSE),"")</f>
        <v/>
      </c>
      <c r="FH337" s="30" t="str">
        <f>+IFERROR(VLOOKUP(FD337,BDD,86,FALSE),"")</f>
        <v/>
      </c>
      <c r="FW337" s="16" t="str">
        <f>Novembre!GB44</f>
        <v>482025</v>
      </c>
      <c r="FX337" s="16">
        <f>Novembre!GC44</f>
        <v>0</v>
      </c>
    </row>
    <row r="338" spans="1:180" x14ac:dyDescent="0.2">
      <c r="A338" s="16" t="str">
        <f t="shared" si="76"/>
        <v>Fiche info Avenant 4A1</v>
      </c>
      <c r="B338" s="16" t="str">
        <f>+$P$8</f>
        <v>Fiche info Avenant 4</v>
      </c>
      <c r="C338" s="27" t="s">
        <v>235</v>
      </c>
      <c r="D338" s="27">
        <v>1</v>
      </c>
      <c r="E338" s="16" t="s">
        <v>17</v>
      </c>
      <c r="F338" s="34" t="str">
        <f>IF('Fiche info Avenant 4'!$K$7=0,"",'Fiche info Avenant 4'!$K$7)</f>
        <v/>
      </c>
      <c r="G338" s="16">
        <f t="shared" si="84"/>
        <v>0</v>
      </c>
      <c r="BX338" s="16" t="str">
        <f t="shared" si="85"/>
        <v>Fiche info Avenant 4A1</v>
      </c>
      <c r="BY338" s="449">
        <f>'Fiche info Avenant 4'!$B$7</f>
        <v>0</v>
      </c>
      <c r="BZ338" s="449">
        <f>'Fiche info Avenant 4'!$C$7</f>
        <v>0</v>
      </c>
      <c r="CA338" s="449">
        <f>'Fiche info Avenant 4'!$D$7</f>
        <v>0</v>
      </c>
      <c r="CB338" s="449">
        <f>'Fiche info Avenant 4'!$E$7</f>
        <v>0</v>
      </c>
      <c r="CC338" s="449">
        <f>'Fiche info Avenant 4'!$F$7</f>
        <v>0</v>
      </c>
      <c r="CD338" s="449">
        <f>'Fiche info Avenant 4'!$G$7</f>
        <v>0</v>
      </c>
      <c r="CE338" s="449">
        <f>'Fiche info Avenant 4'!$H$7</f>
        <v>0</v>
      </c>
      <c r="CF338" s="449">
        <f>'Fiche info Avenant 4'!$I$7</f>
        <v>0</v>
      </c>
      <c r="ED338" s="16" t="str">
        <f t="shared" si="77"/>
        <v>Fiche info Avenant 4A</v>
      </c>
      <c r="EE338" s="16" t="str">
        <f t="shared" si="79"/>
        <v>Fiche info Avenant 4</v>
      </c>
      <c r="EF338" s="16" t="str">
        <f t="shared" si="80"/>
        <v>A</v>
      </c>
      <c r="EG338" s="16">
        <f t="shared" si="81"/>
        <v>1</v>
      </c>
      <c r="EH338" s="16" t="str">
        <f t="shared" si="82"/>
        <v>Lundi</v>
      </c>
      <c r="EI338" s="16" t="str">
        <f t="shared" si="83"/>
        <v/>
      </c>
      <c r="FB338" s="16" t="str">
        <f t="shared" si="86"/>
        <v/>
      </c>
      <c r="FC338" s="16" t="str">
        <f t="shared" si="87"/>
        <v/>
      </c>
      <c r="FD338" s="30">
        <f t="shared" si="78"/>
        <v>43435</v>
      </c>
      <c r="FE338" s="30" t="str">
        <f>+IFERROR(VLOOKUP(FD338,BDD,71,FALSE),"")</f>
        <v/>
      </c>
      <c r="FF338" s="30" t="str">
        <f>IFERROR(+VLOOKUP(FD338,BDD,72,FALSE),"")</f>
        <v/>
      </c>
      <c r="FG338" s="30" t="str">
        <f>+IFERROR(VLOOKUP(FD338,BDD,73,FALSE),"")</f>
        <v/>
      </c>
      <c r="FH338" s="30" t="str">
        <f>+IFERROR(VLOOKUP(FD338,BDD,74,FALSE),"")</f>
        <v/>
      </c>
      <c r="FW338" s="16" t="str">
        <f>Novembre!GB45</f>
        <v>482025</v>
      </c>
      <c r="FX338" s="16">
        <f>Novembre!GC45</f>
        <v>0</v>
      </c>
    </row>
    <row r="339" spans="1:180" x14ac:dyDescent="0.2">
      <c r="A339" s="16" t="str">
        <f t="shared" si="76"/>
        <v>Fiche info Avenant 4A2</v>
      </c>
      <c r="B339" s="16" t="str">
        <f t="shared" ref="B339:B393" si="88">+$P$8</f>
        <v>Fiche info Avenant 4</v>
      </c>
      <c r="C339" s="27" t="s">
        <v>235</v>
      </c>
      <c r="D339" s="27">
        <v>2</v>
      </c>
      <c r="E339" s="16" t="s">
        <v>18</v>
      </c>
      <c r="F339" s="34" t="str">
        <f>IF('Fiche info Avenant 4'!$K$8=0,"",'Fiche info Avenant 4'!$K$8)</f>
        <v/>
      </c>
      <c r="G339" s="16">
        <f t="shared" si="84"/>
        <v>0</v>
      </c>
      <c r="BX339" s="16" t="str">
        <f t="shared" si="85"/>
        <v>Fiche info Avenant 4A2</v>
      </c>
      <c r="BY339" s="449">
        <f>'Fiche info Avenant 4'!$B$8</f>
        <v>0</v>
      </c>
      <c r="BZ339" s="449">
        <f>'Fiche info Avenant 4'!$C$8</f>
        <v>0</v>
      </c>
      <c r="CA339" s="449">
        <f>'Fiche info Avenant 4'!$D$8</f>
        <v>0</v>
      </c>
      <c r="CB339" s="449">
        <f>'Fiche info Avenant 4'!$E$8</f>
        <v>0</v>
      </c>
      <c r="CC339" s="449">
        <f>'Fiche info Avenant 4'!$F$8</f>
        <v>0</v>
      </c>
      <c r="CD339" s="449">
        <f>'Fiche info Avenant 4'!$G$8</f>
        <v>0</v>
      </c>
      <c r="CE339" s="449">
        <f>'Fiche info Avenant 4'!$H$8</f>
        <v>0</v>
      </c>
      <c r="CF339" s="449">
        <f>'Fiche info Avenant 4'!$I$8</f>
        <v>0</v>
      </c>
      <c r="ED339" s="16" t="str">
        <f t="shared" si="77"/>
        <v>Fiche info Avenant 4A</v>
      </c>
      <c r="EE339" s="16" t="str">
        <f t="shared" si="79"/>
        <v>Fiche info Avenant 4</v>
      </c>
      <c r="EF339" s="16" t="str">
        <f t="shared" si="80"/>
        <v>A</v>
      </c>
      <c r="EG339" s="16">
        <f t="shared" si="81"/>
        <v>2</v>
      </c>
      <c r="EH339" s="16" t="str">
        <f t="shared" si="82"/>
        <v>Mardi</v>
      </c>
      <c r="EI339" s="16" t="str">
        <f t="shared" si="83"/>
        <v/>
      </c>
      <c r="FB339" s="16" t="str">
        <f t="shared" si="86"/>
        <v/>
      </c>
      <c r="FC339" s="16" t="str">
        <f t="shared" si="87"/>
        <v/>
      </c>
      <c r="FD339" s="30">
        <f t="shared" si="78"/>
        <v>43435</v>
      </c>
      <c r="FE339" s="30" t="str">
        <f>+IFERROR(VLOOKUP(FD339,BDD,75,FALSE),"")</f>
        <v/>
      </c>
      <c r="FF339" s="30" t="str">
        <f>+IFERROR(VLOOKUP(FD339,BDD,76,FALSE),"")</f>
        <v/>
      </c>
      <c r="FG339" s="30" t="str">
        <f>IFERROR(+VLOOKUP(FD339,BDD,77,FALSE),"")</f>
        <v/>
      </c>
      <c r="FH339" s="30" t="str">
        <f>+IFERROR(VLOOKUP(FD339,BDD,78,FALSE),"")</f>
        <v/>
      </c>
      <c r="FW339" s="16" t="str">
        <f>Novembre!GB46</f>
        <v>482025</v>
      </c>
      <c r="FX339" s="16">
        <f>Novembre!GC46</f>
        <v>0</v>
      </c>
    </row>
    <row r="340" spans="1:180" x14ac:dyDescent="0.2">
      <c r="A340" s="16" t="str">
        <f t="shared" si="76"/>
        <v>Fiche info Avenant 4A3</v>
      </c>
      <c r="B340" s="16" t="str">
        <f t="shared" si="88"/>
        <v>Fiche info Avenant 4</v>
      </c>
      <c r="C340" s="27" t="s">
        <v>235</v>
      </c>
      <c r="D340" s="27">
        <v>3</v>
      </c>
      <c r="E340" s="16" t="s">
        <v>19</v>
      </c>
      <c r="F340" s="34" t="str">
        <f>IF('Fiche info Avenant 4'!$K$9=0,"",'Fiche info Avenant 4'!$K$9)</f>
        <v/>
      </c>
      <c r="G340" s="16">
        <f t="shared" si="84"/>
        <v>0</v>
      </c>
      <c r="BX340" s="16" t="str">
        <f t="shared" si="85"/>
        <v>Fiche info Avenant 4A3</v>
      </c>
      <c r="BY340" s="449">
        <f>'Fiche info Avenant 4'!$B$9</f>
        <v>0</v>
      </c>
      <c r="BZ340" s="449">
        <f>'Fiche info Avenant 4'!$C$9</f>
        <v>0</v>
      </c>
      <c r="CA340" s="449">
        <f>'Fiche info Avenant 4'!$D$9</f>
        <v>0</v>
      </c>
      <c r="CB340" s="449">
        <f>'Fiche info Avenant 4'!$E$9</f>
        <v>0</v>
      </c>
      <c r="CC340" s="449">
        <f>'Fiche info Avenant 4'!$F$9</f>
        <v>0</v>
      </c>
      <c r="CD340" s="449">
        <f>'Fiche info Avenant 4'!$G$9</f>
        <v>0</v>
      </c>
      <c r="CE340" s="449">
        <f>'Fiche info Avenant 4'!$H$9</f>
        <v>0</v>
      </c>
      <c r="CF340" s="449">
        <f>'Fiche info Avenant 4'!$I$9</f>
        <v>0</v>
      </c>
      <c r="ED340" s="16" t="str">
        <f t="shared" si="77"/>
        <v>Fiche info Avenant 4A</v>
      </c>
      <c r="EE340" s="16" t="str">
        <f t="shared" si="79"/>
        <v>Fiche info Avenant 4</v>
      </c>
      <c r="EF340" s="16" t="str">
        <f t="shared" si="80"/>
        <v>A</v>
      </c>
      <c r="EG340" s="16">
        <f t="shared" si="81"/>
        <v>3</v>
      </c>
      <c r="EH340" s="16" t="str">
        <f t="shared" si="82"/>
        <v>Mercredi</v>
      </c>
      <c r="EI340" s="16" t="str">
        <f t="shared" si="83"/>
        <v/>
      </c>
      <c r="FB340" s="16" t="str">
        <f t="shared" si="86"/>
        <v/>
      </c>
      <c r="FC340" s="16" t="str">
        <f t="shared" si="87"/>
        <v/>
      </c>
      <c r="FD340" s="30">
        <f t="shared" si="78"/>
        <v>43435</v>
      </c>
      <c r="FE340" s="30" t="str">
        <f>+IFERROR(VLOOKUP(FD340,BDD,79,FALSE),"")</f>
        <v/>
      </c>
      <c r="FF340" s="30" t="str">
        <f>IFERROR(+VLOOKUP(FD340,BDD,80,FALSE),"")</f>
        <v/>
      </c>
      <c r="FG340" s="30" t="str">
        <f>+IFERROR(VLOOKUP(FD340,BDD,81,FALSE),"")</f>
        <v/>
      </c>
      <c r="FH340" s="30" t="str">
        <f>+IFERROR(VLOOKUP(FD340,BDD,82,FALSE),"")</f>
        <v/>
      </c>
      <c r="FW340" s="16" t="str">
        <f>Novembre!GB47</f>
        <v>482025</v>
      </c>
      <c r="FX340" s="16">
        <f>Novembre!GC47</f>
        <v>0</v>
      </c>
    </row>
    <row r="341" spans="1:180" x14ac:dyDescent="0.2">
      <c r="A341" s="16" t="str">
        <f t="shared" si="76"/>
        <v>Fiche info Avenant 4A4</v>
      </c>
      <c r="B341" s="16" t="str">
        <f t="shared" si="88"/>
        <v>Fiche info Avenant 4</v>
      </c>
      <c r="C341" s="27" t="s">
        <v>235</v>
      </c>
      <c r="D341" s="27">
        <v>4</v>
      </c>
      <c r="E341" s="16" t="s">
        <v>20</v>
      </c>
      <c r="F341" s="34" t="str">
        <f>IF('Fiche info Avenant 4'!$K$10=0,"",'Fiche info Avenant 4'!$K$10)</f>
        <v/>
      </c>
      <c r="G341" s="16">
        <f t="shared" si="84"/>
        <v>0</v>
      </c>
      <c r="BX341" s="16" t="str">
        <f t="shared" si="85"/>
        <v>Fiche info Avenant 4A4</v>
      </c>
      <c r="BY341" s="449">
        <f>'Fiche info Avenant 4'!$B$10</f>
        <v>0</v>
      </c>
      <c r="BZ341" s="449">
        <f>'Fiche info Avenant 4'!$C$10</f>
        <v>0</v>
      </c>
      <c r="CA341" s="449">
        <f>'Fiche info Avenant 4'!$D$10</f>
        <v>0</v>
      </c>
      <c r="CB341" s="449">
        <f>'Fiche info Avenant 4'!$E$10</f>
        <v>0</v>
      </c>
      <c r="CC341" s="449">
        <f>'Fiche info Avenant 4'!$F$10</f>
        <v>0</v>
      </c>
      <c r="CD341" s="449">
        <f>'Fiche info Avenant 4'!$G$10</f>
        <v>0</v>
      </c>
      <c r="CE341" s="449">
        <f>'Fiche info Avenant 4'!$H$10</f>
        <v>0</v>
      </c>
      <c r="CF341" s="449">
        <f>'Fiche info Avenant 4'!$I$10</f>
        <v>0</v>
      </c>
      <c r="ED341" s="16" t="str">
        <f t="shared" si="77"/>
        <v>Fiche info Avenant 4A</v>
      </c>
      <c r="EE341" s="16" t="str">
        <f t="shared" si="79"/>
        <v>Fiche info Avenant 4</v>
      </c>
      <c r="EF341" s="16" t="str">
        <f t="shared" si="80"/>
        <v>A</v>
      </c>
      <c r="EG341" s="16">
        <f t="shared" si="81"/>
        <v>4</v>
      </c>
      <c r="EH341" s="16" t="str">
        <f t="shared" si="82"/>
        <v>Jeudi</v>
      </c>
      <c r="EI341" s="16" t="str">
        <f t="shared" si="83"/>
        <v/>
      </c>
      <c r="FB341" s="16" t="str">
        <f t="shared" si="86"/>
        <v/>
      </c>
      <c r="FC341" s="16" t="str">
        <f t="shared" si="87"/>
        <v/>
      </c>
      <c r="FD341" s="30">
        <f t="shared" si="78"/>
        <v>43435</v>
      </c>
      <c r="FE341" s="30" t="str">
        <f>+IFERROR(VLOOKUP(FD341,BDD,83,FALSE),"")</f>
        <v/>
      </c>
      <c r="FF341" s="30" t="str">
        <f>+IFERROR(VLOOKUP(FD341,BDD,84,FALSE),"")</f>
        <v/>
      </c>
      <c r="FG341" s="30" t="str">
        <f>+IFERROR(VLOOKUP(FD341,BDD,85,FALSE),"")</f>
        <v/>
      </c>
      <c r="FH341" s="30" t="str">
        <f>+IFERROR(VLOOKUP(FD341,BDD,86,FALSE),"")</f>
        <v/>
      </c>
      <c r="FW341" s="16" t="str">
        <f>Novembre!GB48</f>
        <v>482025</v>
      </c>
      <c r="FX341" s="16">
        <f>Novembre!GC48</f>
        <v>0</v>
      </c>
    </row>
    <row r="342" spans="1:180" x14ac:dyDescent="0.2">
      <c r="A342" s="16" t="str">
        <f t="shared" si="76"/>
        <v>Fiche info Avenant 4A5</v>
      </c>
      <c r="B342" s="16" t="str">
        <f t="shared" si="88"/>
        <v>Fiche info Avenant 4</v>
      </c>
      <c r="C342" s="27" t="s">
        <v>235</v>
      </c>
      <c r="D342" s="27">
        <v>5</v>
      </c>
      <c r="E342" s="16" t="s">
        <v>21</v>
      </c>
      <c r="F342" s="34" t="str">
        <f>IF('Fiche info Avenant 4'!$K$11=0,"",'Fiche info Avenant 4'!$K$11)</f>
        <v/>
      </c>
      <c r="G342" s="16">
        <f t="shared" si="84"/>
        <v>0</v>
      </c>
      <c r="BX342" s="16" t="str">
        <f t="shared" si="85"/>
        <v>Fiche info Avenant 4A5</v>
      </c>
      <c r="BY342" s="449">
        <f>'Fiche info Avenant 4'!$B$11</f>
        <v>0</v>
      </c>
      <c r="BZ342" s="449">
        <f>'Fiche info Avenant 4'!$C$11</f>
        <v>0</v>
      </c>
      <c r="CA342" s="449">
        <f>'Fiche info Avenant 4'!$D$11</f>
        <v>0</v>
      </c>
      <c r="CB342" s="449">
        <f>'Fiche info Avenant 4'!$E$11</f>
        <v>0</v>
      </c>
      <c r="CC342" s="449">
        <f>'Fiche info Avenant 4'!$F$11</f>
        <v>0</v>
      </c>
      <c r="CD342" s="449">
        <f>'Fiche info Avenant 4'!$G$11</f>
        <v>0</v>
      </c>
      <c r="CE342" s="449">
        <f>'Fiche info Avenant 4'!$H$11</f>
        <v>0</v>
      </c>
      <c r="CF342" s="449">
        <f>'Fiche info Avenant 4'!$I$11</f>
        <v>0</v>
      </c>
      <c r="ED342" s="16" t="str">
        <f t="shared" si="77"/>
        <v>Fiche info Avenant 4A</v>
      </c>
      <c r="EE342" s="16" t="str">
        <f t="shared" si="79"/>
        <v>Fiche info Avenant 4</v>
      </c>
      <c r="EF342" s="16" t="str">
        <f t="shared" si="80"/>
        <v>A</v>
      </c>
      <c r="EG342" s="16">
        <f t="shared" si="81"/>
        <v>5</v>
      </c>
      <c r="EH342" s="16" t="str">
        <f t="shared" si="82"/>
        <v>Vendredi</v>
      </c>
      <c r="EI342" s="16" t="str">
        <f t="shared" si="83"/>
        <v/>
      </c>
      <c r="FB342" s="16" t="str">
        <f t="shared" si="86"/>
        <v/>
      </c>
      <c r="FC342" s="16" t="str">
        <f t="shared" si="87"/>
        <v/>
      </c>
      <c r="FD342" s="30">
        <f t="shared" si="78"/>
        <v>43405</v>
      </c>
      <c r="FE342" s="30" t="str">
        <f>+IFERROR(VLOOKUP(FD342,BDD,71,FALSE),"")</f>
        <v/>
      </c>
      <c r="FF342" s="30" t="str">
        <f>IFERROR(+VLOOKUP(FD342,BDD,72,FALSE),"")</f>
        <v/>
      </c>
      <c r="FG342" s="30" t="str">
        <f>+IFERROR(VLOOKUP(FD342,BDD,73,FALSE),"")</f>
        <v/>
      </c>
      <c r="FH342" s="30" t="str">
        <f>+IFERROR(VLOOKUP(FD342,BDD,74,FALSE),"")</f>
        <v/>
      </c>
      <c r="FW342" s="16" t="str">
        <f>Novembre!GB49</f>
        <v>482025</v>
      </c>
      <c r="FX342" s="16">
        <f>Novembre!GC49</f>
        <v>0</v>
      </c>
    </row>
    <row r="343" spans="1:180" x14ac:dyDescent="0.2">
      <c r="A343" s="16" t="str">
        <f t="shared" si="76"/>
        <v>Fiche info Avenant 4A6</v>
      </c>
      <c r="B343" s="16" t="str">
        <f t="shared" si="88"/>
        <v>Fiche info Avenant 4</v>
      </c>
      <c r="C343" s="27" t="s">
        <v>235</v>
      </c>
      <c r="D343" s="27">
        <v>6</v>
      </c>
      <c r="E343" s="16" t="s">
        <v>193</v>
      </c>
      <c r="F343" s="34" t="str">
        <f>IF('Fiche info Avenant 4'!$K$12=0,"",'Fiche info Avenant 4'!$K$12)</f>
        <v/>
      </c>
      <c r="G343" s="16">
        <f t="shared" si="84"/>
        <v>0</v>
      </c>
      <c r="BX343" s="16" t="str">
        <f t="shared" si="85"/>
        <v>Fiche info Avenant 4A6</v>
      </c>
      <c r="BY343" s="449">
        <f>'Fiche info Avenant 4'!$B$12</f>
        <v>0</v>
      </c>
      <c r="BZ343" s="449">
        <f>'Fiche info Avenant 4'!$C$12</f>
        <v>0</v>
      </c>
      <c r="CA343" s="449">
        <f>'Fiche info Avenant 4'!$D$12</f>
        <v>0</v>
      </c>
      <c r="CB343" s="449">
        <f>'Fiche info Avenant 4'!$E$12</f>
        <v>0</v>
      </c>
      <c r="CC343" s="449">
        <f>'Fiche info Avenant 4'!$F$12</f>
        <v>0</v>
      </c>
      <c r="CD343" s="449">
        <f>'Fiche info Avenant 4'!$G$12</f>
        <v>0</v>
      </c>
      <c r="CE343" s="449">
        <f>'Fiche info Avenant 4'!$H$12</f>
        <v>0</v>
      </c>
      <c r="CF343" s="449">
        <f>'Fiche info Avenant 4'!$I$12</f>
        <v>0</v>
      </c>
      <c r="ED343" s="16" t="str">
        <f t="shared" si="77"/>
        <v>Fiche info Avenant 4A</v>
      </c>
      <c r="EE343" s="16" t="str">
        <f t="shared" si="79"/>
        <v>Fiche info Avenant 4</v>
      </c>
      <c r="EF343" s="16" t="str">
        <f t="shared" si="80"/>
        <v>A</v>
      </c>
      <c r="EG343" s="16">
        <f t="shared" si="81"/>
        <v>6</v>
      </c>
      <c r="EH343" s="16" t="str">
        <f t="shared" si="82"/>
        <v>Samedi</v>
      </c>
      <c r="EI343" s="16" t="str">
        <f t="shared" si="83"/>
        <v/>
      </c>
      <c r="FB343" s="16" t="str">
        <f t="shared" si="86"/>
        <v/>
      </c>
      <c r="FC343" s="16" t="str">
        <f t="shared" si="87"/>
        <v/>
      </c>
      <c r="FD343" s="30">
        <f t="shared" si="78"/>
        <v>43405</v>
      </c>
      <c r="FE343" s="30" t="str">
        <f>+IFERROR(VLOOKUP(FD343,BDD,75,FALSE),"")</f>
        <v/>
      </c>
      <c r="FF343" s="30" t="str">
        <f>+IFERROR(VLOOKUP(FD343,BDD,76,FALSE),"")</f>
        <v/>
      </c>
      <c r="FG343" s="30" t="str">
        <f>IFERROR(+VLOOKUP(FD343,BDD,77,FALSE),"")</f>
        <v/>
      </c>
      <c r="FH343" s="30" t="str">
        <f>+IFERROR(VLOOKUP(FD343,BDD,78,FALSE),"")</f>
        <v/>
      </c>
      <c r="FW343" s="16" t="str">
        <f>Novembre!GB50</f>
        <v>2025</v>
      </c>
      <c r="FX343" s="16">
        <f>Novembre!GC50</f>
        <v>0</v>
      </c>
    </row>
    <row r="344" spans="1:180" x14ac:dyDescent="0.2">
      <c r="A344" s="16" t="str">
        <f t="shared" si="76"/>
        <v>Fiche info Avenant 4A7</v>
      </c>
      <c r="B344" s="16" t="str">
        <f t="shared" si="88"/>
        <v>Fiche info Avenant 4</v>
      </c>
      <c r="C344" s="27" t="s">
        <v>235</v>
      </c>
      <c r="D344" s="27">
        <v>7</v>
      </c>
      <c r="E344" s="16" t="s">
        <v>194</v>
      </c>
      <c r="F344" s="34" t="str">
        <f>IF('Fiche info Avenant 4'!$K$13=0,"",'Fiche info Avenant 4'!$K$13)</f>
        <v/>
      </c>
      <c r="G344" s="16">
        <f t="shared" si="84"/>
        <v>0</v>
      </c>
      <c r="BX344" s="16" t="str">
        <f t="shared" si="85"/>
        <v>Fiche info Avenant 4A7</v>
      </c>
      <c r="BY344" s="449">
        <f>'Fiche info Avenant 4'!$B$13</f>
        <v>0</v>
      </c>
      <c r="BZ344" s="449">
        <f>'Fiche info Avenant 4'!$C$13</f>
        <v>0</v>
      </c>
      <c r="CA344" s="449">
        <f>'Fiche info Avenant 4'!$D$13</f>
        <v>0</v>
      </c>
      <c r="CB344" s="449">
        <f>'Fiche info Avenant 4'!$E$13</f>
        <v>0</v>
      </c>
      <c r="CC344" s="449">
        <f>'Fiche info Avenant 4'!$F$13</f>
        <v>0</v>
      </c>
      <c r="CD344" s="449">
        <f>'Fiche info Avenant 4'!$G$13</f>
        <v>0</v>
      </c>
      <c r="CE344" s="449">
        <f>'Fiche info Avenant 4'!$H$13</f>
        <v>0</v>
      </c>
      <c r="CF344" s="449">
        <f>'Fiche info Avenant 4'!$I$13</f>
        <v>0</v>
      </c>
      <c r="ED344" s="16" t="str">
        <f t="shared" si="77"/>
        <v>Fiche info Avenant 4A</v>
      </c>
      <c r="EE344" s="16" t="str">
        <f t="shared" si="79"/>
        <v>Fiche info Avenant 4</v>
      </c>
      <c r="EF344" s="16" t="str">
        <f t="shared" si="80"/>
        <v>A</v>
      </c>
      <c r="EG344" s="16">
        <f t="shared" si="81"/>
        <v>7</v>
      </c>
      <c r="EH344" s="16" t="str">
        <f t="shared" si="82"/>
        <v>Dimanche</v>
      </c>
      <c r="EI344" s="16" t="str">
        <f t="shared" si="83"/>
        <v/>
      </c>
      <c r="FB344" s="16" t="str">
        <f t="shared" si="86"/>
        <v/>
      </c>
      <c r="FC344" s="16" t="str">
        <f t="shared" si="87"/>
        <v/>
      </c>
      <c r="FD344" s="30">
        <f t="shared" si="78"/>
        <v>43405</v>
      </c>
      <c r="FE344" s="30" t="str">
        <f>+IFERROR(VLOOKUP(FD344,BDD,79,FALSE),"")</f>
        <v/>
      </c>
      <c r="FF344" s="30" t="str">
        <f>IFERROR(+VLOOKUP(FD344,BDD,80,FALSE),"")</f>
        <v/>
      </c>
      <c r="FG344" s="30" t="str">
        <f>+IFERROR(VLOOKUP(FD344,BDD,81,FALSE),"")</f>
        <v/>
      </c>
      <c r="FH344" s="30" t="str">
        <f>+IFERROR(VLOOKUP(FD344,BDD,82,FALSE),"")</f>
        <v/>
      </c>
      <c r="FW344" s="16" t="str">
        <f>Décembre!GB20</f>
        <v>492025</v>
      </c>
      <c r="FX344" s="16">
        <f>Décembre!GC20</f>
        <v>0</v>
      </c>
    </row>
    <row r="345" spans="1:180" x14ac:dyDescent="0.2">
      <c r="A345" s="16" t="str">
        <f t="shared" si="76"/>
        <v>Fiche info Avenant 4B1</v>
      </c>
      <c r="B345" s="16" t="str">
        <f t="shared" si="88"/>
        <v>Fiche info Avenant 4</v>
      </c>
      <c r="C345" s="27" t="s">
        <v>236</v>
      </c>
      <c r="D345" s="27">
        <v>1</v>
      </c>
      <c r="E345" s="16" t="s">
        <v>17</v>
      </c>
      <c r="F345" s="34" t="str">
        <f>+IF('Fiche info Avenant 4'!$V$7=0,"",'Fiche info Avenant 4'!$V$7)</f>
        <v/>
      </c>
      <c r="G345" s="16">
        <f t="shared" si="84"/>
        <v>0</v>
      </c>
      <c r="BX345" s="16" t="str">
        <f t="shared" si="85"/>
        <v>Fiche info Avenant 4B1</v>
      </c>
      <c r="BY345" s="449">
        <f>'Fiche info Avenant 4'!$M$7</f>
        <v>0</v>
      </c>
      <c r="BZ345" s="449">
        <f>'Fiche info Avenant 4'!$N$7</f>
        <v>0</v>
      </c>
      <c r="CA345" s="449">
        <f>'Fiche info Avenant 4'!$O$7</f>
        <v>0</v>
      </c>
      <c r="CB345" s="449">
        <f>'Fiche info Avenant 4'!$P$7</f>
        <v>0</v>
      </c>
      <c r="CC345" s="449">
        <f>'Fiche info Avenant 4'!$Q$7</f>
        <v>0</v>
      </c>
      <c r="CD345" s="449">
        <f>'Fiche info Avenant 4'!$R$7</f>
        <v>0</v>
      </c>
      <c r="CE345" s="449">
        <f>'Fiche info Avenant 4'!$S$7</f>
        <v>0</v>
      </c>
      <c r="CF345" s="449">
        <f>'Fiche info Avenant 4'!$T$7</f>
        <v>0</v>
      </c>
      <c r="ED345" s="16" t="str">
        <f t="shared" si="77"/>
        <v>Fiche info Avenant 4B</v>
      </c>
      <c r="EE345" s="16" t="str">
        <f t="shared" si="79"/>
        <v>Fiche info Avenant 4</v>
      </c>
      <c r="EF345" s="16" t="str">
        <f t="shared" si="80"/>
        <v>B</v>
      </c>
      <c r="EG345" s="16">
        <f t="shared" si="81"/>
        <v>1</v>
      </c>
      <c r="EH345" s="16" t="str">
        <f t="shared" si="82"/>
        <v>Lundi</v>
      </c>
      <c r="EI345" s="16" t="str">
        <f t="shared" si="83"/>
        <v/>
      </c>
      <c r="FB345" s="16" t="str">
        <f t="shared" si="86"/>
        <v/>
      </c>
      <c r="FC345" s="16" t="str">
        <f t="shared" si="87"/>
        <v/>
      </c>
      <c r="FD345" s="30">
        <f t="shared" si="78"/>
        <v>43405</v>
      </c>
      <c r="FE345" s="30" t="str">
        <f>+IFERROR(VLOOKUP(FD345,BDD,83,FALSE),"")</f>
        <v/>
      </c>
      <c r="FF345" s="30" t="str">
        <f>+IFERROR(VLOOKUP(FD345,BDD,84,FALSE),"")</f>
        <v/>
      </c>
      <c r="FG345" s="30" t="str">
        <f>+IFERROR(VLOOKUP(FD345,BDD,85,FALSE),"")</f>
        <v/>
      </c>
      <c r="FH345" s="30" t="str">
        <f>+IFERROR(VLOOKUP(FD345,BDD,86,FALSE),"")</f>
        <v/>
      </c>
      <c r="FW345" s="16" t="str">
        <f>Décembre!GB21</f>
        <v>492025</v>
      </c>
      <c r="FX345" s="16">
        <f>Décembre!GC21</f>
        <v>0</v>
      </c>
    </row>
    <row r="346" spans="1:180" x14ac:dyDescent="0.2">
      <c r="A346" s="16" t="str">
        <f t="shared" si="76"/>
        <v>Fiche info Avenant 4B2</v>
      </c>
      <c r="B346" s="16" t="str">
        <f t="shared" si="88"/>
        <v>Fiche info Avenant 4</v>
      </c>
      <c r="C346" s="27" t="s">
        <v>236</v>
      </c>
      <c r="D346" s="27">
        <v>2</v>
      </c>
      <c r="E346" s="16" t="s">
        <v>18</v>
      </c>
      <c r="F346" s="34" t="str">
        <f>+IF('Fiche info Avenant 4'!$V$8=0,"",'Fiche info Avenant 4'!$V$8)</f>
        <v/>
      </c>
      <c r="G346" s="16">
        <f t="shared" si="84"/>
        <v>0</v>
      </c>
      <c r="BX346" s="16" t="str">
        <f t="shared" si="85"/>
        <v>Fiche info Avenant 4B2</v>
      </c>
      <c r="BY346" s="449">
        <f>'Fiche info Avenant 4'!$M$8</f>
        <v>0</v>
      </c>
      <c r="BZ346" s="449">
        <f>'Fiche info Avenant 4'!$N$8</f>
        <v>0</v>
      </c>
      <c r="CA346" s="449">
        <f>'Fiche info Avenant 4'!$O$8</f>
        <v>0</v>
      </c>
      <c r="CB346" s="449">
        <f>'Fiche info Avenant 4'!$P$8</f>
        <v>0</v>
      </c>
      <c r="CC346" s="449">
        <f>'Fiche info Avenant 4'!$Q$8</f>
        <v>0</v>
      </c>
      <c r="CD346" s="449">
        <f>'Fiche info Avenant 4'!$R$8</f>
        <v>0</v>
      </c>
      <c r="CE346" s="449">
        <f>'Fiche info Avenant 4'!$S$8</f>
        <v>0</v>
      </c>
      <c r="CF346" s="449">
        <f>'Fiche info Avenant 4'!$T$8</f>
        <v>0</v>
      </c>
      <c r="ED346" s="16" t="str">
        <f t="shared" si="77"/>
        <v>Fiche info Avenant 4B</v>
      </c>
      <c r="EE346" s="16" t="str">
        <f t="shared" si="79"/>
        <v>Fiche info Avenant 4</v>
      </c>
      <c r="EF346" s="16" t="str">
        <f t="shared" si="80"/>
        <v>B</v>
      </c>
      <c r="EG346" s="16">
        <f t="shared" si="81"/>
        <v>2</v>
      </c>
      <c r="EH346" s="16" t="str">
        <f t="shared" si="82"/>
        <v>Mardi</v>
      </c>
      <c r="EI346" s="16" t="str">
        <f t="shared" si="83"/>
        <v/>
      </c>
      <c r="FB346" s="16" t="str">
        <f t="shared" si="86"/>
        <v/>
      </c>
      <c r="FC346" s="16" t="str">
        <f t="shared" si="87"/>
        <v/>
      </c>
      <c r="FD346" s="30">
        <f t="shared" si="78"/>
        <v>43374</v>
      </c>
      <c r="FE346" s="30" t="str">
        <f>+IFERROR(VLOOKUP(FD346,BDD,71,FALSE),"")</f>
        <v/>
      </c>
      <c r="FF346" s="30" t="str">
        <f>IFERROR(+VLOOKUP(FD346,BDD,72,FALSE),"")</f>
        <v/>
      </c>
      <c r="FG346" s="30" t="str">
        <f>+IFERROR(VLOOKUP(FD346,BDD,73,FALSE),"")</f>
        <v/>
      </c>
      <c r="FH346" s="30" t="str">
        <f>+IFERROR(VLOOKUP(FD346,BDD,74,FALSE),"")</f>
        <v/>
      </c>
      <c r="FW346" s="16" t="str">
        <f>Décembre!GB22</f>
        <v>492025</v>
      </c>
      <c r="FX346" s="16">
        <f>Décembre!GC22</f>
        <v>0</v>
      </c>
    </row>
    <row r="347" spans="1:180" x14ac:dyDescent="0.2">
      <c r="A347" s="16" t="str">
        <f t="shared" si="76"/>
        <v>Fiche info Avenant 4B3</v>
      </c>
      <c r="B347" s="16" t="str">
        <f t="shared" si="88"/>
        <v>Fiche info Avenant 4</v>
      </c>
      <c r="C347" s="27" t="s">
        <v>236</v>
      </c>
      <c r="D347" s="27">
        <v>3</v>
      </c>
      <c r="E347" s="16" t="s">
        <v>19</v>
      </c>
      <c r="F347" s="34" t="str">
        <f>+IF('Fiche info Avenant 4'!$V$9=0,"",'Fiche info Avenant 4'!$V$9)</f>
        <v/>
      </c>
      <c r="G347" s="16">
        <f t="shared" si="84"/>
        <v>0</v>
      </c>
      <c r="BX347" s="16" t="str">
        <f t="shared" si="85"/>
        <v>Fiche info Avenant 4B3</v>
      </c>
      <c r="BY347" s="449">
        <f>'Fiche info Avenant 4'!$M$9</f>
        <v>0</v>
      </c>
      <c r="BZ347" s="449">
        <f>'Fiche info Avenant 4'!$N$9</f>
        <v>0</v>
      </c>
      <c r="CA347" s="449">
        <f>'Fiche info Avenant 4'!$O$9</f>
        <v>0</v>
      </c>
      <c r="CB347" s="449">
        <f>'Fiche info Avenant 4'!$P$9</f>
        <v>0</v>
      </c>
      <c r="CC347" s="449">
        <f>'Fiche info Avenant 4'!$Q$9</f>
        <v>0</v>
      </c>
      <c r="CD347" s="449">
        <f>'Fiche info Avenant 4'!$R$9</f>
        <v>0</v>
      </c>
      <c r="CE347" s="449">
        <f>'Fiche info Avenant 4'!$S$9</f>
        <v>0</v>
      </c>
      <c r="CF347" s="449">
        <f>'Fiche info Avenant 4'!$T$9</f>
        <v>0</v>
      </c>
      <c r="ED347" s="16" t="str">
        <f t="shared" si="77"/>
        <v>Fiche info Avenant 4B</v>
      </c>
      <c r="EE347" s="16" t="str">
        <f t="shared" si="79"/>
        <v>Fiche info Avenant 4</v>
      </c>
      <c r="EF347" s="16" t="str">
        <f t="shared" si="80"/>
        <v>B</v>
      </c>
      <c r="EG347" s="16">
        <f t="shared" si="81"/>
        <v>3</v>
      </c>
      <c r="EH347" s="16" t="str">
        <f t="shared" si="82"/>
        <v>Mercredi</v>
      </c>
      <c r="EI347" s="16" t="str">
        <f t="shared" si="83"/>
        <v/>
      </c>
      <c r="FB347" s="16" t="str">
        <f t="shared" si="86"/>
        <v/>
      </c>
      <c r="FC347" s="16" t="str">
        <f t="shared" si="87"/>
        <v/>
      </c>
      <c r="FD347" s="30">
        <f t="shared" si="78"/>
        <v>43374</v>
      </c>
      <c r="FE347" s="30" t="str">
        <f>+IFERROR(VLOOKUP(FD347,BDD,75,FALSE),"")</f>
        <v/>
      </c>
      <c r="FF347" s="30" t="str">
        <f>+IFERROR(VLOOKUP(FD347,BDD,76,FALSE),"")</f>
        <v/>
      </c>
      <c r="FG347" s="30" t="str">
        <f>IFERROR(+VLOOKUP(FD347,BDD,77,FALSE),"")</f>
        <v/>
      </c>
      <c r="FH347" s="30" t="str">
        <f>+IFERROR(VLOOKUP(FD347,BDD,78,FALSE),"")</f>
        <v/>
      </c>
      <c r="FW347" s="16" t="str">
        <f>Décembre!GB23</f>
        <v>492025</v>
      </c>
      <c r="FX347" s="16">
        <f>Décembre!GC23</f>
        <v>0</v>
      </c>
    </row>
    <row r="348" spans="1:180" x14ac:dyDescent="0.2">
      <c r="A348" s="16" t="str">
        <f t="shared" si="76"/>
        <v>Fiche info Avenant 4B4</v>
      </c>
      <c r="B348" s="16" t="str">
        <f t="shared" si="88"/>
        <v>Fiche info Avenant 4</v>
      </c>
      <c r="C348" s="27" t="s">
        <v>236</v>
      </c>
      <c r="D348" s="27">
        <v>4</v>
      </c>
      <c r="E348" s="16" t="s">
        <v>20</v>
      </c>
      <c r="F348" s="34" t="str">
        <f>+IF('Fiche info Avenant 4'!$V$10=0,"",'Fiche info Avenant 4'!$V$10)</f>
        <v/>
      </c>
      <c r="G348" s="16">
        <f t="shared" si="84"/>
        <v>0</v>
      </c>
      <c r="BX348" s="16" t="str">
        <f t="shared" si="85"/>
        <v>Fiche info Avenant 4B4</v>
      </c>
      <c r="BY348" s="449">
        <f>'Fiche info Avenant 4'!$M$10</f>
        <v>0</v>
      </c>
      <c r="BZ348" s="449">
        <f>'Fiche info Avenant 4'!$N$10</f>
        <v>0</v>
      </c>
      <c r="CA348" s="449">
        <f>'Fiche info Avenant 4'!$O$10</f>
        <v>0</v>
      </c>
      <c r="CB348" s="449">
        <f>'Fiche info Avenant 4'!$P$10</f>
        <v>0</v>
      </c>
      <c r="CC348" s="449">
        <f>'Fiche info Avenant 4'!$Q$10</f>
        <v>0</v>
      </c>
      <c r="CD348" s="449">
        <f>'Fiche info Avenant 4'!$R$10</f>
        <v>0</v>
      </c>
      <c r="CE348" s="449">
        <f>'Fiche info Avenant 4'!$S$10</f>
        <v>0</v>
      </c>
      <c r="CF348" s="449">
        <f>'Fiche info Avenant 4'!$T$10</f>
        <v>0</v>
      </c>
      <c r="ED348" s="16" t="str">
        <f t="shared" si="77"/>
        <v>Fiche info Avenant 4B</v>
      </c>
      <c r="EE348" s="16" t="str">
        <f t="shared" si="79"/>
        <v>Fiche info Avenant 4</v>
      </c>
      <c r="EF348" s="16" t="str">
        <f t="shared" si="80"/>
        <v>B</v>
      </c>
      <c r="EG348" s="16">
        <f t="shared" si="81"/>
        <v>4</v>
      </c>
      <c r="EH348" s="16" t="str">
        <f t="shared" si="82"/>
        <v>Jeudi</v>
      </c>
      <c r="EI348" s="16" t="str">
        <f t="shared" si="83"/>
        <v/>
      </c>
      <c r="FB348" s="16" t="str">
        <f t="shared" si="86"/>
        <v/>
      </c>
      <c r="FC348" s="16" t="str">
        <f t="shared" si="87"/>
        <v/>
      </c>
      <c r="FD348" s="30">
        <f t="shared" si="78"/>
        <v>43374</v>
      </c>
      <c r="FE348" s="30" t="str">
        <f>+IFERROR(VLOOKUP(FD348,BDD,79,FALSE),"")</f>
        <v/>
      </c>
      <c r="FF348" s="30" t="str">
        <f>IFERROR(+VLOOKUP(FD348,BDD,80,FALSE),"")</f>
        <v/>
      </c>
      <c r="FG348" s="30" t="str">
        <f>+IFERROR(VLOOKUP(FD348,BDD,81,FALSE),"")</f>
        <v/>
      </c>
      <c r="FH348" s="30" t="str">
        <f>+IFERROR(VLOOKUP(FD348,BDD,82,FALSE),"")</f>
        <v/>
      </c>
      <c r="FW348" s="16" t="str">
        <f>Décembre!GB24</f>
        <v>492025</v>
      </c>
      <c r="FX348" s="16">
        <f>Décembre!GC24</f>
        <v>0</v>
      </c>
    </row>
    <row r="349" spans="1:180" x14ac:dyDescent="0.2">
      <c r="A349" s="16" t="str">
        <f t="shared" si="76"/>
        <v>Fiche info Avenant 4B5</v>
      </c>
      <c r="B349" s="16" t="str">
        <f t="shared" si="88"/>
        <v>Fiche info Avenant 4</v>
      </c>
      <c r="C349" s="27" t="s">
        <v>236</v>
      </c>
      <c r="D349" s="27">
        <v>5</v>
      </c>
      <c r="E349" s="16" t="s">
        <v>21</v>
      </c>
      <c r="F349" s="34" t="str">
        <f>+IF('Fiche info Avenant 4'!$V$11=0,"",'Fiche info Avenant 4'!$V$11)</f>
        <v/>
      </c>
      <c r="G349" s="16">
        <f t="shared" si="84"/>
        <v>0</v>
      </c>
      <c r="BX349" s="16" t="str">
        <f t="shared" si="85"/>
        <v>Fiche info Avenant 4B5</v>
      </c>
      <c r="BY349" s="449">
        <f>'Fiche info Avenant 4'!$M$11</f>
        <v>0</v>
      </c>
      <c r="BZ349" s="449">
        <f>'Fiche info Avenant 4'!$N$11</f>
        <v>0</v>
      </c>
      <c r="CA349" s="449">
        <f>'Fiche info Avenant 4'!$O$11</f>
        <v>0</v>
      </c>
      <c r="CB349" s="449">
        <f>'Fiche info Avenant 4'!$P$11</f>
        <v>0</v>
      </c>
      <c r="CC349" s="449">
        <f>'Fiche info Avenant 4'!$Q$11</f>
        <v>0</v>
      </c>
      <c r="CD349" s="449">
        <f>'Fiche info Avenant 4'!$R$11</f>
        <v>0</v>
      </c>
      <c r="CE349" s="449">
        <f>'Fiche info Avenant 4'!$S$11</f>
        <v>0</v>
      </c>
      <c r="CF349" s="449">
        <f>'Fiche info Avenant 4'!$T$11</f>
        <v>0</v>
      </c>
      <c r="ED349" s="16" t="str">
        <f t="shared" si="77"/>
        <v>Fiche info Avenant 4B</v>
      </c>
      <c r="EE349" s="16" t="str">
        <f t="shared" si="79"/>
        <v>Fiche info Avenant 4</v>
      </c>
      <c r="EF349" s="16" t="str">
        <f t="shared" si="80"/>
        <v>B</v>
      </c>
      <c r="EG349" s="16">
        <f t="shared" si="81"/>
        <v>5</v>
      </c>
      <c r="EH349" s="16" t="str">
        <f t="shared" si="82"/>
        <v>Vendredi</v>
      </c>
      <c r="EI349" s="16" t="str">
        <f t="shared" si="83"/>
        <v/>
      </c>
      <c r="FB349" s="16" t="str">
        <f t="shared" si="86"/>
        <v/>
      </c>
      <c r="FC349" s="16" t="str">
        <f t="shared" si="87"/>
        <v/>
      </c>
      <c r="FD349" s="30">
        <f t="shared" si="78"/>
        <v>43374</v>
      </c>
      <c r="FE349" s="30" t="str">
        <f>+IFERROR(VLOOKUP(FD349,BDD,83,FALSE),"")</f>
        <v/>
      </c>
      <c r="FF349" s="30" t="str">
        <f>+IFERROR(VLOOKUP(FD349,BDD,84,FALSE),"")</f>
        <v/>
      </c>
      <c r="FG349" s="30" t="str">
        <f>+IFERROR(VLOOKUP(FD349,BDD,85,FALSE),"")</f>
        <v/>
      </c>
      <c r="FH349" s="30" t="str">
        <f>+IFERROR(VLOOKUP(FD349,BDD,86,FALSE),"")</f>
        <v/>
      </c>
      <c r="FW349" s="16" t="str">
        <f>Décembre!GB25</f>
        <v>492025</v>
      </c>
      <c r="FX349" s="16">
        <f>Décembre!GC25</f>
        <v>0</v>
      </c>
    </row>
    <row r="350" spans="1:180" x14ac:dyDescent="0.2">
      <c r="A350" s="16" t="str">
        <f t="shared" si="76"/>
        <v>Fiche info Avenant 4B6</v>
      </c>
      <c r="B350" s="16" t="str">
        <f t="shared" si="88"/>
        <v>Fiche info Avenant 4</v>
      </c>
      <c r="C350" s="27" t="s">
        <v>236</v>
      </c>
      <c r="D350" s="27">
        <v>6</v>
      </c>
      <c r="E350" s="16" t="s">
        <v>193</v>
      </c>
      <c r="F350" s="34" t="str">
        <f>+IF('Fiche info Avenant 4'!$V$12=0,"",'Fiche info Avenant 4'!$V$12)</f>
        <v/>
      </c>
      <c r="G350" s="16">
        <f t="shared" si="84"/>
        <v>0</v>
      </c>
      <c r="BX350" s="16" t="str">
        <f t="shared" si="85"/>
        <v>Fiche info Avenant 4B6</v>
      </c>
      <c r="BY350" s="449">
        <f>'Fiche info Avenant 4'!$M$12</f>
        <v>0</v>
      </c>
      <c r="BZ350" s="449">
        <f>'Fiche info Avenant 4'!$N$12</f>
        <v>0</v>
      </c>
      <c r="CA350" s="449">
        <f>'Fiche info Avenant 4'!$O$12</f>
        <v>0</v>
      </c>
      <c r="CB350" s="449">
        <f>'Fiche info Avenant 4'!$P$12</f>
        <v>0</v>
      </c>
      <c r="CC350" s="449">
        <f>'Fiche info Avenant 4'!$Q$12</f>
        <v>0</v>
      </c>
      <c r="CD350" s="449">
        <f>'Fiche info Avenant 4'!$R$12</f>
        <v>0</v>
      </c>
      <c r="CE350" s="449">
        <f>'Fiche info Avenant 4'!$S$12</f>
        <v>0</v>
      </c>
      <c r="CF350" s="449">
        <f>'Fiche info Avenant 4'!$T$12</f>
        <v>0</v>
      </c>
      <c r="ED350" s="16" t="str">
        <f t="shared" si="77"/>
        <v>Fiche info Avenant 4B</v>
      </c>
      <c r="EE350" s="16" t="str">
        <f t="shared" si="79"/>
        <v>Fiche info Avenant 4</v>
      </c>
      <c r="EF350" s="16" t="str">
        <f t="shared" si="80"/>
        <v>B</v>
      </c>
      <c r="EG350" s="16">
        <f t="shared" si="81"/>
        <v>6</v>
      </c>
      <c r="EH350" s="16" t="str">
        <f t="shared" si="82"/>
        <v>Samedi</v>
      </c>
      <c r="EI350" s="16" t="str">
        <f t="shared" si="83"/>
        <v/>
      </c>
      <c r="FB350" s="16" t="str">
        <f t="shared" si="86"/>
        <v/>
      </c>
      <c r="FC350" s="16" t="str">
        <f t="shared" si="87"/>
        <v/>
      </c>
      <c r="FD350" s="30">
        <f t="shared" si="78"/>
        <v>43344</v>
      </c>
      <c r="FE350" s="30" t="str">
        <f>+IFERROR(VLOOKUP(FD350,BDD,71,FALSE),"")</f>
        <v/>
      </c>
      <c r="FF350" s="30" t="str">
        <f>IFERROR(+VLOOKUP(FD350,BDD,72,FALSE),"")</f>
        <v/>
      </c>
      <c r="FG350" s="30" t="str">
        <f>+IFERROR(VLOOKUP(FD350,BDD,73,FALSE),"")</f>
        <v/>
      </c>
      <c r="FH350" s="30" t="str">
        <f>+IFERROR(VLOOKUP(FD350,BDD,74,FALSE),"")</f>
        <v/>
      </c>
      <c r="FW350" s="16" t="str">
        <f>Décembre!GB26</f>
        <v>492025</v>
      </c>
      <c r="FX350" s="16">
        <f>Décembre!GC26</f>
        <v>0</v>
      </c>
    </row>
    <row r="351" spans="1:180" x14ac:dyDescent="0.2">
      <c r="A351" s="16" t="str">
        <f t="shared" si="76"/>
        <v>Fiche info Avenant 4B7</v>
      </c>
      <c r="B351" s="16" t="str">
        <f t="shared" si="88"/>
        <v>Fiche info Avenant 4</v>
      </c>
      <c r="C351" s="27" t="s">
        <v>236</v>
      </c>
      <c r="D351" s="27">
        <v>7</v>
      </c>
      <c r="E351" s="16" t="s">
        <v>194</v>
      </c>
      <c r="F351" s="34" t="str">
        <f>+IF('Fiche info Avenant 4'!$V$13=0,"",'Fiche info Avenant 4'!$V$13)</f>
        <v/>
      </c>
      <c r="G351" s="16">
        <f t="shared" si="84"/>
        <v>0</v>
      </c>
      <c r="BX351" s="16" t="str">
        <f t="shared" si="85"/>
        <v>Fiche info Avenant 4B7</v>
      </c>
      <c r="BY351" s="449">
        <f>'Fiche info Avenant 4'!$M$13</f>
        <v>0</v>
      </c>
      <c r="BZ351" s="449">
        <f>'Fiche info Avenant 4'!$N$13</f>
        <v>0</v>
      </c>
      <c r="CA351" s="449">
        <f>'Fiche info Avenant 4'!$O$13</f>
        <v>0</v>
      </c>
      <c r="CB351" s="449">
        <f>'Fiche info Avenant 4'!$P$13</f>
        <v>0</v>
      </c>
      <c r="CC351" s="449">
        <f>'Fiche info Avenant 4'!$Q$13</f>
        <v>0</v>
      </c>
      <c r="CD351" s="449">
        <f>'Fiche info Avenant 4'!$R$13</f>
        <v>0</v>
      </c>
      <c r="CE351" s="449">
        <f>'Fiche info Avenant 4'!$S$13</f>
        <v>0</v>
      </c>
      <c r="CF351" s="449">
        <f>'Fiche info Avenant 4'!$T$13</f>
        <v>0</v>
      </c>
      <c r="ED351" s="16" t="str">
        <f t="shared" si="77"/>
        <v>Fiche info Avenant 4B</v>
      </c>
      <c r="EE351" s="16" t="str">
        <f t="shared" si="79"/>
        <v>Fiche info Avenant 4</v>
      </c>
      <c r="EF351" s="16" t="str">
        <f t="shared" si="80"/>
        <v>B</v>
      </c>
      <c r="EG351" s="16">
        <f t="shared" si="81"/>
        <v>7</v>
      </c>
      <c r="EH351" s="16" t="str">
        <f t="shared" si="82"/>
        <v>Dimanche</v>
      </c>
      <c r="EI351" s="16" t="str">
        <f t="shared" si="83"/>
        <v/>
      </c>
      <c r="FB351" s="16" t="str">
        <f t="shared" si="86"/>
        <v/>
      </c>
      <c r="FC351" s="16" t="str">
        <f t="shared" si="87"/>
        <v/>
      </c>
      <c r="FD351" s="30">
        <f t="shared" si="78"/>
        <v>43344</v>
      </c>
      <c r="FE351" s="30" t="str">
        <f>+IFERROR(VLOOKUP(FD351,BDD,75,FALSE),"")</f>
        <v/>
      </c>
      <c r="FF351" s="30" t="str">
        <f>+IFERROR(VLOOKUP(FD351,BDD,76,FALSE),"")</f>
        <v/>
      </c>
      <c r="FG351" s="30" t="str">
        <f>IFERROR(+VLOOKUP(FD351,BDD,77,FALSE),"")</f>
        <v/>
      </c>
      <c r="FH351" s="30" t="str">
        <f>+IFERROR(VLOOKUP(FD351,BDD,78,FALSE),"")</f>
        <v/>
      </c>
      <c r="FW351" s="16" t="str">
        <f>Décembre!GB27</f>
        <v>502025</v>
      </c>
      <c r="FX351" s="16">
        <f>Décembre!GC27</f>
        <v>0</v>
      </c>
    </row>
    <row r="352" spans="1:180" x14ac:dyDescent="0.2">
      <c r="A352" s="16" t="str">
        <f t="shared" si="76"/>
        <v>Fiche info Avenant 4C1</v>
      </c>
      <c r="B352" s="16" t="str">
        <f t="shared" si="88"/>
        <v>Fiche info Avenant 4</v>
      </c>
      <c r="C352" s="27" t="s">
        <v>241</v>
      </c>
      <c r="D352" s="27">
        <v>1</v>
      </c>
      <c r="E352" s="16" t="s">
        <v>17</v>
      </c>
      <c r="F352" s="34" t="str">
        <f>+IF('Fiche info Avenant 4'!$AG$7=0,"",'Fiche info Avenant 4'!$AG$7)</f>
        <v/>
      </c>
      <c r="G352" s="16">
        <f t="shared" si="84"/>
        <v>0</v>
      </c>
      <c r="BX352" s="16" t="str">
        <f t="shared" si="85"/>
        <v>Fiche info Avenant 4C1</v>
      </c>
      <c r="BY352" s="449">
        <f>'Fiche info Avenant 4'!$X$7</f>
        <v>0</v>
      </c>
      <c r="BZ352" s="449">
        <f>'Fiche info Avenant 4'!$Y$7</f>
        <v>0</v>
      </c>
      <c r="CA352" s="449">
        <f>'Fiche info Avenant 4'!$Z$7</f>
        <v>0</v>
      </c>
      <c r="CB352" s="449">
        <f>'Fiche info Avenant 4'!$AA$7</f>
        <v>0</v>
      </c>
      <c r="CC352" s="449">
        <f>'Fiche info Avenant 4'!$AB$7</f>
        <v>0</v>
      </c>
      <c r="CD352" s="449">
        <f>'Fiche info Avenant 4'!$AC$7</f>
        <v>0</v>
      </c>
      <c r="CE352" s="449">
        <f>'Fiche info Avenant 4'!$AD$7</f>
        <v>0</v>
      </c>
      <c r="CF352" s="449">
        <f>'Fiche info Avenant 4'!$AE$7</f>
        <v>0</v>
      </c>
      <c r="ED352" s="16" t="str">
        <f t="shared" si="77"/>
        <v>Fiche info Avenant 4C</v>
      </c>
      <c r="EE352" s="16" t="str">
        <f t="shared" si="79"/>
        <v>Fiche info Avenant 4</v>
      </c>
      <c r="EF352" s="16" t="str">
        <f t="shared" si="80"/>
        <v>C</v>
      </c>
      <c r="EG352" s="16">
        <f t="shared" si="81"/>
        <v>1</v>
      </c>
      <c r="EH352" s="16" t="str">
        <f t="shared" si="82"/>
        <v>Lundi</v>
      </c>
      <c r="EI352" s="16" t="str">
        <f t="shared" si="83"/>
        <v/>
      </c>
      <c r="FB352" s="16" t="str">
        <f t="shared" si="86"/>
        <v/>
      </c>
      <c r="FC352" s="16" t="str">
        <f t="shared" si="87"/>
        <v/>
      </c>
      <c r="FD352" s="30">
        <f t="shared" si="78"/>
        <v>43344</v>
      </c>
      <c r="FE352" s="30" t="str">
        <f>+IFERROR(VLOOKUP(FD352,BDD,79,FALSE),"")</f>
        <v/>
      </c>
      <c r="FF352" s="30" t="str">
        <f>IFERROR(+VLOOKUP(FD352,BDD,80,FALSE),"")</f>
        <v/>
      </c>
      <c r="FG352" s="30" t="str">
        <f>+IFERROR(VLOOKUP(FD352,BDD,81,FALSE),"")</f>
        <v/>
      </c>
      <c r="FH352" s="30" t="str">
        <f>+IFERROR(VLOOKUP(FD352,BDD,82,FALSE),"")</f>
        <v/>
      </c>
      <c r="FW352" s="16" t="str">
        <f>Décembre!GB28</f>
        <v>502025</v>
      </c>
      <c r="FX352" s="16">
        <f>Décembre!GC28</f>
        <v>0</v>
      </c>
    </row>
    <row r="353" spans="1:180" x14ac:dyDescent="0.2">
      <c r="A353" s="16" t="str">
        <f t="shared" si="76"/>
        <v>Fiche info Avenant 4C2</v>
      </c>
      <c r="B353" s="16" t="str">
        <f t="shared" si="88"/>
        <v>Fiche info Avenant 4</v>
      </c>
      <c r="C353" s="27" t="s">
        <v>241</v>
      </c>
      <c r="D353" s="27">
        <v>2</v>
      </c>
      <c r="E353" s="16" t="s">
        <v>18</v>
      </c>
      <c r="F353" s="34" t="str">
        <f>+IF('Fiche info Avenant 4'!$AG$8=0,"",'Fiche info Avenant 4'!$AG$8)</f>
        <v/>
      </c>
      <c r="G353" s="16">
        <f t="shared" si="84"/>
        <v>0</v>
      </c>
      <c r="BX353" s="16" t="str">
        <f t="shared" si="85"/>
        <v>Fiche info Avenant 4C2</v>
      </c>
      <c r="BY353" s="449">
        <f>'Fiche info Avenant 4'!$X$8</f>
        <v>0</v>
      </c>
      <c r="BZ353" s="449">
        <f>'Fiche info Avenant 4'!$Y$8</f>
        <v>0</v>
      </c>
      <c r="CA353" s="449">
        <f>'Fiche info Avenant 4'!$Z$8</f>
        <v>0</v>
      </c>
      <c r="CB353" s="449">
        <f>'Fiche info Avenant 4'!$AA$8</f>
        <v>0</v>
      </c>
      <c r="CC353" s="449">
        <f>'Fiche info Avenant 4'!$AB$8</f>
        <v>0</v>
      </c>
      <c r="CD353" s="449">
        <f>'Fiche info Avenant 4'!$AC$8</f>
        <v>0</v>
      </c>
      <c r="CE353" s="449">
        <f>'Fiche info Avenant 4'!$AD$8</f>
        <v>0</v>
      </c>
      <c r="CF353" s="449">
        <f>'Fiche info Avenant 4'!$AE$8</f>
        <v>0</v>
      </c>
      <c r="ED353" s="16" t="str">
        <f t="shared" si="77"/>
        <v>Fiche info Avenant 4C</v>
      </c>
      <c r="EE353" s="16" t="str">
        <f t="shared" si="79"/>
        <v>Fiche info Avenant 4</v>
      </c>
      <c r="EF353" s="16" t="str">
        <f t="shared" si="80"/>
        <v>C</v>
      </c>
      <c r="EG353" s="16">
        <f t="shared" si="81"/>
        <v>2</v>
      </c>
      <c r="EH353" s="16" t="str">
        <f t="shared" si="82"/>
        <v>Mardi</v>
      </c>
      <c r="EI353" s="16" t="str">
        <f t="shared" si="83"/>
        <v/>
      </c>
      <c r="FB353" s="16" t="str">
        <f t="shared" si="86"/>
        <v/>
      </c>
      <c r="FC353" s="16" t="str">
        <f t="shared" si="87"/>
        <v/>
      </c>
      <c r="FD353" s="30">
        <f t="shared" si="78"/>
        <v>43344</v>
      </c>
      <c r="FE353" s="30" t="str">
        <f>+IFERROR(VLOOKUP(FD353,BDD,83,FALSE),"")</f>
        <v/>
      </c>
      <c r="FF353" s="30" t="str">
        <f>+IFERROR(VLOOKUP(FD353,BDD,84,FALSE),"")</f>
        <v/>
      </c>
      <c r="FG353" s="30" t="str">
        <f>+IFERROR(VLOOKUP(FD353,BDD,85,FALSE),"")</f>
        <v/>
      </c>
      <c r="FH353" s="30" t="str">
        <f>+IFERROR(VLOOKUP(FD353,BDD,86,FALSE),"")</f>
        <v/>
      </c>
      <c r="FW353" s="16" t="str">
        <f>Décembre!GB29</f>
        <v>502025</v>
      </c>
      <c r="FX353" s="16">
        <f>Décembre!GC29</f>
        <v>0</v>
      </c>
    </row>
    <row r="354" spans="1:180" x14ac:dyDescent="0.2">
      <c r="A354" s="16" t="str">
        <f t="shared" si="76"/>
        <v>Fiche info Avenant 4C3</v>
      </c>
      <c r="B354" s="16" t="str">
        <f t="shared" si="88"/>
        <v>Fiche info Avenant 4</v>
      </c>
      <c r="C354" s="27" t="s">
        <v>241</v>
      </c>
      <c r="D354" s="27">
        <v>3</v>
      </c>
      <c r="E354" s="16" t="s">
        <v>19</v>
      </c>
      <c r="F354" s="34" t="str">
        <f>+IF('Fiche info Avenant 4'!$AG$9=0,"",'Fiche info Avenant 4'!$AG$9)</f>
        <v/>
      </c>
      <c r="G354" s="16">
        <f t="shared" si="84"/>
        <v>0</v>
      </c>
      <c r="BX354" s="16" t="str">
        <f t="shared" si="85"/>
        <v>Fiche info Avenant 4C3</v>
      </c>
      <c r="BY354" s="449">
        <f>'Fiche info Avenant 4'!$X$9</f>
        <v>0</v>
      </c>
      <c r="BZ354" s="449">
        <f>'Fiche info Avenant 4'!$Y$9</f>
        <v>0</v>
      </c>
      <c r="CA354" s="449">
        <f>'Fiche info Avenant 4'!$Z$9</f>
        <v>0</v>
      </c>
      <c r="CB354" s="449">
        <f>'Fiche info Avenant 4'!$AA$9</f>
        <v>0</v>
      </c>
      <c r="CC354" s="449">
        <f>'Fiche info Avenant 4'!$AB$9</f>
        <v>0</v>
      </c>
      <c r="CD354" s="449">
        <f>'Fiche info Avenant 4'!$AC$9</f>
        <v>0</v>
      </c>
      <c r="CE354" s="449">
        <f>'Fiche info Avenant 4'!$AD$9</f>
        <v>0</v>
      </c>
      <c r="CF354" s="449">
        <f>'Fiche info Avenant 4'!$AE$9</f>
        <v>0</v>
      </c>
      <c r="ED354" s="16" t="str">
        <f t="shared" si="77"/>
        <v>Fiche info Avenant 4C</v>
      </c>
      <c r="EE354" s="16" t="str">
        <f t="shared" si="79"/>
        <v>Fiche info Avenant 4</v>
      </c>
      <c r="EF354" s="16" t="str">
        <f t="shared" si="80"/>
        <v>C</v>
      </c>
      <c r="EG354" s="16">
        <f t="shared" si="81"/>
        <v>3</v>
      </c>
      <c r="EH354" s="16" t="str">
        <f t="shared" si="82"/>
        <v>Mercredi</v>
      </c>
      <c r="EI354" s="16" t="str">
        <f t="shared" si="83"/>
        <v/>
      </c>
      <c r="FB354" s="16" t="str">
        <f t="shared" si="86"/>
        <v/>
      </c>
      <c r="FC354" s="16" t="str">
        <f t="shared" si="87"/>
        <v/>
      </c>
      <c r="FD354" s="30">
        <f t="shared" si="78"/>
        <v>43313</v>
      </c>
      <c r="FE354" s="30" t="str">
        <f>+IFERROR(VLOOKUP(FD354,BDD,71,FALSE),"")</f>
        <v/>
      </c>
      <c r="FF354" s="30" t="str">
        <f>IFERROR(+VLOOKUP(FD354,BDD,72,FALSE),"")</f>
        <v/>
      </c>
      <c r="FG354" s="30" t="str">
        <f>+IFERROR(VLOOKUP(FD354,BDD,73,FALSE),"")</f>
        <v/>
      </c>
      <c r="FH354" s="30" t="str">
        <f>+IFERROR(VLOOKUP(FD354,BDD,74,FALSE),"")</f>
        <v/>
      </c>
      <c r="FW354" s="16" t="str">
        <f>Décembre!GB30</f>
        <v>502025</v>
      </c>
      <c r="FX354" s="16">
        <f>Décembre!GC30</f>
        <v>0</v>
      </c>
    </row>
    <row r="355" spans="1:180" x14ac:dyDescent="0.2">
      <c r="A355" s="16" t="str">
        <f t="shared" si="76"/>
        <v>Fiche info Avenant 4C4</v>
      </c>
      <c r="B355" s="16" t="str">
        <f t="shared" si="88"/>
        <v>Fiche info Avenant 4</v>
      </c>
      <c r="C355" s="27" t="s">
        <v>241</v>
      </c>
      <c r="D355" s="27">
        <v>4</v>
      </c>
      <c r="E355" s="16" t="s">
        <v>20</v>
      </c>
      <c r="F355" s="34" t="str">
        <f>+IF('Fiche info Avenant 4'!$AG$10=0,"",'Fiche info Avenant 4'!$AG$10)</f>
        <v/>
      </c>
      <c r="G355" s="16">
        <f t="shared" si="84"/>
        <v>0</v>
      </c>
      <c r="BX355" s="16" t="str">
        <f t="shared" si="85"/>
        <v>Fiche info Avenant 4C4</v>
      </c>
      <c r="BY355" s="449">
        <f>'Fiche info Avenant 4'!$X$10</f>
        <v>0</v>
      </c>
      <c r="BZ355" s="449">
        <f>'Fiche info Avenant 4'!$Y$10</f>
        <v>0</v>
      </c>
      <c r="CA355" s="449">
        <f>'Fiche info Avenant 4'!$Z$10</f>
        <v>0</v>
      </c>
      <c r="CB355" s="449">
        <f>'Fiche info Avenant 4'!$AA$10</f>
        <v>0</v>
      </c>
      <c r="CC355" s="449">
        <f>'Fiche info Avenant 4'!$AB$10</f>
        <v>0</v>
      </c>
      <c r="CD355" s="449">
        <f>'Fiche info Avenant 4'!$AC$10</f>
        <v>0</v>
      </c>
      <c r="CE355" s="449">
        <f>'Fiche info Avenant 4'!$AD$10</f>
        <v>0</v>
      </c>
      <c r="CF355" s="449">
        <f>'Fiche info Avenant 4'!$AE$10</f>
        <v>0</v>
      </c>
      <c r="ED355" s="16" t="str">
        <f t="shared" si="77"/>
        <v>Fiche info Avenant 4C</v>
      </c>
      <c r="EE355" s="16" t="str">
        <f t="shared" si="79"/>
        <v>Fiche info Avenant 4</v>
      </c>
      <c r="EF355" s="16" t="str">
        <f t="shared" si="80"/>
        <v>C</v>
      </c>
      <c r="EG355" s="16">
        <f t="shared" si="81"/>
        <v>4</v>
      </c>
      <c r="EH355" s="16" t="str">
        <f t="shared" si="82"/>
        <v>Jeudi</v>
      </c>
      <c r="EI355" s="16" t="str">
        <f t="shared" si="83"/>
        <v/>
      </c>
      <c r="FB355" s="16" t="str">
        <f t="shared" si="86"/>
        <v/>
      </c>
      <c r="FC355" s="16" t="str">
        <f t="shared" si="87"/>
        <v/>
      </c>
      <c r="FD355" s="30">
        <f t="shared" si="78"/>
        <v>43313</v>
      </c>
      <c r="FE355" s="30" t="str">
        <f>+IFERROR(VLOOKUP(FD355,BDD,75,FALSE),"")</f>
        <v/>
      </c>
      <c r="FF355" s="30" t="str">
        <f>+IFERROR(VLOOKUP(FD355,BDD,76,FALSE),"")</f>
        <v/>
      </c>
      <c r="FG355" s="30" t="str">
        <f>IFERROR(+VLOOKUP(FD355,BDD,77,FALSE),"")</f>
        <v/>
      </c>
      <c r="FH355" s="30" t="str">
        <f>+IFERROR(VLOOKUP(FD355,BDD,78,FALSE),"")</f>
        <v/>
      </c>
      <c r="FW355" s="16" t="str">
        <f>Décembre!GB31</f>
        <v>502025</v>
      </c>
      <c r="FX355" s="16">
        <f>Décembre!GC31</f>
        <v>0</v>
      </c>
    </row>
    <row r="356" spans="1:180" x14ac:dyDescent="0.2">
      <c r="A356" s="16" t="str">
        <f t="shared" si="76"/>
        <v>Fiche info Avenant 4C5</v>
      </c>
      <c r="B356" s="16" t="str">
        <f t="shared" si="88"/>
        <v>Fiche info Avenant 4</v>
      </c>
      <c r="C356" s="27" t="s">
        <v>241</v>
      </c>
      <c r="D356" s="27">
        <v>5</v>
      </c>
      <c r="E356" s="16" t="s">
        <v>21</v>
      </c>
      <c r="F356" s="34" t="str">
        <f>+IF('Fiche info Avenant 4'!$AG$11=0,"",'Fiche info Avenant 4'!$AG$11)</f>
        <v/>
      </c>
      <c r="G356" s="16">
        <f t="shared" si="84"/>
        <v>0</v>
      </c>
      <c r="BX356" s="16" t="str">
        <f t="shared" si="85"/>
        <v>Fiche info Avenant 4C5</v>
      </c>
      <c r="BY356" s="449">
        <f>'Fiche info Avenant 4'!$X$11</f>
        <v>0</v>
      </c>
      <c r="BZ356" s="449">
        <f>'Fiche info Avenant 4'!$Y$11</f>
        <v>0</v>
      </c>
      <c r="CA356" s="449">
        <f>'Fiche info Avenant 4'!$Z$11</f>
        <v>0</v>
      </c>
      <c r="CB356" s="449">
        <f>'Fiche info Avenant 4'!$AA$11</f>
        <v>0</v>
      </c>
      <c r="CC356" s="449">
        <f>'Fiche info Avenant 4'!$AB$11</f>
        <v>0</v>
      </c>
      <c r="CD356" s="449">
        <f>'Fiche info Avenant 4'!$AC$11</f>
        <v>0</v>
      </c>
      <c r="CE356" s="449">
        <f>'Fiche info Avenant 4'!$AD$11</f>
        <v>0</v>
      </c>
      <c r="CF356" s="449">
        <f>'Fiche info Avenant 4'!$AE$11</f>
        <v>0</v>
      </c>
      <c r="ED356" s="16" t="str">
        <f t="shared" si="77"/>
        <v>Fiche info Avenant 4C</v>
      </c>
      <c r="EE356" s="16" t="str">
        <f t="shared" si="79"/>
        <v>Fiche info Avenant 4</v>
      </c>
      <c r="EF356" s="16" t="str">
        <f t="shared" si="80"/>
        <v>C</v>
      </c>
      <c r="EG356" s="16">
        <f t="shared" si="81"/>
        <v>5</v>
      </c>
      <c r="EH356" s="16" t="str">
        <f t="shared" si="82"/>
        <v>Vendredi</v>
      </c>
      <c r="EI356" s="16" t="str">
        <f t="shared" si="83"/>
        <v/>
      </c>
      <c r="FB356" s="16" t="str">
        <f t="shared" si="86"/>
        <v/>
      </c>
      <c r="FC356" s="16" t="str">
        <f t="shared" si="87"/>
        <v/>
      </c>
      <c r="FD356" s="30">
        <f t="shared" si="78"/>
        <v>43313</v>
      </c>
      <c r="FE356" s="30" t="str">
        <f>+IFERROR(VLOOKUP(FD356,BDD,79,FALSE),"")</f>
        <v/>
      </c>
      <c r="FF356" s="30" t="str">
        <f>IFERROR(+VLOOKUP(FD356,BDD,80,FALSE),"")</f>
        <v/>
      </c>
      <c r="FG356" s="30" t="str">
        <f>+IFERROR(VLOOKUP(FD356,BDD,81,FALSE),"")</f>
        <v/>
      </c>
      <c r="FH356" s="30" t="str">
        <f>+IFERROR(VLOOKUP(FD356,BDD,82,FALSE),"")</f>
        <v/>
      </c>
      <c r="FW356" s="16" t="str">
        <f>Décembre!GB32</f>
        <v>502025</v>
      </c>
      <c r="FX356" s="16">
        <f>Décembre!GC32</f>
        <v>0</v>
      </c>
    </row>
    <row r="357" spans="1:180" x14ac:dyDescent="0.2">
      <c r="A357" s="16" t="str">
        <f t="shared" si="76"/>
        <v>Fiche info Avenant 4C6</v>
      </c>
      <c r="B357" s="16" t="str">
        <f t="shared" si="88"/>
        <v>Fiche info Avenant 4</v>
      </c>
      <c r="C357" s="27" t="s">
        <v>241</v>
      </c>
      <c r="D357" s="27">
        <v>6</v>
      </c>
      <c r="E357" s="16" t="s">
        <v>193</v>
      </c>
      <c r="F357" s="34" t="str">
        <f>+IF('Fiche info Avenant 4'!$AG$12=0,"",'Fiche info Avenant 4'!$AG$12)</f>
        <v/>
      </c>
      <c r="G357" s="16">
        <f t="shared" si="84"/>
        <v>0</v>
      </c>
      <c r="BX357" s="16" t="str">
        <f t="shared" si="85"/>
        <v>Fiche info Avenant 4C6</v>
      </c>
      <c r="BY357" s="449">
        <f>'Fiche info Avenant 4'!$X$12</f>
        <v>0</v>
      </c>
      <c r="BZ357" s="449">
        <f>'Fiche info Avenant 4'!$Y$12</f>
        <v>0</v>
      </c>
      <c r="CA357" s="449">
        <f>'Fiche info Avenant 4'!$Z$12</f>
        <v>0</v>
      </c>
      <c r="CB357" s="449">
        <f>'Fiche info Avenant 4'!$AA$12</f>
        <v>0</v>
      </c>
      <c r="CC357" s="449">
        <f>'Fiche info Avenant 4'!$AB$12</f>
        <v>0</v>
      </c>
      <c r="CD357" s="449">
        <f>'Fiche info Avenant 4'!$AC$12</f>
        <v>0</v>
      </c>
      <c r="CE357" s="449">
        <f>'Fiche info Avenant 4'!$AD$12</f>
        <v>0</v>
      </c>
      <c r="CF357" s="449">
        <f>'Fiche info Avenant 4'!$AE$12</f>
        <v>0</v>
      </c>
      <c r="ED357" s="16" t="str">
        <f t="shared" si="77"/>
        <v>Fiche info Avenant 4C</v>
      </c>
      <c r="EE357" s="16" t="str">
        <f t="shared" si="79"/>
        <v>Fiche info Avenant 4</v>
      </c>
      <c r="EF357" s="16" t="str">
        <f t="shared" si="80"/>
        <v>C</v>
      </c>
      <c r="EG357" s="16">
        <f t="shared" si="81"/>
        <v>6</v>
      </c>
      <c r="EH357" s="16" t="str">
        <f t="shared" si="82"/>
        <v>Samedi</v>
      </c>
      <c r="EI357" s="16" t="str">
        <f t="shared" si="83"/>
        <v/>
      </c>
      <c r="FB357" s="16" t="str">
        <f t="shared" si="86"/>
        <v/>
      </c>
      <c r="FC357" s="16" t="str">
        <f t="shared" si="87"/>
        <v/>
      </c>
      <c r="FD357" s="30">
        <f t="shared" si="78"/>
        <v>43313</v>
      </c>
      <c r="FE357" s="30" t="str">
        <f>+IFERROR(VLOOKUP(FD357,BDD,83,FALSE),"")</f>
        <v/>
      </c>
      <c r="FF357" s="30" t="str">
        <f>+IFERROR(VLOOKUP(FD357,BDD,84,FALSE),"")</f>
        <v/>
      </c>
      <c r="FG357" s="30" t="str">
        <f>+IFERROR(VLOOKUP(FD357,BDD,85,FALSE),"")</f>
        <v/>
      </c>
      <c r="FH357" s="30" t="str">
        <f>+IFERROR(VLOOKUP(FD357,BDD,86,FALSE),"")</f>
        <v/>
      </c>
      <c r="FW357" s="16" t="str">
        <f>Décembre!GB33</f>
        <v>502025</v>
      </c>
      <c r="FX357" s="16">
        <f>Décembre!GC33</f>
        <v>0</v>
      </c>
    </row>
    <row r="358" spans="1:180" x14ac:dyDescent="0.2">
      <c r="A358" s="16" t="str">
        <f t="shared" si="76"/>
        <v>Fiche info Avenant 4C7</v>
      </c>
      <c r="B358" s="16" t="str">
        <f t="shared" si="88"/>
        <v>Fiche info Avenant 4</v>
      </c>
      <c r="C358" s="27" t="s">
        <v>241</v>
      </c>
      <c r="D358" s="27">
        <v>7</v>
      </c>
      <c r="E358" s="16" t="s">
        <v>194</v>
      </c>
      <c r="F358" s="34" t="str">
        <f>+IF('Fiche info Avenant 4'!$AG$13=0,"",'Fiche info Avenant 4'!$AG$13)</f>
        <v/>
      </c>
      <c r="G358" s="16">
        <f t="shared" si="84"/>
        <v>0</v>
      </c>
      <c r="BX358" s="16" t="str">
        <f t="shared" si="85"/>
        <v>Fiche info Avenant 4C7</v>
      </c>
      <c r="BY358" s="449">
        <f>'Fiche info Avenant 4'!$X$13</f>
        <v>0</v>
      </c>
      <c r="BZ358" s="449">
        <f>'Fiche info Avenant 4'!$Y$13</f>
        <v>0</v>
      </c>
      <c r="CA358" s="449">
        <f>'Fiche info Avenant 4'!$Z$13</f>
        <v>0</v>
      </c>
      <c r="CB358" s="449">
        <f>'Fiche info Avenant 4'!$AA$13</f>
        <v>0</v>
      </c>
      <c r="CC358" s="449">
        <f>'Fiche info Avenant 4'!$AB$13</f>
        <v>0</v>
      </c>
      <c r="CD358" s="449">
        <f>'Fiche info Avenant 4'!$AC$13</f>
        <v>0</v>
      </c>
      <c r="CE358" s="449">
        <f>'Fiche info Avenant 4'!$AD$13</f>
        <v>0</v>
      </c>
      <c r="CF358" s="449">
        <f>'Fiche info Avenant 4'!$AE$13</f>
        <v>0</v>
      </c>
      <c r="ED358" s="16" t="str">
        <f t="shared" si="77"/>
        <v>Fiche info Avenant 4C</v>
      </c>
      <c r="EE358" s="16" t="str">
        <f t="shared" si="79"/>
        <v>Fiche info Avenant 4</v>
      </c>
      <c r="EF358" s="16" t="str">
        <f t="shared" si="80"/>
        <v>C</v>
      </c>
      <c r="EG358" s="16">
        <f t="shared" si="81"/>
        <v>7</v>
      </c>
      <c r="EH358" s="16" t="str">
        <f t="shared" si="82"/>
        <v>Dimanche</v>
      </c>
      <c r="EI358" s="16" t="str">
        <f t="shared" si="83"/>
        <v/>
      </c>
      <c r="FB358" s="16" t="str">
        <f t="shared" si="86"/>
        <v/>
      </c>
      <c r="FC358" s="16" t="str">
        <f t="shared" si="87"/>
        <v/>
      </c>
      <c r="FD358" s="30">
        <f t="shared" si="78"/>
        <v>43282</v>
      </c>
      <c r="FE358" s="30" t="str">
        <f>+IFERROR(VLOOKUP(FD358,BDD,71,FALSE),"")</f>
        <v/>
      </c>
      <c r="FF358" s="30" t="str">
        <f>IFERROR(+VLOOKUP(FD358,BDD,72,FALSE),"")</f>
        <v/>
      </c>
      <c r="FG358" s="30" t="str">
        <f>+IFERROR(VLOOKUP(FD358,BDD,73,FALSE),"")</f>
        <v/>
      </c>
      <c r="FH358" s="30" t="str">
        <f>+IFERROR(VLOOKUP(FD358,BDD,74,FALSE),"")</f>
        <v/>
      </c>
      <c r="FW358" s="16" t="str">
        <f>Décembre!GB34</f>
        <v>512025</v>
      </c>
      <c r="FX358" s="16">
        <f>Décembre!GC34</f>
        <v>0</v>
      </c>
    </row>
    <row r="359" spans="1:180" x14ac:dyDescent="0.2">
      <c r="A359" s="16" t="str">
        <f t="shared" si="76"/>
        <v>Fiche info Avenant 4D1</v>
      </c>
      <c r="B359" s="16" t="str">
        <f t="shared" si="88"/>
        <v>Fiche info Avenant 4</v>
      </c>
      <c r="C359" s="27" t="s">
        <v>242</v>
      </c>
      <c r="D359" s="27">
        <v>1</v>
      </c>
      <c r="E359" s="16" t="s">
        <v>17</v>
      </c>
      <c r="F359" s="34" t="str">
        <f>+IF('Fiche info Avenant 4'!$AR$7=0,"",'Fiche info Avenant 4'!$AR$7)</f>
        <v/>
      </c>
      <c r="G359" s="16">
        <f t="shared" si="84"/>
        <v>0</v>
      </c>
      <c r="BX359" s="16" t="str">
        <f t="shared" si="85"/>
        <v>Fiche info Avenant 4D1</v>
      </c>
      <c r="BY359" s="449">
        <f>'Fiche info Avenant 4'!$AI$7</f>
        <v>0</v>
      </c>
      <c r="BZ359" s="449">
        <f>'Fiche info Avenant 4'!$AJ$7</f>
        <v>0</v>
      </c>
      <c r="CA359" s="449">
        <f>'Fiche info Avenant 4'!$AK$7</f>
        <v>0</v>
      </c>
      <c r="CB359" s="449">
        <f>'Fiche info Avenant 4'!$AL$7</f>
        <v>0</v>
      </c>
      <c r="CC359" s="449">
        <f>'Fiche info Avenant 4'!$AM$7</f>
        <v>0</v>
      </c>
      <c r="CD359" s="449">
        <f>'Fiche info Avenant 4'!$AN$7</f>
        <v>0</v>
      </c>
      <c r="CE359" s="449">
        <f>'Fiche info Avenant 4'!$AO$7</f>
        <v>0</v>
      </c>
      <c r="CF359" s="449">
        <f>'Fiche info Avenant 4'!$AP$7</f>
        <v>0</v>
      </c>
      <c r="ED359" s="16" t="str">
        <f t="shared" si="77"/>
        <v>Fiche info Avenant 4D</v>
      </c>
      <c r="EE359" s="16" t="str">
        <f t="shared" si="79"/>
        <v>Fiche info Avenant 4</v>
      </c>
      <c r="EF359" s="16" t="str">
        <f t="shared" si="80"/>
        <v>D</v>
      </c>
      <c r="EG359" s="16">
        <f t="shared" si="81"/>
        <v>1</v>
      </c>
      <c r="EH359" s="16" t="str">
        <f t="shared" si="82"/>
        <v>Lundi</v>
      </c>
      <c r="EI359" s="16" t="str">
        <f t="shared" si="83"/>
        <v/>
      </c>
      <c r="FB359" s="16" t="str">
        <f t="shared" si="86"/>
        <v/>
      </c>
      <c r="FC359" s="16" t="str">
        <f t="shared" si="87"/>
        <v/>
      </c>
      <c r="FD359" s="30">
        <f t="shared" si="78"/>
        <v>43282</v>
      </c>
      <c r="FE359" s="30" t="str">
        <f>+IFERROR(VLOOKUP(FD359,BDD,75,FALSE),"")</f>
        <v/>
      </c>
      <c r="FF359" s="30" t="str">
        <f>+IFERROR(VLOOKUP(FD359,BDD,76,FALSE),"")</f>
        <v/>
      </c>
      <c r="FG359" s="30" t="str">
        <f>IFERROR(+VLOOKUP(FD359,BDD,77,FALSE),"")</f>
        <v/>
      </c>
      <c r="FH359" s="30" t="str">
        <f>+IFERROR(VLOOKUP(FD359,BDD,78,FALSE),"")</f>
        <v/>
      </c>
      <c r="FW359" s="16" t="str">
        <f>Décembre!GB35</f>
        <v>512025</v>
      </c>
      <c r="FX359" s="16">
        <f>Décembre!GC35</f>
        <v>0</v>
      </c>
    </row>
    <row r="360" spans="1:180" x14ac:dyDescent="0.2">
      <c r="A360" s="16" t="str">
        <f t="shared" si="76"/>
        <v>Fiche info Avenant 4D2</v>
      </c>
      <c r="B360" s="16" t="str">
        <f t="shared" si="88"/>
        <v>Fiche info Avenant 4</v>
      </c>
      <c r="C360" s="27" t="s">
        <v>242</v>
      </c>
      <c r="D360" s="27">
        <v>2</v>
      </c>
      <c r="E360" s="16" t="s">
        <v>18</v>
      </c>
      <c r="F360" s="34" t="str">
        <f>IF(+'Fiche info Avenant 4'!$AR$8=0,"",'Fiche info Avenant 4'!$AR$8)</f>
        <v/>
      </c>
      <c r="G360" s="16">
        <f t="shared" si="84"/>
        <v>0</v>
      </c>
      <c r="BX360" s="16" t="str">
        <f t="shared" si="85"/>
        <v>Fiche info Avenant 4D2</v>
      </c>
      <c r="BY360" s="449">
        <f>'Fiche info Avenant 4'!$AI$8</f>
        <v>0</v>
      </c>
      <c r="BZ360" s="449">
        <f>'Fiche info Avenant 4'!$AJ$8</f>
        <v>0</v>
      </c>
      <c r="CA360" s="449">
        <f>'Fiche info Avenant 4'!$AK$8</f>
        <v>0</v>
      </c>
      <c r="CB360" s="449">
        <f>'Fiche info Avenant 4'!$AL$8</f>
        <v>0</v>
      </c>
      <c r="CC360" s="449">
        <f>'Fiche info Avenant 4'!$AM$8</f>
        <v>0</v>
      </c>
      <c r="CD360" s="449">
        <f>'Fiche info Avenant 4'!$AN$8</f>
        <v>0</v>
      </c>
      <c r="CE360" s="449">
        <f>'Fiche info Avenant 4'!$AO$8</f>
        <v>0</v>
      </c>
      <c r="CF360" s="449">
        <f>'Fiche info Avenant 4'!$AP$8</f>
        <v>0</v>
      </c>
      <c r="ED360" s="16" t="str">
        <f t="shared" si="77"/>
        <v>Fiche info Avenant 4D</v>
      </c>
      <c r="EE360" s="16" t="str">
        <f t="shared" si="79"/>
        <v>Fiche info Avenant 4</v>
      </c>
      <c r="EF360" s="16" t="str">
        <f t="shared" si="80"/>
        <v>D</v>
      </c>
      <c r="EG360" s="16">
        <f t="shared" si="81"/>
        <v>2</v>
      </c>
      <c r="EH360" s="16" t="str">
        <f t="shared" si="82"/>
        <v>Mardi</v>
      </c>
      <c r="EI360" s="16" t="str">
        <f t="shared" si="83"/>
        <v/>
      </c>
      <c r="FB360" s="16" t="str">
        <f t="shared" si="86"/>
        <v/>
      </c>
      <c r="FC360" s="16" t="str">
        <f t="shared" si="87"/>
        <v/>
      </c>
      <c r="FD360" s="30">
        <f t="shared" si="78"/>
        <v>43282</v>
      </c>
      <c r="FE360" s="30" t="str">
        <f>+IFERROR(VLOOKUP(FD360,BDD,79,FALSE),"")</f>
        <v/>
      </c>
      <c r="FF360" s="30" t="str">
        <f>IFERROR(+VLOOKUP(FD360,BDD,80,FALSE),"")</f>
        <v/>
      </c>
      <c r="FG360" s="30" t="str">
        <f>+IFERROR(VLOOKUP(FD360,BDD,81,FALSE),"")</f>
        <v/>
      </c>
      <c r="FH360" s="30" t="str">
        <f>+IFERROR(VLOOKUP(FD360,BDD,82,FALSE),"")</f>
        <v/>
      </c>
      <c r="FW360" s="16" t="str">
        <f>Décembre!GB36</f>
        <v>512025</v>
      </c>
      <c r="FX360" s="16">
        <f>Décembre!GC36</f>
        <v>0</v>
      </c>
    </row>
    <row r="361" spans="1:180" x14ac:dyDescent="0.2">
      <c r="A361" s="16" t="str">
        <f t="shared" si="76"/>
        <v>Fiche info Avenant 4D3</v>
      </c>
      <c r="B361" s="16" t="str">
        <f t="shared" si="88"/>
        <v>Fiche info Avenant 4</v>
      </c>
      <c r="C361" s="27" t="s">
        <v>242</v>
      </c>
      <c r="D361" s="27">
        <v>3</v>
      </c>
      <c r="E361" s="16" t="s">
        <v>19</v>
      </c>
      <c r="F361" s="34" t="str">
        <f>IF(+'Fiche info Avenant 4'!$AR$9=0,"",'Fiche info Avenant 4'!$AR$9)</f>
        <v/>
      </c>
      <c r="G361" s="16">
        <f t="shared" si="84"/>
        <v>0</v>
      </c>
      <c r="BX361" s="16" t="str">
        <f t="shared" si="85"/>
        <v>Fiche info Avenant 4D3</v>
      </c>
      <c r="BY361" s="449">
        <f>'Fiche info Avenant 4'!$AI$9</f>
        <v>0</v>
      </c>
      <c r="BZ361" s="449">
        <f>'Fiche info Avenant 4'!$AJ$9</f>
        <v>0</v>
      </c>
      <c r="CA361" s="449">
        <f>'Fiche info Avenant 4'!$AK$9</f>
        <v>0</v>
      </c>
      <c r="CB361" s="449">
        <f>'Fiche info Avenant 4'!$AL$9</f>
        <v>0</v>
      </c>
      <c r="CC361" s="449">
        <f>'Fiche info Avenant 4'!$AM$9</f>
        <v>0</v>
      </c>
      <c r="CD361" s="449">
        <f>'Fiche info Avenant 4'!$AN$9</f>
        <v>0</v>
      </c>
      <c r="CE361" s="449">
        <f>'Fiche info Avenant 4'!$AO$9</f>
        <v>0</v>
      </c>
      <c r="CF361" s="449">
        <f>'Fiche info Avenant 4'!$AP$9</f>
        <v>0</v>
      </c>
      <c r="ED361" s="16" t="str">
        <f t="shared" si="77"/>
        <v>Fiche info Avenant 4D</v>
      </c>
      <c r="EE361" s="16" t="str">
        <f t="shared" si="79"/>
        <v>Fiche info Avenant 4</v>
      </c>
      <c r="EF361" s="16" t="str">
        <f t="shared" si="80"/>
        <v>D</v>
      </c>
      <c r="EG361" s="16">
        <f t="shared" si="81"/>
        <v>3</v>
      </c>
      <c r="EH361" s="16" t="str">
        <f t="shared" si="82"/>
        <v>Mercredi</v>
      </c>
      <c r="EI361" s="16" t="str">
        <f t="shared" si="83"/>
        <v/>
      </c>
      <c r="FB361" s="16" t="str">
        <f t="shared" si="86"/>
        <v/>
      </c>
      <c r="FC361" s="16" t="str">
        <f t="shared" si="87"/>
        <v/>
      </c>
      <c r="FD361" s="30">
        <f t="shared" si="78"/>
        <v>43282</v>
      </c>
      <c r="FE361" s="30" t="str">
        <f>+IFERROR(VLOOKUP(FD361,BDD,83,FALSE),"")</f>
        <v/>
      </c>
      <c r="FF361" s="30" t="str">
        <f>+IFERROR(VLOOKUP(FD361,BDD,84,FALSE),"")</f>
        <v/>
      </c>
      <c r="FG361" s="30" t="str">
        <f>+IFERROR(VLOOKUP(FD361,BDD,85,FALSE),"")</f>
        <v/>
      </c>
      <c r="FH361" s="30" t="str">
        <f>+IFERROR(VLOOKUP(FD361,BDD,86,FALSE),"")</f>
        <v/>
      </c>
      <c r="FW361" s="16" t="str">
        <f>Décembre!GB37</f>
        <v>512025</v>
      </c>
      <c r="FX361" s="16">
        <f>Décembre!GC37</f>
        <v>0</v>
      </c>
    </row>
    <row r="362" spans="1:180" x14ac:dyDescent="0.2">
      <c r="A362" s="16" t="str">
        <f t="shared" si="76"/>
        <v>Fiche info Avenant 4D4</v>
      </c>
      <c r="B362" s="16" t="str">
        <f t="shared" si="88"/>
        <v>Fiche info Avenant 4</v>
      </c>
      <c r="C362" s="27" t="s">
        <v>242</v>
      </c>
      <c r="D362" s="27">
        <v>4</v>
      </c>
      <c r="E362" s="16" t="s">
        <v>20</v>
      </c>
      <c r="F362" s="34" t="str">
        <f>IF(+'Fiche info Avenant 4'!$AR$10=0,"",'Fiche info Avenant 4'!$AR$10)</f>
        <v/>
      </c>
      <c r="G362" s="16">
        <f t="shared" si="84"/>
        <v>0</v>
      </c>
      <c r="BX362" s="16" t="str">
        <f t="shared" si="85"/>
        <v>Fiche info Avenant 4D4</v>
      </c>
      <c r="BY362" s="449">
        <f>'Fiche info Avenant 4'!$AI$10</f>
        <v>0</v>
      </c>
      <c r="BZ362" s="449">
        <f>'Fiche info Avenant 4'!$AJ$10</f>
        <v>0</v>
      </c>
      <c r="CA362" s="449">
        <f>'Fiche info Avenant 4'!$AK$10</f>
        <v>0</v>
      </c>
      <c r="CB362" s="449">
        <f>'Fiche info Avenant 4'!$AL$10</f>
        <v>0</v>
      </c>
      <c r="CC362" s="449">
        <f>'Fiche info Avenant 4'!$AM$10</f>
        <v>0</v>
      </c>
      <c r="CD362" s="449">
        <f>'Fiche info Avenant 4'!$AN$10</f>
        <v>0</v>
      </c>
      <c r="CE362" s="449">
        <f>'Fiche info Avenant 4'!$AO$10</f>
        <v>0</v>
      </c>
      <c r="CF362" s="449">
        <f>'Fiche info Avenant 4'!$AP$10</f>
        <v>0</v>
      </c>
      <c r="ED362" s="16" t="str">
        <f t="shared" si="77"/>
        <v>Fiche info Avenant 4D</v>
      </c>
      <c r="EE362" s="16" t="str">
        <f t="shared" si="79"/>
        <v>Fiche info Avenant 4</v>
      </c>
      <c r="EF362" s="16" t="str">
        <f t="shared" si="80"/>
        <v>D</v>
      </c>
      <c r="EG362" s="16">
        <f t="shared" si="81"/>
        <v>4</v>
      </c>
      <c r="EH362" s="16" t="str">
        <f t="shared" si="82"/>
        <v>Jeudi</v>
      </c>
      <c r="EI362" s="16" t="str">
        <f t="shared" si="83"/>
        <v/>
      </c>
      <c r="FB362" s="16" t="str">
        <f t="shared" si="86"/>
        <v/>
      </c>
      <c r="FC362" s="16" t="str">
        <f t="shared" si="87"/>
        <v/>
      </c>
      <c r="FD362" s="30">
        <f t="shared" si="78"/>
        <v>43252</v>
      </c>
      <c r="FE362" s="30" t="str">
        <f>+IFERROR(VLOOKUP(FD362,BDD,71,FALSE),"")</f>
        <v/>
      </c>
      <c r="FF362" s="30" t="str">
        <f>IFERROR(+VLOOKUP(FD362,BDD,72,FALSE),"")</f>
        <v/>
      </c>
      <c r="FG362" s="30" t="str">
        <f>+IFERROR(VLOOKUP(FD362,BDD,73,FALSE),"")</f>
        <v/>
      </c>
      <c r="FH362" s="30" t="str">
        <f>+IFERROR(VLOOKUP(FD362,BDD,74,FALSE),"")</f>
        <v/>
      </c>
      <c r="FW362" s="16" t="str">
        <f>Décembre!GB38</f>
        <v>512025</v>
      </c>
      <c r="FX362" s="16">
        <f>Décembre!GC38</f>
        <v>0</v>
      </c>
    </row>
    <row r="363" spans="1:180" x14ac:dyDescent="0.2">
      <c r="A363" s="16" t="str">
        <f t="shared" ref="A363:A426" si="89">+B363&amp;C363&amp;D363</f>
        <v>Fiche info Avenant 4D5</v>
      </c>
      <c r="B363" s="16" t="str">
        <f t="shared" si="88"/>
        <v>Fiche info Avenant 4</v>
      </c>
      <c r="C363" s="27" t="s">
        <v>242</v>
      </c>
      <c r="D363" s="27">
        <v>5</v>
      </c>
      <c r="E363" s="16" t="s">
        <v>21</v>
      </c>
      <c r="F363" s="34" t="str">
        <f>IF(+'Fiche info Avenant 4'!$AR$11=0,"",'Fiche info Avenant 4'!$AR$11)</f>
        <v/>
      </c>
      <c r="G363" s="16">
        <f t="shared" si="84"/>
        <v>0</v>
      </c>
      <c r="BX363" s="16" t="str">
        <f t="shared" si="85"/>
        <v>Fiche info Avenant 4D5</v>
      </c>
      <c r="BY363" s="449">
        <f>'Fiche info Avenant 4'!$AI$11</f>
        <v>0</v>
      </c>
      <c r="BZ363" s="449">
        <f>'Fiche info Avenant 4'!$AJ$11</f>
        <v>0</v>
      </c>
      <c r="CA363" s="449">
        <f>'Fiche info Avenant 4'!$AK$11</f>
        <v>0</v>
      </c>
      <c r="CB363" s="449">
        <f>'Fiche info Avenant 4'!$AL$11</f>
        <v>0</v>
      </c>
      <c r="CC363" s="449">
        <f>'Fiche info Avenant 4'!$AM$11</f>
        <v>0</v>
      </c>
      <c r="CD363" s="449">
        <f>'Fiche info Avenant 4'!$AN$11</f>
        <v>0</v>
      </c>
      <c r="CE363" s="449">
        <f>'Fiche info Avenant 4'!$AO$11</f>
        <v>0</v>
      </c>
      <c r="CF363" s="449">
        <f>'Fiche info Avenant 4'!$AP$11</f>
        <v>0</v>
      </c>
      <c r="ED363" s="16" t="str">
        <f t="shared" si="77"/>
        <v>Fiche info Avenant 4D</v>
      </c>
      <c r="EE363" s="16" t="str">
        <f t="shared" si="79"/>
        <v>Fiche info Avenant 4</v>
      </c>
      <c r="EF363" s="16" t="str">
        <f t="shared" si="80"/>
        <v>D</v>
      </c>
      <c r="EG363" s="16">
        <f t="shared" si="81"/>
        <v>5</v>
      </c>
      <c r="EH363" s="16" t="str">
        <f t="shared" si="82"/>
        <v>Vendredi</v>
      </c>
      <c r="EI363" s="16" t="str">
        <f t="shared" si="83"/>
        <v/>
      </c>
      <c r="FB363" s="16" t="str">
        <f t="shared" si="86"/>
        <v/>
      </c>
      <c r="FC363" s="16" t="str">
        <f t="shared" si="87"/>
        <v/>
      </c>
      <c r="FD363" s="30">
        <f t="shared" si="78"/>
        <v>43252</v>
      </c>
      <c r="FE363" s="30" t="str">
        <f>+IFERROR(VLOOKUP(FD363,BDD,75,FALSE),"")</f>
        <v/>
      </c>
      <c r="FF363" s="30" t="str">
        <f>+IFERROR(VLOOKUP(FD363,BDD,76,FALSE),"")</f>
        <v/>
      </c>
      <c r="FG363" s="30" t="str">
        <f>IFERROR(+VLOOKUP(FD363,BDD,77,FALSE),"")</f>
        <v/>
      </c>
      <c r="FH363" s="30" t="str">
        <f>+IFERROR(VLOOKUP(FD363,BDD,78,FALSE),"")</f>
        <v/>
      </c>
      <c r="FW363" s="16" t="str">
        <f>Décembre!GB39</f>
        <v>512025</v>
      </c>
      <c r="FX363" s="16">
        <f>Décembre!GC39</f>
        <v>0</v>
      </c>
    </row>
    <row r="364" spans="1:180" x14ac:dyDescent="0.2">
      <c r="A364" s="16" t="str">
        <f t="shared" si="89"/>
        <v>Fiche info Avenant 4D6</v>
      </c>
      <c r="B364" s="16" t="str">
        <f t="shared" si="88"/>
        <v>Fiche info Avenant 4</v>
      </c>
      <c r="C364" s="27" t="s">
        <v>242</v>
      </c>
      <c r="D364" s="27">
        <v>6</v>
      </c>
      <c r="E364" s="16" t="s">
        <v>193</v>
      </c>
      <c r="F364" s="34" t="str">
        <f>IF(+'Fiche info Avenant 4'!$AR$12=0,"",'Fiche info Avenant 4'!$AR$12)</f>
        <v/>
      </c>
      <c r="G364" s="16">
        <f t="shared" si="84"/>
        <v>0</v>
      </c>
      <c r="BX364" s="16" t="str">
        <f t="shared" si="85"/>
        <v>Fiche info Avenant 4D6</v>
      </c>
      <c r="BY364" s="449">
        <f>'Fiche info Avenant 4'!$AI$12</f>
        <v>0</v>
      </c>
      <c r="BZ364" s="449">
        <f>'Fiche info Avenant 4'!$AJ$12</f>
        <v>0</v>
      </c>
      <c r="CA364" s="449">
        <f>'Fiche info Avenant 4'!$AK$12</f>
        <v>0</v>
      </c>
      <c r="CB364" s="449">
        <f>'Fiche info Avenant 4'!$AL$12</f>
        <v>0</v>
      </c>
      <c r="CC364" s="449">
        <f>'Fiche info Avenant 4'!$AM$12</f>
        <v>0</v>
      </c>
      <c r="CD364" s="449">
        <f>'Fiche info Avenant 4'!$AN$12</f>
        <v>0</v>
      </c>
      <c r="CE364" s="449">
        <f>'Fiche info Avenant 4'!$AO$12</f>
        <v>0</v>
      </c>
      <c r="CF364" s="449">
        <f>'Fiche info Avenant 4'!$AP$12</f>
        <v>0</v>
      </c>
      <c r="ED364" s="16" t="str">
        <f t="shared" si="77"/>
        <v>Fiche info Avenant 4D</v>
      </c>
      <c r="EE364" s="16" t="str">
        <f t="shared" si="79"/>
        <v>Fiche info Avenant 4</v>
      </c>
      <c r="EF364" s="16" t="str">
        <f t="shared" si="80"/>
        <v>D</v>
      </c>
      <c r="EG364" s="16">
        <f t="shared" si="81"/>
        <v>6</v>
      </c>
      <c r="EH364" s="16" t="str">
        <f t="shared" si="82"/>
        <v>Samedi</v>
      </c>
      <c r="EI364" s="16" t="str">
        <f t="shared" si="83"/>
        <v/>
      </c>
      <c r="FB364" s="16" t="str">
        <f t="shared" si="86"/>
        <v/>
      </c>
      <c r="FC364" s="16" t="str">
        <f t="shared" si="87"/>
        <v/>
      </c>
      <c r="FD364" s="30">
        <f t="shared" si="78"/>
        <v>43252</v>
      </c>
      <c r="FE364" s="30" t="str">
        <f>+IFERROR(VLOOKUP(FD364,BDD,79,FALSE),"")</f>
        <v/>
      </c>
      <c r="FF364" s="30" t="str">
        <f>IFERROR(+VLOOKUP(FD364,BDD,80,FALSE),"")</f>
        <v/>
      </c>
      <c r="FG364" s="30" t="str">
        <f>+IFERROR(VLOOKUP(FD364,BDD,81,FALSE),"")</f>
        <v/>
      </c>
      <c r="FH364" s="30" t="str">
        <f>+IFERROR(VLOOKUP(FD364,BDD,82,FALSE),"")</f>
        <v/>
      </c>
      <c r="FW364" s="16" t="str">
        <f>Décembre!GB40</f>
        <v>512025</v>
      </c>
      <c r="FX364" s="16">
        <f>Décembre!GC40</f>
        <v>0</v>
      </c>
    </row>
    <row r="365" spans="1:180" x14ac:dyDescent="0.2">
      <c r="A365" s="16" t="str">
        <f t="shared" si="89"/>
        <v>Fiche info Avenant 4D7</v>
      </c>
      <c r="B365" s="16" t="str">
        <f t="shared" si="88"/>
        <v>Fiche info Avenant 4</v>
      </c>
      <c r="C365" s="27" t="s">
        <v>242</v>
      </c>
      <c r="D365" s="27">
        <v>7</v>
      </c>
      <c r="E365" s="16" t="s">
        <v>194</v>
      </c>
      <c r="F365" s="34" t="str">
        <f>IF(+'Fiche info Avenant 4'!$AR$13=0,"",'Fiche info Avenant 4'!$AR$13)</f>
        <v/>
      </c>
      <c r="G365" s="16">
        <f t="shared" si="84"/>
        <v>0</v>
      </c>
      <c r="BX365" s="16" t="str">
        <f t="shared" si="85"/>
        <v>Fiche info Avenant 4D7</v>
      </c>
      <c r="BY365" s="449">
        <f>'Fiche info Avenant 4'!$AI$13</f>
        <v>0</v>
      </c>
      <c r="BZ365" s="449">
        <f>'Fiche info Avenant 4'!$AJ$13</f>
        <v>0</v>
      </c>
      <c r="CA365" s="449">
        <f>'Fiche info Avenant 4'!$AK$13</f>
        <v>0</v>
      </c>
      <c r="CB365" s="449">
        <f>'Fiche info Avenant 4'!$AL$13</f>
        <v>0</v>
      </c>
      <c r="CC365" s="449">
        <f>'Fiche info Avenant 4'!$AM$13</f>
        <v>0</v>
      </c>
      <c r="CD365" s="449">
        <f>'Fiche info Avenant 4'!$AN$13</f>
        <v>0</v>
      </c>
      <c r="CE365" s="449">
        <f>'Fiche info Avenant 4'!$AO$13</f>
        <v>0</v>
      </c>
      <c r="CF365" s="449">
        <f>'Fiche info Avenant 4'!$AP$13</f>
        <v>0</v>
      </c>
      <c r="ED365" s="16" t="str">
        <f t="shared" si="77"/>
        <v>Fiche info Avenant 4D</v>
      </c>
      <c r="EE365" s="16" t="str">
        <f t="shared" si="79"/>
        <v>Fiche info Avenant 4</v>
      </c>
      <c r="EF365" s="16" t="str">
        <f t="shared" si="80"/>
        <v>D</v>
      </c>
      <c r="EG365" s="16">
        <f t="shared" si="81"/>
        <v>7</v>
      </c>
      <c r="EH365" s="16" t="str">
        <f t="shared" si="82"/>
        <v>Dimanche</v>
      </c>
      <c r="EI365" s="16" t="str">
        <f t="shared" si="83"/>
        <v/>
      </c>
      <c r="FB365" s="16" t="str">
        <f t="shared" si="86"/>
        <v/>
      </c>
      <c r="FC365" s="16" t="str">
        <f t="shared" si="87"/>
        <v/>
      </c>
      <c r="FD365" s="30">
        <f t="shared" si="78"/>
        <v>43252</v>
      </c>
      <c r="FE365" s="30" t="str">
        <f>+IFERROR(VLOOKUP(FD365,BDD,83,FALSE),"")</f>
        <v/>
      </c>
      <c r="FF365" s="30" t="str">
        <f>+IFERROR(VLOOKUP(FD365,BDD,84,FALSE),"")</f>
        <v/>
      </c>
      <c r="FG365" s="30" t="str">
        <f>+IFERROR(VLOOKUP(FD365,BDD,85,FALSE),"")</f>
        <v/>
      </c>
      <c r="FH365" s="30" t="str">
        <f>+IFERROR(VLOOKUP(FD365,BDD,86,FALSE),"")</f>
        <v/>
      </c>
      <c r="FW365" s="16" t="str">
        <f>Décembre!GB41</f>
        <v>522025</v>
      </c>
      <c r="FX365" s="16">
        <f>Décembre!GC41</f>
        <v>0</v>
      </c>
    </row>
    <row r="366" spans="1:180" x14ac:dyDescent="0.2">
      <c r="A366" s="16" t="str">
        <f t="shared" si="89"/>
        <v>Fiche info Avenant 4E1</v>
      </c>
      <c r="B366" s="16" t="str">
        <f t="shared" si="88"/>
        <v>Fiche info Avenant 4</v>
      </c>
      <c r="C366" s="27" t="s">
        <v>243</v>
      </c>
      <c r="D366" s="27">
        <v>1</v>
      </c>
      <c r="E366" s="16" t="s">
        <v>17</v>
      </c>
      <c r="F366" s="34" t="str">
        <f>IF(+'Fiche info Avenant 4'!$BC$7=0,"",'Fiche info Avenant 4'!$BC$7)</f>
        <v/>
      </c>
      <c r="G366" s="16">
        <f t="shared" si="84"/>
        <v>0</v>
      </c>
      <c r="BX366" s="16" t="str">
        <f t="shared" si="85"/>
        <v>Fiche info Avenant 4E1</v>
      </c>
      <c r="BY366" s="449">
        <f>'Fiche info Avenant 4'!$AT$7</f>
        <v>0</v>
      </c>
      <c r="BZ366" s="449">
        <f>'Fiche info Avenant 4'!$AU$7</f>
        <v>0</v>
      </c>
      <c r="CA366" s="449">
        <f>'Fiche info Avenant 4'!$AV$7</f>
        <v>0</v>
      </c>
      <c r="CB366" s="449">
        <f>'Fiche info Avenant 4'!$AW$7</f>
        <v>0</v>
      </c>
      <c r="CC366" s="449">
        <f>'Fiche info Avenant 4'!$AX$7</f>
        <v>0</v>
      </c>
      <c r="CD366" s="449">
        <f>'Fiche info Avenant 4'!$AY$7</f>
        <v>0</v>
      </c>
      <c r="CE366" s="449">
        <f>'Fiche info Avenant 4'!$AZ$7</f>
        <v>0</v>
      </c>
      <c r="CF366" s="449">
        <f>'Fiche info Avenant 4'!$BA$7</f>
        <v>0</v>
      </c>
      <c r="ED366" s="16" t="str">
        <f t="shared" si="77"/>
        <v>Fiche info Avenant 4E</v>
      </c>
      <c r="EE366" s="16" t="str">
        <f t="shared" si="79"/>
        <v>Fiche info Avenant 4</v>
      </c>
      <c r="EF366" s="16" t="str">
        <f t="shared" si="80"/>
        <v>E</v>
      </c>
      <c r="EG366" s="16">
        <f t="shared" si="81"/>
        <v>1</v>
      </c>
      <c r="EH366" s="16" t="str">
        <f t="shared" si="82"/>
        <v>Lundi</v>
      </c>
      <c r="EI366" s="16" t="str">
        <f t="shared" si="83"/>
        <v/>
      </c>
      <c r="FB366" s="16" t="str">
        <f t="shared" si="86"/>
        <v/>
      </c>
      <c r="FC366" s="16" t="str">
        <f t="shared" si="87"/>
        <v/>
      </c>
      <c r="FD366" s="30">
        <f t="shared" si="78"/>
        <v>43221</v>
      </c>
      <c r="FE366" s="30" t="str">
        <f>+IFERROR(VLOOKUP(FD366,BDD,71,FALSE),"")</f>
        <v/>
      </c>
      <c r="FF366" s="30" t="str">
        <f>IFERROR(+VLOOKUP(FD366,BDD,72,FALSE),"")</f>
        <v/>
      </c>
      <c r="FG366" s="30" t="str">
        <f>+IFERROR(VLOOKUP(FD366,BDD,73,FALSE),"")</f>
        <v/>
      </c>
      <c r="FH366" s="30" t="str">
        <f>+IFERROR(VLOOKUP(FD366,BDD,74,FALSE),"")</f>
        <v/>
      </c>
      <c r="FW366" s="16" t="str">
        <f>Décembre!GB42</f>
        <v>522025</v>
      </c>
      <c r="FX366" s="16">
        <f>Décembre!GC42</f>
        <v>0</v>
      </c>
    </row>
    <row r="367" spans="1:180" x14ac:dyDescent="0.2">
      <c r="A367" s="16" t="str">
        <f t="shared" si="89"/>
        <v>Fiche info Avenant 4E2</v>
      </c>
      <c r="B367" s="16" t="str">
        <f t="shared" si="88"/>
        <v>Fiche info Avenant 4</v>
      </c>
      <c r="C367" s="27" t="s">
        <v>243</v>
      </c>
      <c r="D367" s="27">
        <v>2</v>
      </c>
      <c r="E367" s="16" t="s">
        <v>18</v>
      </c>
      <c r="F367" s="34" t="str">
        <f>IF(+'Fiche info Avenant 4'!$BC$8=0,"",'Fiche info Avenant 4'!$BC$8)</f>
        <v/>
      </c>
      <c r="G367" s="16">
        <f t="shared" si="84"/>
        <v>0</v>
      </c>
      <c r="BX367" s="16" t="str">
        <f t="shared" si="85"/>
        <v>Fiche info Avenant 4E2</v>
      </c>
      <c r="BY367" s="449">
        <f>'Fiche info Avenant 4'!$AT$8</f>
        <v>0</v>
      </c>
      <c r="BZ367" s="449">
        <f>'Fiche info Avenant 4'!$AU$8</f>
        <v>0</v>
      </c>
      <c r="CA367" s="449">
        <f>'Fiche info Avenant 4'!$AV$8</f>
        <v>0</v>
      </c>
      <c r="CB367" s="449">
        <f>'Fiche info Avenant 4'!$AW$8</f>
        <v>0</v>
      </c>
      <c r="CC367" s="449">
        <f>'Fiche info Avenant 4'!$AX$8</f>
        <v>0</v>
      </c>
      <c r="CD367" s="449">
        <f>'Fiche info Avenant 4'!$AY$8</f>
        <v>0</v>
      </c>
      <c r="CE367" s="449">
        <f>'Fiche info Avenant 4'!$AZ$8</f>
        <v>0</v>
      </c>
      <c r="CF367" s="449">
        <f>'Fiche info Avenant 4'!$BA$8</f>
        <v>0</v>
      </c>
      <c r="ED367" s="16" t="str">
        <f t="shared" si="77"/>
        <v>Fiche info Avenant 4E</v>
      </c>
      <c r="EE367" s="16" t="str">
        <f t="shared" si="79"/>
        <v>Fiche info Avenant 4</v>
      </c>
      <c r="EF367" s="16" t="str">
        <f t="shared" si="80"/>
        <v>E</v>
      </c>
      <c r="EG367" s="16">
        <f t="shared" si="81"/>
        <v>2</v>
      </c>
      <c r="EH367" s="16" t="str">
        <f t="shared" si="82"/>
        <v>Mardi</v>
      </c>
      <c r="EI367" s="16" t="str">
        <f t="shared" si="83"/>
        <v/>
      </c>
      <c r="FB367" s="16" t="str">
        <f t="shared" si="86"/>
        <v/>
      </c>
      <c r="FC367" s="16" t="str">
        <f t="shared" si="87"/>
        <v/>
      </c>
      <c r="FD367" s="30">
        <f t="shared" si="78"/>
        <v>43221</v>
      </c>
      <c r="FE367" s="30" t="str">
        <f>+IFERROR(VLOOKUP(FD367,BDD,75,FALSE),"")</f>
        <v/>
      </c>
      <c r="FF367" s="30" t="str">
        <f>+IFERROR(VLOOKUP(FD367,BDD,76,FALSE),"")</f>
        <v/>
      </c>
      <c r="FG367" s="30" t="str">
        <f>IFERROR(+VLOOKUP(FD367,BDD,77,FALSE),"")</f>
        <v/>
      </c>
      <c r="FH367" s="30" t="str">
        <f>+IFERROR(VLOOKUP(FD367,BDD,78,FALSE),"")</f>
        <v/>
      </c>
      <c r="FW367" s="16" t="str">
        <f>Décembre!GB43</f>
        <v>522025</v>
      </c>
      <c r="FX367" s="16">
        <f>Décembre!GC43</f>
        <v>0</v>
      </c>
    </row>
    <row r="368" spans="1:180" x14ac:dyDescent="0.2">
      <c r="A368" s="16" t="str">
        <f t="shared" si="89"/>
        <v>Fiche info Avenant 4E3</v>
      </c>
      <c r="B368" s="16" t="str">
        <f t="shared" si="88"/>
        <v>Fiche info Avenant 4</v>
      </c>
      <c r="C368" s="27" t="s">
        <v>243</v>
      </c>
      <c r="D368" s="27">
        <v>3</v>
      </c>
      <c r="E368" s="16" t="s">
        <v>19</v>
      </c>
      <c r="F368" s="34" t="str">
        <f>IF(+'Fiche info Avenant 4'!$BC$9=0,"",'Fiche info Avenant 4'!$BC$9)</f>
        <v/>
      </c>
      <c r="G368" s="16">
        <f t="shared" si="84"/>
        <v>0</v>
      </c>
      <c r="BX368" s="16" t="str">
        <f t="shared" si="85"/>
        <v>Fiche info Avenant 4E3</v>
      </c>
      <c r="BY368" s="449">
        <f>'Fiche info Avenant 4'!$AT$9</f>
        <v>0</v>
      </c>
      <c r="BZ368" s="449">
        <f>'Fiche info Avenant 4'!$AU$9</f>
        <v>0</v>
      </c>
      <c r="CA368" s="449">
        <f>'Fiche info Avenant 4'!$AV$9</f>
        <v>0</v>
      </c>
      <c r="CB368" s="449">
        <f>'Fiche info Avenant 4'!$AW$9</f>
        <v>0</v>
      </c>
      <c r="CC368" s="449">
        <f>'Fiche info Avenant 4'!$AX$9</f>
        <v>0</v>
      </c>
      <c r="CD368" s="449">
        <f>'Fiche info Avenant 4'!$AY$9</f>
        <v>0</v>
      </c>
      <c r="CE368" s="449">
        <f>'Fiche info Avenant 4'!$AZ$9</f>
        <v>0</v>
      </c>
      <c r="CF368" s="449">
        <f>'Fiche info Avenant 4'!$BA$9</f>
        <v>0</v>
      </c>
      <c r="ED368" s="16" t="str">
        <f t="shared" si="77"/>
        <v>Fiche info Avenant 4E</v>
      </c>
      <c r="EE368" s="16" t="str">
        <f t="shared" si="79"/>
        <v>Fiche info Avenant 4</v>
      </c>
      <c r="EF368" s="16" t="str">
        <f t="shared" si="80"/>
        <v>E</v>
      </c>
      <c r="EG368" s="16">
        <f t="shared" si="81"/>
        <v>3</v>
      </c>
      <c r="EH368" s="16" t="str">
        <f t="shared" si="82"/>
        <v>Mercredi</v>
      </c>
      <c r="EI368" s="16" t="str">
        <f t="shared" si="83"/>
        <v/>
      </c>
      <c r="FB368" s="16" t="str">
        <f t="shared" si="86"/>
        <v/>
      </c>
      <c r="FC368" s="16" t="str">
        <f t="shared" si="87"/>
        <v/>
      </c>
      <c r="FD368" s="30">
        <f t="shared" si="78"/>
        <v>43221</v>
      </c>
      <c r="FE368" s="30" t="str">
        <f>+IFERROR(VLOOKUP(FD368,BDD,79,FALSE),"")</f>
        <v/>
      </c>
      <c r="FF368" s="30" t="str">
        <f>IFERROR(+VLOOKUP(FD368,BDD,80,FALSE),"")</f>
        <v/>
      </c>
      <c r="FG368" s="30" t="str">
        <f>+IFERROR(VLOOKUP(FD368,BDD,81,FALSE),"")</f>
        <v/>
      </c>
      <c r="FH368" s="30" t="str">
        <f>+IFERROR(VLOOKUP(FD368,BDD,82,FALSE),"")</f>
        <v/>
      </c>
      <c r="FW368" s="16" t="str">
        <f>Décembre!GB44</f>
        <v>522025</v>
      </c>
      <c r="FX368" s="16">
        <f>Décembre!GC44</f>
        <v>0</v>
      </c>
    </row>
    <row r="369" spans="1:180" x14ac:dyDescent="0.2">
      <c r="A369" s="16" t="str">
        <f t="shared" si="89"/>
        <v>Fiche info Avenant 4E4</v>
      </c>
      <c r="B369" s="16" t="str">
        <f t="shared" si="88"/>
        <v>Fiche info Avenant 4</v>
      </c>
      <c r="C369" s="27" t="s">
        <v>243</v>
      </c>
      <c r="D369" s="27">
        <v>4</v>
      </c>
      <c r="E369" s="16" t="s">
        <v>20</v>
      </c>
      <c r="F369" s="34" t="str">
        <f>IF(+'Fiche info Avenant 4'!$BC$10=0,"",'Fiche info Avenant 4'!$BC$10)</f>
        <v/>
      </c>
      <c r="G369" s="16">
        <f t="shared" si="84"/>
        <v>0</v>
      </c>
      <c r="BX369" s="16" t="str">
        <f t="shared" si="85"/>
        <v>Fiche info Avenant 4E4</v>
      </c>
      <c r="BY369" s="449">
        <f>'Fiche info Avenant 4'!$AT$10</f>
        <v>0</v>
      </c>
      <c r="BZ369" s="449">
        <f>'Fiche info Avenant 4'!$AU$10</f>
        <v>0</v>
      </c>
      <c r="CA369" s="449">
        <f>'Fiche info Avenant 4'!$AV$10</f>
        <v>0</v>
      </c>
      <c r="CB369" s="449">
        <f>'Fiche info Avenant 4'!$AW$10</f>
        <v>0</v>
      </c>
      <c r="CC369" s="449">
        <f>'Fiche info Avenant 4'!$AX$10</f>
        <v>0</v>
      </c>
      <c r="CD369" s="449">
        <f>'Fiche info Avenant 4'!$AY$10</f>
        <v>0</v>
      </c>
      <c r="CE369" s="449">
        <f>'Fiche info Avenant 4'!$AZ$10</f>
        <v>0</v>
      </c>
      <c r="CF369" s="449">
        <f>'Fiche info Avenant 4'!$BA$10</f>
        <v>0</v>
      </c>
      <c r="ED369" s="16" t="str">
        <f t="shared" si="77"/>
        <v>Fiche info Avenant 4E</v>
      </c>
      <c r="EE369" s="16" t="str">
        <f t="shared" si="79"/>
        <v>Fiche info Avenant 4</v>
      </c>
      <c r="EF369" s="16" t="str">
        <f t="shared" si="80"/>
        <v>E</v>
      </c>
      <c r="EG369" s="16">
        <f t="shared" si="81"/>
        <v>4</v>
      </c>
      <c r="EH369" s="16" t="str">
        <f t="shared" si="82"/>
        <v>Jeudi</v>
      </c>
      <c r="EI369" s="16" t="str">
        <f t="shared" si="83"/>
        <v/>
      </c>
      <c r="FB369" s="16" t="str">
        <f t="shared" si="86"/>
        <v/>
      </c>
      <c r="FC369" s="16" t="str">
        <f t="shared" si="87"/>
        <v/>
      </c>
      <c r="FD369" s="30">
        <f t="shared" si="78"/>
        <v>43221</v>
      </c>
      <c r="FE369" s="30" t="str">
        <f>+IFERROR(VLOOKUP(FD369,BDD,83,FALSE),"")</f>
        <v/>
      </c>
      <c r="FF369" s="30" t="str">
        <f>+IFERROR(VLOOKUP(FD369,BDD,84,FALSE),"")</f>
        <v/>
      </c>
      <c r="FG369" s="30" t="str">
        <f>+IFERROR(VLOOKUP(FD369,BDD,85,FALSE),"")</f>
        <v/>
      </c>
      <c r="FH369" s="30" t="str">
        <f>+IFERROR(VLOOKUP(FD369,BDD,86,FALSE),"")</f>
        <v/>
      </c>
      <c r="FW369" s="16" t="str">
        <f>Décembre!GB45</f>
        <v>522025</v>
      </c>
      <c r="FX369" s="16">
        <f>Décembre!GC45</f>
        <v>0</v>
      </c>
    </row>
    <row r="370" spans="1:180" x14ac:dyDescent="0.2">
      <c r="A370" s="16" t="str">
        <f t="shared" si="89"/>
        <v>Fiche info Avenant 4E5</v>
      </c>
      <c r="B370" s="16" t="str">
        <f t="shared" si="88"/>
        <v>Fiche info Avenant 4</v>
      </c>
      <c r="C370" s="27" t="s">
        <v>243</v>
      </c>
      <c r="D370" s="27">
        <v>5</v>
      </c>
      <c r="E370" s="16" t="s">
        <v>21</v>
      </c>
      <c r="F370" s="34" t="str">
        <f>IF(+'Fiche info Avenant 4'!$BC$11=0,"",'Fiche info Avenant 4'!$BC$11)</f>
        <v/>
      </c>
      <c r="G370" s="16">
        <f t="shared" si="84"/>
        <v>0</v>
      </c>
      <c r="BX370" s="16" t="str">
        <f t="shared" si="85"/>
        <v>Fiche info Avenant 4E5</v>
      </c>
      <c r="BY370" s="449">
        <f>'Fiche info Avenant 4'!$AT$11</f>
        <v>0</v>
      </c>
      <c r="BZ370" s="449">
        <f>'Fiche info Avenant 4'!$AU$11</f>
        <v>0</v>
      </c>
      <c r="CA370" s="449">
        <f>'Fiche info Avenant 4'!$AV$11</f>
        <v>0</v>
      </c>
      <c r="CB370" s="449">
        <f>'Fiche info Avenant 4'!$AW$11</f>
        <v>0</v>
      </c>
      <c r="CC370" s="449">
        <f>'Fiche info Avenant 4'!$AX$11</f>
        <v>0</v>
      </c>
      <c r="CD370" s="449">
        <f>'Fiche info Avenant 4'!$AY$11</f>
        <v>0</v>
      </c>
      <c r="CE370" s="449">
        <f>'Fiche info Avenant 4'!$AZ$11</f>
        <v>0</v>
      </c>
      <c r="CF370" s="449">
        <f>'Fiche info Avenant 4'!$BA$11</f>
        <v>0</v>
      </c>
      <c r="ED370" s="16" t="str">
        <f t="shared" si="77"/>
        <v>Fiche info Avenant 4E</v>
      </c>
      <c r="EE370" s="16" t="str">
        <f t="shared" si="79"/>
        <v>Fiche info Avenant 4</v>
      </c>
      <c r="EF370" s="16" t="str">
        <f t="shared" si="80"/>
        <v>E</v>
      </c>
      <c r="EG370" s="16">
        <f t="shared" si="81"/>
        <v>5</v>
      </c>
      <c r="EH370" s="16" t="str">
        <f t="shared" si="82"/>
        <v>Vendredi</v>
      </c>
      <c r="EI370" s="16" t="str">
        <f t="shared" si="83"/>
        <v/>
      </c>
      <c r="FB370" s="16" t="str">
        <f t="shared" si="86"/>
        <v/>
      </c>
      <c r="FC370" s="16" t="str">
        <f t="shared" si="87"/>
        <v/>
      </c>
      <c r="FD370" s="30">
        <f t="shared" si="78"/>
        <v>43191</v>
      </c>
      <c r="FE370" s="30" t="str">
        <f>+IFERROR(VLOOKUP(FD370,BDD,71,FALSE),"")</f>
        <v/>
      </c>
      <c r="FF370" s="30" t="str">
        <f>IFERROR(+VLOOKUP(FD370,BDD,72,FALSE),"")</f>
        <v/>
      </c>
      <c r="FG370" s="30" t="str">
        <f>+IFERROR(VLOOKUP(FD370,BDD,73,FALSE),"")</f>
        <v/>
      </c>
      <c r="FH370" s="30" t="str">
        <f>+IFERROR(VLOOKUP(FD370,BDD,74,FALSE),"")</f>
        <v/>
      </c>
      <c r="FW370" s="16" t="str">
        <f>Décembre!GB46</f>
        <v>522025</v>
      </c>
      <c r="FX370" s="16">
        <f>Décembre!GC46</f>
        <v>0</v>
      </c>
    </row>
    <row r="371" spans="1:180" x14ac:dyDescent="0.2">
      <c r="A371" s="16" t="str">
        <f t="shared" si="89"/>
        <v>Fiche info Avenant 4E6</v>
      </c>
      <c r="B371" s="16" t="str">
        <f t="shared" si="88"/>
        <v>Fiche info Avenant 4</v>
      </c>
      <c r="C371" s="27" t="s">
        <v>243</v>
      </c>
      <c r="D371" s="27">
        <v>6</v>
      </c>
      <c r="E371" s="16" t="s">
        <v>193</v>
      </c>
      <c r="F371" s="34" t="str">
        <f>IF(+'Fiche info Avenant 4'!$BC$12=0,"",'Fiche info Avenant 4'!$BC$12)</f>
        <v/>
      </c>
      <c r="G371" s="16">
        <f t="shared" si="84"/>
        <v>0</v>
      </c>
      <c r="BX371" s="16" t="str">
        <f t="shared" si="85"/>
        <v>Fiche info Avenant 4E6</v>
      </c>
      <c r="BY371" s="449">
        <f>'Fiche info Avenant 4'!$AT$12</f>
        <v>0</v>
      </c>
      <c r="BZ371" s="449">
        <f>'Fiche info Avenant 4'!$AU$12</f>
        <v>0</v>
      </c>
      <c r="CA371" s="449">
        <f>'Fiche info Avenant 4'!$AV$12</f>
        <v>0</v>
      </c>
      <c r="CB371" s="449">
        <f>'Fiche info Avenant 4'!$AW$12</f>
        <v>0</v>
      </c>
      <c r="CC371" s="449">
        <f>'Fiche info Avenant 4'!$AX$12</f>
        <v>0</v>
      </c>
      <c r="CD371" s="449">
        <f>'Fiche info Avenant 4'!$AY$12</f>
        <v>0</v>
      </c>
      <c r="CE371" s="449">
        <f>'Fiche info Avenant 4'!$AZ$12</f>
        <v>0</v>
      </c>
      <c r="CF371" s="449">
        <f>'Fiche info Avenant 4'!$BA$12</f>
        <v>0</v>
      </c>
      <c r="ED371" s="16" t="str">
        <f t="shared" ref="ED371:ED434" si="90">+EE371&amp;EF371</f>
        <v>Fiche info Avenant 4E</v>
      </c>
      <c r="EE371" s="16" t="str">
        <f t="shared" si="79"/>
        <v>Fiche info Avenant 4</v>
      </c>
      <c r="EF371" s="16" t="str">
        <f t="shared" si="80"/>
        <v>E</v>
      </c>
      <c r="EG371" s="16">
        <f t="shared" si="81"/>
        <v>6</v>
      </c>
      <c r="EH371" s="16" t="str">
        <f t="shared" si="82"/>
        <v>Samedi</v>
      </c>
      <c r="EI371" s="16" t="str">
        <f t="shared" si="83"/>
        <v/>
      </c>
      <c r="FB371" s="16" t="str">
        <f t="shared" si="86"/>
        <v/>
      </c>
      <c r="FC371" s="16" t="str">
        <f t="shared" si="87"/>
        <v/>
      </c>
      <c r="FD371" s="30">
        <f t="shared" si="78"/>
        <v>43191</v>
      </c>
      <c r="FE371" s="30" t="str">
        <f>+IFERROR(VLOOKUP(FD371,BDD,75,FALSE),"")</f>
        <v/>
      </c>
      <c r="FF371" s="30" t="str">
        <f>+IFERROR(VLOOKUP(FD371,BDD,76,FALSE),"")</f>
        <v/>
      </c>
      <c r="FG371" s="30" t="str">
        <f>IFERROR(+VLOOKUP(FD371,BDD,77,FALSE),"")</f>
        <v/>
      </c>
      <c r="FH371" s="30" t="str">
        <f>+IFERROR(VLOOKUP(FD371,BDD,78,FALSE),"")</f>
        <v/>
      </c>
      <c r="FW371" s="16" t="str">
        <f>Décembre!GB47</f>
        <v>522025</v>
      </c>
      <c r="FX371" s="16">
        <f>Décembre!GC47</f>
        <v>0</v>
      </c>
    </row>
    <row r="372" spans="1:180" x14ac:dyDescent="0.2">
      <c r="A372" s="16" t="str">
        <f t="shared" si="89"/>
        <v>Fiche info Avenant 4E7</v>
      </c>
      <c r="B372" s="16" t="str">
        <f t="shared" si="88"/>
        <v>Fiche info Avenant 4</v>
      </c>
      <c r="C372" s="27" t="s">
        <v>243</v>
      </c>
      <c r="D372" s="27">
        <v>7</v>
      </c>
      <c r="E372" s="16" t="s">
        <v>194</v>
      </c>
      <c r="F372" s="34" t="str">
        <f>IF(+'Fiche info Avenant 4'!$BC$13=0,"",'Fiche info Avenant 4'!$BC$13)</f>
        <v/>
      </c>
      <c r="G372" s="16">
        <f t="shared" si="84"/>
        <v>0</v>
      </c>
      <c r="BX372" s="16" t="str">
        <f t="shared" si="85"/>
        <v>Fiche info Avenant 4E7</v>
      </c>
      <c r="BY372" s="449">
        <f>'Fiche info Avenant 4'!$AT$13</f>
        <v>0</v>
      </c>
      <c r="BZ372" s="449">
        <f>'Fiche info Avenant 4'!$AU$13</f>
        <v>0</v>
      </c>
      <c r="CA372" s="449">
        <f>'Fiche info Avenant 4'!$AV$13</f>
        <v>0</v>
      </c>
      <c r="CB372" s="449">
        <f>'Fiche info Avenant 4'!$AW$13</f>
        <v>0</v>
      </c>
      <c r="CC372" s="449">
        <f>'Fiche info Avenant 4'!$AX$13</f>
        <v>0</v>
      </c>
      <c r="CD372" s="449">
        <f>'Fiche info Avenant 4'!$AY$13</f>
        <v>0</v>
      </c>
      <c r="CE372" s="449">
        <f>'Fiche info Avenant 4'!$AZ$13</f>
        <v>0</v>
      </c>
      <c r="CF372" s="449">
        <f>'Fiche info Avenant 4'!$BA$13</f>
        <v>0</v>
      </c>
      <c r="ED372" s="16" t="str">
        <f t="shared" si="90"/>
        <v>Fiche info Avenant 4E</v>
      </c>
      <c r="EE372" s="16" t="str">
        <f t="shared" si="79"/>
        <v>Fiche info Avenant 4</v>
      </c>
      <c r="EF372" s="16" t="str">
        <f t="shared" si="80"/>
        <v>E</v>
      </c>
      <c r="EG372" s="16">
        <f t="shared" si="81"/>
        <v>7</v>
      </c>
      <c r="EH372" s="16" t="str">
        <f t="shared" si="82"/>
        <v>Dimanche</v>
      </c>
      <c r="EI372" s="16" t="str">
        <f t="shared" si="83"/>
        <v/>
      </c>
      <c r="FB372" s="16" t="str">
        <f t="shared" si="86"/>
        <v/>
      </c>
      <c r="FC372" s="16" t="str">
        <f t="shared" si="87"/>
        <v/>
      </c>
      <c r="FD372" s="30">
        <f t="shared" si="78"/>
        <v>43191</v>
      </c>
      <c r="FE372" s="30" t="str">
        <f>+IFERROR(VLOOKUP(FD372,BDD,79,FALSE),"")</f>
        <v/>
      </c>
      <c r="FF372" s="30" t="str">
        <f>IFERROR(+VLOOKUP(FD372,BDD,80,FALSE),"")</f>
        <v/>
      </c>
      <c r="FG372" s="30" t="str">
        <f>+IFERROR(VLOOKUP(FD372,BDD,81,FALSE),"")</f>
        <v/>
      </c>
      <c r="FH372" s="30" t="str">
        <f>+IFERROR(VLOOKUP(FD372,BDD,82,FALSE),"")</f>
        <v/>
      </c>
      <c r="FW372" s="16" t="str">
        <f>Décembre!GB48</f>
        <v>12025</v>
      </c>
      <c r="FX372" s="16">
        <f>Décembre!GC48</f>
        <v>0</v>
      </c>
    </row>
    <row r="373" spans="1:180" x14ac:dyDescent="0.2">
      <c r="A373" s="16" t="str">
        <f t="shared" si="89"/>
        <v>Fiche info Avenant 4F1</v>
      </c>
      <c r="B373" s="16" t="str">
        <f t="shared" si="88"/>
        <v>Fiche info Avenant 4</v>
      </c>
      <c r="C373" s="27" t="s">
        <v>244</v>
      </c>
      <c r="D373" s="27">
        <v>1</v>
      </c>
      <c r="E373" s="16" t="s">
        <v>17</v>
      </c>
      <c r="F373" s="34" t="str">
        <f>+IF('Fiche info Avenant 4'!$BN$7=0,"",'Fiche info Avenant 4'!$BN$7)</f>
        <v/>
      </c>
      <c r="G373" s="16">
        <f t="shared" si="84"/>
        <v>0</v>
      </c>
      <c r="BX373" s="16" t="str">
        <f t="shared" si="85"/>
        <v>Fiche info Avenant 4F1</v>
      </c>
      <c r="BY373" s="449">
        <f>'Fiche info Avenant 4'!$BE$7</f>
        <v>0</v>
      </c>
      <c r="BZ373" s="449">
        <f>'Fiche info Avenant 4'!$BF$7</f>
        <v>0</v>
      </c>
      <c r="CA373" s="449">
        <f>'Fiche info Avenant 4'!$BG$7</f>
        <v>0</v>
      </c>
      <c r="CB373" s="449">
        <f>'Fiche info Avenant 4'!$BH$7</f>
        <v>0</v>
      </c>
      <c r="CC373" s="449">
        <f>'Fiche info Avenant 4'!$BI$7</f>
        <v>0</v>
      </c>
      <c r="CD373" s="449">
        <f>'Fiche info Avenant 4'!$BJ$7</f>
        <v>0</v>
      </c>
      <c r="CE373" s="449">
        <f>'Fiche info Avenant 4'!$BK$7</f>
        <v>0</v>
      </c>
      <c r="CF373" s="449">
        <f>'Fiche info Avenant 4'!$BL$7</f>
        <v>0</v>
      </c>
      <c r="ED373" s="16" t="str">
        <f t="shared" si="90"/>
        <v>Fiche info Avenant 4F</v>
      </c>
      <c r="EE373" s="16" t="str">
        <f t="shared" si="79"/>
        <v>Fiche info Avenant 4</v>
      </c>
      <c r="EF373" s="16" t="str">
        <f t="shared" si="80"/>
        <v>F</v>
      </c>
      <c r="EG373" s="16">
        <f t="shared" si="81"/>
        <v>1</v>
      </c>
      <c r="EH373" s="16" t="str">
        <f t="shared" si="82"/>
        <v>Lundi</v>
      </c>
      <c r="EI373" s="16" t="str">
        <f t="shared" si="83"/>
        <v/>
      </c>
      <c r="FB373" s="16" t="str">
        <f t="shared" si="86"/>
        <v/>
      </c>
      <c r="FC373" s="16" t="str">
        <f t="shared" si="87"/>
        <v/>
      </c>
      <c r="FD373" s="30">
        <f t="shared" si="78"/>
        <v>43191</v>
      </c>
      <c r="FE373" s="30" t="str">
        <f>+IFERROR(VLOOKUP(FD373,BDD,83,FALSE),"")</f>
        <v/>
      </c>
      <c r="FF373" s="30" t="str">
        <f>+IFERROR(VLOOKUP(FD373,BDD,84,FALSE),"")</f>
        <v/>
      </c>
      <c r="FG373" s="30" t="str">
        <f>+IFERROR(VLOOKUP(FD373,BDD,85,FALSE),"")</f>
        <v/>
      </c>
      <c r="FH373" s="30" t="str">
        <f>+IFERROR(VLOOKUP(FD373,BDD,86,FALSE),"")</f>
        <v/>
      </c>
      <c r="FW373" s="16" t="str">
        <f>Décembre!GB49</f>
        <v>12025</v>
      </c>
      <c r="FX373" s="16">
        <f>Décembre!GC49</f>
        <v>0</v>
      </c>
    </row>
    <row r="374" spans="1:180" x14ac:dyDescent="0.2">
      <c r="A374" s="16" t="str">
        <f t="shared" si="89"/>
        <v>Fiche info Avenant 4F2</v>
      </c>
      <c r="B374" s="16" t="str">
        <f t="shared" si="88"/>
        <v>Fiche info Avenant 4</v>
      </c>
      <c r="C374" s="27" t="s">
        <v>244</v>
      </c>
      <c r="D374" s="27">
        <v>2</v>
      </c>
      <c r="E374" s="16" t="s">
        <v>18</v>
      </c>
      <c r="F374" s="34" t="str">
        <f>+IF('Fiche info Avenant 4'!$BN$8=0,"",'Fiche info Avenant 4'!$BN$8)</f>
        <v/>
      </c>
      <c r="G374" s="16">
        <f t="shared" si="84"/>
        <v>0</v>
      </c>
      <c r="BX374" s="16" t="str">
        <f t="shared" si="85"/>
        <v>Fiche info Avenant 4F2</v>
      </c>
      <c r="BY374" s="449">
        <f>'Fiche info Avenant 4'!$BE$8</f>
        <v>0</v>
      </c>
      <c r="BZ374" s="449">
        <f>'Fiche info Avenant 4'!$BF$8</f>
        <v>0</v>
      </c>
      <c r="CA374" s="449">
        <f>'Fiche info Avenant 4'!$BG$8</f>
        <v>0</v>
      </c>
      <c r="CB374" s="449">
        <f>'Fiche info Avenant 4'!$BH$8</f>
        <v>0</v>
      </c>
      <c r="CC374" s="449">
        <f>'Fiche info Avenant 4'!$BI$8</f>
        <v>0</v>
      </c>
      <c r="CD374" s="449">
        <f>'Fiche info Avenant 4'!$BJ$8</f>
        <v>0</v>
      </c>
      <c r="CE374" s="449">
        <f>'Fiche info Avenant 4'!$BK$8</f>
        <v>0</v>
      </c>
      <c r="CF374" s="449">
        <f>'Fiche info Avenant 4'!$BL$8</f>
        <v>0</v>
      </c>
      <c r="ED374" s="16" t="str">
        <f t="shared" si="90"/>
        <v>Fiche info Avenant 4F</v>
      </c>
      <c r="EE374" s="16" t="str">
        <f t="shared" si="79"/>
        <v>Fiche info Avenant 4</v>
      </c>
      <c r="EF374" s="16" t="str">
        <f t="shared" si="80"/>
        <v>F</v>
      </c>
      <c r="EG374" s="16">
        <f t="shared" si="81"/>
        <v>2</v>
      </c>
      <c r="EH374" s="16" t="str">
        <f t="shared" si="82"/>
        <v>Mardi</v>
      </c>
      <c r="EI374" s="16" t="str">
        <f t="shared" si="83"/>
        <v/>
      </c>
      <c r="FB374" s="16" t="str">
        <f t="shared" si="86"/>
        <v/>
      </c>
      <c r="FC374" s="16" t="str">
        <f t="shared" si="87"/>
        <v/>
      </c>
      <c r="FD374" s="30">
        <f t="shared" si="78"/>
        <v>43160</v>
      </c>
      <c r="FE374" s="30" t="str">
        <f>+IFERROR(VLOOKUP(FD374,BDD,71,FALSE),"")</f>
        <v/>
      </c>
      <c r="FF374" s="30" t="str">
        <f>IFERROR(+VLOOKUP(FD374,BDD,72,FALSE),"")</f>
        <v/>
      </c>
      <c r="FG374" s="30" t="str">
        <f>+IFERROR(VLOOKUP(FD374,BDD,73,FALSE),"")</f>
        <v/>
      </c>
      <c r="FH374" s="30" t="str">
        <f>+IFERROR(VLOOKUP(FD374,BDD,74,FALSE),"")</f>
        <v/>
      </c>
      <c r="FW374" s="16" t="str">
        <f>Décembre!GB50</f>
        <v>12025</v>
      </c>
      <c r="FX374" s="16">
        <f>Décembre!GC50</f>
        <v>0</v>
      </c>
    </row>
    <row r="375" spans="1:180" x14ac:dyDescent="0.2">
      <c r="A375" s="16" t="str">
        <f t="shared" si="89"/>
        <v>Fiche info Avenant 4F3</v>
      </c>
      <c r="B375" s="16" t="str">
        <f t="shared" si="88"/>
        <v>Fiche info Avenant 4</v>
      </c>
      <c r="C375" s="27" t="s">
        <v>244</v>
      </c>
      <c r="D375" s="27">
        <v>3</v>
      </c>
      <c r="E375" s="16" t="s">
        <v>19</v>
      </c>
      <c r="F375" s="34" t="str">
        <f>+IF('Fiche info Avenant 4'!$BN$9=0,"",'Fiche info Avenant 4'!$BN$9)</f>
        <v/>
      </c>
      <c r="G375" s="16">
        <f t="shared" si="84"/>
        <v>0</v>
      </c>
      <c r="BX375" s="16" t="str">
        <f t="shared" si="85"/>
        <v>Fiche info Avenant 4F3</v>
      </c>
      <c r="BY375" s="449">
        <f>'Fiche info Avenant 4'!$BE$9</f>
        <v>0</v>
      </c>
      <c r="BZ375" s="449">
        <f>'Fiche info Avenant 4'!$BF$9</f>
        <v>0</v>
      </c>
      <c r="CA375" s="449">
        <f>'Fiche info Avenant 4'!$BG$9</f>
        <v>0</v>
      </c>
      <c r="CB375" s="449">
        <f>'Fiche info Avenant 4'!$BH$9</f>
        <v>0</v>
      </c>
      <c r="CC375" s="449">
        <f>'Fiche info Avenant 4'!$BI$9</f>
        <v>0</v>
      </c>
      <c r="CD375" s="449">
        <f>'Fiche info Avenant 4'!$BJ$9</f>
        <v>0</v>
      </c>
      <c r="CE375" s="449">
        <f>'Fiche info Avenant 4'!$BK$9</f>
        <v>0</v>
      </c>
      <c r="CF375" s="449">
        <f>'Fiche info Avenant 4'!$BL$9</f>
        <v>0</v>
      </c>
      <c r="ED375" s="16" t="str">
        <f t="shared" si="90"/>
        <v>Fiche info Avenant 4F</v>
      </c>
      <c r="EE375" s="16" t="str">
        <f t="shared" si="79"/>
        <v>Fiche info Avenant 4</v>
      </c>
      <c r="EF375" s="16" t="str">
        <f t="shared" si="80"/>
        <v>F</v>
      </c>
      <c r="EG375" s="16">
        <f t="shared" si="81"/>
        <v>3</v>
      </c>
      <c r="EH375" s="16" t="str">
        <f t="shared" si="82"/>
        <v>Mercredi</v>
      </c>
      <c r="EI375" s="16" t="str">
        <f t="shared" si="83"/>
        <v/>
      </c>
      <c r="FB375" s="16" t="str">
        <f t="shared" si="86"/>
        <v/>
      </c>
      <c r="FC375" s="16" t="str">
        <f t="shared" si="87"/>
        <v/>
      </c>
      <c r="FD375" s="30">
        <f t="shared" si="78"/>
        <v>43160</v>
      </c>
      <c r="FE375" s="30" t="str">
        <f>+IFERROR(VLOOKUP(FD375,BDD,75,FALSE),"")</f>
        <v/>
      </c>
      <c r="FF375" s="30" t="str">
        <f>+IFERROR(VLOOKUP(FD375,BDD,76,FALSE),"")</f>
        <v/>
      </c>
      <c r="FG375" s="30" t="str">
        <f>IFERROR(+VLOOKUP(FD375,BDD,77,FALSE),"")</f>
        <v/>
      </c>
      <c r="FH375" s="30" t="str">
        <f>+IFERROR(VLOOKUP(FD375,BDD,78,FALSE),"")</f>
        <v/>
      </c>
    </row>
    <row r="376" spans="1:180" x14ac:dyDescent="0.2">
      <c r="A376" s="16" t="str">
        <f t="shared" si="89"/>
        <v>Fiche info Avenant 4F4</v>
      </c>
      <c r="B376" s="16" t="str">
        <f t="shared" si="88"/>
        <v>Fiche info Avenant 4</v>
      </c>
      <c r="C376" s="27" t="s">
        <v>244</v>
      </c>
      <c r="D376" s="27">
        <v>4</v>
      </c>
      <c r="E376" s="16" t="s">
        <v>20</v>
      </c>
      <c r="F376" s="34" t="str">
        <f>+IF('Fiche info Avenant 4'!$BN$10=0,"",'Fiche info Avenant 4'!$BN$10)</f>
        <v/>
      </c>
      <c r="G376" s="16">
        <f t="shared" si="84"/>
        <v>0</v>
      </c>
      <c r="BX376" s="16" t="str">
        <f t="shared" si="85"/>
        <v>Fiche info Avenant 4F4</v>
      </c>
      <c r="BY376" s="449">
        <f>'Fiche info Avenant 4'!$BE$10</f>
        <v>0</v>
      </c>
      <c r="BZ376" s="449">
        <f>'Fiche info Avenant 4'!$BF$10</f>
        <v>0</v>
      </c>
      <c r="CA376" s="449">
        <f>'Fiche info Avenant 4'!$BG$10</f>
        <v>0</v>
      </c>
      <c r="CB376" s="449">
        <f>'Fiche info Avenant 4'!$BH$10</f>
        <v>0</v>
      </c>
      <c r="CC376" s="449">
        <f>'Fiche info Avenant 4'!$BI$10</f>
        <v>0</v>
      </c>
      <c r="CD376" s="449">
        <f>'Fiche info Avenant 4'!$BJ$10</f>
        <v>0</v>
      </c>
      <c r="CE376" s="449">
        <f>'Fiche info Avenant 4'!$BK$10</f>
        <v>0</v>
      </c>
      <c r="CF376" s="449">
        <f>'Fiche info Avenant 4'!$BL$10</f>
        <v>0</v>
      </c>
      <c r="ED376" s="16" t="str">
        <f t="shared" si="90"/>
        <v>Fiche info Avenant 4F</v>
      </c>
      <c r="EE376" s="16" t="str">
        <f t="shared" si="79"/>
        <v>Fiche info Avenant 4</v>
      </c>
      <c r="EF376" s="16" t="str">
        <f t="shared" si="80"/>
        <v>F</v>
      </c>
      <c r="EG376" s="16">
        <f t="shared" si="81"/>
        <v>4</v>
      </c>
      <c r="EH376" s="16" t="str">
        <f t="shared" si="82"/>
        <v>Jeudi</v>
      </c>
      <c r="EI376" s="16" t="str">
        <f t="shared" si="83"/>
        <v/>
      </c>
      <c r="FB376" s="16" t="str">
        <f t="shared" si="86"/>
        <v/>
      </c>
      <c r="FC376" s="16" t="str">
        <f t="shared" si="87"/>
        <v/>
      </c>
      <c r="FD376" s="30">
        <f t="shared" si="78"/>
        <v>43160</v>
      </c>
      <c r="FE376" s="30" t="str">
        <f>+IFERROR(VLOOKUP(FD376,BDD,79,FALSE),"")</f>
        <v/>
      </c>
      <c r="FF376" s="30" t="str">
        <f>IFERROR(+VLOOKUP(FD376,BDD,80,FALSE),"")</f>
        <v/>
      </c>
      <c r="FG376" s="30" t="str">
        <f>+IFERROR(VLOOKUP(FD376,BDD,81,FALSE),"")</f>
        <v/>
      </c>
      <c r="FH376" s="30" t="str">
        <f>+IFERROR(VLOOKUP(FD376,BDD,82,FALSE),"")</f>
        <v/>
      </c>
    </row>
    <row r="377" spans="1:180" x14ac:dyDescent="0.2">
      <c r="A377" s="16" t="str">
        <f t="shared" si="89"/>
        <v>Fiche info Avenant 4F5</v>
      </c>
      <c r="B377" s="16" t="str">
        <f t="shared" si="88"/>
        <v>Fiche info Avenant 4</v>
      </c>
      <c r="C377" s="27" t="s">
        <v>244</v>
      </c>
      <c r="D377" s="27">
        <v>5</v>
      </c>
      <c r="E377" s="16" t="s">
        <v>21</v>
      </c>
      <c r="F377" s="34" t="str">
        <f>+IF('Fiche info Avenant 4'!$BN$11=0,"",'Fiche info Avenant 4'!$BN$11)</f>
        <v/>
      </c>
      <c r="G377" s="16">
        <f t="shared" si="84"/>
        <v>0</v>
      </c>
      <c r="BX377" s="16" t="str">
        <f t="shared" si="85"/>
        <v>Fiche info Avenant 4F5</v>
      </c>
      <c r="BY377" s="449">
        <f>'Fiche info Avenant 4'!$BE$11</f>
        <v>0</v>
      </c>
      <c r="BZ377" s="449">
        <f>'Fiche info Avenant 4'!$BF$11</f>
        <v>0</v>
      </c>
      <c r="CA377" s="449">
        <f>'Fiche info Avenant 4'!$BG$11</f>
        <v>0</v>
      </c>
      <c r="CB377" s="449">
        <f>'Fiche info Avenant 4'!$BH$11</f>
        <v>0</v>
      </c>
      <c r="CC377" s="449">
        <f>'Fiche info Avenant 4'!$BI$11</f>
        <v>0</v>
      </c>
      <c r="CD377" s="449">
        <f>'Fiche info Avenant 4'!$BJ$11</f>
        <v>0</v>
      </c>
      <c r="CE377" s="449">
        <f>'Fiche info Avenant 4'!$BK$11</f>
        <v>0</v>
      </c>
      <c r="CF377" s="449">
        <f>'Fiche info Avenant 4'!$BL$11</f>
        <v>0</v>
      </c>
      <c r="ED377" s="16" t="str">
        <f t="shared" si="90"/>
        <v>Fiche info Avenant 4F</v>
      </c>
      <c r="EE377" s="16" t="str">
        <f t="shared" si="79"/>
        <v>Fiche info Avenant 4</v>
      </c>
      <c r="EF377" s="16" t="str">
        <f t="shared" si="80"/>
        <v>F</v>
      </c>
      <c r="EG377" s="16">
        <f t="shared" si="81"/>
        <v>5</v>
      </c>
      <c r="EH377" s="16" t="str">
        <f t="shared" si="82"/>
        <v>Vendredi</v>
      </c>
      <c r="EI377" s="16" t="str">
        <f t="shared" si="83"/>
        <v/>
      </c>
      <c r="FB377" s="16" t="str">
        <f t="shared" si="86"/>
        <v/>
      </c>
      <c r="FC377" s="16" t="str">
        <f t="shared" si="87"/>
        <v/>
      </c>
      <c r="FD377" s="30">
        <f t="shared" si="78"/>
        <v>43160</v>
      </c>
      <c r="FE377" s="30" t="str">
        <f>+IFERROR(VLOOKUP(FD377,BDD,83,FALSE),"")</f>
        <v/>
      </c>
      <c r="FF377" s="30" t="str">
        <f>+IFERROR(VLOOKUP(FD377,BDD,84,FALSE),"")</f>
        <v/>
      </c>
      <c r="FG377" s="30" t="str">
        <f>+IFERROR(VLOOKUP(FD377,BDD,85,FALSE),"")</f>
        <v/>
      </c>
      <c r="FH377" s="30" t="str">
        <f>+IFERROR(VLOOKUP(FD377,BDD,86,FALSE),"")</f>
        <v/>
      </c>
    </row>
    <row r="378" spans="1:180" x14ac:dyDescent="0.2">
      <c r="A378" s="16" t="str">
        <f t="shared" si="89"/>
        <v>Fiche info Avenant 4F6</v>
      </c>
      <c r="B378" s="16" t="str">
        <f t="shared" si="88"/>
        <v>Fiche info Avenant 4</v>
      </c>
      <c r="C378" s="27" t="s">
        <v>244</v>
      </c>
      <c r="D378" s="27">
        <v>6</v>
      </c>
      <c r="E378" s="16" t="s">
        <v>193</v>
      </c>
      <c r="F378" s="34" t="str">
        <f>+IF('Fiche info Avenant 4'!$BN$12=0,"",'Fiche info Avenant 4'!$BN$12)</f>
        <v/>
      </c>
      <c r="G378" s="16">
        <f t="shared" si="84"/>
        <v>0</v>
      </c>
      <c r="BX378" s="16" t="str">
        <f t="shared" si="85"/>
        <v>Fiche info Avenant 4F6</v>
      </c>
      <c r="BY378" s="449">
        <f>'Fiche info Avenant 4'!$BE$12</f>
        <v>0</v>
      </c>
      <c r="BZ378" s="449">
        <f>'Fiche info Avenant 4'!$BF$12</f>
        <v>0</v>
      </c>
      <c r="CA378" s="449">
        <f>'Fiche info Avenant 4'!$BG$12</f>
        <v>0</v>
      </c>
      <c r="CB378" s="449">
        <f>'Fiche info Avenant 4'!$BH$12</f>
        <v>0</v>
      </c>
      <c r="CC378" s="449">
        <f>'Fiche info Avenant 4'!$BI$12</f>
        <v>0</v>
      </c>
      <c r="CD378" s="449">
        <f>'Fiche info Avenant 4'!$BJ$12</f>
        <v>0</v>
      </c>
      <c r="CE378" s="449">
        <f>'Fiche info Avenant 4'!$BK$12</f>
        <v>0</v>
      </c>
      <c r="CF378" s="449">
        <f>'Fiche info Avenant 4'!$BL$12</f>
        <v>0</v>
      </c>
      <c r="ED378" s="16" t="str">
        <f t="shared" si="90"/>
        <v>Fiche info Avenant 4F</v>
      </c>
      <c r="EE378" s="16" t="str">
        <f t="shared" si="79"/>
        <v>Fiche info Avenant 4</v>
      </c>
      <c r="EF378" s="16" t="str">
        <f t="shared" si="80"/>
        <v>F</v>
      </c>
      <c r="EG378" s="16">
        <f t="shared" si="81"/>
        <v>6</v>
      </c>
      <c r="EH378" s="16" t="str">
        <f t="shared" si="82"/>
        <v>Samedi</v>
      </c>
      <c r="EI378" s="16" t="str">
        <f t="shared" si="83"/>
        <v/>
      </c>
      <c r="FB378" s="16" t="str">
        <f t="shared" si="86"/>
        <v/>
      </c>
      <c r="FC378" s="16" t="str">
        <f t="shared" si="87"/>
        <v/>
      </c>
      <c r="FD378" s="30">
        <f t="shared" si="78"/>
        <v>43132</v>
      </c>
      <c r="FE378" s="30" t="str">
        <f>+IFERROR(VLOOKUP(FD378,BDD,71,FALSE),"")</f>
        <v/>
      </c>
      <c r="FF378" s="30" t="str">
        <f>IFERROR(+VLOOKUP(FD378,BDD,72,FALSE),"")</f>
        <v/>
      </c>
      <c r="FG378" s="30" t="str">
        <f>+IFERROR(VLOOKUP(FD378,BDD,73,FALSE),"")</f>
        <v/>
      </c>
      <c r="FH378" s="30" t="str">
        <f>+IFERROR(VLOOKUP(FD378,BDD,74,FALSE),"")</f>
        <v/>
      </c>
    </row>
    <row r="379" spans="1:180" x14ac:dyDescent="0.2">
      <c r="A379" s="16" t="str">
        <f t="shared" si="89"/>
        <v>Fiche info Avenant 4F7</v>
      </c>
      <c r="B379" s="16" t="str">
        <f t="shared" si="88"/>
        <v>Fiche info Avenant 4</v>
      </c>
      <c r="C379" s="27" t="s">
        <v>244</v>
      </c>
      <c r="D379" s="27">
        <v>7</v>
      </c>
      <c r="E379" s="16" t="s">
        <v>194</v>
      </c>
      <c r="F379" s="34" t="str">
        <f>+IF('Fiche info Avenant 4'!$BN$13=0,"",'Fiche info Avenant 4'!$BN$13)</f>
        <v/>
      </c>
      <c r="G379" s="16">
        <f t="shared" si="84"/>
        <v>0</v>
      </c>
      <c r="BX379" s="16" t="str">
        <f t="shared" si="85"/>
        <v>Fiche info Avenant 4F7</v>
      </c>
      <c r="BY379" s="449">
        <f>'Fiche info Avenant 4'!$BE$13</f>
        <v>0</v>
      </c>
      <c r="BZ379" s="449">
        <f>'Fiche info Avenant 4'!$BF$13</f>
        <v>0</v>
      </c>
      <c r="CA379" s="449">
        <f>'Fiche info Avenant 4'!$BG$13</f>
        <v>0</v>
      </c>
      <c r="CB379" s="449">
        <f>'Fiche info Avenant 4'!$BH$13</f>
        <v>0</v>
      </c>
      <c r="CC379" s="449">
        <f>'Fiche info Avenant 4'!$BI$13</f>
        <v>0</v>
      </c>
      <c r="CD379" s="449">
        <f>'Fiche info Avenant 4'!$BJ$13</f>
        <v>0</v>
      </c>
      <c r="CE379" s="449">
        <f>'Fiche info Avenant 4'!$BK$13</f>
        <v>0</v>
      </c>
      <c r="CF379" s="449">
        <f>'Fiche info Avenant 4'!$BL$13</f>
        <v>0</v>
      </c>
      <c r="ED379" s="16" t="str">
        <f t="shared" si="90"/>
        <v>Fiche info Avenant 4F</v>
      </c>
      <c r="EE379" s="16" t="str">
        <f t="shared" si="79"/>
        <v>Fiche info Avenant 4</v>
      </c>
      <c r="EF379" s="16" t="str">
        <f t="shared" si="80"/>
        <v>F</v>
      </c>
      <c r="EG379" s="16">
        <f t="shared" si="81"/>
        <v>7</v>
      </c>
      <c r="EH379" s="16" t="str">
        <f t="shared" si="82"/>
        <v>Dimanche</v>
      </c>
      <c r="EI379" s="16" t="str">
        <f t="shared" si="83"/>
        <v/>
      </c>
      <c r="FB379" s="16" t="str">
        <f t="shared" si="86"/>
        <v/>
      </c>
      <c r="FC379" s="16" t="str">
        <f t="shared" si="87"/>
        <v/>
      </c>
      <c r="FD379" s="30">
        <f t="shared" ref="FD379:FD385" si="91">+DATE(YEAR(FD375),MONTH(FD375)-1,DAY(FD375))</f>
        <v>43132</v>
      </c>
      <c r="FE379" s="30" t="str">
        <f>+IFERROR(VLOOKUP(FD379,BDD,75,FALSE),"")</f>
        <v/>
      </c>
      <c r="FF379" s="30" t="str">
        <f>+IFERROR(VLOOKUP(FD379,BDD,76,FALSE),"")</f>
        <v/>
      </c>
      <c r="FG379" s="30" t="str">
        <f>IFERROR(+VLOOKUP(FD379,BDD,77,FALSE),"")</f>
        <v/>
      </c>
      <c r="FH379" s="30" t="str">
        <f>+IFERROR(VLOOKUP(FD379,BDD,78,FALSE),"")</f>
        <v/>
      </c>
    </row>
    <row r="380" spans="1:180" x14ac:dyDescent="0.2">
      <c r="A380" s="16" t="str">
        <f t="shared" si="89"/>
        <v>Fiche info Avenant 4G1</v>
      </c>
      <c r="B380" s="16" t="str">
        <f t="shared" si="88"/>
        <v>Fiche info Avenant 4</v>
      </c>
      <c r="C380" s="27" t="s">
        <v>245</v>
      </c>
      <c r="D380" s="27">
        <v>1</v>
      </c>
      <c r="E380" s="16" t="s">
        <v>17</v>
      </c>
      <c r="F380" s="34" t="str">
        <f>+IF('Fiche info Avenant 4'!$BY$7=0,"",'Fiche info Avenant 4'!$BY$7)</f>
        <v/>
      </c>
      <c r="G380" s="16">
        <f t="shared" si="84"/>
        <v>0</v>
      </c>
      <c r="BX380" s="16" t="str">
        <f t="shared" si="85"/>
        <v>Fiche info Avenant 4G1</v>
      </c>
      <c r="BY380" s="449">
        <f>'Fiche info Avenant 4'!$BP$7</f>
        <v>0</v>
      </c>
      <c r="BZ380" s="449">
        <f>'Fiche info Avenant 4'!$BQ$7</f>
        <v>0</v>
      </c>
      <c r="CA380" s="449">
        <f>'Fiche info Avenant 4'!$BR$7</f>
        <v>0</v>
      </c>
      <c r="CB380" s="449">
        <f>'Fiche info Avenant 4'!$BS$7</f>
        <v>0</v>
      </c>
      <c r="CC380" s="449">
        <f>'Fiche info Avenant 4'!$BT$7</f>
        <v>0</v>
      </c>
      <c r="CD380" s="449">
        <f>'Fiche info Avenant 4'!$BU$7</f>
        <v>0</v>
      </c>
      <c r="CE380" s="449">
        <f>'Fiche info Avenant 4'!$BV$7</f>
        <v>0</v>
      </c>
      <c r="CF380" s="449">
        <f>'Fiche info Avenant 4'!$BW$7</f>
        <v>0</v>
      </c>
      <c r="ED380" s="16" t="str">
        <f t="shared" si="90"/>
        <v>Fiche info Avenant 4G</v>
      </c>
      <c r="EE380" s="16" t="str">
        <f t="shared" si="79"/>
        <v>Fiche info Avenant 4</v>
      </c>
      <c r="EF380" s="16" t="str">
        <f t="shared" si="80"/>
        <v>G</v>
      </c>
      <c r="EG380" s="16">
        <f t="shared" si="81"/>
        <v>1</v>
      </c>
      <c r="EH380" s="16" t="str">
        <f t="shared" si="82"/>
        <v>Lundi</v>
      </c>
      <c r="EI380" s="16" t="str">
        <f t="shared" si="83"/>
        <v/>
      </c>
      <c r="FB380" s="16" t="str">
        <f t="shared" si="86"/>
        <v/>
      </c>
      <c r="FC380" s="16" t="str">
        <f t="shared" si="87"/>
        <v/>
      </c>
      <c r="FD380" s="30">
        <f t="shared" si="91"/>
        <v>43132</v>
      </c>
      <c r="FE380" s="30" t="str">
        <f>+IFERROR(VLOOKUP(FD380,BDD,79,FALSE),"")</f>
        <v/>
      </c>
      <c r="FF380" s="30" t="str">
        <f>IFERROR(+VLOOKUP(FD380,BDD,80,FALSE),"")</f>
        <v/>
      </c>
      <c r="FG380" s="30" t="str">
        <f>+IFERROR(VLOOKUP(FD380,BDD,81,FALSE),"")</f>
        <v/>
      </c>
      <c r="FH380" s="30" t="str">
        <f>+IFERROR(VLOOKUP(FD380,BDD,82,FALSE),"")</f>
        <v/>
      </c>
    </row>
    <row r="381" spans="1:180" x14ac:dyDescent="0.2">
      <c r="A381" s="16" t="str">
        <f t="shared" si="89"/>
        <v>Fiche info Avenant 4G2</v>
      </c>
      <c r="B381" s="16" t="str">
        <f t="shared" si="88"/>
        <v>Fiche info Avenant 4</v>
      </c>
      <c r="C381" s="27" t="s">
        <v>245</v>
      </c>
      <c r="D381" s="27">
        <v>2</v>
      </c>
      <c r="E381" s="16" t="s">
        <v>18</v>
      </c>
      <c r="F381" s="34" t="str">
        <f>+IF('Fiche info Avenant 4'!$BY$8=0,"",'Fiche info Avenant 4'!$BY$8)</f>
        <v/>
      </c>
      <c r="G381" s="16">
        <f t="shared" si="84"/>
        <v>0</v>
      </c>
      <c r="BX381" s="16" t="str">
        <f t="shared" si="85"/>
        <v>Fiche info Avenant 4G2</v>
      </c>
      <c r="BY381" s="449">
        <f>'Fiche info Avenant 4'!$BP$8</f>
        <v>0</v>
      </c>
      <c r="BZ381" s="449">
        <f>'Fiche info Avenant 4'!$BQ$8</f>
        <v>0</v>
      </c>
      <c r="CA381" s="449">
        <f>'Fiche info Avenant 4'!$BR$8</f>
        <v>0</v>
      </c>
      <c r="CB381" s="449">
        <f>'Fiche info Avenant 4'!$BS$8</f>
        <v>0</v>
      </c>
      <c r="CC381" s="449">
        <f>'Fiche info Avenant 4'!$BT$8</f>
        <v>0</v>
      </c>
      <c r="CD381" s="449">
        <f>'Fiche info Avenant 4'!$BU$8</f>
        <v>0</v>
      </c>
      <c r="CE381" s="449">
        <f>'Fiche info Avenant 4'!$BV$8</f>
        <v>0</v>
      </c>
      <c r="CF381" s="449">
        <f>'Fiche info Avenant 4'!$BW$8</f>
        <v>0</v>
      </c>
      <c r="ED381" s="16" t="str">
        <f t="shared" si="90"/>
        <v>Fiche info Avenant 4G</v>
      </c>
      <c r="EE381" s="16" t="str">
        <f t="shared" si="79"/>
        <v>Fiche info Avenant 4</v>
      </c>
      <c r="EF381" s="16" t="str">
        <f t="shared" si="80"/>
        <v>G</v>
      </c>
      <c r="EG381" s="16">
        <f t="shared" si="81"/>
        <v>2</v>
      </c>
      <c r="EH381" s="16" t="str">
        <f t="shared" si="82"/>
        <v>Mardi</v>
      </c>
      <c r="EI381" s="16" t="str">
        <f t="shared" si="83"/>
        <v/>
      </c>
      <c r="FB381" s="16" t="str">
        <f t="shared" si="86"/>
        <v/>
      </c>
      <c r="FC381" s="16" t="str">
        <f t="shared" si="87"/>
        <v/>
      </c>
      <c r="FD381" s="30">
        <f t="shared" si="91"/>
        <v>43132</v>
      </c>
      <c r="FE381" s="30" t="str">
        <f>+IFERROR(VLOOKUP(FD381,BDD,83,FALSE),"")</f>
        <v/>
      </c>
      <c r="FF381" s="30" t="str">
        <f>+IFERROR(VLOOKUP(FD381,BDD,84,FALSE),"")</f>
        <v/>
      </c>
      <c r="FG381" s="30" t="str">
        <f>+IFERROR(VLOOKUP(FD381,BDD,85,FALSE),"")</f>
        <v/>
      </c>
      <c r="FH381" s="30" t="str">
        <f>+IFERROR(VLOOKUP(FD381,BDD,86,FALSE),"")</f>
        <v/>
      </c>
    </row>
    <row r="382" spans="1:180" x14ac:dyDescent="0.2">
      <c r="A382" s="16" t="str">
        <f t="shared" si="89"/>
        <v>Fiche info Avenant 4G3</v>
      </c>
      <c r="B382" s="16" t="str">
        <f t="shared" si="88"/>
        <v>Fiche info Avenant 4</v>
      </c>
      <c r="C382" s="27" t="s">
        <v>245</v>
      </c>
      <c r="D382" s="27">
        <v>3</v>
      </c>
      <c r="E382" s="16" t="s">
        <v>19</v>
      </c>
      <c r="F382" s="34" t="str">
        <f>+IF('Fiche info Avenant 4'!$BY$9=0,"",'Fiche info Avenant 4'!$BY$9)</f>
        <v/>
      </c>
      <c r="G382" s="16">
        <f t="shared" si="84"/>
        <v>0</v>
      </c>
      <c r="BX382" s="16" t="str">
        <f t="shared" si="85"/>
        <v>Fiche info Avenant 4G3</v>
      </c>
      <c r="BY382" s="449">
        <f>'Fiche info Avenant 4'!$BP$9</f>
        <v>0</v>
      </c>
      <c r="BZ382" s="449">
        <f>'Fiche info Avenant 4'!$BQ$9</f>
        <v>0</v>
      </c>
      <c r="CA382" s="449">
        <f>'Fiche info Avenant 4'!$BR$9</f>
        <v>0</v>
      </c>
      <c r="CB382" s="449">
        <f>'Fiche info Avenant 4'!$BS$9</f>
        <v>0</v>
      </c>
      <c r="CC382" s="449">
        <f>'Fiche info Avenant 4'!$BT$9</f>
        <v>0</v>
      </c>
      <c r="CD382" s="449">
        <f>'Fiche info Avenant 4'!$BU$9</f>
        <v>0</v>
      </c>
      <c r="CE382" s="449">
        <f>'Fiche info Avenant 4'!$BV$9</f>
        <v>0</v>
      </c>
      <c r="CF382" s="449">
        <f>'Fiche info Avenant 4'!$BW$9</f>
        <v>0</v>
      </c>
      <c r="ED382" s="16" t="str">
        <f t="shared" si="90"/>
        <v>Fiche info Avenant 4G</v>
      </c>
      <c r="EE382" s="16" t="str">
        <f t="shared" si="79"/>
        <v>Fiche info Avenant 4</v>
      </c>
      <c r="EF382" s="16" t="str">
        <f t="shared" si="80"/>
        <v>G</v>
      </c>
      <c r="EG382" s="16">
        <f t="shared" si="81"/>
        <v>3</v>
      </c>
      <c r="EH382" s="16" t="str">
        <f t="shared" si="82"/>
        <v>Mercredi</v>
      </c>
      <c r="EI382" s="16" t="str">
        <f t="shared" si="83"/>
        <v/>
      </c>
      <c r="FB382" s="16" t="str">
        <f t="shared" si="86"/>
        <v/>
      </c>
      <c r="FC382" s="16" t="str">
        <f t="shared" si="87"/>
        <v/>
      </c>
      <c r="FD382" s="30">
        <f t="shared" si="91"/>
        <v>43101</v>
      </c>
      <c r="FE382" s="30" t="str">
        <f>+IFERROR(VLOOKUP(FD382,BDD,71,FALSE),"")</f>
        <v/>
      </c>
      <c r="FF382" s="30" t="str">
        <f>IFERROR(+VLOOKUP(FD382,BDD,72,FALSE),"")</f>
        <v/>
      </c>
      <c r="FG382" s="30" t="str">
        <f>+IFERROR(VLOOKUP(FD382,BDD,73,FALSE),"")</f>
        <v/>
      </c>
      <c r="FH382" s="30" t="str">
        <f>+IFERROR(VLOOKUP(FD382,BDD,74,FALSE),"")</f>
        <v/>
      </c>
    </row>
    <row r="383" spans="1:180" x14ac:dyDescent="0.2">
      <c r="A383" s="16" t="str">
        <f t="shared" si="89"/>
        <v>Fiche info Avenant 4G4</v>
      </c>
      <c r="B383" s="16" t="str">
        <f t="shared" si="88"/>
        <v>Fiche info Avenant 4</v>
      </c>
      <c r="C383" s="27" t="s">
        <v>245</v>
      </c>
      <c r="D383" s="27">
        <v>4</v>
      </c>
      <c r="E383" s="16" t="s">
        <v>20</v>
      </c>
      <c r="F383" s="34" t="str">
        <f>+IF('Fiche info Avenant 4'!$BY$10=0,"",'Fiche info Avenant 4'!$BY$10)</f>
        <v/>
      </c>
      <c r="G383" s="16">
        <f t="shared" si="84"/>
        <v>0</v>
      </c>
      <c r="BX383" s="16" t="str">
        <f t="shared" si="85"/>
        <v>Fiche info Avenant 4G4</v>
      </c>
      <c r="BY383" s="449">
        <f>'Fiche info Avenant 4'!$BP$10</f>
        <v>0</v>
      </c>
      <c r="BZ383" s="449">
        <f>'Fiche info Avenant 4'!$BQ$10</f>
        <v>0</v>
      </c>
      <c r="CA383" s="449">
        <f>'Fiche info Avenant 4'!$BR$10</f>
        <v>0</v>
      </c>
      <c r="CB383" s="449">
        <f>'Fiche info Avenant 4'!$BS$10</f>
        <v>0</v>
      </c>
      <c r="CC383" s="449">
        <f>'Fiche info Avenant 4'!$BT$10</f>
        <v>0</v>
      </c>
      <c r="CD383" s="449">
        <f>'Fiche info Avenant 4'!$BU$10</f>
        <v>0</v>
      </c>
      <c r="CE383" s="449">
        <f>'Fiche info Avenant 4'!$BV$10</f>
        <v>0</v>
      </c>
      <c r="CF383" s="449">
        <f>'Fiche info Avenant 4'!$BW$10</f>
        <v>0</v>
      </c>
      <c r="ED383" s="16" t="str">
        <f t="shared" si="90"/>
        <v>Fiche info Avenant 4G</v>
      </c>
      <c r="EE383" s="16" t="str">
        <f t="shared" si="79"/>
        <v>Fiche info Avenant 4</v>
      </c>
      <c r="EF383" s="16" t="str">
        <f t="shared" si="80"/>
        <v>G</v>
      </c>
      <c r="EG383" s="16">
        <f t="shared" si="81"/>
        <v>4</v>
      </c>
      <c r="EH383" s="16" t="str">
        <f t="shared" si="82"/>
        <v>Jeudi</v>
      </c>
      <c r="EI383" s="16" t="str">
        <f t="shared" si="83"/>
        <v/>
      </c>
      <c r="FB383" s="16" t="str">
        <f t="shared" si="86"/>
        <v/>
      </c>
      <c r="FC383" s="16" t="str">
        <f t="shared" si="87"/>
        <v/>
      </c>
      <c r="FD383" s="30">
        <f t="shared" si="91"/>
        <v>43101</v>
      </c>
      <c r="FE383" s="30" t="str">
        <f>+IFERROR(VLOOKUP(FD383,BDD,75,FALSE),"")</f>
        <v/>
      </c>
      <c r="FF383" s="30" t="str">
        <f>+IFERROR(VLOOKUP(FD383,BDD,76,FALSE),"")</f>
        <v/>
      </c>
      <c r="FG383" s="30" t="str">
        <f>IFERROR(+VLOOKUP(FD383,BDD,77,FALSE),"")</f>
        <v/>
      </c>
      <c r="FH383" s="30" t="str">
        <f>+IFERROR(VLOOKUP(FD383,BDD,78,FALSE),"")</f>
        <v/>
      </c>
    </row>
    <row r="384" spans="1:180" x14ac:dyDescent="0.2">
      <c r="A384" s="16" t="str">
        <f t="shared" si="89"/>
        <v>Fiche info Avenant 4G5</v>
      </c>
      <c r="B384" s="16" t="str">
        <f t="shared" si="88"/>
        <v>Fiche info Avenant 4</v>
      </c>
      <c r="C384" s="27" t="s">
        <v>245</v>
      </c>
      <c r="D384" s="27">
        <v>5</v>
      </c>
      <c r="E384" s="16" t="s">
        <v>21</v>
      </c>
      <c r="F384" s="34" t="str">
        <f>+IF('Fiche info Avenant 4'!$BY$11=0,"",'Fiche info Avenant 4'!$BY$11)</f>
        <v/>
      </c>
      <c r="G384" s="16">
        <f t="shared" si="84"/>
        <v>0</v>
      </c>
      <c r="BX384" s="16" t="str">
        <f t="shared" si="85"/>
        <v>Fiche info Avenant 4G5</v>
      </c>
      <c r="BY384" s="449">
        <f>'Fiche info Avenant 4'!$BP$11</f>
        <v>0</v>
      </c>
      <c r="BZ384" s="449">
        <f>'Fiche info Avenant 4'!$BQ$11</f>
        <v>0</v>
      </c>
      <c r="CA384" s="449">
        <f>'Fiche info Avenant 4'!$BR$11</f>
        <v>0</v>
      </c>
      <c r="CB384" s="449">
        <f>'Fiche info Avenant 4'!$BS$11</f>
        <v>0</v>
      </c>
      <c r="CC384" s="449">
        <f>'Fiche info Avenant 4'!$BT$11</f>
        <v>0</v>
      </c>
      <c r="CD384" s="449">
        <f>'Fiche info Avenant 4'!$BU$11</f>
        <v>0</v>
      </c>
      <c r="CE384" s="449">
        <f>'Fiche info Avenant 4'!$BV$11</f>
        <v>0</v>
      </c>
      <c r="CF384" s="449">
        <f>'Fiche info Avenant 4'!$BW$11</f>
        <v>0</v>
      </c>
      <c r="ED384" s="16" t="str">
        <f t="shared" si="90"/>
        <v>Fiche info Avenant 4G</v>
      </c>
      <c r="EE384" s="16" t="str">
        <f t="shared" si="79"/>
        <v>Fiche info Avenant 4</v>
      </c>
      <c r="EF384" s="16" t="str">
        <f t="shared" si="80"/>
        <v>G</v>
      </c>
      <c r="EG384" s="16">
        <f t="shared" si="81"/>
        <v>5</v>
      </c>
      <c r="EH384" s="16" t="str">
        <f t="shared" si="82"/>
        <v>Vendredi</v>
      </c>
      <c r="EI384" s="16" t="str">
        <f t="shared" si="83"/>
        <v/>
      </c>
      <c r="FB384" s="16" t="str">
        <f t="shared" si="86"/>
        <v/>
      </c>
      <c r="FC384" s="16" t="str">
        <f t="shared" si="87"/>
        <v/>
      </c>
      <c r="FD384" s="30">
        <f t="shared" si="91"/>
        <v>43101</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89"/>
        <v>Fiche info Avenant 4G6</v>
      </c>
      <c r="B385" s="16" t="str">
        <f t="shared" si="88"/>
        <v>Fiche info Avenant 4</v>
      </c>
      <c r="C385" s="27" t="s">
        <v>245</v>
      </c>
      <c r="D385" s="27">
        <v>6</v>
      </c>
      <c r="E385" s="16" t="s">
        <v>193</v>
      </c>
      <c r="F385" s="34" t="str">
        <f>+IF('Fiche info Avenant 4'!$BY$12=0,"",'Fiche info Avenant 4'!$BY$12)</f>
        <v/>
      </c>
      <c r="G385" s="16">
        <f t="shared" si="84"/>
        <v>0</v>
      </c>
      <c r="BX385" s="16" t="str">
        <f t="shared" si="85"/>
        <v>Fiche info Avenant 4G6</v>
      </c>
      <c r="BY385" s="449">
        <f>'Fiche info Avenant 4'!$BP$12</f>
        <v>0</v>
      </c>
      <c r="BZ385" s="449">
        <f>'Fiche info Avenant 4'!$BQ$12</f>
        <v>0</v>
      </c>
      <c r="CA385" s="449">
        <f>'Fiche info Avenant 4'!$BR$12</f>
        <v>0</v>
      </c>
      <c r="CB385" s="449">
        <f>'Fiche info Avenant 4'!$BS$12</f>
        <v>0</v>
      </c>
      <c r="CC385" s="449">
        <f>'Fiche info Avenant 4'!$BT$12</f>
        <v>0</v>
      </c>
      <c r="CD385" s="449">
        <f>'Fiche info Avenant 4'!$BU$12</f>
        <v>0</v>
      </c>
      <c r="CE385" s="449">
        <f>'Fiche info Avenant 4'!$BV$12</f>
        <v>0</v>
      </c>
      <c r="CF385" s="449">
        <f>'Fiche info Avenant 4'!$BW$12</f>
        <v>0</v>
      </c>
      <c r="ED385" s="16" t="str">
        <f t="shared" si="90"/>
        <v>Fiche info Avenant 4G</v>
      </c>
      <c r="EE385" s="16" t="str">
        <f t="shared" ref="EE385:EE448" si="92">B385</f>
        <v>Fiche info Avenant 4</v>
      </c>
      <c r="EF385" s="16" t="str">
        <f t="shared" ref="EF385:EF448" si="93">C385</f>
        <v>G</v>
      </c>
      <c r="EG385" s="16">
        <f t="shared" ref="EG385:EG448" si="94">D385</f>
        <v>6</v>
      </c>
      <c r="EH385" s="16" t="str">
        <f t="shared" ref="EH385:EH448" si="95">E385</f>
        <v>Samedi</v>
      </c>
      <c r="EI385" s="16" t="str">
        <f t="shared" ref="EI385:EI448" si="96">F385</f>
        <v/>
      </c>
      <c r="FB385" s="16" t="str">
        <f t="shared" si="86"/>
        <v/>
      </c>
      <c r="FC385" s="16" t="str">
        <f t="shared" si="87"/>
        <v/>
      </c>
      <c r="FD385" s="30">
        <f t="shared" si="91"/>
        <v>43101</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89"/>
        <v>Fiche info Avenant 4G7</v>
      </c>
      <c r="B386" s="16" t="str">
        <f t="shared" si="88"/>
        <v>Fiche info Avenant 4</v>
      </c>
      <c r="C386" s="27" t="s">
        <v>245</v>
      </c>
      <c r="D386" s="27">
        <v>7</v>
      </c>
      <c r="E386" s="16" t="s">
        <v>194</v>
      </c>
      <c r="F386" s="34" t="str">
        <f>+IF('Fiche info Avenant 4'!$BY$13=0,"",'Fiche info Avenant 4'!$BY$13)</f>
        <v/>
      </c>
      <c r="G386" s="16">
        <f t="shared" ref="G386:G449" si="97">+IF(OR(F386=0,F386=""),0,1)</f>
        <v>0</v>
      </c>
      <c r="BX386" s="16" t="str">
        <f t="shared" ref="BX386:BX449" si="98">A386</f>
        <v>Fiche info Avenant 4G7</v>
      </c>
      <c r="BY386" s="449">
        <f>'Fiche info Avenant 4'!$BP$13</f>
        <v>0</v>
      </c>
      <c r="BZ386" s="449">
        <f>'Fiche info Avenant 4'!$BQ$13</f>
        <v>0</v>
      </c>
      <c r="CA386" s="449">
        <f>'Fiche info Avenant 4'!$BR$13</f>
        <v>0</v>
      </c>
      <c r="CB386" s="449">
        <f>'Fiche info Avenant 4'!$BS$13</f>
        <v>0</v>
      </c>
      <c r="CC386" s="449">
        <f>'Fiche info Avenant 4'!$BT$13</f>
        <v>0</v>
      </c>
      <c r="CD386" s="449">
        <f>'Fiche info Avenant 4'!$BU$13</f>
        <v>0</v>
      </c>
      <c r="CE386" s="449">
        <f>'Fiche info Avenant 4'!$BV$13</f>
        <v>0</v>
      </c>
      <c r="CF386" s="449">
        <f>'Fiche info Avenant 4'!$BW$13</f>
        <v>0</v>
      </c>
      <c r="ED386" s="16" t="str">
        <f t="shared" si="90"/>
        <v>Fiche info Avenant 4G</v>
      </c>
      <c r="EE386" s="16" t="str">
        <f t="shared" si="92"/>
        <v>Fiche info Avenant 4</v>
      </c>
      <c r="EF386" s="16" t="str">
        <f t="shared" si="93"/>
        <v>G</v>
      </c>
      <c r="EG386" s="16">
        <f t="shared" si="94"/>
        <v>7</v>
      </c>
      <c r="EH386" s="16" t="str">
        <f t="shared" si="95"/>
        <v>Dimanche</v>
      </c>
      <c r="EI386" s="16" t="str">
        <f t="shared" si="96"/>
        <v/>
      </c>
      <c r="FD386" s="30"/>
    </row>
    <row r="387" spans="1:164" x14ac:dyDescent="0.2">
      <c r="A387" s="16" t="str">
        <f t="shared" si="89"/>
        <v>Fiche info Avenant 4H1</v>
      </c>
      <c r="B387" s="16" t="str">
        <f t="shared" si="88"/>
        <v>Fiche info Avenant 4</v>
      </c>
      <c r="C387" s="27" t="s">
        <v>246</v>
      </c>
      <c r="D387" s="27">
        <v>1</v>
      </c>
      <c r="E387" s="16" t="s">
        <v>17</v>
      </c>
      <c r="F387" s="34" t="str">
        <f>+IF('Fiche info Avenant 4'!$CJ$7=0,"",'Fiche info Avenant 4'!$CJ$7)</f>
        <v/>
      </c>
      <c r="G387" s="16">
        <f t="shared" si="97"/>
        <v>0</v>
      </c>
      <c r="BX387" s="16" t="str">
        <f t="shared" si="98"/>
        <v>Fiche info Avenant 4H1</v>
      </c>
      <c r="BY387" s="449">
        <f>'Fiche info Avenant 4'!$CA$7</f>
        <v>0</v>
      </c>
      <c r="BZ387" s="449">
        <f>'Fiche info Avenant 4'!$CB$7</f>
        <v>0</v>
      </c>
      <c r="CA387" s="449">
        <f>'Fiche info Avenant 4'!$CC$7</f>
        <v>0</v>
      </c>
      <c r="CB387" s="449">
        <f>'Fiche info Avenant 4'!$CD$7</f>
        <v>0</v>
      </c>
      <c r="CC387" s="449">
        <f>'Fiche info Avenant 4'!$CE$7</f>
        <v>0</v>
      </c>
      <c r="CD387" s="449">
        <f>'Fiche info Avenant 4'!$CF$7</f>
        <v>0</v>
      </c>
      <c r="CE387" s="449">
        <f>'Fiche info Avenant 4'!$CG$7</f>
        <v>0</v>
      </c>
      <c r="CF387" s="449">
        <f>'Fiche info Avenant 4'!$CH$7</f>
        <v>0</v>
      </c>
      <c r="ED387" s="16" t="str">
        <f t="shared" si="90"/>
        <v>Fiche info Avenant 4H</v>
      </c>
      <c r="EE387" s="16" t="str">
        <f t="shared" si="92"/>
        <v>Fiche info Avenant 4</v>
      </c>
      <c r="EF387" s="16" t="str">
        <f t="shared" si="93"/>
        <v>H</v>
      </c>
      <c r="EG387" s="16">
        <f t="shared" si="94"/>
        <v>1</v>
      </c>
      <c r="EH387" s="16" t="str">
        <f t="shared" si="95"/>
        <v>Lundi</v>
      </c>
      <c r="EI387" s="16" t="str">
        <f t="shared" si="96"/>
        <v/>
      </c>
      <c r="FD387" s="30"/>
    </row>
    <row r="388" spans="1:164" x14ac:dyDescent="0.2">
      <c r="A388" s="16" t="str">
        <f t="shared" si="89"/>
        <v>Fiche info Avenant 4H2</v>
      </c>
      <c r="B388" s="16" t="str">
        <f t="shared" si="88"/>
        <v>Fiche info Avenant 4</v>
      </c>
      <c r="C388" s="27" t="s">
        <v>246</v>
      </c>
      <c r="D388" s="27">
        <v>2</v>
      </c>
      <c r="E388" s="16" t="s">
        <v>18</v>
      </c>
      <c r="F388" s="34" t="str">
        <f>+IF('Fiche info Avenant 4'!$CJ$8=0,"",'Fiche info Avenant 4'!$CJ$8)</f>
        <v/>
      </c>
      <c r="G388" s="16">
        <f t="shared" si="97"/>
        <v>0</v>
      </c>
      <c r="BX388" s="16" t="str">
        <f t="shared" si="98"/>
        <v>Fiche info Avenant 4H2</v>
      </c>
      <c r="BY388" s="449">
        <f>'Fiche info Avenant 4'!$CA$8</f>
        <v>0</v>
      </c>
      <c r="BZ388" s="449">
        <f>'Fiche info Avenant 4'!$CB$8</f>
        <v>0</v>
      </c>
      <c r="CA388" s="449">
        <f>'Fiche info Avenant 4'!$CC$8</f>
        <v>0</v>
      </c>
      <c r="CB388" s="449">
        <f>'Fiche info Avenant 4'!$CD$8</f>
        <v>0</v>
      </c>
      <c r="CC388" s="449">
        <f>'Fiche info Avenant 4'!$CE$8</f>
        <v>0</v>
      </c>
      <c r="CD388" s="449">
        <f>'Fiche info Avenant 4'!$CF$8</f>
        <v>0</v>
      </c>
      <c r="CE388" s="449">
        <f>'Fiche info Avenant 4'!$CG$8</f>
        <v>0</v>
      </c>
      <c r="CF388" s="449">
        <f>'Fiche info Avenant 4'!$CH$8</f>
        <v>0</v>
      </c>
      <c r="ED388" s="16" t="str">
        <f t="shared" si="90"/>
        <v>Fiche info Avenant 4H</v>
      </c>
      <c r="EE388" s="16" t="str">
        <f t="shared" si="92"/>
        <v>Fiche info Avenant 4</v>
      </c>
      <c r="EF388" s="16" t="str">
        <f t="shared" si="93"/>
        <v>H</v>
      </c>
      <c r="EG388" s="16">
        <f t="shared" si="94"/>
        <v>2</v>
      </c>
      <c r="EH388" s="16" t="str">
        <f t="shared" si="95"/>
        <v>Mardi</v>
      </c>
      <c r="EI388" s="16" t="str">
        <f t="shared" si="96"/>
        <v/>
      </c>
      <c r="FD388" s="30"/>
    </row>
    <row r="389" spans="1:164" x14ac:dyDescent="0.2">
      <c r="A389" s="16" t="str">
        <f t="shared" si="89"/>
        <v>Fiche info Avenant 4H3</v>
      </c>
      <c r="B389" s="16" t="str">
        <f t="shared" si="88"/>
        <v>Fiche info Avenant 4</v>
      </c>
      <c r="C389" s="27" t="s">
        <v>246</v>
      </c>
      <c r="D389" s="27">
        <v>3</v>
      </c>
      <c r="E389" s="16" t="s">
        <v>19</v>
      </c>
      <c r="F389" s="34" t="str">
        <f>+IF('Fiche info Avenant 4'!$CJ$9=0,"",'Fiche info Avenant 4'!$CJ$9)</f>
        <v/>
      </c>
      <c r="G389" s="16">
        <f t="shared" si="97"/>
        <v>0</v>
      </c>
      <c r="BX389" s="16" t="str">
        <f t="shared" si="98"/>
        <v>Fiche info Avenant 4H3</v>
      </c>
      <c r="BY389" s="449">
        <f>'Fiche info Avenant 4'!$CA$9</f>
        <v>0</v>
      </c>
      <c r="BZ389" s="449">
        <f>'Fiche info Avenant 4'!$CB$9</f>
        <v>0</v>
      </c>
      <c r="CA389" s="449">
        <f>'Fiche info Avenant 4'!$CC$9</f>
        <v>0</v>
      </c>
      <c r="CB389" s="449">
        <f>'Fiche info Avenant 4'!$CD$9</f>
        <v>0</v>
      </c>
      <c r="CC389" s="449">
        <f>'Fiche info Avenant 4'!$CE$9</f>
        <v>0</v>
      </c>
      <c r="CD389" s="449">
        <f>'Fiche info Avenant 4'!$CF$9</f>
        <v>0</v>
      </c>
      <c r="CE389" s="449">
        <f>'Fiche info Avenant 4'!$CG$9</f>
        <v>0</v>
      </c>
      <c r="CF389" s="449">
        <f>'Fiche info Avenant 4'!$CH$9</f>
        <v>0</v>
      </c>
      <c r="ED389" s="16" t="str">
        <f t="shared" si="90"/>
        <v>Fiche info Avenant 4H</v>
      </c>
      <c r="EE389" s="16" t="str">
        <f t="shared" si="92"/>
        <v>Fiche info Avenant 4</v>
      </c>
      <c r="EF389" s="16" t="str">
        <f t="shared" si="93"/>
        <v>H</v>
      </c>
      <c r="EG389" s="16">
        <f t="shared" si="94"/>
        <v>3</v>
      </c>
      <c r="EH389" s="16" t="str">
        <f t="shared" si="95"/>
        <v>Mercredi</v>
      </c>
      <c r="EI389" s="16" t="str">
        <f t="shared" si="96"/>
        <v/>
      </c>
      <c r="FD389" s="30"/>
    </row>
    <row r="390" spans="1:164" x14ac:dyDescent="0.2">
      <c r="A390" s="16" t="str">
        <f t="shared" si="89"/>
        <v>Fiche info Avenant 4H4</v>
      </c>
      <c r="B390" s="16" t="str">
        <f t="shared" si="88"/>
        <v>Fiche info Avenant 4</v>
      </c>
      <c r="C390" s="27" t="s">
        <v>246</v>
      </c>
      <c r="D390" s="27">
        <v>4</v>
      </c>
      <c r="E390" s="16" t="s">
        <v>20</v>
      </c>
      <c r="F390" s="34" t="str">
        <f>+IF('Fiche info Avenant 4'!$CJ$10=0,"",'Fiche info Avenant 4'!$CJ$10)</f>
        <v/>
      </c>
      <c r="G390" s="16">
        <f t="shared" si="97"/>
        <v>0</v>
      </c>
      <c r="BX390" s="16" t="str">
        <f t="shared" si="98"/>
        <v>Fiche info Avenant 4H4</v>
      </c>
      <c r="BY390" s="449">
        <f>'Fiche info Avenant 4'!$CA$10</f>
        <v>0</v>
      </c>
      <c r="BZ390" s="449">
        <f>'Fiche info Avenant 4'!$CB$10</f>
        <v>0</v>
      </c>
      <c r="CA390" s="449">
        <f>'Fiche info Avenant 4'!$CC$10</f>
        <v>0</v>
      </c>
      <c r="CB390" s="449">
        <f>'Fiche info Avenant 4'!$CD$10</f>
        <v>0</v>
      </c>
      <c r="CC390" s="449">
        <f>'Fiche info Avenant 4'!$CE$10</f>
        <v>0</v>
      </c>
      <c r="CD390" s="449">
        <f>'Fiche info Avenant 4'!$CF$10</f>
        <v>0</v>
      </c>
      <c r="CE390" s="449">
        <f>'Fiche info Avenant 4'!$CG$10</f>
        <v>0</v>
      </c>
      <c r="CF390" s="449">
        <f>'Fiche info Avenant 4'!$CH$10</f>
        <v>0</v>
      </c>
      <c r="ED390" s="16" t="str">
        <f t="shared" si="90"/>
        <v>Fiche info Avenant 4H</v>
      </c>
      <c r="EE390" s="16" t="str">
        <f t="shared" si="92"/>
        <v>Fiche info Avenant 4</v>
      </c>
      <c r="EF390" s="16" t="str">
        <f t="shared" si="93"/>
        <v>H</v>
      </c>
      <c r="EG390" s="16">
        <f t="shared" si="94"/>
        <v>4</v>
      </c>
      <c r="EH390" s="16" t="str">
        <f t="shared" si="95"/>
        <v>Jeudi</v>
      </c>
      <c r="EI390" s="16" t="str">
        <f t="shared" si="96"/>
        <v/>
      </c>
      <c r="FD390" s="30"/>
    </row>
    <row r="391" spans="1:164" x14ac:dyDescent="0.2">
      <c r="A391" s="16" t="str">
        <f t="shared" si="89"/>
        <v>Fiche info Avenant 4H5</v>
      </c>
      <c r="B391" s="16" t="str">
        <f t="shared" si="88"/>
        <v>Fiche info Avenant 4</v>
      </c>
      <c r="C391" s="27" t="s">
        <v>246</v>
      </c>
      <c r="D391" s="27">
        <v>5</v>
      </c>
      <c r="E391" s="16" t="s">
        <v>21</v>
      </c>
      <c r="F391" s="34" t="str">
        <f>+IF('Fiche info Avenant 4'!$CJ$11=0,"",'Fiche info Avenant 4'!$CJ$11)</f>
        <v/>
      </c>
      <c r="G391" s="16">
        <f t="shared" si="97"/>
        <v>0</v>
      </c>
      <c r="BX391" s="16" t="str">
        <f t="shared" si="98"/>
        <v>Fiche info Avenant 4H5</v>
      </c>
      <c r="BY391" s="449">
        <f>'Fiche info Avenant 4'!$CA$11</f>
        <v>0</v>
      </c>
      <c r="BZ391" s="449">
        <f>'Fiche info Avenant 4'!$CB$11</f>
        <v>0</v>
      </c>
      <c r="CA391" s="449">
        <f>'Fiche info Avenant 4'!$CC$11</f>
        <v>0</v>
      </c>
      <c r="CB391" s="449">
        <f>'Fiche info Avenant 4'!$CD$11</f>
        <v>0</v>
      </c>
      <c r="CC391" s="449">
        <f>'Fiche info Avenant 4'!$CE$11</f>
        <v>0</v>
      </c>
      <c r="CD391" s="449">
        <f>'Fiche info Avenant 4'!$CF$11</f>
        <v>0</v>
      </c>
      <c r="CE391" s="449">
        <f>'Fiche info Avenant 4'!$CG$11</f>
        <v>0</v>
      </c>
      <c r="CF391" s="449">
        <f>'Fiche info Avenant 4'!$CH$11</f>
        <v>0</v>
      </c>
      <c r="ED391" s="16" t="str">
        <f t="shared" si="90"/>
        <v>Fiche info Avenant 4H</v>
      </c>
      <c r="EE391" s="16" t="str">
        <f t="shared" si="92"/>
        <v>Fiche info Avenant 4</v>
      </c>
      <c r="EF391" s="16" t="str">
        <f t="shared" si="93"/>
        <v>H</v>
      </c>
      <c r="EG391" s="16">
        <f t="shared" si="94"/>
        <v>5</v>
      </c>
      <c r="EH391" s="16" t="str">
        <f t="shared" si="95"/>
        <v>Vendredi</v>
      </c>
      <c r="EI391" s="16" t="str">
        <f t="shared" si="96"/>
        <v/>
      </c>
      <c r="FD391" s="30"/>
    </row>
    <row r="392" spans="1:164" x14ac:dyDescent="0.2">
      <c r="A392" s="16" t="str">
        <f t="shared" si="89"/>
        <v>Fiche info Avenant 4H6</v>
      </c>
      <c r="B392" s="16" t="str">
        <f t="shared" si="88"/>
        <v>Fiche info Avenant 4</v>
      </c>
      <c r="C392" s="27" t="s">
        <v>246</v>
      </c>
      <c r="D392" s="27">
        <v>6</v>
      </c>
      <c r="E392" s="16" t="s">
        <v>193</v>
      </c>
      <c r="F392" s="34" t="str">
        <f>+IF('Fiche info Avenant 4'!$CJ$12=0,"",'Fiche info Avenant 4'!$CJ$12)</f>
        <v/>
      </c>
      <c r="G392" s="16">
        <f t="shared" si="97"/>
        <v>0</v>
      </c>
      <c r="BX392" s="16" t="str">
        <f t="shared" si="98"/>
        <v>Fiche info Avenant 4H6</v>
      </c>
      <c r="BY392" s="449">
        <f>'Fiche info Avenant 4'!$CA$12</f>
        <v>0</v>
      </c>
      <c r="BZ392" s="449">
        <f>'Fiche info Avenant 4'!$CB$12</f>
        <v>0</v>
      </c>
      <c r="CA392" s="449">
        <f>'Fiche info Avenant 4'!$CC$12</f>
        <v>0</v>
      </c>
      <c r="CB392" s="449">
        <f>'Fiche info Avenant 4'!$CD$12</f>
        <v>0</v>
      </c>
      <c r="CC392" s="449">
        <f>'Fiche info Avenant 4'!$CE$12</f>
        <v>0</v>
      </c>
      <c r="CD392" s="449">
        <f>'Fiche info Avenant 4'!$CF$12</f>
        <v>0</v>
      </c>
      <c r="CE392" s="449">
        <f>'Fiche info Avenant 4'!$CG$12</f>
        <v>0</v>
      </c>
      <c r="CF392" s="449">
        <f>'Fiche info Avenant 4'!$CH$12</f>
        <v>0</v>
      </c>
      <c r="ED392" s="16" t="str">
        <f t="shared" si="90"/>
        <v>Fiche info Avenant 4H</v>
      </c>
      <c r="EE392" s="16" t="str">
        <f t="shared" si="92"/>
        <v>Fiche info Avenant 4</v>
      </c>
      <c r="EF392" s="16" t="str">
        <f t="shared" si="93"/>
        <v>H</v>
      </c>
      <c r="EG392" s="16">
        <f t="shared" si="94"/>
        <v>6</v>
      </c>
      <c r="EH392" s="16" t="str">
        <f t="shared" si="95"/>
        <v>Samedi</v>
      </c>
      <c r="EI392" s="16" t="str">
        <f t="shared" si="96"/>
        <v/>
      </c>
      <c r="FD392" s="30"/>
    </row>
    <row r="393" spans="1:164" x14ac:dyDescent="0.2">
      <c r="A393" s="16" t="str">
        <f t="shared" si="89"/>
        <v>Fiche info Avenant 4H7</v>
      </c>
      <c r="B393" s="16" t="str">
        <f t="shared" si="88"/>
        <v>Fiche info Avenant 4</v>
      </c>
      <c r="C393" s="27" t="s">
        <v>246</v>
      </c>
      <c r="D393" s="27">
        <v>7</v>
      </c>
      <c r="E393" s="16" t="s">
        <v>194</v>
      </c>
      <c r="F393" s="34" t="str">
        <f>+IF('Fiche info'!$CJ$13=0,"",'Fiche info'!$CJ$13)</f>
        <v/>
      </c>
      <c r="G393" s="16">
        <f t="shared" si="97"/>
        <v>0</v>
      </c>
      <c r="BX393" s="16" t="str">
        <f t="shared" si="98"/>
        <v>Fiche info Avenant 4H7</v>
      </c>
      <c r="BY393" s="449">
        <f>'Fiche info Avenant 4'!$CA$13</f>
        <v>0</v>
      </c>
      <c r="BZ393" s="449">
        <f>'Fiche info Avenant 4'!$CB$13</f>
        <v>0</v>
      </c>
      <c r="CA393" s="449">
        <f>'Fiche info Avenant 4'!$CC$13</f>
        <v>0</v>
      </c>
      <c r="CB393" s="449">
        <f>'Fiche info Avenant 4'!$CD$13</f>
        <v>0</v>
      </c>
      <c r="CC393" s="449">
        <f>'Fiche info Avenant 4'!$CE$13</f>
        <v>0</v>
      </c>
      <c r="CD393" s="449">
        <f>'Fiche info Avenant 4'!$CF$13</f>
        <v>0</v>
      </c>
      <c r="CE393" s="449">
        <f>'Fiche info Avenant 4'!$CG$13</f>
        <v>0</v>
      </c>
      <c r="CF393" s="449">
        <f>'Fiche info Avenant 4'!$CH$13</f>
        <v>0</v>
      </c>
      <c r="ED393" s="16" t="str">
        <f t="shared" si="90"/>
        <v>Fiche info Avenant 4H</v>
      </c>
      <c r="EE393" s="16" t="str">
        <f t="shared" si="92"/>
        <v>Fiche info Avenant 4</v>
      </c>
      <c r="EF393" s="16" t="str">
        <f t="shared" si="93"/>
        <v>H</v>
      </c>
      <c r="EG393" s="16">
        <f t="shared" si="94"/>
        <v>7</v>
      </c>
      <c r="EH393" s="16" t="str">
        <f t="shared" si="95"/>
        <v>Dimanche</v>
      </c>
      <c r="EI393" s="16" t="str">
        <f t="shared" si="96"/>
        <v/>
      </c>
      <c r="FD393" s="30"/>
    </row>
    <row r="394" spans="1:164" x14ac:dyDescent="0.2">
      <c r="A394" s="16" t="str">
        <f t="shared" si="89"/>
        <v>Fiche info Avenant 5A1</v>
      </c>
      <c r="B394" s="16" t="str">
        <f>+$P$9</f>
        <v>Fiche info Avenant 5</v>
      </c>
      <c r="C394" s="27" t="s">
        <v>235</v>
      </c>
      <c r="D394" s="27">
        <v>1</v>
      </c>
      <c r="E394" s="16" t="s">
        <v>17</v>
      </c>
      <c r="F394" s="34" t="str">
        <f>IF('Fiche info Avenant 5'!$K$7=0,"",'Fiche info Avenant 5'!$K$7)</f>
        <v/>
      </c>
      <c r="G394" s="16">
        <f t="shared" si="97"/>
        <v>0</v>
      </c>
      <c r="BX394" s="16" t="str">
        <f t="shared" si="98"/>
        <v>Fiche info Avenant 5A1</v>
      </c>
      <c r="BY394" s="449">
        <f>'Fiche info Avenant 5'!$B$7</f>
        <v>0</v>
      </c>
      <c r="BZ394" s="449">
        <f>'Fiche info Avenant 5'!$C$7</f>
        <v>0</v>
      </c>
      <c r="CA394" s="449">
        <f>'Fiche info Avenant 5'!$D$7</f>
        <v>0</v>
      </c>
      <c r="CB394" s="449">
        <f>'Fiche info Avenant 5'!$E$7</f>
        <v>0</v>
      </c>
      <c r="CC394" s="449">
        <f>'Fiche info Avenant 5'!$F$7</f>
        <v>0</v>
      </c>
      <c r="CD394" s="449">
        <f>'Fiche info Avenant 5'!$G$7</f>
        <v>0</v>
      </c>
      <c r="CE394" s="449">
        <f>'Fiche info Avenant 5'!$H$7</f>
        <v>0</v>
      </c>
      <c r="CF394" s="449">
        <f>'Fiche info Avenant 5'!$I$7</f>
        <v>0</v>
      </c>
      <c r="ED394" s="16" t="str">
        <f t="shared" si="90"/>
        <v>Fiche info Avenant 5A</v>
      </c>
      <c r="EE394" s="16" t="str">
        <f t="shared" si="92"/>
        <v>Fiche info Avenant 5</v>
      </c>
      <c r="EF394" s="16" t="str">
        <f t="shared" si="93"/>
        <v>A</v>
      </c>
      <c r="EG394" s="16">
        <f t="shared" si="94"/>
        <v>1</v>
      </c>
      <c r="EH394" s="16" t="str">
        <f t="shared" si="95"/>
        <v>Lundi</v>
      </c>
      <c r="EI394" s="16" t="str">
        <f t="shared" si="96"/>
        <v/>
      </c>
      <c r="FD394" s="30"/>
    </row>
    <row r="395" spans="1:164" x14ac:dyDescent="0.2">
      <c r="A395" s="16" t="str">
        <f t="shared" si="89"/>
        <v>Fiche info Avenant 5A2</v>
      </c>
      <c r="B395" s="16" t="str">
        <f t="shared" ref="B395:B449" si="99">+$P$9</f>
        <v>Fiche info Avenant 5</v>
      </c>
      <c r="C395" s="27" t="s">
        <v>235</v>
      </c>
      <c r="D395" s="27">
        <v>2</v>
      </c>
      <c r="E395" s="16" t="s">
        <v>18</v>
      </c>
      <c r="F395" s="34" t="str">
        <f>IF('Fiche info Avenant 5'!$K$8=0,"",'Fiche info Avenant 5'!$K$8)</f>
        <v/>
      </c>
      <c r="G395" s="16">
        <f t="shared" si="97"/>
        <v>0</v>
      </c>
      <c r="BX395" s="16" t="str">
        <f t="shared" si="98"/>
        <v>Fiche info Avenant 5A2</v>
      </c>
      <c r="BY395" s="449">
        <f>'Fiche info Avenant 5'!$B$8</f>
        <v>0</v>
      </c>
      <c r="BZ395" s="449">
        <f>'Fiche info Avenant 5'!$C$8</f>
        <v>0</v>
      </c>
      <c r="CA395" s="449">
        <f>'Fiche info Avenant 5'!$D$8</f>
        <v>0</v>
      </c>
      <c r="CB395" s="449">
        <f>'Fiche info Avenant 5'!$E$8</f>
        <v>0</v>
      </c>
      <c r="CC395" s="449">
        <f>'Fiche info Avenant 5'!$F$8</f>
        <v>0</v>
      </c>
      <c r="CD395" s="449">
        <f>'Fiche info Avenant 5'!$G$8</f>
        <v>0</v>
      </c>
      <c r="CE395" s="449">
        <f>'Fiche info Avenant 5'!$H$8</f>
        <v>0</v>
      </c>
      <c r="CF395" s="449">
        <f>'Fiche info Avenant 5'!$I$8</f>
        <v>0</v>
      </c>
      <c r="ED395" s="16" t="str">
        <f t="shared" si="90"/>
        <v>Fiche info Avenant 5A</v>
      </c>
      <c r="EE395" s="16" t="str">
        <f t="shared" si="92"/>
        <v>Fiche info Avenant 5</v>
      </c>
      <c r="EF395" s="16" t="str">
        <f t="shared" si="93"/>
        <v>A</v>
      </c>
      <c r="EG395" s="16">
        <f t="shared" si="94"/>
        <v>2</v>
      </c>
      <c r="EH395" s="16" t="str">
        <f t="shared" si="95"/>
        <v>Mardi</v>
      </c>
      <c r="EI395" s="16" t="str">
        <f t="shared" si="96"/>
        <v/>
      </c>
      <c r="FD395" s="30"/>
    </row>
    <row r="396" spans="1:164" x14ac:dyDescent="0.2">
      <c r="A396" s="16" t="str">
        <f t="shared" si="89"/>
        <v>Fiche info Avenant 5A3</v>
      </c>
      <c r="B396" s="16" t="str">
        <f t="shared" si="99"/>
        <v>Fiche info Avenant 5</v>
      </c>
      <c r="C396" s="27" t="s">
        <v>235</v>
      </c>
      <c r="D396" s="27">
        <v>3</v>
      </c>
      <c r="E396" s="16" t="s">
        <v>19</v>
      </c>
      <c r="F396" s="34" t="str">
        <f>IF('Fiche info Avenant 5'!$K$9=0,"",'Fiche info Avenant 5'!$K$9)</f>
        <v/>
      </c>
      <c r="G396" s="16">
        <f t="shared" si="97"/>
        <v>0</v>
      </c>
      <c r="BX396" s="16" t="str">
        <f t="shared" si="98"/>
        <v>Fiche info Avenant 5A3</v>
      </c>
      <c r="BY396" s="449">
        <f>'Fiche info Avenant 5'!$B$9</f>
        <v>0</v>
      </c>
      <c r="BZ396" s="449">
        <f>'Fiche info Avenant 5'!$C$9</f>
        <v>0</v>
      </c>
      <c r="CA396" s="449">
        <f>'Fiche info Avenant 5'!$D$9</f>
        <v>0</v>
      </c>
      <c r="CB396" s="449">
        <f>'Fiche info Avenant 5'!$E$9</f>
        <v>0</v>
      </c>
      <c r="CC396" s="449">
        <f>'Fiche info Avenant 5'!$F$9</f>
        <v>0</v>
      </c>
      <c r="CD396" s="449">
        <f>'Fiche info Avenant 5'!$G$9</f>
        <v>0</v>
      </c>
      <c r="CE396" s="449">
        <f>'Fiche info Avenant 5'!$H$9</f>
        <v>0</v>
      </c>
      <c r="CF396" s="449">
        <f>'Fiche info Avenant 5'!$I$9</f>
        <v>0</v>
      </c>
      <c r="ED396" s="16" t="str">
        <f t="shared" si="90"/>
        <v>Fiche info Avenant 5A</v>
      </c>
      <c r="EE396" s="16" t="str">
        <f t="shared" si="92"/>
        <v>Fiche info Avenant 5</v>
      </c>
      <c r="EF396" s="16" t="str">
        <f t="shared" si="93"/>
        <v>A</v>
      </c>
      <c r="EG396" s="16">
        <f t="shared" si="94"/>
        <v>3</v>
      </c>
      <c r="EH396" s="16" t="str">
        <f t="shared" si="95"/>
        <v>Mercredi</v>
      </c>
      <c r="EI396" s="16" t="str">
        <f t="shared" si="96"/>
        <v/>
      </c>
      <c r="FD396" s="30"/>
    </row>
    <row r="397" spans="1:164" x14ac:dyDescent="0.2">
      <c r="A397" s="16" t="str">
        <f t="shared" si="89"/>
        <v>Fiche info Avenant 5A4</v>
      </c>
      <c r="B397" s="16" t="str">
        <f t="shared" si="99"/>
        <v>Fiche info Avenant 5</v>
      </c>
      <c r="C397" s="27" t="s">
        <v>235</v>
      </c>
      <c r="D397" s="27">
        <v>4</v>
      </c>
      <c r="E397" s="16" t="s">
        <v>20</v>
      </c>
      <c r="F397" s="34" t="str">
        <f>IF('Fiche info Avenant 5'!$K$10=0,"",'Fiche info Avenant 5'!$K$10)</f>
        <v/>
      </c>
      <c r="G397" s="16">
        <f t="shared" si="97"/>
        <v>0</v>
      </c>
      <c r="BX397" s="16" t="str">
        <f t="shared" si="98"/>
        <v>Fiche info Avenant 5A4</v>
      </c>
      <c r="BY397" s="449">
        <f>'Fiche info Avenant 5'!$B$10</f>
        <v>0</v>
      </c>
      <c r="BZ397" s="449">
        <f>'Fiche info Avenant 5'!$C$10</f>
        <v>0</v>
      </c>
      <c r="CA397" s="449">
        <f>'Fiche info Avenant 5'!$D$10</f>
        <v>0</v>
      </c>
      <c r="CB397" s="449">
        <f>'Fiche info Avenant 5'!$E$10</f>
        <v>0</v>
      </c>
      <c r="CC397" s="449">
        <f>'Fiche info Avenant 5'!$F$10</f>
        <v>0</v>
      </c>
      <c r="CD397" s="449">
        <f>'Fiche info Avenant 5'!$G$10</f>
        <v>0</v>
      </c>
      <c r="CE397" s="449">
        <f>'Fiche info Avenant 5'!$H$10</f>
        <v>0</v>
      </c>
      <c r="CF397" s="449">
        <f>'Fiche info Avenant 5'!$I$10</f>
        <v>0</v>
      </c>
      <c r="ED397" s="16" t="str">
        <f t="shared" si="90"/>
        <v>Fiche info Avenant 5A</v>
      </c>
      <c r="EE397" s="16" t="str">
        <f t="shared" si="92"/>
        <v>Fiche info Avenant 5</v>
      </c>
      <c r="EF397" s="16" t="str">
        <f t="shared" si="93"/>
        <v>A</v>
      </c>
      <c r="EG397" s="16">
        <f t="shared" si="94"/>
        <v>4</v>
      </c>
      <c r="EH397" s="16" t="str">
        <f t="shared" si="95"/>
        <v>Jeudi</v>
      </c>
      <c r="EI397" s="16" t="str">
        <f t="shared" si="96"/>
        <v/>
      </c>
    </row>
    <row r="398" spans="1:164" x14ac:dyDescent="0.2">
      <c r="A398" s="16" t="str">
        <f t="shared" si="89"/>
        <v>Fiche info Avenant 5A5</v>
      </c>
      <c r="B398" s="16" t="str">
        <f t="shared" si="99"/>
        <v>Fiche info Avenant 5</v>
      </c>
      <c r="C398" s="27" t="s">
        <v>235</v>
      </c>
      <c r="D398" s="27">
        <v>5</v>
      </c>
      <c r="E398" s="16" t="s">
        <v>21</v>
      </c>
      <c r="F398" s="34" t="str">
        <f>IF('Fiche info Avenant 5'!$K$11=0,"",'Fiche info Avenant 5'!$K$11)</f>
        <v/>
      </c>
      <c r="G398" s="16">
        <f t="shared" si="97"/>
        <v>0</v>
      </c>
      <c r="BX398" s="16" t="str">
        <f t="shared" si="98"/>
        <v>Fiche info Avenant 5A5</v>
      </c>
      <c r="BY398" s="449">
        <f>'Fiche info Avenant 5'!$B$11</f>
        <v>0</v>
      </c>
      <c r="BZ398" s="449">
        <f>'Fiche info Avenant 5'!$C$11</f>
        <v>0</v>
      </c>
      <c r="CA398" s="449">
        <f>'Fiche info Avenant 5'!$D$11</f>
        <v>0</v>
      </c>
      <c r="CB398" s="449">
        <f>'Fiche info Avenant 5'!$E$11</f>
        <v>0</v>
      </c>
      <c r="CC398" s="449">
        <f>'Fiche info Avenant 5'!$F$11</f>
        <v>0</v>
      </c>
      <c r="CD398" s="449">
        <f>'Fiche info Avenant 5'!$G$11</f>
        <v>0</v>
      </c>
      <c r="CE398" s="449">
        <f>'Fiche info Avenant 5'!$H$11</f>
        <v>0</v>
      </c>
      <c r="CF398" s="449">
        <f>'Fiche info Avenant 5'!$I$11</f>
        <v>0</v>
      </c>
      <c r="ED398" s="16" t="str">
        <f t="shared" si="90"/>
        <v>Fiche info Avenant 5A</v>
      </c>
      <c r="EE398" s="16" t="str">
        <f t="shared" si="92"/>
        <v>Fiche info Avenant 5</v>
      </c>
      <c r="EF398" s="16" t="str">
        <f t="shared" si="93"/>
        <v>A</v>
      </c>
      <c r="EG398" s="16">
        <f t="shared" si="94"/>
        <v>5</v>
      </c>
      <c r="EH398" s="16" t="str">
        <f t="shared" si="95"/>
        <v>Vendredi</v>
      </c>
      <c r="EI398" s="16" t="str">
        <f t="shared" si="96"/>
        <v/>
      </c>
    </row>
    <row r="399" spans="1:164" x14ac:dyDescent="0.2">
      <c r="A399" s="16" t="str">
        <f t="shared" si="89"/>
        <v>Fiche info Avenant 5A6</v>
      </c>
      <c r="B399" s="16" t="str">
        <f t="shared" si="99"/>
        <v>Fiche info Avenant 5</v>
      </c>
      <c r="C399" s="27" t="s">
        <v>235</v>
      </c>
      <c r="D399" s="27">
        <v>6</v>
      </c>
      <c r="E399" s="16" t="s">
        <v>193</v>
      </c>
      <c r="F399" s="34" t="str">
        <f>IF('Fiche info Avenant 5'!$K$12=0,"",'Fiche info Avenant 5'!$K$12)</f>
        <v/>
      </c>
      <c r="G399" s="16">
        <f t="shared" si="97"/>
        <v>0</v>
      </c>
      <c r="BX399" s="16" t="str">
        <f t="shared" si="98"/>
        <v>Fiche info Avenant 5A6</v>
      </c>
      <c r="BY399" s="449">
        <f>'Fiche info Avenant 5'!$B$12</f>
        <v>0</v>
      </c>
      <c r="BZ399" s="449">
        <f>'Fiche info Avenant 5'!$C$12</f>
        <v>0</v>
      </c>
      <c r="CA399" s="449">
        <f>'Fiche info Avenant 5'!$D$12</f>
        <v>0</v>
      </c>
      <c r="CB399" s="449">
        <f>'Fiche info Avenant 5'!$E$12</f>
        <v>0</v>
      </c>
      <c r="CC399" s="449">
        <f>'Fiche info Avenant 5'!$F$12</f>
        <v>0</v>
      </c>
      <c r="CD399" s="449">
        <f>'Fiche info Avenant 5'!$G$12</f>
        <v>0</v>
      </c>
      <c r="CE399" s="449">
        <f>'Fiche info Avenant 5'!$H$12</f>
        <v>0</v>
      </c>
      <c r="CF399" s="449">
        <f>'Fiche info Avenant 5'!$I$12</f>
        <v>0</v>
      </c>
      <c r="ED399" s="16" t="str">
        <f t="shared" si="90"/>
        <v>Fiche info Avenant 5A</v>
      </c>
      <c r="EE399" s="16" t="str">
        <f t="shared" si="92"/>
        <v>Fiche info Avenant 5</v>
      </c>
      <c r="EF399" s="16" t="str">
        <f t="shared" si="93"/>
        <v>A</v>
      </c>
      <c r="EG399" s="16">
        <f t="shared" si="94"/>
        <v>6</v>
      </c>
      <c r="EH399" s="16" t="str">
        <f t="shared" si="95"/>
        <v>Samedi</v>
      </c>
      <c r="EI399" s="16" t="str">
        <f t="shared" si="96"/>
        <v/>
      </c>
    </row>
    <row r="400" spans="1:164" x14ac:dyDescent="0.2">
      <c r="A400" s="16" t="str">
        <f t="shared" si="89"/>
        <v>Fiche info Avenant 5A7</v>
      </c>
      <c r="B400" s="16" t="str">
        <f t="shared" si="99"/>
        <v>Fiche info Avenant 5</v>
      </c>
      <c r="C400" s="27" t="s">
        <v>235</v>
      </c>
      <c r="D400" s="27">
        <v>7</v>
      </c>
      <c r="E400" s="16" t="s">
        <v>194</v>
      </c>
      <c r="F400" s="34" t="str">
        <f>IF('Fiche info Avenant 5'!$K$13=0,"",'Fiche info Avenant 5'!$K$13)</f>
        <v/>
      </c>
      <c r="G400" s="16">
        <f t="shared" si="97"/>
        <v>0</v>
      </c>
      <c r="BX400" s="16" t="str">
        <f t="shared" si="98"/>
        <v>Fiche info Avenant 5A7</v>
      </c>
      <c r="BY400" s="449">
        <f>'Fiche info Avenant 5'!$B$13</f>
        <v>0</v>
      </c>
      <c r="BZ400" s="449">
        <f>'Fiche info Avenant 5'!$C$13</f>
        <v>0</v>
      </c>
      <c r="CA400" s="449">
        <f>'Fiche info Avenant 5'!$D$13</f>
        <v>0</v>
      </c>
      <c r="CB400" s="449">
        <f>'Fiche info Avenant 5'!$E$13</f>
        <v>0</v>
      </c>
      <c r="CC400" s="449">
        <f>'Fiche info Avenant 5'!$F$13</f>
        <v>0</v>
      </c>
      <c r="CD400" s="449">
        <f>'Fiche info Avenant 5'!$G$13</f>
        <v>0</v>
      </c>
      <c r="CE400" s="449">
        <f>'Fiche info Avenant 5'!$H$13</f>
        <v>0</v>
      </c>
      <c r="CF400" s="449">
        <f>'Fiche info Avenant 5'!$I$13</f>
        <v>0</v>
      </c>
      <c r="ED400" s="16" t="str">
        <f t="shared" si="90"/>
        <v>Fiche info Avenant 5A</v>
      </c>
      <c r="EE400" s="16" t="str">
        <f t="shared" si="92"/>
        <v>Fiche info Avenant 5</v>
      </c>
      <c r="EF400" s="16" t="str">
        <f t="shared" si="93"/>
        <v>A</v>
      </c>
      <c r="EG400" s="16">
        <f t="shared" si="94"/>
        <v>7</v>
      </c>
      <c r="EH400" s="16" t="str">
        <f t="shared" si="95"/>
        <v>Dimanche</v>
      </c>
      <c r="EI400" s="16" t="str">
        <f t="shared" si="96"/>
        <v/>
      </c>
    </row>
    <row r="401" spans="1:139" x14ac:dyDescent="0.2">
      <c r="A401" s="16" t="str">
        <f t="shared" si="89"/>
        <v>Fiche info Avenant 5B1</v>
      </c>
      <c r="B401" s="16" t="str">
        <f t="shared" si="99"/>
        <v>Fiche info Avenant 5</v>
      </c>
      <c r="C401" s="27" t="s">
        <v>236</v>
      </c>
      <c r="D401" s="27">
        <v>1</v>
      </c>
      <c r="E401" s="16" t="s">
        <v>17</v>
      </c>
      <c r="F401" s="34" t="str">
        <f>+IF('Fiche info Avenant 5'!$V$7=0,"",'Fiche info Avenant 5'!$V$7)</f>
        <v/>
      </c>
      <c r="G401" s="16">
        <f t="shared" si="97"/>
        <v>0</v>
      </c>
      <c r="BX401" s="16" t="str">
        <f t="shared" si="98"/>
        <v>Fiche info Avenant 5B1</v>
      </c>
      <c r="BY401" s="449">
        <f>'Fiche info Avenant 5'!$M$7</f>
        <v>0</v>
      </c>
      <c r="BZ401" s="449">
        <f>'Fiche info Avenant 5'!$N$7</f>
        <v>0</v>
      </c>
      <c r="CA401" s="449">
        <f>'Fiche info Avenant 5'!$O$7</f>
        <v>0</v>
      </c>
      <c r="CB401" s="449">
        <f>'Fiche info Avenant 5'!$P$7</f>
        <v>0</v>
      </c>
      <c r="CC401" s="449">
        <f>'Fiche info Avenant 5'!$Q$7</f>
        <v>0</v>
      </c>
      <c r="CD401" s="449">
        <f>'Fiche info Avenant 5'!$R$7</f>
        <v>0</v>
      </c>
      <c r="CE401" s="449">
        <f>'Fiche info Avenant 5'!$S$7</f>
        <v>0</v>
      </c>
      <c r="CF401" s="449">
        <f>'Fiche info Avenant 5'!$T$7</f>
        <v>0</v>
      </c>
      <c r="ED401" s="16" t="str">
        <f t="shared" si="90"/>
        <v>Fiche info Avenant 5B</v>
      </c>
      <c r="EE401" s="16" t="str">
        <f t="shared" si="92"/>
        <v>Fiche info Avenant 5</v>
      </c>
      <c r="EF401" s="16" t="str">
        <f t="shared" si="93"/>
        <v>B</v>
      </c>
      <c r="EG401" s="16">
        <f t="shared" si="94"/>
        <v>1</v>
      </c>
      <c r="EH401" s="16" t="str">
        <f t="shared" si="95"/>
        <v>Lundi</v>
      </c>
      <c r="EI401" s="16" t="str">
        <f t="shared" si="96"/>
        <v/>
      </c>
    </row>
    <row r="402" spans="1:139" x14ac:dyDescent="0.2">
      <c r="A402" s="16" t="str">
        <f t="shared" si="89"/>
        <v>Fiche info Avenant 5B2</v>
      </c>
      <c r="B402" s="16" t="str">
        <f t="shared" si="99"/>
        <v>Fiche info Avenant 5</v>
      </c>
      <c r="C402" s="27" t="s">
        <v>236</v>
      </c>
      <c r="D402" s="27">
        <v>2</v>
      </c>
      <c r="E402" s="16" t="s">
        <v>18</v>
      </c>
      <c r="F402" s="34" t="str">
        <f>+IF('Fiche info Avenant 5'!$V$8=0,"",'Fiche info Avenant 5'!$V$8)</f>
        <v/>
      </c>
      <c r="G402" s="16">
        <f t="shared" si="97"/>
        <v>0</v>
      </c>
      <c r="BX402" s="16" t="str">
        <f t="shared" si="98"/>
        <v>Fiche info Avenant 5B2</v>
      </c>
      <c r="BY402" s="449">
        <f>'Fiche info Avenant 5'!$M$8</f>
        <v>0</v>
      </c>
      <c r="BZ402" s="449">
        <f>'Fiche info Avenant 5'!$N$8</f>
        <v>0</v>
      </c>
      <c r="CA402" s="449">
        <f>'Fiche info Avenant 5'!$O$8</f>
        <v>0</v>
      </c>
      <c r="CB402" s="449">
        <f>'Fiche info Avenant 5'!$P$8</f>
        <v>0</v>
      </c>
      <c r="CC402" s="449">
        <f>'Fiche info Avenant 5'!$Q$8</f>
        <v>0</v>
      </c>
      <c r="CD402" s="449">
        <f>'Fiche info Avenant 5'!$R$8</f>
        <v>0</v>
      </c>
      <c r="CE402" s="449">
        <f>'Fiche info Avenant 5'!$S$8</f>
        <v>0</v>
      </c>
      <c r="CF402" s="449">
        <f>'Fiche info Avenant 5'!$T$8</f>
        <v>0</v>
      </c>
      <c r="ED402" s="16" t="str">
        <f t="shared" si="90"/>
        <v>Fiche info Avenant 5B</v>
      </c>
      <c r="EE402" s="16" t="str">
        <f t="shared" si="92"/>
        <v>Fiche info Avenant 5</v>
      </c>
      <c r="EF402" s="16" t="str">
        <f t="shared" si="93"/>
        <v>B</v>
      </c>
      <c r="EG402" s="16">
        <f t="shared" si="94"/>
        <v>2</v>
      </c>
      <c r="EH402" s="16" t="str">
        <f t="shared" si="95"/>
        <v>Mardi</v>
      </c>
      <c r="EI402" s="16" t="str">
        <f t="shared" si="96"/>
        <v/>
      </c>
    </row>
    <row r="403" spans="1:139" x14ac:dyDescent="0.2">
      <c r="A403" s="16" t="str">
        <f t="shared" si="89"/>
        <v>Fiche info Avenant 5B3</v>
      </c>
      <c r="B403" s="16" t="str">
        <f t="shared" si="99"/>
        <v>Fiche info Avenant 5</v>
      </c>
      <c r="C403" s="27" t="s">
        <v>236</v>
      </c>
      <c r="D403" s="27">
        <v>3</v>
      </c>
      <c r="E403" s="16" t="s">
        <v>19</v>
      </c>
      <c r="F403" s="34" t="str">
        <f>+IF('Fiche info Avenant 5'!$V$9=0,"",'Fiche info Avenant 5'!$V$9)</f>
        <v/>
      </c>
      <c r="G403" s="16">
        <f t="shared" si="97"/>
        <v>0</v>
      </c>
      <c r="BX403" s="16" t="str">
        <f t="shared" si="98"/>
        <v>Fiche info Avenant 5B3</v>
      </c>
      <c r="BY403" s="449">
        <f>'Fiche info Avenant 5'!$M$9</f>
        <v>0</v>
      </c>
      <c r="BZ403" s="449">
        <f>'Fiche info Avenant 5'!$N$9</f>
        <v>0</v>
      </c>
      <c r="CA403" s="449">
        <f>'Fiche info Avenant 5'!$O$9</f>
        <v>0</v>
      </c>
      <c r="CB403" s="449">
        <f>'Fiche info Avenant 5'!$P$9</f>
        <v>0</v>
      </c>
      <c r="CC403" s="449">
        <f>'Fiche info Avenant 5'!$Q$9</f>
        <v>0</v>
      </c>
      <c r="CD403" s="449">
        <f>'Fiche info Avenant 5'!$R$9</f>
        <v>0</v>
      </c>
      <c r="CE403" s="449">
        <f>'Fiche info Avenant 5'!$S$9</f>
        <v>0</v>
      </c>
      <c r="CF403" s="449">
        <f>'Fiche info Avenant 5'!$T$9</f>
        <v>0</v>
      </c>
      <c r="ED403" s="16" t="str">
        <f t="shared" si="90"/>
        <v>Fiche info Avenant 5B</v>
      </c>
      <c r="EE403" s="16" t="str">
        <f t="shared" si="92"/>
        <v>Fiche info Avenant 5</v>
      </c>
      <c r="EF403" s="16" t="str">
        <f t="shared" si="93"/>
        <v>B</v>
      </c>
      <c r="EG403" s="16">
        <f t="shared" si="94"/>
        <v>3</v>
      </c>
      <c r="EH403" s="16" t="str">
        <f t="shared" si="95"/>
        <v>Mercredi</v>
      </c>
      <c r="EI403" s="16" t="str">
        <f t="shared" si="96"/>
        <v/>
      </c>
    </row>
    <row r="404" spans="1:139" x14ac:dyDescent="0.2">
      <c r="A404" s="16" t="str">
        <f t="shared" si="89"/>
        <v>Fiche info Avenant 5B4</v>
      </c>
      <c r="B404" s="16" t="str">
        <f t="shared" si="99"/>
        <v>Fiche info Avenant 5</v>
      </c>
      <c r="C404" s="27" t="s">
        <v>236</v>
      </c>
      <c r="D404" s="27">
        <v>4</v>
      </c>
      <c r="E404" s="16" t="s">
        <v>20</v>
      </c>
      <c r="F404" s="34" t="str">
        <f>+IF('Fiche info Avenant 5'!$V$10=0,"",'Fiche info Avenant 5'!$V$10)</f>
        <v/>
      </c>
      <c r="G404" s="16">
        <f t="shared" si="97"/>
        <v>0</v>
      </c>
      <c r="BX404" s="16" t="str">
        <f t="shared" si="98"/>
        <v>Fiche info Avenant 5B4</v>
      </c>
      <c r="BY404" s="449">
        <f>'Fiche info Avenant 5'!$M$10</f>
        <v>0</v>
      </c>
      <c r="BZ404" s="449">
        <f>'Fiche info Avenant 5'!$N$10</f>
        <v>0</v>
      </c>
      <c r="CA404" s="449">
        <f>'Fiche info Avenant 5'!$O$10</f>
        <v>0</v>
      </c>
      <c r="CB404" s="449">
        <f>'Fiche info Avenant 5'!$P$10</f>
        <v>0</v>
      </c>
      <c r="CC404" s="449">
        <f>'Fiche info Avenant 5'!$Q$10</f>
        <v>0</v>
      </c>
      <c r="CD404" s="449">
        <f>'Fiche info Avenant 5'!$R$10</f>
        <v>0</v>
      </c>
      <c r="CE404" s="449">
        <f>'Fiche info Avenant 5'!$S$10</f>
        <v>0</v>
      </c>
      <c r="CF404" s="449">
        <f>'Fiche info Avenant 5'!$T$10</f>
        <v>0</v>
      </c>
      <c r="ED404" s="16" t="str">
        <f t="shared" si="90"/>
        <v>Fiche info Avenant 5B</v>
      </c>
      <c r="EE404" s="16" t="str">
        <f t="shared" si="92"/>
        <v>Fiche info Avenant 5</v>
      </c>
      <c r="EF404" s="16" t="str">
        <f t="shared" si="93"/>
        <v>B</v>
      </c>
      <c r="EG404" s="16">
        <f t="shared" si="94"/>
        <v>4</v>
      </c>
      <c r="EH404" s="16" t="str">
        <f t="shared" si="95"/>
        <v>Jeudi</v>
      </c>
      <c r="EI404" s="16" t="str">
        <f t="shared" si="96"/>
        <v/>
      </c>
    </row>
    <row r="405" spans="1:139" x14ac:dyDescent="0.2">
      <c r="A405" s="16" t="str">
        <f t="shared" si="89"/>
        <v>Fiche info Avenant 5B5</v>
      </c>
      <c r="B405" s="16" t="str">
        <f t="shared" si="99"/>
        <v>Fiche info Avenant 5</v>
      </c>
      <c r="C405" s="27" t="s">
        <v>236</v>
      </c>
      <c r="D405" s="27">
        <v>5</v>
      </c>
      <c r="E405" s="16" t="s">
        <v>21</v>
      </c>
      <c r="F405" s="34" t="str">
        <f>+IF('Fiche info Avenant 5'!$V$11=0,"",'Fiche info Avenant 5'!$V$11)</f>
        <v/>
      </c>
      <c r="G405" s="16">
        <f t="shared" si="97"/>
        <v>0</v>
      </c>
      <c r="BX405" s="16" t="str">
        <f t="shared" si="98"/>
        <v>Fiche info Avenant 5B5</v>
      </c>
      <c r="BY405" s="449">
        <f>'Fiche info Avenant 5'!$M$11</f>
        <v>0</v>
      </c>
      <c r="BZ405" s="449">
        <f>'Fiche info Avenant 5'!$N$11</f>
        <v>0</v>
      </c>
      <c r="CA405" s="449">
        <f>'Fiche info Avenant 5'!$O$11</f>
        <v>0</v>
      </c>
      <c r="CB405" s="449">
        <f>'Fiche info Avenant 5'!$P$11</f>
        <v>0</v>
      </c>
      <c r="CC405" s="449">
        <f>'Fiche info Avenant 5'!$Q$11</f>
        <v>0</v>
      </c>
      <c r="CD405" s="449">
        <f>'Fiche info Avenant 5'!$R$11</f>
        <v>0</v>
      </c>
      <c r="CE405" s="449">
        <f>'Fiche info Avenant 5'!$S$11</f>
        <v>0</v>
      </c>
      <c r="CF405" s="449">
        <f>'Fiche info Avenant 5'!$T$11</f>
        <v>0</v>
      </c>
      <c r="ED405" s="16" t="str">
        <f t="shared" si="90"/>
        <v>Fiche info Avenant 5B</v>
      </c>
      <c r="EE405" s="16" t="str">
        <f t="shared" si="92"/>
        <v>Fiche info Avenant 5</v>
      </c>
      <c r="EF405" s="16" t="str">
        <f t="shared" si="93"/>
        <v>B</v>
      </c>
      <c r="EG405" s="16">
        <f t="shared" si="94"/>
        <v>5</v>
      </c>
      <c r="EH405" s="16" t="str">
        <f t="shared" si="95"/>
        <v>Vendredi</v>
      </c>
      <c r="EI405" s="16" t="str">
        <f t="shared" si="96"/>
        <v/>
      </c>
    </row>
    <row r="406" spans="1:139" x14ac:dyDescent="0.2">
      <c r="A406" s="16" t="str">
        <f t="shared" si="89"/>
        <v>Fiche info Avenant 5B6</v>
      </c>
      <c r="B406" s="16" t="str">
        <f t="shared" si="99"/>
        <v>Fiche info Avenant 5</v>
      </c>
      <c r="C406" s="27" t="s">
        <v>236</v>
      </c>
      <c r="D406" s="27">
        <v>6</v>
      </c>
      <c r="E406" s="16" t="s">
        <v>193</v>
      </c>
      <c r="F406" s="34" t="str">
        <f>+IF('Fiche info Avenant 5'!$V$12=0,"",'Fiche info Avenant 5'!$V$12)</f>
        <v/>
      </c>
      <c r="G406" s="16">
        <f t="shared" si="97"/>
        <v>0</v>
      </c>
      <c r="BX406" s="16" t="str">
        <f t="shared" si="98"/>
        <v>Fiche info Avenant 5B6</v>
      </c>
      <c r="BY406" s="449">
        <f>'Fiche info Avenant 5'!$M$12</f>
        <v>0</v>
      </c>
      <c r="BZ406" s="449">
        <f>'Fiche info Avenant 5'!$N$12</f>
        <v>0</v>
      </c>
      <c r="CA406" s="449">
        <f>'Fiche info Avenant 5'!$O$12</f>
        <v>0</v>
      </c>
      <c r="CB406" s="449">
        <f>'Fiche info Avenant 5'!$P$12</f>
        <v>0</v>
      </c>
      <c r="CC406" s="449">
        <f>'Fiche info Avenant 5'!$Q$12</f>
        <v>0</v>
      </c>
      <c r="CD406" s="449">
        <f>'Fiche info Avenant 5'!$R$12</f>
        <v>0</v>
      </c>
      <c r="CE406" s="449">
        <f>'Fiche info Avenant 5'!$S$12</f>
        <v>0</v>
      </c>
      <c r="CF406" s="449">
        <f>'Fiche info Avenant 5'!$T$12</f>
        <v>0</v>
      </c>
      <c r="ED406" s="16" t="str">
        <f t="shared" si="90"/>
        <v>Fiche info Avenant 5B</v>
      </c>
      <c r="EE406" s="16" t="str">
        <f t="shared" si="92"/>
        <v>Fiche info Avenant 5</v>
      </c>
      <c r="EF406" s="16" t="str">
        <f t="shared" si="93"/>
        <v>B</v>
      </c>
      <c r="EG406" s="16">
        <f t="shared" si="94"/>
        <v>6</v>
      </c>
      <c r="EH406" s="16" t="str">
        <f t="shared" si="95"/>
        <v>Samedi</v>
      </c>
      <c r="EI406" s="16" t="str">
        <f t="shared" si="96"/>
        <v/>
      </c>
    </row>
    <row r="407" spans="1:139" x14ac:dyDescent="0.2">
      <c r="A407" s="16" t="str">
        <f t="shared" si="89"/>
        <v>Fiche info Avenant 5B7</v>
      </c>
      <c r="B407" s="16" t="str">
        <f t="shared" si="99"/>
        <v>Fiche info Avenant 5</v>
      </c>
      <c r="C407" s="27" t="s">
        <v>236</v>
      </c>
      <c r="D407" s="27">
        <v>7</v>
      </c>
      <c r="E407" s="16" t="s">
        <v>194</v>
      </c>
      <c r="F407" s="34" t="str">
        <f>+IF('Fiche info Avenant 5'!$V$13=0,"",'Fiche info Avenant 5'!$V$13)</f>
        <v/>
      </c>
      <c r="G407" s="16">
        <f t="shared" si="97"/>
        <v>0</v>
      </c>
      <c r="BX407" s="16" t="str">
        <f t="shared" si="98"/>
        <v>Fiche info Avenant 5B7</v>
      </c>
      <c r="BY407" s="449">
        <f>'Fiche info Avenant 5'!$M$13</f>
        <v>0</v>
      </c>
      <c r="BZ407" s="449">
        <f>'Fiche info Avenant 5'!$N$13</f>
        <v>0</v>
      </c>
      <c r="CA407" s="449">
        <f>'Fiche info Avenant 5'!$O$13</f>
        <v>0</v>
      </c>
      <c r="CB407" s="449">
        <f>'Fiche info Avenant 5'!$P$13</f>
        <v>0</v>
      </c>
      <c r="CC407" s="449">
        <f>'Fiche info Avenant 5'!$Q$13</f>
        <v>0</v>
      </c>
      <c r="CD407" s="449">
        <f>'Fiche info Avenant 5'!$R$13</f>
        <v>0</v>
      </c>
      <c r="CE407" s="449">
        <f>'Fiche info Avenant 5'!$S$13</f>
        <v>0</v>
      </c>
      <c r="CF407" s="449">
        <f>'Fiche info Avenant 5'!$T$13</f>
        <v>0</v>
      </c>
      <c r="ED407" s="16" t="str">
        <f t="shared" si="90"/>
        <v>Fiche info Avenant 5B</v>
      </c>
      <c r="EE407" s="16" t="str">
        <f t="shared" si="92"/>
        <v>Fiche info Avenant 5</v>
      </c>
      <c r="EF407" s="16" t="str">
        <f t="shared" si="93"/>
        <v>B</v>
      </c>
      <c r="EG407" s="16">
        <f t="shared" si="94"/>
        <v>7</v>
      </c>
      <c r="EH407" s="16" t="str">
        <f t="shared" si="95"/>
        <v>Dimanche</v>
      </c>
      <c r="EI407" s="16" t="str">
        <f t="shared" si="96"/>
        <v/>
      </c>
    </row>
    <row r="408" spans="1:139" x14ac:dyDescent="0.2">
      <c r="A408" s="16" t="str">
        <f t="shared" si="89"/>
        <v>Fiche info Avenant 5C1</v>
      </c>
      <c r="B408" s="16" t="str">
        <f t="shared" si="99"/>
        <v>Fiche info Avenant 5</v>
      </c>
      <c r="C408" s="27" t="s">
        <v>241</v>
      </c>
      <c r="D408" s="27">
        <v>1</v>
      </c>
      <c r="E408" s="16" t="s">
        <v>17</v>
      </c>
      <c r="F408" s="34" t="str">
        <f>+IF('Fiche info Avenant 5'!$AG$7=0,"",'Fiche info Avenant 5'!$AG$7)</f>
        <v/>
      </c>
      <c r="G408" s="16">
        <f t="shared" si="97"/>
        <v>0</v>
      </c>
      <c r="BX408" s="16" t="str">
        <f t="shared" si="98"/>
        <v>Fiche info Avenant 5C1</v>
      </c>
      <c r="BY408" s="449">
        <f>'Fiche info Avenant 5'!$X$7</f>
        <v>0</v>
      </c>
      <c r="BZ408" s="449">
        <f>'Fiche info Avenant 5'!$Y$7</f>
        <v>0</v>
      </c>
      <c r="CA408" s="449">
        <f>'Fiche info Avenant 5'!$Z$7</f>
        <v>0</v>
      </c>
      <c r="CB408" s="449">
        <f>'Fiche info Avenant 5'!$AA$7</f>
        <v>0</v>
      </c>
      <c r="CC408" s="449">
        <f>'Fiche info Avenant 5'!$AB$7</f>
        <v>0</v>
      </c>
      <c r="CD408" s="449">
        <f>'Fiche info Avenant 5'!$AC$7</f>
        <v>0</v>
      </c>
      <c r="CE408" s="449">
        <f>'Fiche info Avenant 5'!$AD$7</f>
        <v>0</v>
      </c>
      <c r="CF408" s="449">
        <f>'Fiche info Avenant 5'!$AE$7</f>
        <v>0</v>
      </c>
      <c r="ED408" s="16" t="str">
        <f t="shared" si="90"/>
        <v>Fiche info Avenant 5C</v>
      </c>
      <c r="EE408" s="16" t="str">
        <f t="shared" si="92"/>
        <v>Fiche info Avenant 5</v>
      </c>
      <c r="EF408" s="16" t="str">
        <f t="shared" si="93"/>
        <v>C</v>
      </c>
      <c r="EG408" s="16">
        <f t="shared" si="94"/>
        <v>1</v>
      </c>
      <c r="EH408" s="16" t="str">
        <f t="shared" si="95"/>
        <v>Lundi</v>
      </c>
      <c r="EI408" s="16" t="str">
        <f t="shared" si="96"/>
        <v/>
      </c>
    </row>
    <row r="409" spans="1:139" x14ac:dyDescent="0.2">
      <c r="A409" s="16" t="str">
        <f t="shared" si="89"/>
        <v>Fiche info Avenant 5C2</v>
      </c>
      <c r="B409" s="16" t="str">
        <f t="shared" si="99"/>
        <v>Fiche info Avenant 5</v>
      </c>
      <c r="C409" s="27" t="s">
        <v>241</v>
      </c>
      <c r="D409" s="27">
        <v>2</v>
      </c>
      <c r="E409" s="16" t="s">
        <v>18</v>
      </c>
      <c r="F409" s="34" t="str">
        <f>+IF('Fiche info Avenant 5'!$AG$8=0,"",'Fiche info Avenant 5'!$AG$8)</f>
        <v/>
      </c>
      <c r="G409" s="16">
        <f t="shared" si="97"/>
        <v>0</v>
      </c>
      <c r="BX409" s="16" t="str">
        <f t="shared" si="98"/>
        <v>Fiche info Avenant 5C2</v>
      </c>
      <c r="BY409" s="449">
        <f>'Fiche info Avenant 5'!$X$8</f>
        <v>0</v>
      </c>
      <c r="BZ409" s="449">
        <f>'Fiche info Avenant 5'!$Y$8</f>
        <v>0</v>
      </c>
      <c r="CA409" s="449">
        <f>'Fiche info Avenant 5'!$Z$8</f>
        <v>0</v>
      </c>
      <c r="CB409" s="449">
        <f>'Fiche info Avenant 5'!$AA$8</f>
        <v>0</v>
      </c>
      <c r="CC409" s="449">
        <f>'Fiche info Avenant 5'!$AB$8</f>
        <v>0</v>
      </c>
      <c r="CD409" s="449">
        <f>'Fiche info Avenant 5'!$AC$8</f>
        <v>0</v>
      </c>
      <c r="CE409" s="449">
        <f>'Fiche info Avenant 5'!$AD$8</f>
        <v>0</v>
      </c>
      <c r="CF409" s="449">
        <f>'Fiche info Avenant 5'!$AE$8</f>
        <v>0</v>
      </c>
      <c r="ED409" s="16" t="str">
        <f t="shared" si="90"/>
        <v>Fiche info Avenant 5C</v>
      </c>
      <c r="EE409" s="16" t="str">
        <f t="shared" si="92"/>
        <v>Fiche info Avenant 5</v>
      </c>
      <c r="EF409" s="16" t="str">
        <f t="shared" si="93"/>
        <v>C</v>
      </c>
      <c r="EG409" s="16">
        <f t="shared" si="94"/>
        <v>2</v>
      </c>
      <c r="EH409" s="16" t="str">
        <f t="shared" si="95"/>
        <v>Mardi</v>
      </c>
      <c r="EI409" s="16" t="str">
        <f t="shared" si="96"/>
        <v/>
      </c>
    </row>
    <row r="410" spans="1:139" x14ac:dyDescent="0.2">
      <c r="A410" s="16" t="str">
        <f t="shared" si="89"/>
        <v>Fiche info Avenant 5C3</v>
      </c>
      <c r="B410" s="16" t="str">
        <f t="shared" si="99"/>
        <v>Fiche info Avenant 5</v>
      </c>
      <c r="C410" s="27" t="s">
        <v>241</v>
      </c>
      <c r="D410" s="27">
        <v>3</v>
      </c>
      <c r="E410" s="16" t="s">
        <v>19</v>
      </c>
      <c r="F410" s="34" t="str">
        <f>+IF('Fiche info Avenant 5'!$AG$9=0,"",'Fiche info Avenant 5'!$AG$9)</f>
        <v/>
      </c>
      <c r="G410" s="16">
        <f t="shared" si="97"/>
        <v>0</v>
      </c>
      <c r="BX410" s="16" t="str">
        <f t="shared" si="98"/>
        <v>Fiche info Avenant 5C3</v>
      </c>
      <c r="BY410" s="449">
        <f>'Fiche info Avenant 5'!$X$9</f>
        <v>0</v>
      </c>
      <c r="BZ410" s="449">
        <f>'Fiche info Avenant 5'!$Y$9</f>
        <v>0</v>
      </c>
      <c r="CA410" s="449">
        <f>'Fiche info Avenant 5'!$Z$9</f>
        <v>0</v>
      </c>
      <c r="CB410" s="449">
        <f>'Fiche info Avenant 5'!$AA$9</f>
        <v>0</v>
      </c>
      <c r="CC410" s="449">
        <f>'Fiche info Avenant 5'!$AB$9</f>
        <v>0</v>
      </c>
      <c r="CD410" s="449">
        <f>'Fiche info Avenant 5'!$AC$9</f>
        <v>0</v>
      </c>
      <c r="CE410" s="449">
        <f>'Fiche info Avenant 5'!$AD$9</f>
        <v>0</v>
      </c>
      <c r="CF410" s="449">
        <f>'Fiche info Avenant 5'!$AE$9</f>
        <v>0</v>
      </c>
      <c r="ED410" s="16" t="str">
        <f t="shared" si="90"/>
        <v>Fiche info Avenant 5C</v>
      </c>
      <c r="EE410" s="16" t="str">
        <f t="shared" si="92"/>
        <v>Fiche info Avenant 5</v>
      </c>
      <c r="EF410" s="16" t="str">
        <f t="shared" si="93"/>
        <v>C</v>
      </c>
      <c r="EG410" s="16">
        <f t="shared" si="94"/>
        <v>3</v>
      </c>
      <c r="EH410" s="16" t="str">
        <f t="shared" si="95"/>
        <v>Mercredi</v>
      </c>
      <c r="EI410" s="16" t="str">
        <f t="shared" si="96"/>
        <v/>
      </c>
    </row>
    <row r="411" spans="1:139" x14ac:dyDescent="0.2">
      <c r="A411" s="16" t="str">
        <f t="shared" si="89"/>
        <v>Fiche info Avenant 5C4</v>
      </c>
      <c r="B411" s="16" t="str">
        <f t="shared" si="99"/>
        <v>Fiche info Avenant 5</v>
      </c>
      <c r="C411" s="27" t="s">
        <v>241</v>
      </c>
      <c r="D411" s="27">
        <v>4</v>
      </c>
      <c r="E411" s="16" t="s">
        <v>20</v>
      </c>
      <c r="F411" s="34" t="str">
        <f>+IF('Fiche info Avenant 5'!$AG$10=0,"",'Fiche info Avenant 5'!$AG$10)</f>
        <v/>
      </c>
      <c r="G411" s="16">
        <f t="shared" si="97"/>
        <v>0</v>
      </c>
      <c r="BX411" s="16" t="str">
        <f t="shared" si="98"/>
        <v>Fiche info Avenant 5C4</v>
      </c>
      <c r="BY411" s="449">
        <f>'Fiche info Avenant 5'!$X$10</f>
        <v>0</v>
      </c>
      <c r="BZ411" s="449">
        <f>'Fiche info Avenant 5'!$Y$10</f>
        <v>0</v>
      </c>
      <c r="CA411" s="449">
        <f>'Fiche info Avenant 5'!$Z$10</f>
        <v>0</v>
      </c>
      <c r="CB411" s="449">
        <f>'Fiche info Avenant 5'!$AA$10</f>
        <v>0</v>
      </c>
      <c r="CC411" s="449">
        <f>'Fiche info Avenant 5'!$AB$10</f>
        <v>0</v>
      </c>
      <c r="CD411" s="449">
        <f>'Fiche info Avenant 5'!$AC$10</f>
        <v>0</v>
      </c>
      <c r="CE411" s="449">
        <f>'Fiche info Avenant 5'!$AD$10</f>
        <v>0</v>
      </c>
      <c r="CF411" s="449">
        <f>'Fiche info Avenant 5'!$AE$10</f>
        <v>0</v>
      </c>
      <c r="ED411" s="16" t="str">
        <f t="shared" si="90"/>
        <v>Fiche info Avenant 5C</v>
      </c>
      <c r="EE411" s="16" t="str">
        <f t="shared" si="92"/>
        <v>Fiche info Avenant 5</v>
      </c>
      <c r="EF411" s="16" t="str">
        <f t="shared" si="93"/>
        <v>C</v>
      </c>
      <c r="EG411" s="16">
        <f t="shared" si="94"/>
        <v>4</v>
      </c>
      <c r="EH411" s="16" t="str">
        <f t="shared" si="95"/>
        <v>Jeudi</v>
      </c>
      <c r="EI411" s="16" t="str">
        <f t="shared" si="96"/>
        <v/>
      </c>
    </row>
    <row r="412" spans="1:139" x14ac:dyDescent="0.2">
      <c r="A412" s="16" t="str">
        <f t="shared" si="89"/>
        <v>Fiche info Avenant 5C5</v>
      </c>
      <c r="B412" s="16" t="str">
        <f t="shared" si="99"/>
        <v>Fiche info Avenant 5</v>
      </c>
      <c r="C412" s="27" t="s">
        <v>241</v>
      </c>
      <c r="D412" s="27">
        <v>5</v>
      </c>
      <c r="E412" s="16" t="s">
        <v>21</v>
      </c>
      <c r="F412" s="34" t="str">
        <f>+IF('Fiche info Avenant 5'!$AG$11=0,"",'Fiche info Avenant 5'!$AG$11)</f>
        <v/>
      </c>
      <c r="G412" s="16">
        <f t="shared" si="97"/>
        <v>0</v>
      </c>
      <c r="BX412" s="16" t="str">
        <f t="shared" si="98"/>
        <v>Fiche info Avenant 5C5</v>
      </c>
      <c r="BY412" s="449">
        <f>'Fiche info Avenant 5'!$X$11</f>
        <v>0</v>
      </c>
      <c r="BZ412" s="449">
        <f>'Fiche info Avenant 5'!$Y$11</f>
        <v>0</v>
      </c>
      <c r="CA412" s="449">
        <f>'Fiche info Avenant 5'!$Z$11</f>
        <v>0</v>
      </c>
      <c r="CB412" s="449">
        <f>'Fiche info Avenant 5'!$AA$11</f>
        <v>0</v>
      </c>
      <c r="CC412" s="449">
        <f>'Fiche info Avenant 5'!$AB$11</f>
        <v>0</v>
      </c>
      <c r="CD412" s="449">
        <f>'Fiche info Avenant 5'!$AC$11</f>
        <v>0</v>
      </c>
      <c r="CE412" s="449">
        <f>'Fiche info Avenant 5'!$AD$11</f>
        <v>0</v>
      </c>
      <c r="CF412" s="449">
        <f>'Fiche info Avenant 5'!$AE$11</f>
        <v>0</v>
      </c>
      <c r="ED412" s="16" t="str">
        <f t="shared" si="90"/>
        <v>Fiche info Avenant 5C</v>
      </c>
      <c r="EE412" s="16" t="str">
        <f t="shared" si="92"/>
        <v>Fiche info Avenant 5</v>
      </c>
      <c r="EF412" s="16" t="str">
        <f t="shared" si="93"/>
        <v>C</v>
      </c>
      <c r="EG412" s="16">
        <f t="shared" si="94"/>
        <v>5</v>
      </c>
      <c r="EH412" s="16" t="str">
        <f t="shared" si="95"/>
        <v>Vendredi</v>
      </c>
      <c r="EI412" s="16" t="str">
        <f t="shared" si="96"/>
        <v/>
      </c>
    </row>
    <row r="413" spans="1:139" x14ac:dyDescent="0.2">
      <c r="A413" s="16" t="str">
        <f t="shared" si="89"/>
        <v>Fiche info Avenant 5C6</v>
      </c>
      <c r="B413" s="16" t="str">
        <f t="shared" si="99"/>
        <v>Fiche info Avenant 5</v>
      </c>
      <c r="C413" s="27" t="s">
        <v>241</v>
      </c>
      <c r="D413" s="27">
        <v>6</v>
      </c>
      <c r="E413" s="16" t="s">
        <v>193</v>
      </c>
      <c r="F413" s="34" t="str">
        <f>+IF('Fiche info Avenant 5'!$AG$12=0,"",'Fiche info Avenant 5'!$AG$12)</f>
        <v/>
      </c>
      <c r="G413" s="16">
        <f t="shared" si="97"/>
        <v>0</v>
      </c>
      <c r="BX413" s="16" t="str">
        <f t="shared" si="98"/>
        <v>Fiche info Avenant 5C6</v>
      </c>
      <c r="BY413" s="449">
        <f>'Fiche info Avenant 5'!$X$12</f>
        <v>0</v>
      </c>
      <c r="BZ413" s="449">
        <f>'Fiche info Avenant 5'!$Y$12</f>
        <v>0</v>
      </c>
      <c r="CA413" s="449">
        <f>'Fiche info Avenant 5'!$Z$12</f>
        <v>0</v>
      </c>
      <c r="CB413" s="449">
        <f>'Fiche info Avenant 5'!$AA$12</f>
        <v>0</v>
      </c>
      <c r="CC413" s="449">
        <f>'Fiche info Avenant 5'!$AB$12</f>
        <v>0</v>
      </c>
      <c r="CD413" s="449">
        <f>'Fiche info Avenant 5'!$AC$12</f>
        <v>0</v>
      </c>
      <c r="CE413" s="449">
        <f>'Fiche info Avenant 5'!$AD$12</f>
        <v>0</v>
      </c>
      <c r="CF413" s="449">
        <f>'Fiche info Avenant 5'!$AE$12</f>
        <v>0</v>
      </c>
      <c r="ED413" s="16" t="str">
        <f t="shared" si="90"/>
        <v>Fiche info Avenant 5C</v>
      </c>
      <c r="EE413" s="16" t="str">
        <f t="shared" si="92"/>
        <v>Fiche info Avenant 5</v>
      </c>
      <c r="EF413" s="16" t="str">
        <f t="shared" si="93"/>
        <v>C</v>
      </c>
      <c r="EG413" s="16">
        <f t="shared" si="94"/>
        <v>6</v>
      </c>
      <c r="EH413" s="16" t="str">
        <f t="shared" si="95"/>
        <v>Samedi</v>
      </c>
      <c r="EI413" s="16" t="str">
        <f t="shared" si="96"/>
        <v/>
      </c>
    </row>
    <row r="414" spans="1:139" x14ac:dyDescent="0.2">
      <c r="A414" s="16" t="str">
        <f t="shared" si="89"/>
        <v>Fiche info Avenant 5C7</v>
      </c>
      <c r="B414" s="16" t="str">
        <f t="shared" si="99"/>
        <v>Fiche info Avenant 5</v>
      </c>
      <c r="C414" s="27" t="s">
        <v>241</v>
      </c>
      <c r="D414" s="27">
        <v>7</v>
      </c>
      <c r="E414" s="16" t="s">
        <v>194</v>
      </c>
      <c r="F414" s="34" t="str">
        <f>+IF('Fiche info Avenant 5'!$AG$13=0,"",'Fiche info Avenant 5'!$AG$13)</f>
        <v/>
      </c>
      <c r="G414" s="16">
        <f t="shared" si="97"/>
        <v>0</v>
      </c>
      <c r="BX414" s="16" t="str">
        <f t="shared" si="98"/>
        <v>Fiche info Avenant 5C7</v>
      </c>
      <c r="BY414" s="449">
        <f>'Fiche info Avenant 5'!$X$13</f>
        <v>0</v>
      </c>
      <c r="BZ414" s="449">
        <f>'Fiche info Avenant 5'!$Y$13</f>
        <v>0</v>
      </c>
      <c r="CA414" s="449">
        <f>'Fiche info Avenant 5'!$Z$13</f>
        <v>0</v>
      </c>
      <c r="CB414" s="449">
        <f>'Fiche info Avenant 5'!$AA$13</f>
        <v>0</v>
      </c>
      <c r="CC414" s="449">
        <f>'Fiche info Avenant 5'!$AB$13</f>
        <v>0</v>
      </c>
      <c r="CD414" s="449">
        <f>'Fiche info Avenant 5'!$AC$13</f>
        <v>0</v>
      </c>
      <c r="CE414" s="449">
        <f>'Fiche info Avenant 5'!$AD$13</f>
        <v>0</v>
      </c>
      <c r="CF414" s="449">
        <f>'Fiche info Avenant 5'!$AE$13</f>
        <v>0</v>
      </c>
      <c r="ED414" s="16" t="str">
        <f t="shared" si="90"/>
        <v>Fiche info Avenant 5C</v>
      </c>
      <c r="EE414" s="16" t="str">
        <f t="shared" si="92"/>
        <v>Fiche info Avenant 5</v>
      </c>
      <c r="EF414" s="16" t="str">
        <f t="shared" si="93"/>
        <v>C</v>
      </c>
      <c r="EG414" s="16">
        <f t="shared" si="94"/>
        <v>7</v>
      </c>
      <c r="EH414" s="16" t="str">
        <f t="shared" si="95"/>
        <v>Dimanche</v>
      </c>
      <c r="EI414" s="16" t="str">
        <f t="shared" si="96"/>
        <v/>
      </c>
    </row>
    <row r="415" spans="1:139" x14ac:dyDescent="0.2">
      <c r="A415" s="16" t="str">
        <f t="shared" si="89"/>
        <v>Fiche info Avenant 5D1</v>
      </c>
      <c r="B415" s="16" t="str">
        <f t="shared" si="99"/>
        <v>Fiche info Avenant 5</v>
      </c>
      <c r="C415" s="27" t="s">
        <v>242</v>
      </c>
      <c r="D415" s="27">
        <v>1</v>
      </c>
      <c r="E415" s="16" t="s">
        <v>17</v>
      </c>
      <c r="F415" s="34" t="str">
        <f>+IF('Fiche info Avenant 5'!$AR$7=0,"",'Fiche info Avenant 5'!$AR$7)</f>
        <v/>
      </c>
      <c r="G415" s="16">
        <f t="shared" si="97"/>
        <v>0</v>
      </c>
      <c r="BX415" s="16" t="str">
        <f t="shared" si="98"/>
        <v>Fiche info Avenant 5D1</v>
      </c>
      <c r="BY415" s="449">
        <f>'Fiche info Avenant 5'!$AI$7</f>
        <v>0</v>
      </c>
      <c r="BZ415" s="449">
        <f>'Fiche info Avenant 5'!$AJ$7</f>
        <v>0</v>
      </c>
      <c r="CA415" s="449">
        <f>'Fiche info Avenant 5'!$AK$7</f>
        <v>0</v>
      </c>
      <c r="CB415" s="449">
        <f>'Fiche info Avenant 5'!$AL$7</f>
        <v>0</v>
      </c>
      <c r="CC415" s="449">
        <f>'Fiche info Avenant 5'!$AM$7</f>
        <v>0</v>
      </c>
      <c r="CD415" s="449">
        <f>'Fiche info Avenant 5'!$AN$7</f>
        <v>0</v>
      </c>
      <c r="CE415" s="449">
        <f>'Fiche info Avenant 5'!$AO$7</f>
        <v>0</v>
      </c>
      <c r="CF415" s="449">
        <f>'Fiche info Avenant 5'!$AP$7</f>
        <v>0</v>
      </c>
      <c r="ED415" s="16" t="str">
        <f t="shared" si="90"/>
        <v>Fiche info Avenant 5D</v>
      </c>
      <c r="EE415" s="16" t="str">
        <f t="shared" si="92"/>
        <v>Fiche info Avenant 5</v>
      </c>
      <c r="EF415" s="16" t="str">
        <f t="shared" si="93"/>
        <v>D</v>
      </c>
      <c r="EG415" s="16">
        <f t="shared" si="94"/>
        <v>1</v>
      </c>
      <c r="EH415" s="16" t="str">
        <f t="shared" si="95"/>
        <v>Lundi</v>
      </c>
      <c r="EI415" s="16" t="str">
        <f t="shared" si="96"/>
        <v/>
      </c>
    </row>
    <row r="416" spans="1:139" x14ac:dyDescent="0.2">
      <c r="A416" s="16" t="str">
        <f t="shared" si="89"/>
        <v>Fiche info Avenant 5D2</v>
      </c>
      <c r="B416" s="16" t="str">
        <f t="shared" si="99"/>
        <v>Fiche info Avenant 5</v>
      </c>
      <c r="C416" s="27" t="s">
        <v>242</v>
      </c>
      <c r="D416" s="27">
        <v>2</v>
      </c>
      <c r="E416" s="16" t="s">
        <v>18</v>
      </c>
      <c r="F416" s="34" t="str">
        <f>IF(+'Fiche info Avenant 5'!$AR$8=0,"",'Fiche info Avenant 5'!$AR$8)</f>
        <v/>
      </c>
      <c r="G416" s="16">
        <f t="shared" si="97"/>
        <v>0</v>
      </c>
      <c r="BX416" s="16" t="str">
        <f t="shared" si="98"/>
        <v>Fiche info Avenant 5D2</v>
      </c>
      <c r="BY416" s="449">
        <f>'Fiche info Avenant 5'!$AI$8</f>
        <v>0</v>
      </c>
      <c r="BZ416" s="449">
        <f>'Fiche info Avenant 5'!$AJ$8</f>
        <v>0</v>
      </c>
      <c r="CA416" s="449">
        <f>'Fiche info Avenant 5'!$AK$8</f>
        <v>0</v>
      </c>
      <c r="CB416" s="449">
        <f>'Fiche info Avenant 5'!$AL$8</f>
        <v>0</v>
      </c>
      <c r="CC416" s="449">
        <f>'Fiche info Avenant 5'!$AM$8</f>
        <v>0</v>
      </c>
      <c r="CD416" s="449">
        <f>'Fiche info Avenant 5'!$AN$8</f>
        <v>0</v>
      </c>
      <c r="CE416" s="449">
        <f>'Fiche info Avenant 5'!$AO$8</f>
        <v>0</v>
      </c>
      <c r="CF416" s="449">
        <f>'Fiche info Avenant 5'!$AP$8</f>
        <v>0</v>
      </c>
      <c r="ED416" s="16" t="str">
        <f t="shared" si="90"/>
        <v>Fiche info Avenant 5D</v>
      </c>
      <c r="EE416" s="16" t="str">
        <f t="shared" si="92"/>
        <v>Fiche info Avenant 5</v>
      </c>
      <c r="EF416" s="16" t="str">
        <f t="shared" si="93"/>
        <v>D</v>
      </c>
      <c r="EG416" s="16">
        <f t="shared" si="94"/>
        <v>2</v>
      </c>
      <c r="EH416" s="16" t="str">
        <f t="shared" si="95"/>
        <v>Mardi</v>
      </c>
      <c r="EI416" s="16" t="str">
        <f t="shared" si="96"/>
        <v/>
      </c>
    </row>
    <row r="417" spans="1:139" x14ac:dyDescent="0.2">
      <c r="A417" s="16" t="str">
        <f t="shared" si="89"/>
        <v>Fiche info Avenant 5D3</v>
      </c>
      <c r="B417" s="16" t="str">
        <f t="shared" si="99"/>
        <v>Fiche info Avenant 5</v>
      </c>
      <c r="C417" s="27" t="s">
        <v>242</v>
      </c>
      <c r="D417" s="27">
        <v>3</v>
      </c>
      <c r="E417" s="16" t="s">
        <v>19</v>
      </c>
      <c r="F417" s="34" t="str">
        <f>IF(+'Fiche info Avenant 5'!$AR$9=0,"",'Fiche info Avenant 5'!$AR$9)</f>
        <v/>
      </c>
      <c r="G417" s="16">
        <f t="shared" si="97"/>
        <v>0</v>
      </c>
      <c r="BX417" s="16" t="str">
        <f t="shared" si="98"/>
        <v>Fiche info Avenant 5D3</v>
      </c>
      <c r="BY417" s="449">
        <f>'Fiche info Avenant 5'!$AI$9</f>
        <v>0</v>
      </c>
      <c r="BZ417" s="449">
        <f>'Fiche info Avenant 5'!$AJ$9</f>
        <v>0</v>
      </c>
      <c r="CA417" s="449">
        <f>'Fiche info Avenant 5'!$AK$9</f>
        <v>0</v>
      </c>
      <c r="CB417" s="449">
        <f>'Fiche info Avenant 5'!$AL$9</f>
        <v>0</v>
      </c>
      <c r="CC417" s="449">
        <f>'Fiche info Avenant 5'!$AM$9</f>
        <v>0</v>
      </c>
      <c r="CD417" s="449">
        <f>'Fiche info Avenant 5'!$AN$9</f>
        <v>0</v>
      </c>
      <c r="CE417" s="449">
        <f>'Fiche info Avenant 5'!$AO$9</f>
        <v>0</v>
      </c>
      <c r="CF417" s="449">
        <f>'Fiche info Avenant 5'!$AP$9</f>
        <v>0</v>
      </c>
      <c r="ED417" s="16" t="str">
        <f t="shared" si="90"/>
        <v>Fiche info Avenant 5D</v>
      </c>
      <c r="EE417" s="16" t="str">
        <f t="shared" si="92"/>
        <v>Fiche info Avenant 5</v>
      </c>
      <c r="EF417" s="16" t="str">
        <f t="shared" si="93"/>
        <v>D</v>
      </c>
      <c r="EG417" s="16">
        <f t="shared" si="94"/>
        <v>3</v>
      </c>
      <c r="EH417" s="16" t="str">
        <f t="shared" si="95"/>
        <v>Mercredi</v>
      </c>
      <c r="EI417" s="16" t="str">
        <f t="shared" si="96"/>
        <v/>
      </c>
    </row>
    <row r="418" spans="1:139" x14ac:dyDescent="0.2">
      <c r="A418" s="16" t="str">
        <f t="shared" si="89"/>
        <v>Fiche info Avenant 5D4</v>
      </c>
      <c r="B418" s="16" t="str">
        <f t="shared" si="99"/>
        <v>Fiche info Avenant 5</v>
      </c>
      <c r="C418" s="27" t="s">
        <v>242</v>
      </c>
      <c r="D418" s="27">
        <v>4</v>
      </c>
      <c r="E418" s="16" t="s">
        <v>20</v>
      </c>
      <c r="F418" s="34" t="str">
        <f>IF(+'Fiche info Avenant 5'!$AR$10=0,"",'Fiche info Avenant 5'!$AR$10)</f>
        <v/>
      </c>
      <c r="G418" s="16">
        <f t="shared" si="97"/>
        <v>0</v>
      </c>
      <c r="BX418" s="16" t="str">
        <f t="shared" si="98"/>
        <v>Fiche info Avenant 5D4</v>
      </c>
      <c r="BY418" s="449">
        <f>'Fiche info Avenant 5'!$AI$10</f>
        <v>0</v>
      </c>
      <c r="BZ418" s="449">
        <f>'Fiche info Avenant 5'!$AJ$10</f>
        <v>0</v>
      </c>
      <c r="CA418" s="449">
        <f>'Fiche info Avenant 5'!$AK$10</f>
        <v>0</v>
      </c>
      <c r="CB418" s="449">
        <f>'Fiche info Avenant 5'!$AL$10</f>
        <v>0</v>
      </c>
      <c r="CC418" s="449">
        <f>'Fiche info Avenant 5'!$AM$10</f>
        <v>0</v>
      </c>
      <c r="CD418" s="449">
        <f>'Fiche info Avenant 5'!$AN$10</f>
        <v>0</v>
      </c>
      <c r="CE418" s="449">
        <f>'Fiche info Avenant 5'!$AO$10</f>
        <v>0</v>
      </c>
      <c r="CF418" s="449">
        <f>'Fiche info Avenant 5'!$AP$10</f>
        <v>0</v>
      </c>
      <c r="ED418" s="16" t="str">
        <f t="shared" si="90"/>
        <v>Fiche info Avenant 5D</v>
      </c>
      <c r="EE418" s="16" t="str">
        <f t="shared" si="92"/>
        <v>Fiche info Avenant 5</v>
      </c>
      <c r="EF418" s="16" t="str">
        <f t="shared" si="93"/>
        <v>D</v>
      </c>
      <c r="EG418" s="16">
        <f t="shared" si="94"/>
        <v>4</v>
      </c>
      <c r="EH418" s="16" t="str">
        <f t="shared" si="95"/>
        <v>Jeudi</v>
      </c>
      <c r="EI418" s="16" t="str">
        <f t="shared" si="96"/>
        <v/>
      </c>
    </row>
    <row r="419" spans="1:139" x14ac:dyDescent="0.2">
      <c r="A419" s="16" t="str">
        <f t="shared" si="89"/>
        <v>Fiche info Avenant 5D5</v>
      </c>
      <c r="B419" s="16" t="str">
        <f t="shared" si="99"/>
        <v>Fiche info Avenant 5</v>
      </c>
      <c r="C419" s="27" t="s">
        <v>242</v>
      </c>
      <c r="D419" s="27">
        <v>5</v>
      </c>
      <c r="E419" s="16" t="s">
        <v>21</v>
      </c>
      <c r="F419" s="34" t="str">
        <f>IF(+'Fiche info Avenant 5'!$AR$11=0,"",'Fiche info Avenant 5'!$AR$11)</f>
        <v/>
      </c>
      <c r="G419" s="16">
        <f t="shared" si="97"/>
        <v>0</v>
      </c>
      <c r="BX419" s="16" t="str">
        <f t="shared" si="98"/>
        <v>Fiche info Avenant 5D5</v>
      </c>
      <c r="BY419" s="449">
        <f>'Fiche info Avenant 5'!$AI$11</f>
        <v>0</v>
      </c>
      <c r="BZ419" s="449">
        <f>'Fiche info Avenant 5'!$AJ$11</f>
        <v>0</v>
      </c>
      <c r="CA419" s="449">
        <f>'Fiche info Avenant 5'!$AK$11</f>
        <v>0</v>
      </c>
      <c r="CB419" s="449">
        <f>'Fiche info Avenant 5'!$AL$11</f>
        <v>0</v>
      </c>
      <c r="CC419" s="449">
        <f>'Fiche info Avenant 5'!$AM$11</f>
        <v>0</v>
      </c>
      <c r="CD419" s="449">
        <f>'Fiche info Avenant 5'!$AN$11</f>
        <v>0</v>
      </c>
      <c r="CE419" s="449">
        <f>'Fiche info Avenant 5'!$AO$11</f>
        <v>0</v>
      </c>
      <c r="CF419" s="449">
        <f>'Fiche info Avenant 5'!$AP$11</f>
        <v>0</v>
      </c>
      <c r="ED419" s="16" t="str">
        <f t="shared" si="90"/>
        <v>Fiche info Avenant 5D</v>
      </c>
      <c r="EE419" s="16" t="str">
        <f t="shared" si="92"/>
        <v>Fiche info Avenant 5</v>
      </c>
      <c r="EF419" s="16" t="str">
        <f t="shared" si="93"/>
        <v>D</v>
      </c>
      <c r="EG419" s="16">
        <f t="shared" si="94"/>
        <v>5</v>
      </c>
      <c r="EH419" s="16" t="str">
        <f t="shared" si="95"/>
        <v>Vendredi</v>
      </c>
      <c r="EI419" s="16" t="str">
        <f t="shared" si="96"/>
        <v/>
      </c>
    </row>
    <row r="420" spans="1:139" x14ac:dyDescent="0.2">
      <c r="A420" s="16" t="str">
        <f t="shared" si="89"/>
        <v>Fiche info Avenant 5D6</v>
      </c>
      <c r="B420" s="16" t="str">
        <f t="shared" si="99"/>
        <v>Fiche info Avenant 5</v>
      </c>
      <c r="C420" s="27" t="s">
        <v>242</v>
      </c>
      <c r="D420" s="27">
        <v>6</v>
      </c>
      <c r="E420" s="16" t="s">
        <v>193</v>
      </c>
      <c r="F420" s="34" t="str">
        <f>IF(+'Fiche info Avenant 5'!$AR$12=0,"",'Fiche info Avenant 5'!$AR$12)</f>
        <v/>
      </c>
      <c r="G420" s="16">
        <f t="shared" si="97"/>
        <v>0</v>
      </c>
      <c r="BX420" s="16" t="str">
        <f t="shared" si="98"/>
        <v>Fiche info Avenant 5D6</v>
      </c>
      <c r="BY420" s="449">
        <f>'Fiche info Avenant 5'!$AI$12</f>
        <v>0</v>
      </c>
      <c r="BZ420" s="449">
        <f>'Fiche info Avenant 5'!$AJ$12</f>
        <v>0</v>
      </c>
      <c r="CA420" s="449">
        <f>'Fiche info Avenant 5'!$AK$12</f>
        <v>0</v>
      </c>
      <c r="CB420" s="449">
        <f>'Fiche info Avenant 5'!$AL$12</f>
        <v>0</v>
      </c>
      <c r="CC420" s="449">
        <f>'Fiche info Avenant 5'!$AM$12</f>
        <v>0</v>
      </c>
      <c r="CD420" s="449">
        <f>'Fiche info Avenant 5'!$AN$12</f>
        <v>0</v>
      </c>
      <c r="CE420" s="449">
        <f>'Fiche info Avenant 5'!$AO$12</f>
        <v>0</v>
      </c>
      <c r="CF420" s="449">
        <f>'Fiche info Avenant 5'!$AP$12</f>
        <v>0</v>
      </c>
      <c r="ED420" s="16" t="str">
        <f t="shared" si="90"/>
        <v>Fiche info Avenant 5D</v>
      </c>
      <c r="EE420" s="16" t="str">
        <f t="shared" si="92"/>
        <v>Fiche info Avenant 5</v>
      </c>
      <c r="EF420" s="16" t="str">
        <f t="shared" si="93"/>
        <v>D</v>
      </c>
      <c r="EG420" s="16">
        <f t="shared" si="94"/>
        <v>6</v>
      </c>
      <c r="EH420" s="16" t="str">
        <f t="shared" si="95"/>
        <v>Samedi</v>
      </c>
      <c r="EI420" s="16" t="str">
        <f t="shared" si="96"/>
        <v/>
      </c>
    </row>
    <row r="421" spans="1:139" x14ac:dyDescent="0.2">
      <c r="A421" s="16" t="str">
        <f t="shared" si="89"/>
        <v>Fiche info Avenant 5D7</v>
      </c>
      <c r="B421" s="16" t="str">
        <f t="shared" si="99"/>
        <v>Fiche info Avenant 5</v>
      </c>
      <c r="C421" s="27" t="s">
        <v>242</v>
      </c>
      <c r="D421" s="27">
        <v>7</v>
      </c>
      <c r="E421" s="16" t="s">
        <v>194</v>
      </c>
      <c r="F421" s="34" t="str">
        <f>IF(+'Fiche info Avenant 5'!$AR$13=0,"",'Fiche info Avenant 5'!$AR$13)</f>
        <v/>
      </c>
      <c r="G421" s="16">
        <f t="shared" si="97"/>
        <v>0</v>
      </c>
      <c r="BX421" s="16" t="str">
        <f t="shared" si="98"/>
        <v>Fiche info Avenant 5D7</v>
      </c>
      <c r="BY421" s="449">
        <f>'Fiche info Avenant 5'!$AI$13</f>
        <v>0</v>
      </c>
      <c r="BZ421" s="449">
        <f>'Fiche info Avenant 5'!$AJ$13</f>
        <v>0</v>
      </c>
      <c r="CA421" s="449">
        <f>'Fiche info Avenant 5'!$AK$13</f>
        <v>0</v>
      </c>
      <c r="CB421" s="449">
        <f>'Fiche info Avenant 5'!$AL$13</f>
        <v>0</v>
      </c>
      <c r="CC421" s="449">
        <f>'Fiche info Avenant 5'!$AM$13</f>
        <v>0</v>
      </c>
      <c r="CD421" s="449">
        <f>'Fiche info Avenant 5'!$AN$13</f>
        <v>0</v>
      </c>
      <c r="CE421" s="449">
        <f>'Fiche info Avenant 5'!$AO$13</f>
        <v>0</v>
      </c>
      <c r="CF421" s="449">
        <f>'Fiche info Avenant 5'!$AP$13</f>
        <v>0</v>
      </c>
      <c r="ED421" s="16" t="str">
        <f t="shared" si="90"/>
        <v>Fiche info Avenant 5D</v>
      </c>
      <c r="EE421" s="16" t="str">
        <f t="shared" si="92"/>
        <v>Fiche info Avenant 5</v>
      </c>
      <c r="EF421" s="16" t="str">
        <f t="shared" si="93"/>
        <v>D</v>
      </c>
      <c r="EG421" s="16">
        <f t="shared" si="94"/>
        <v>7</v>
      </c>
      <c r="EH421" s="16" t="str">
        <f t="shared" si="95"/>
        <v>Dimanche</v>
      </c>
      <c r="EI421" s="16" t="str">
        <f t="shared" si="96"/>
        <v/>
      </c>
    </row>
    <row r="422" spans="1:139" x14ac:dyDescent="0.2">
      <c r="A422" s="16" t="str">
        <f t="shared" si="89"/>
        <v>Fiche info Avenant 5E1</v>
      </c>
      <c r="B422" s="16" t="str">
        <f t="shared" si="99"/>
        <v>Fiche info Avenant 5</v>
      </c>
      <c r="C422" s="27" t="s">
        <v>243</v>
      </c>
      <c r="D422" s="27">
        <v>1</v>
      </c>
      <c r="E422" s="16" t="s">
        <v>17</v>
      </c>
      <c r="F422" s="34" t="str">
        <f>IF(+'Fiche info Avenant 5'!$BC$7=0,"",'Fiche info Avenant 5'!$BC$7)</f>
        <v/>
      </c>
      <c r="G422" s="16">
        <f t="shared" si="97"/>
        <v>0</v>
      </c>
      <c r="BX422" s="16" t="str">
        <f t="shared" si="98"/>
        <v>Fiche info Avenant 5E1</v>
      </c>
      <c r="BY422" s="449">
        <f>'Fiche info Avenant 5'!$AT$7</f>
        <v>0</v>
      </c>
      <c r="BZ422" s="449">
        <f>'Fiche info Avenant 5'!$AU$7</f>
        <v>0</v>
      </c>
      <c r="CA422" s="449">
        <f>'Fiche info Avenant 5'!$AV$7</f>
        <v>0</v>
      </c>
      <c r="CB422" s="449">
        <f>'Fiche info Avenant 5'!$AW$7</f>
        <v>0</v>
      </c>
      <c r="CC422" s="449">
        <f>'Fiche info Avenant 5'!$AX$7</f>
        <v>0</v>
      </c>
      <c r="CD422" s="449">
        <f>'Fiche info Avenant 5'!$AY$7</f>
        <v>0</v>
      </c>
      <c r="CE422" s="449">
        <f>'Fiche info Avenant 5'!$AZ$7</f>
        <v>0</v>
      </c>
      <c r="CF422" s="449">
        <f>'Fiche info Avenant 5'!$BA$7</f>
        <v>0</v>
      </c>
      <c r="ED422" s="16" t="str">
        <f t="shared" si="90"/>
        <v>Fiche info Avenant 5E</v>
      </c>
      <c r="EE422" s="16" t="str">
        <f t="shared" si="92"/>
        <v>Fiche info Avenant 5</v>
      </c>
      <c r="EF422" s="16" t="str">
        <f t="shared" si="93"/>
        <v>E</v>
      </c>
      <c r="EG422" s="16">
        <f t="shared" si="94"/>
        <v>1</v>
      </c>
      <c r="EH422" s="16" t="str">
        <f t="shared" si="95"/>
        <v>Lundi</v>
      </c>
      <c r="EI422" s="16" t="str">
        <f t="shared" si="96"/>
        <v/>
      </c>
    </row>
    <row r="423" spans="1:139" x14ac:dyDescent="0.2">
      <c r="A423" s="16" t="str">
        <f t="shared" si="89"/>
        <v>Fiche info Avenant 5E2</v>
      </c>
      <c r="B423" s="16" t="str">
        <f t="shared" si="99"/>
        <v>Fiche info Avenant 5</v>
      </c>
      <c r="C423" s="27" t="s">
        <v>243</v>
      </c>
      <c r="D423" s="27">
        <v>2</v>
      </c>
      <c r="E423" s="16" t="s">
        <v>18</v>
      </c>
      <c r="F423" s="34" t="str">
        <f>IF(+'Fiche info Avenant 5'!$BC$8=0,"",'Fiche info Avenant 5'!$BC$8)</f>
        <v/>
      </c>
      <c r="G423" s="16">
        <f t="shared" si="97"/>
        <v>0</v>
      </c>
      <c r="BX423" s="16" t="str">
        <f t="shared" si="98"/>
        <v>Fiche info Avenant 5E2</v>
      </c>
      <c r="BY423" s="449">
        <f>'Fiche info Avenant 5'!$AT$8</f>
        <v>0</v>
      </c>
      <c r="BZ423" s="449">
        <f>'Fiche info Avenant 5'!$AU$8</f>
        <v>0</v>
      </c>
      <c r="CA423" s="449">
        <f>'Fiche info Avenant 5'!$AV$8</f>
        <v>0</v>
      </c>
      <c r="CB423" s="449">
        <f>'Fiche info Avenant 5'!$AW$8</f>
        <v>0</v>
      </c>
      <c r="CC423" s="449">
        <f>'Fiche info Avenant 5'!$AX$8</f>
        <v>0</v>
      </c>
      <c r="CD423" s="449">
        <f>'Fiche info Avenant 5'!$AY$8</f>
        <v>0</v>
      </c>
      <c r="CE423" s="449">
        <f>'Fiche info Avenant 5'!$AZ$8</f>
        <v>0</v>
      </c>
      <c r="CF423" s="449">
        <f>'Fiche info Avenant 5'!$BA$8</f>
        <v>0</v>
      </c>
      <c r="ED423" s="16" t="str">
        <f t="shared" si="90"/>
        <v>Fiche info Avenant 5E</v>
      </c>
      <c r="EE423" s="16" t="str">
        <f t="shared" si="92"/>
        <v>Fiche info Avenant 5</v>
      </c>
      <c r="EF423" s="16" t="str">
        <f t="shared" si="93"/>
        <v>E</v>
      </c>
      <c r="EG423" s="16">
        <f t="shared" si="94"/>
        <v>2</v>
      </c>
      <c r="EH423" s="16" t="str">
        <f t="shared" si="95"/>
        <v>Mardi</v>
      </c>
      <c r="EI423" s="16" t="str">
        <f t="shared" si="96"/>
        <v/>
      </c>
    </row>
    <row r="424" spans="1:139" x14ac:dyDescent="0.2">
      <c r="A424" s="16" t="str">
        <f t="shared" si="89"/>
        <v>Fiche info Avenant 5E3</v>
      </c>
      <c r="B424" s="16" t="str">
        <f t="shared" si="99"/>
        <v>Fiche info Avenant 5</v>
      </c>
      <c r="C424" s="27" t="s">
        <v>243</v>
      </c>
      <c r="D424" s="27">
        <v>3</v>
      </c>
      <c r="E424" s="16" t="s">
        <v>19</v>
      </c>
      <c r="F424" s="34" t="str">
        <f>IF(+'Fiche info Avenant 5'!$BC$9=0,"",'Fiche info Avenant 5'!$BC$9)</f>
        <v/>
      </c>
      <c r="G424" s="16">
        <f t="shared" si="97"/>
        <v>0</v>
      </c>
      <c r="BX424" s="16" t="str">
        <f t="shared" si="98"/>
        <v>Fiche info Avenant 5E3</v>
      </c>
      <c r="BY424" s="449">
        <f>'Fiche info Avenant 5'!$AT$9</f>
        <v>0</v>
      </c>
      <c r="BZ424" s="449">
        <f>'Fiche info Avenant 5'!$AU$9</f>
        <v>0</v>
      </c>
      <c r="CA424" s="449">
        <f>'Fiche info Avenant 5'!$AV$9</f>
        <v>0</v>
      </c>
      <c r="CB424" s="449">
        <f>'Fiche info Avenant 5'!$AW$9</f>
        <v>0</v>
      </c>
      <c r="CC424" s="449">
        <f>'Fiche info Avenant 5'!$AX$9</f>
        <v>0</v>
      </c>
      <c r="CD424" s="449">
        <f>'Fiche info Avenant 5'!$AY$9</f>
        <v>0</v>
      </c>
      <c r="CE424" s="449">
        <f>'Fiche info Avenant 5'!$AZ$9</f>
        <v>0</v>
      </c>
      <c r="CF424" s="449">
        <f>'Fiche info Avenant 5'!$BA$9</f>
        <v>0</v>
      </c>
      <c r="ED424" s="16" t="str">
        <f t="shared" si="90"/>
        <v>Fiche info Avenant 5E</v>
      </c>
      <c r="EE424" s="16" t="str">
        <f t="shared" si="92"/>
        <v>Fiche info Avenant 5</v>
      </c>
      <c r="EF424" s="16" t="str">
        <f t="shared" si="93"/>
        <v>E</v>
      </c>
      <c r="EG424" s="16">
        <f t="shared" si="94"/>
        <v>3</v>
      </c>
      <c r="EH424" s="16" t="str">
        <f t="shared" si="95"/>
        <v>Mercredi</v>
      </c>
      <c r="EI424" s="16" t="str">
        <f t="shared" si="96"/>
        <v/>
      </c>
    </row>
    <row r="425" spans="1:139" x14ac:dyDescent="0.2">
      <c r="A425" s="16" t="str">
        <f t="shared" si="89"/>
        <v>Fiche info Avenant 5E4</v>
      </c>
      <c r="B425" s="16" t="str">
        <f t="shared" si="99"/>
        <v>Fiche info Avenant 5</v>
      </c>
      <c r="C425" s="27" t="s">
        <v>243</v>
      </c>
      <c r="D425" s="27">
        <v>4</v>
      </c>
      <c r="E425" s="16" t="s">
        <v>20</v>
      </c>
      <c r="F425" s="34" t="str">
        <f>IF(+'Fiche info Avenant 5'!$BC$10=0,"",'Fiche info Avenant 5'!$BC$10)</f>
        <v/>
      </c>
      <c r="G425" s="16">
        <f t="shared" si="97"/>
        <v>0</v>
      </c>
      <c r="BX425" s="16" t="str">
        <f t="shared" si="98"/>
        <v>Fiche info Avenant 5E4</v>
      </c>
      <c r="BY425" s="449">
        <f>'Fiche info Avenant 5'!$AT$10</f>
        <v>0</v>
      </c>
      <c r="BZ425" s="449">
        <f>'Fiche info Avenant 5'!$AU$10</f>
        <v>0</v>
      </c>
      <c r="CA425" s="449">
        <f>'Fiche info Avenant 5'!$AV$10</f>
        <v>0</v>
      </c>
      <c r="CB425" s="449">
        <f>'Fiche info Avenant 5'!$AW$10</f>
        <v>0</v>
      </c>
      <c r="CC425" s="449">
        <f>'Fiche info Avenant 5'!$AX$10</f>
        <v>0</v>
      </c>
      <c r="CD425" s="449">
        <f>'Fiche info Avenant 5'!$AY$10</f>
        <v>0</v>
      </c>
      <c r="CE425" s="449">
        <f>'Fiche info Avenant 5'!$AZ$10</f>
        <v>0</v>
      </c>
      <c r="CF425" s="449">
        <f>'Fiche info Avenant 5'!$BA$10</f>
        <v>0</v>
      </c>
      <c r="ED425" s="16" t="str">
        <f t="shared" si="90"/>
        <v>Fiche info Avenant 5E</v>
      </c>
      <c r="EE425" s="16" t="str">
        <f t="shared" si="92"/>
        <v>Fiche info Avenant 5</v>
      </c>
      <c r="EF425" s="16" t="str">
        <f t="shared" si="93"/>
        <v>E</v>
      </c>
      <c r="EG425" s="16">
        <f t="shared" si="94"/>
        <v>4</v>
      </c>
      <c r="EH425" s="16" t="str">
        <f t="shared" si="95"/>
        <v>Jeudi</v>
      </c>
      <c r="EI425" s="16" t="str">
        <f t="shared" si="96"/>
        <v/>
      </c>
    </row>
    <row r="426" spans="1:139" x14ac:dyDescent="0.2">
      <c r="A426" s="16" t="str">
        <f t="shared" si="89"/>
        <v>Fiche info Avenant 5E5</v>
      </c>
      <c r="B426" s="16" t="str">
        <f t="shared" si="99"/>
        <v>Fiche info Avenant 5</v>
      </c>
      <c r="C426" s="27" t="s">
        <v>243</v>
      </c>
      <c r="D426" s="27">
        <v>5</v>
      </c>
      <c r="E426" s="16" t="s">
        <v>21</v>
      </c>
      <c r="F426" s="34" t="str">
        <f>IF(+'Fiche info Avenant 5'!$BC$11=0,"",'Fiche info Avenant 5'!$BC$11)</f>
        <v/>
      </c>
      <c r="G426" s="16">
        <f t="shared" si="97"/>
        <v>0</v>
      </c>
      <c r="BX426" s="16" t="str">
        <f t="shared" si="98"/>
        <v>Fiche info Avenant 5E5</v>
      </c>
      <c r="BY426" s="449">
        <f>'Fiche info Avenant 5'!$AT$11</f>
        <v>0</v>
      </c>
      <c r="BZ426" s="449">
        <f>'Fiche info Avenant 5'!$AU$11</f>
        <v>0</v>
      </c>
      <c r="CA426" s="449">
        <f>'Fiche info Avenant 5'!$AV$11</f>
        <v>0</v>
      </c>
      <c r="CB426" s="449">
        <f>'Fiche info Avenant 5'!$AW$11</f>
        <v>0</v>
      </c>
      <c r="CC426" s="449">
        <f>'Fiche info Avenant 5'!$AX$11</f>
        <v>0</v>
      </c>
      <c r="CD426" s="449">
        <f>'Fiche info Avenant 5'!$AY$11</f>
        <v>0</v>
      </c>
      <c r="CE426" s="449">
        <f>'Fiche info Avenant 5'!$AZ$11</f>
        <v>0</v>
      </c>
      <c r="CF426" s="449">
        <f>'Fiche info Avenant 5'!$BA$11</f>
        <v>0</v>
      </c>
      <c r="ED426" s="16" t="str">
        <f t="shared" si="90"/>
        <v>Fiche info Avenant 5E</v>
      </c>
      <c r="EE426" s="16" t="str">
        <f t="shared" si="92"/>
        <v>Fiche info Avenant 5</v>
      </c>
      <c r="EF426" s="16" t="str">
        <f t="shared" si="93"/>
        <v>E</v>
      </c>
      <c r="EG426" s="16">
        <f t="shared" si="94"/>
        <v>5</v>
      </c>
      <c r="EH426" s="16" t="str">
        <f t="shared" si="95"/>
        <v>Vendredi</v>
      </c>
      <c r="EI426" s="16" t="str">
        <f t="shared" si="96"/>
        <v/>
      </c>
    </row>
    <row r="427" spans="1:139" x14ac:dyDescent="0.2">
      <c r="A427" s="16" t="str">
        <f t="shared" ref="A427:A490" si="100">+B427&amp;C427&amp;D427</f>
        <v>Fiche info Avenant 5E6</v>
      </c>
      <c r="B427" s="16" t="str">
        <f t="shared" si="99"/>
        <v>Fiche info Avenant 5</v>
      </c>
      <c r="C427" s="27" t="s">
        <v>243</v>
      </c>
      <c r="D427" s="27">
        <v>6</v>
      </c>
      <c r="E427" s="16" t="s">
        <v>193</v>
      </c>
      <c r="F427" s="34" t="str">
        <f>IF(+'Fiche info Avenant 5'!$BC$12=0,"",'Fiche info Avenant 5'!$BC$12)</f>
        <v/>
      </c>
      <c r="G427" s="16">
        <f t="shared" si="97"/>
        <v>0</v>
      </c>
      <c r="BX427" s="16" t="str">
        <f t="shared" si="98"/>
        <v>Fiche info Avenant 5E6</v>
      </c>
      <c r="BY427" s="449">
        <f>'Fiche info Avenant 5'!$AT$12</f>
        <v>0</v>
      </c>
      <c r="BZ427" s="449">
        <f>'Fiche info Avenant 5'!$AU$12</f>
        <v>0</v>
      </c>
      <c r="CA427" s="449">
        <f>'Fiche info Avenant 5'!$AV$12</f>
        <v>0</v>
      </c>
      <c r="CB427" s="449">
        <f>'Fiche info Avenant 5'!$AW$12</f>
        <v>0</v>
      </c>
      <c r="CC427" s="449">
        <f>'Fiche info Avenant 5'!$AX$12</f>
        <v>0</v>
      </c>
      <c r="CD427" s="449">
        <f>'Fiche info Avenant 5'!$AY$12</f>
        <v>0</v>
      </c>
      <c r="CE427" s="449">
        <f>'Fiche info Avenant 5'!$AZ$12</f>
        <v>0</v>
      </c>
      <c r="CF427" s="449">
        <f>'Fiche info Avenant 5'!$BA$12</f>
        <v>0</v>
      </c>
      <c r="ED427" s="16" t="str">
        <f t="shared" si="90"/>
        <v>Fiche info Avenant 5E</v>
      </c>
      <c r="EE427" s="16" t="str">
        <f t="shared" si="92"/>
        <v>Fiche info Avenant 5</v>
      </c>
      <c r="EF427" s="16" t="str">
        <f t="shared" si="93"/>
        <v>E</v>
      </c>
      <c r="EG427" s="16">
        <f t="shared" si="94"/>
        <v>6</v>
      </c>
      <c r="EH427" s="16" t="str">
        <f t="shared" si="95"/>
        <v>Samedi</v>
      </c>
      <c r="EI427" s="16" t="str">
        <f t="shared" si="96"/>
        <v/>
      </c>
    </row>
    <row r="428" spans="1:139" x14ac:dyDescent="0.2">
      <c r="A428" s="16" t="str">
        <f t="shared" si="100"/>
        <v>Fiche info Avenant 5E7</v>
      </c>
      <c r="B428" s="16" t="str">
        <f t="shared" si="99"/>
        <v>Fiche info Avenant 5</v>
      </c>
      <c r="C428" s="27" t="s">
        <v>243</v>
      </c>
      <c r="D428" s="27">
        <v>7</v>
      </c>
      <c r="E428" s="16" t="s">
        <v>194</v>
      </c>
      <c r="F428" s="34" t="str">
        <f>IF(+'Fiche info Avenant 5'!$BC$13=0,"",'Fiche info Avenant 5'!$BC$13)</f>
        <v/>
      </c>
      <c r="G428" s="16">
        <f t="shared" si="97"/>
        <v>0</v>
      </c>
      <c r="BX428" s="16" t="str">
        <f t="shared" si="98"/>
        <v>Fiche info Avenant 5E7</v>
      </c>
      <c r="BY428" s="449">
        <f>'Fiche info Avenant 5'!$AT$13</f>
        <v>0</v>
      </c>
      <c r="BZ428" s="449">
        <f>'Fiche info Avenant 5'!$AU$13</f>
        <v>0</v>
      </c>
      <c r="CA428" s="449">
        <f>'Fiche info Avenant 5'!$AV$13</f>
        <v>0</v>
      </c>
      <c r="CB428" s="449">
        <f>'Fiche info Avenant 5'!$AW$13</f>
        <v>0</v>
      </c>
      <c r="CC428" s="449">
        <f>'Fiche info Avenant 5'!$AX$13</f>
        <v>0</v>
      </c>
      <c r="CD428" s="449">
        <f>'Fiche info Avenant 5'!$AY$13</f>
        <v>0</v>
      </c>
      <c r="CE428" s="449">
        <f>'Fiche info Avenant 5'!$AZ$13</f>
        <v>0</v>
      </c>
      <c r="CF428" s="449">
        <f>'Fiche info Avenant 5'!$BA$13</f>
        <v>0</v>
      </c>
      <c r="ED428" s="16" t="str">
        <f t="shared" si="90"/>
        <v>Fiche info Avenant 5E</v>
      </c>
      <c r="EE428" s="16" t="str">
        <f t="shared" si="92"/>
        <v>Fiche info Avenant 5</v>
      </c>
      <c r="EF428" s="16" t="str">
        <f t="shared" si="93"/>
        <v>E</v>
      </c>
      <c r="EG428" s="16">
        <f t="shared" si="94"/>
        <v>7</v>
      </c>
      <c r="EH428" s="16" t="str">
        <f t="shared" si="95"/>
        <v>Dimanche</v>
      </c>
      <c r="EI428" s="16" t="str">
        <f t="shared" si="96"/>
        <v/>
      </c>
    </row>
    <row r="429" spans="1:139" x14ac:dyDescent="0.2">
      <c r="A429" s="16" t="str">
        <f t="shared" si="100"/>
        <v>Fiche info Avenant 5F1</v>
      </c>
      <c r="B429" s="16" t="str">
        <f t="shared" si="99"/>
        <v>Fiche info Avenant 5</v>
      </c>
      <c r="C429" s="27" t="s">
        <v>244</v>
      </c>
      <c r="D429" s="27">
        <v>1</v>
      </c>
      <c r="E429" s="16" t="s">
        <v>17</v>
      </c>
      <c r="F429" s="34" t="str">
        <f>+IF('Fiche info Avenant 5'!$BN$7=0,"",'Fiche info Avenant 5'!$BN$7)</f>
        <v/>
      </c>
      <c r="G429" s="16">
        <f t="shared" si="97"/>
        <v>0</v>
      </c>
      <c r="BX429" s="16" t="str">
        <f t="shared" si="98"/>
        <v>Fiche info Avenant 5F1</v>
      </c>
      <c r="BY429" s="449">
        <f>'Fiche info Avenant 5'!$BE$7</f>
        <v>0</v>
      </c>
      <c r="BZ429" s="449">
        <f>'Fiche info Avenant 5'!$BF$7</f>
        <v>0</v>
      </c>
      <c r="CA429" s="449">
        <f>'Fiche info Avenant 5'!$BG$7</f>
        <v>0</v>
      </c>
      <c r="CB429" s="449">
        <f>'Fiche info Avenant 5'!$BH$7</f>
        <v>0</v>
      </c>
      <c r="CC429" s="449">
        <f>'Fiche info Avenant 5'!$BI$7</f>
        <v>0</v>
      </c>
      <c r="CD429" s="449">
        <f>'Fiche info Avenant 5'!$BJ$7</f>
        <v>0</v>
      </c>
      <c r="CE429" s="449">
        <f>'Fiche info Avenant 5'!$BK$7</f>
        <v>0</v>
      </c>
      <c r="CF429" s="449">
        <f>'Fiche info Avenant 5'!$BL$7</f>
        <v>0</v>
      </c>
      <c r="ED429" s="16" t="str">
        <f t="shared" si="90"/>
        <v>Fiche info Avenant 5F</v>
      </c>
      <c r="EE429" s="16" t="str">
        <f t="shared" si="92"/>
        <v>Fiche info Avenant 5</v>
      </c>
      <c r="EF429" s="16" t="str">
        <f t="shared" si="93"/>
        <v>F</v>
      </c>
      <c r="EG429" s="16">
        <f t="shared" si="94"/>
        <v>1</v>
      </c>
      <c r="EH429" s="16" t="str">
        <f t="shared" si="95"/>
        <v>Lundi</v>
      </c>
      <c r="EI429" s="16" t="str">
        <f t="shared" si="96"/>
        <v/>
      </c>
    </row>
    <row r="430" spans="1:139" x14ac:dyDescent="0.2">
      <c r="A430" s="16" t="str">
        <f t="shared" si="100"/>
        <v>Fiche info Avenant 5F2</v>
      </c>
      <c r="B430" s="16" t="str">
        <f t="shared" si="99"/>
        <v>Fiche info Avenant 5</v>
      </c>
      <c r="C430" s="27" t="s">
        <v>244</v>
      </c>
      <c r="D430" s="27">
        <v>2</v>
      </c>
      <c r="E430" s="16" t="s">
        <v>18</v>
      </c>
      <c r="F430" s="34" t="str">
        <f>+IF('Fiche info Avenant 5'!$BN$8=0,"",'Fiche info Avenant 5'!$BN$8)</f>
        <v/>
      </c>
      <c r="G430" s="16">
        <f t="shared" si="97"/>
        <v>0</v>
      </c>
      <c r="BX430" s="16" t="str">
        <f t="shared" si="98"/>
        <v>Fiche info Avenant 5F2</v>
      </c>
      <c r="BY430" s="449">
        <f>'Fiche info Avenant 5'!$BE$8</f>
        <v>0</v>
      </c>
      <c r="BZ430" s="449">
        <f>'Fiche info Avenant 5'!$BF$8</f>
        <v>0</v>
      </c>
      <c r="CA430" s="449">
        <f>'Fiche info Avenant 5'!$BG$8</f>
        <v>0</v>
      </c>
      <c r="CB430" s="449">
        <f>'Fiche info Avenant 5'!$BH$8</f>
        <v>0</v>
      </c>
      <c r="CC430" s="449">
        <f>'Fiche info Avenant 5'!$BI$8</f>
        <v>0</v>
      </c>
      <c r="CD430" s="449">
        <f>'Fiche info Avenant 5'!$BJ$8</f>
        <v>0</v>
      </c>
      <c r="CE430" s="449">
        <f>'Fiche info Avenant 5'!$BK$8</f>
        <v>0</v>
      </c>
      <c r="CF430" s="449">
        <f>'Fiche info Avenant 5'!$BL$8</f>
        <v>0</v>
      </c>
      <c r="ED430" s="16" t="str">
        <f t="shared" si="90"/>
        <v>Fiche info Avenant 5F</v>
      </c>
      <c r="EE430" s="16" t="str">
        <f t="shared" si="92"/>
        <v>Fiche info Avenant 5</v>
      </c>
      <c r="EF430" s="16" t="str">
        <f t="shared" si="93"/>
        <v>F</v>
      </c>
      <c r="EG430" s="16">
        <f t="shared" si="94"/>
        <v>2</v>
      </c>
      <c r="EH430" s="16" t="str">
        <f t="shared" si="95"/>
        <v>Mardi</v>
      </c>
      <c r="EI430" s="16" t="str">
        <f t="shared" si="96"/>
        <v/>
      </c>
    </row>
    <row r="431" spans="1:139" x14ac:dyDescent="0.2">
      <c r="A431" s="16" t="str">
        <f t="shared" si="100"/>
        <v>Fiche info Avenant 5F3</v>
      </c>
      <c r="B431" s="16" t="str">
        <f t="shared" si="99"/>
        <v>Fiche info Avenant 5</v>
      </c>
      <c r="C431" s="27" t="s">
        <v>244</v>
      </c>
      <c r="D431" s="27">
        <v>3</v>
      </c>
      <c r="E431" s="16" t="s">
        <v>19</v>
      </c>
      <c r="F431" s="34" t="str">
        <f>+IF('Fiche info Avenant 5'!$BN$9=0,"",'Fiche info Avenant 5'!$BN$9)</f>
        <v/>
      </c>
      <c r="G431" s="16">
        <f t="shared" si="97"/>
        <v>0</v>
      </c>
      <c r="BX431" s="16" t="str">
        <f t="shared" si="98"/>
        <v>Fiche info Avenant 5F3</v>
      </c>
      <c r="BY431" s="449">
        <f>'Fiche info Avenant 5'!$BE$9</f>
        <v>0</v>
      </c>
      <c r="BZ431" s="449">
        <f>'Fiche info Avenant 5'!$BF$9</f>
        <v>0</v>
      </c>
      <c r="CA431" s="449">
        <f>'Fiche info Avenant 5'!$BG$9</f>
        <v>0</v>
      </c>
      <c r="CB431" s="449">
        <f>'Fiche info Avenant 5'!$BH$9</f>
        <v>0</v>
      </c>
      <c r="CC431" s="449">
        <f>'Fiche info Avenant 5'!$BI$9</f>
        <v>0</v>
      </c>
      <c r="CD431" s="449">
        <f>'Fiche info Avenant 5'!$BJ$9</f>
        <v>0</v>
      </c>
      <c r="CE431" s="449">
        <f>'Fiche info Avenant 5'!$BK$9</f>
        <v>0</v>
      </c>
      <c r="CF431" s="449">
        <f>'Fiche info Avenant 5'!$BL$9</f>
        <v>0</v>
      </c>
      <c r="ED431" s="16" t="str">
        <f t="shared" si="90"/>
        <v>Fiche info Avenant 5F</v>
      </c>
      <c r="EE431" s="16" t="str">
        <f t="shared" si="92"/>
        <v>Fiche info Avenant 5</v>
      </c>
      <c r="EF431" s="16" t="str">
        <f t="shared" si="93"/>
        <v>F</v>
      </c>
      <c r="EG431" s="16">
        <f t="shared" si="94"/>
        <v>3</v>
      </c>
      <c r="EH431" s="16" t="str">
        <f t="shared" si="95"/>
        <v>Mercredi</v>
      </c>
      <c r="EI431" s="16" t="str">
        <f t="shared" si="96"/>
        <v/>
      </c>
    </row>
    <row r="432" spans="1:139" x14ac:dyDescent="0.2">
      <c r="A432" s="16" t="str">
        <f t="shared" si="100"/>
        <v>Fiche info Avenant 5F4</v>
      </c>
      <c r="B432" s="16" t="str">
        <f t="shared" si="99"/>
        <v>Fiche info Avenant 5</v>
      </c>
      <c r="C432" s="27" t="s">
        <v>244</v>
      </c>
      <c r="D432" s="27">
        <v>4</v>
      </c>
      <c r="E432" s="16" t="s">
        <v>20</v>
      </c>
      <c r="F432" s="34" t="str">
        <f>+IF('Fiche info Avenant 5'!$BN$10=0,"",'Fiche info Avenant 5'!$BN$10)</f>
        <v/>
      </c>
      <c r="G432" s="16">
        <f t="shared" si="97"/>
        <v>0</v>
      </c>
      <c r="BX432" s="16" t="str">
        <f t="shared" si="98"/>
        <v>Fiche info Avenant 5F4</v>
      </c>
      <c r="BY432" s="449">
        <f>'Fiche info Avenant 5'!$BE$10</f>
        <v>0</v>
      </c>
      <c r="BZ432" s="449">
        <f>'Fiche info Avenant 5'!$BF$10</f>
        <v>0</v>
      </c>
      <c r="CA432" s="449">
        <f>'Fiche info Avenant 5'!$BG$10</f>
        <v>0</v>
      </c>
      <c r="CB432" s="449">
        <f>'Fiche info Avenant 5'!$BH$10</f>
        <v>0</v>
      </c>
      <c r="CC432" s="449">
        <f>'Fiche info Avenant 5'!$BI$10</f>
        <v>0</v>
      </c>
      <c r="CD432" s="449">
        <f>'Fiche info Avenant 5'!$BJ$10</f>
        <v>0</v>
      </c>
      <c r="CE432" s="449">
        <f>'Fiche info Avenant 5'!$BK$10</f>
        <v>0</v>
      </c>
      <c r="CF432" s="449">
        <f>'Fiche info Avenant 5'!$BL$10</f>
        <v>0</v>
      </c>
      <c r="ED432" s="16" t="str">
        <f t="shared" si="90"/>
        <v>Fiche info Avenant 5F</v>
      </c>
      <c r="EE432" s="16" t="str">
        <f t="shared" si="92"/>
        <v>Fiche info Avenant 5</v>
      </c>
      <c r="EF432" s="16" t="str">
        <f t="shared" si="93"/>
        <v>F</v>
      </c>
      <c r="EG432" s="16">
        <f t="shared" si="94"/>
        <v>4</v>
      </c>
      <c r="EH432" s="16" t="str">
        <f t="shared" si="95"/>
        <v>Jeudi</v>
      </c>
      <c r="EI432" s="16" t="str">
        <f t="shared" si="96"/>
        <v/>
      </c>
    </row>
    <row r="433" spans="1:139" x14ac:dyDescent="0.2">
      <c r="A433" s="16" t="str">
        <f t="shared" si="100"/>
        <v>Fiche info Avenant 5F5</v>
      </c>
      <c r="B433" s="16" t="str">
        <f t="shared" si="99"/>
        <v>Fiche info Avenant 5</v>
      </c>
      <c r="C433" s="27" t="s">
        <v>244</v>
      </c>
      <c r="D433" s="27">
        <v>5</v>
      </c>
      <c r="E433" s="16" t="s">
        <v>21</v>
      </c>
      <c r="F433" s="34" t="str">
        <f>+IF('Fiche info Avenant 5'!$BN$11=0,"",'Fiche info Avenant 5'!$BN$11)</f>
        <v/>
      </c>
      <c r="G433" s="16">
        <f t="shared" si="97"/>
        <v>0</v>
      </c>
      <c r="BX433" s="16" t="str">
        <f t="shared" si="98"/>
        <v>Fiche info Avenant 5F5</v>
      </c>
      <c r="BY433" s="449">
        <f>'Fiche info Avenant 5'!$BE$11</f>
        <v>0</v>
      </c>
      <c r="BZ433" s="449">
        <f>'Fiche info Avenant 5'!$BF$11</f>
        <v>0</v>
      </c>
      <c r="CA433" s="449">
        <f>'Fiche info Avenant 5'!$BG$11</f>
        <v>0</v>
      </c>
      <c r="CB433" s="449">
        <f>'Fiche info Avenant 5'!$BH$11</f>
        <v>0</v>
      </c>
      <c r="CC433" s="449">
        <f>'Fiche info Avenant 5'!$BI$11</f>
        <v>0</v>
      </c>
      <c r="CD433" s="449">
        <f>'Fiche info Avenant 5'!$BJ$11</f>
        <v>0</v>
      </c>
      <c r="CE433" s="449">
        <f>'Fiche info Avenant 5'!$BK$11</f>
        <v>0</v>
      </c>
      <c r="CF433" s="449">
        <f>'Fiche info Avenant 5'!$BL$11</f>
        <v>0</v>
      </c>
      <c r="ED433" s="16" t="str">
        <f t="shared" si="90"/>
        <v>Fiche info Avenant 5F</v>
      </c>
      <c r="EE433" s="16" t="str">
        <f t="shared" si="92"/>
        <v>Fiche info Avenant 5</v>
      </c>
      <c r="EF433" s="16" t="str">
        <f t="shared" si="93"/>
        <v>F</v>
      </c>
      <c r="EG433" s="16">
        <f t="shared" si="94"/>
        <v>5</v>
      </c>
      <c r="EH433" s="16" t="str">
        <f t="shared" si="95"/>
        <v>Vendredi</v>
      </c>
      <c r="EI433" s="16" t="str">
        <f t="shared" si="96"/>
        <v/>
      </c>
    </row>
    <row r="434" spans="1:139" x14ac:dyDescent="0.2">
      <c r="A434" s="16" t="str">
        <f t="shared" si="100"/>
        <v>Fiche info Avenant 5F6</v>
      </c>
      <c r="B434" s="16" t="str">
        <f t="shared" si="99"/>
        <v>Fiche info Avenant 5</v>
      </c>
      <c r="C434" s="27" t="s">
        <v>244</v>
      </c>
      <c r="D434" s="27">
        <v>6</v>
      </c>
      <c r="E434" s="16" t="s">
        <v>193</v>
      </c>
      <c r="F434" s="34" t="str">
        <f>+IF('Fiche info Avenant 5'!$BN$12=0,"",'Fiche info Avenant 5'!$BN$12)</f>
        <v/>
      </c>
      <c r="G434" s="16">
        <f t="shared" si="97"/>
        <v>0</v>
      </c>
      <c r="BX434" s="16" t="str">
        <f t="shared" si="98"/>
        <v>Fiche info Avenant 5F6</v>
      </c>
      <c r="BY434" s="449">
        <f>'Fiche info Avenant 5'!$BE$12</f>
        <v>0</v>
      </c>
      <c r="BZ434" s="449">
        <f>'Fiche info Avenant 5'!$BF$12</f>
        <v>0</v>
      </c>
      <c r="CA434" s="449">
        <f>'Fiche info Avenant 5'!$BG$12</f>
        <v>0</v>
      </c>
      <c r="CB434" s="449">
        <f>'Fiche info Avenant 5'!$BH$12</f>
        <v>0</v>
      </c>
      <c r="CC434" s="449">
        <f>'Fiche info Avenant 5'!$BI$12</f>
        <v>0</v>
      </c>
      <c r="CD434" s="449">
        <f>'Fiche info Avenant 5'!$BJ$12</f>
        <v>0</v>
      </c>
      <c r="CE434" s="449">
        <f>'Fiche info Avenant 5'!$BK$12</f>
        <v>0</v>
      </c>
      <c r="CF434" s="449">
        <f>'Fiche info Avenant 5'!$BL$12</f>
        <v>0</v>
      </c>
      <c r="ED434" s="16" t="str">
        <f t="shared" si="90"/>
        <v>Fiche info Avenant 5F</v>
      </c>
      <c r="EE434" s="16" t="str">
        <f t="shared" si="92"/>
        <v>Fiche info Avenant 5</v>
      </c>
      <c r="EF434" s="16" t="str">
        <f t="shared" si="93"/>
        <v>F</v>
      </c>
      <c r="EG434" s="16">
        <f t="shared" si="94"/>
        <v>6</v>
      </c>
      <c r="EH434" s="16" t="str">
        <f t="shared" si="95"/>
        <v>Samedi</v>
      </c>
      <c r="EI434" s="16" t="str">
        <f t="shared" si="96"/>
        <v/>
      </c>
    </row>
    <row r="435" spans="1:139" x14ac:dyDescent="0.2">
      <c r="A435" s="16" t="str">
        <f t="shared" si="100"/>
        <v>Fiche info Avenant 5F7</v>
      </c>
      <c r="B435" s="16" t="str">
        <f t="shared" si="99"/>
        <v>Fiche info Avenant 5</v>
      </c>
      <c r="C435" s="27" t="s">
        <v>244</v>
      </c>
      <c r="D435" s="27">
        <v>7</v>
      </c>
      <c r="E435" s="16" t="s">
        <v>194</v>
      </c>
      <c r="F435" s="34" t="str">
        <f>+IF('Fiche info Avenant 5'!$BN$13=0,"",'Fiche info Avenant 5'!$BN$13)</f>
        <v/>
      </c>
      <c r="G435" s="16">
        <f t="shared" si="97"/>
        <v>0</v>
      </c>
      <c r="BX435" s="16" t="str">
        <f t="shared" si="98"/>
        <v>Fiche info Avenant 5F7</v>
      </c>
      <c r="BY435" s="449">
        <f>'Fiche info Avenant 5'!$BE$13</f>
        <v>0</v>
      </c>
      <c r="BZ435" s="449">
        <f>'Fiche info Avenant 5'!$BF$13</f>
        <v>0</v>
      </c>
      <c r="CA435" s="449">
        <f>'Fiche info Avenant 5'!$BG$13</f>
        <v>0</v>
      </c>
      <c r="CB435" s="449">
        <f>'Fiche info Avenant 5'!$BH$13</f>
        <v>0</v>
      </c>
      <c r="CC435" s="449">
        <f>'Fiche info Avenant 5'!$BI$13</f>
        <v>0</v>
      </c>
      <c r="CD435" s="449">
        <f>'Fiche info Avenant 5'!$BJ$13</f>
        <v>0</v>
      </c>
      <c r="CE435" s="449">
        <f>'Fiche info Avenant 5'!$BK$13</f>
        <v>0</v>
      </c>
      <c r="CF435" s="449">
        <f>'Fiche info Avenant 5'!$BL$13</f>
        <v>0</v>
      </c>
      <c r="ED435" s="16" t="str">
        <f t="shared" ref="ED435:ED498" si="101">+EE435&amp;EF435</f>
        <v>Fiche info Avenant 5F</v>
      </c>
      <c r="EE435" s="16" t="str">
        <f t="shared" si="92"/>
        <v>Fiche info Avenant 5</v>
      </c>
      <c r="EF435" s="16" t="str">
        <f t="shared" si="93"/>
        <v>F</v>
      </c>
      <c r="EG435" s="16">
        <f t="shared" si="94"/>
        <v>7</v>
      </c>
      <c r="EH435" s="16" t="str">
        <f t="shared" si="95"/>
        <v>Dimanche</v>
      </c>
      <c r="EI435" s="16" t="str">
        <f t="shared" si="96"/>
        <v/>
      </c>
    </row>
    <row r="436" spans="1:139" x14ac:dyDescent="0.2">
      <c r="A436" s="16" t="str">
        <f t="shared" si="100"/>
        <v>Fiche info Avenant 5G1</v>
      </c>
      <c r="B436" s="16" t="str">
        <f t="shared" si="99"/>
        <v>Fiche info Avenant 5</v>
      </c>
      <c r="C436" s="27" t="s">
        <v>245</v>
      </c>
      <c r="D436" s="27">
        <v>1</v>
      </c>
      <c r="E436" s="16" t="s">
        <v>17</v>
      </c>
      <c r="F436" s="34" t="str">
        <f>+IF('Fiche info Avenant 5'!$BY$7=0,"",'Fiche info Avenant 5'!$BY$7)</f>
        <v/>
      </c>
      <c r="G436" s="16">
        <f t="shared" si="97"/>
        <v>0</v>
      </c>
      <c r="BX436" s="16" t="str">
        <f t="shared" si="98"/>
        <v>Fiche info Avenant 5G1</v>
      </c>
      <c r="BY436" s="449">
        <f>'Fiche info Avenant 5'!$BP$7</f>
        <v>0</v>
      </c>
      <c r="BZ436" s="449">
        <f>'Fiche info Avenant 5'!$BQ$7</f>
        <v>0</v>
      </c>
      <c r="CA436" s="449">
        <f>'Fiche info Avenant 5'!$BR$7</f>
        <v>0</v>
      </c>
      <c r="CB436" s="449">
        <f>'Fiche info Avenant 5'!$BS$7</f>
        <v>0</v>
      </c>
      <c r="CC436" s="449">
        <f>'Fiche info Avenant 5'!$BT$7</f>
        <v>0</v>
      </c>
      <c r="CD436" s="449">
        <f>'Fiche info Avenant 5'!$BU$7</f>
        <v>0</v>
      </c>
      <c r="CE436" s="449">
        <f>'Fiche info Avenant 5'!$BV$7</f>
        <v>0</v>
      </c>
      <c r="CF436" s="449">
        <f>'Fiche info Avenant 5'!$BW$7</f>
        <v>0</v>
      </c>
      <c r="ED436" s="16" t="str">
        <f t="shared" si="101"/>
        <v>Fiche info Avenant 5G</v>
      </c>
      <c r="EE436" s="16" t="str">
        <f t="shared" si="92"/>
        <v>Fiche info Avenant 5</v>
      </c>
      <c r="EF436" s="16" t="str">
        <f t="shared" si="93"/>
        <v>G</v>
      </c>
      <c r="EG436" s="16">
        <f t="shared" si="94"/>
        <v>1</v>
      </c>
      <c r="EH436" s="16" t="str">
        <f t="shared" si="95"/>
        <v>Lundi</v>
      </c>
      <c r="EI436" s="16" t="str">
        <f t="shared" si="96"/>
        <v/>
      </c>
    </row>
    <row r="437" spans="1:139" x14ac:dyDescent="0.2">
      <c r="A437" s="16" t="str">
        <f t="shared" si="100"/>
        <v>Fiche info Avenant 5G2</v>
      </c>
      <c r="B437" s="16" t="str">
        <f t="shared" si="99"/>
        <v>Fiche info Avenant 5</v>
      </c>
      <c r="C437" s="27" t="s">
        <v>245</v>
      </c>
      <c r="D437" s="27">
        <v>2</v>
      </c>
      <c r="E437" s="16" t="s">
        <v>18</v>
      </c>
      <c r="F437" s="34" t="str">
        <f>+IF('Fiche info Avenant 5'!$BY$8=0,"",'Fiche info Avenant 5'!$BY$8)</f>
        <v/>
      </c>
      <c r="G437" s="16">
        <f t="shared" si="97"/>
        <v>0</v>
      </c>
      <c r="BX437" s="16" t="str">
        <f t="shared" si="98"/>
        <v>Fiche info Avenant 5G2</v>
      </c>
      <c r="BY437" s="449">
        <f>'Fiche info Avenant 5'!$BP$8</f>
        <v>0</v>
      </c>
      <c r="BZ437" s="449">
        <f>'Fiche info Avenant 5'!$BQ$8</f>
        <v>0</v>
      </c>
      <c r="CA437" s="449">
        <f>'Fiche info Avenant 5'!$BR$8</f>
        <v>0</v>
      </c>
      <c r="CB437" s="449">
        <f>'Fiche info Avenant 5'!$BS$8</f>
        <v>0</v>
      </c>
      <c r="CC437" s="449">
        <f>'Fiche info Avenant 5'!$BT$8</f>
        <v>0</v>
      </c>
      <c r="CD437" s="449">
        <f>'Fiche info Avenant 5'!$BU$8</f>
        <v>0</v>
      </c>
      <c r="CE437" s="449">
        <f>'Fiche info Avenant 5'!$BV$8</f>
        <v>0</v>
      </c>
      <c r="CF437" s="449">
        <f>'Fiche info Avenant 5'!$BW$8</f>
        <v>0</v>
      </c>
      <c r="ED437" s="16" t="str">
        <f t="shared" si="101"/>
        <v>Fiche info Avenant 5G</v>
      </c>
      <c r="EE437" s="16" t="str">
        <f t="shared" si="92"/>
        <v>Fiche info Avenant 5</v>
      </c>
      <c r="EF437" s="16" t="str">
        <f t="shared" si="93"/>
        <v>G</v>
      </c>
      <c r="EG437" s="16">
        <f t="shared" si="94"/>
        <v>2</v>
      </c>
      <c r="EH437" s="16" t="str">
        <f t="shared" si="95"/>
        <v>Mardi</v>
      </c>
      <c r="EI437" s="16" t="str">
        <f t="shared" si="96"/>
        <v/>
      </c>
    </row>
    <row r="438" spans="1:139" x14ac:dyDescent="0.2">
      <c r="A438" s="16" t="str">
        <f t="shared" si="100"/>
        <v>Fiche info Avenant 5G3</v>
      </c>
      <c r="B438" s="16" t="str">
        <f t="shared" si="99"/>
        <v>Fiche info Avenant 5</v>
      </c>
      <c r="C438" s="27" t="s">
        <v>245</v>
      </c>
      <c r="D438" s="27">
        <v>3</v>
      </c>
      <c r="E438" s="16" t="s">
        <v>19</v>
      </c>
      <c r="F438" s="34" t="str">
        <f>+IF('Fiche info Avenant 5'!$BY$9=0,"",'Fiche info Avenant 5'!$BY$9)</f>
        <v/>
      </c>
      <c r="G438" s="16">
        <f t="shared" si="97"/>
        <v>0</v>
      </c>
      <c r="BX438" s="16" t="str">
        <f t="shared" si="98"/>
        <v>Fiche info Avenant 5G3</v>
      </c>
      <c r="BY438" s="449">
        <f>'Fiche info Avenant 5'!$BP$9</f>
        <v>0</v>
      </c>
      <c r="BZ438" s="449">
        <f>'Fiche info Avenant 5'!$BQ$9</f>
        <v>0</v>
      </c>
      <c r="CA438" s="449">
        <f>'Fiche info Avenant 5'!$BR$9</f>
        <v>0</v>
      </c>
      <c r="CB438" s="449">
        <f>'Fiche info Avenant 5'!$BS$9</f>
        <v>0</v>
      </c>
      <c r="CC438" s="449">
        <f>'Fiche info Avenant 5'!$BT$9</f>
        <v>0</v>
      </c>
      <c r="CD438" s="449">
        <f>'Fiche info Avenant 5'!$BU$9</f>
        <v>0</v>
      </c>
      <c r="CE438" s="449">
        <f>'Fiche info Avenant 5'!$BV$9</f>
        <v>0</v>
      </c>
      <c r="CF438" s="449">
        <f>'Fiche info Avenant 5'!$BW$9</f>
        <v>0</v>
      </c>
      <c r="ED438" s="16" t="str">
        <f t="shared" si="101"/>
        <v>Fiche info Avenant 5G</v>
      </c>
      <c r="EE438" s="16" t="str">
        <f t="shared" si="92"/>
        <v>Fiche info Avenant 5</v>
      </c>
      <c r="EF438" s="16" t="str">
        <f t="shared" si="93"/>
        <v>G</v>
      </c>
      <c r="EG438" s="16">
        <f t="shared" si="94"/>
        <v>3</v>
      </c>
      <c r="EH438" s="16" t="str">
        <f t="shared" si="95"/>
        <v>Mercredi</v>
      </c>
      <c r="EI438" s="16" t="str">
        <f t="shared" si="96"/>
        <v/>
      </c>
    </row>
    <row r="439" spans="1:139" x14ac:dyDescent="0.2">
      <c r="A439" s="16" t="str">
        <f t="shared" si="100"/>
        <v>Fiche info Avenant 5G4</v>
      </c>
      <c r="B439" s="16" t="str">
        <f t="shared" si="99"/>
        <v>Fiche info Avenant 5</v>
      </c>
      <c r="C439" s="27" t="s">
        <v>245</v>
      </c>
      <c r="D439" s="27">
        <v>4</v>
      </c>
      <c r="E439" s="16" t="s">
        <v>20</v>
      </c>
      <c r="F439" s="34" t="str">
        <f>+IF('Fiche info Avenant 5'!$BY$10=0,"",'Fiche info Avenant 5'!$BY$10)</f>
        <v/>
      </c>
      <c r="G439" s="16">
        <f t="shared" si="97"/>
        <v>0</v>
      </c>
      <c r="BX439" s="16" t="str">
        <f t="shared" si="98"/>
        <v>Fiche info Avenant 5G4</v>
      </c>
      <c r="BY439" s="449">
        <f>'Fiche info Avenant 5'!$BP$10</f>
        <v>0</v>
      </c>
      <c r="BZ439" s="449">
        <f>'Fiche info Avenant 5'!$BQ$10</f>
        <v>0</v>
      </c>
      <c r="CA439" s="449">
        <f>'Fiche info Avenant 5'!$BR$10</f>
        <v>0</v>
      </c>
      <c r="CB439" s="449">
        <f>'Fiche info Avenant 5'!$BS$10</f>
        <v>0</v>
      </c>
      <c r="CC439" s="449">
        <f>'Fiche info Avenant 5'!$BT$10</f>
        <v>0</v>
      </c>
      <c r="CD439" s="449">
        <f>'Fiche info Avenant 5'!$BU$10</f>
        <v>0</v>
      </c>
      <c r="CE439" s="449">
        <f>'Fiche info Avenant 5'!$BV$10</f>
        <v>0</v>
      </c>
      <c r="CF439" s="449">
        <f>'Fiche info Avenant 5'!$BW$10</f>
        <v>0</v>
      </c>
      <c r="ED439" s="16" t="str">
        <f t="shared" si="101"/>
        <v>Fiche info Avenant 5G</v>
      </c>
      <c r="EE439" s="16" t="str">
        <f t="shared" si="92"/>
        <v>Fiche info Avenant 5</v>
      </c>
      <c r="EF439" s="16" t="str">
        <f t="shared" si="93"/>
        <v>G</v>
      </c>
      <c r="EG439" s="16">
        <f t="shared" si="94"/>
        <v>4</v>
      </c>
      <c r="EH439" s="16" t="str">
        <f t="shared" si="95"/>
        <v>Jeudi</v>
      </c>
      <c r="EI439" s="16" t="str">
        <f t="shared" si="96"/>
        <v/>
      </c>
    </row>
    <row r="440" spans="1:139" x14ac:dyDescent="0.2">
      <c r="A440" s="16" t="str">
        <f t="shared" si="100"/>
        <v>Fiche info Avenant 5G5</v>
      </c>
      <c r="B440" s="16" t="str">
        <f t="shared" si="99"/>
        <v>Fiche info Avenant 5</v>
      </c>
      <c r="C440" s="27" t="s">
        <v>245</v>
      </c>
      <c r="D440" s="27">
        <v>5</v>
      </c>
      <c r="E440" s="16" t="s">
        <v>21</v>
      </c>
      <c r="F440" s="34" t="str">
        <f>+IF('Fiche info Avenant 5'!$BY$11=0,"",'Fiche info Avenant 5'!$BY$11)</f>
        <v/>
      </c>
      <c r="G440" s="16">
        <f t="shared" si="97"/>
        <v>0</v>
      </c>
      <c r="BX440" s="16" t="str">
        <f t="shared" si="98"/>
        <v>Fiche info Avenant 5G5</v>
      </c>
      <c r="BY440" s="449">
        <f>'Fiche info Avenant 5'!$BP$11</f>
        <v>0</v>
      </c>
      <c r="BZ440" s="449">
        <f>'Fiche info Avenant 5'!$BQ$11</f>
        <v>0</v>
      </c>
      <c r="CA440" s="449">
        <f>'Fiche info Avenant 5'!$BR$11</f>
        <v>0</v>
      </c>
      <c r="CB440" s="449">
        <f>'Fiche info Avenant 5'!$BS$11</f>
        <v>0</v>
      </c>
      <c r="CC440" s="449">
        <f>'Fiche info Avenant 5'!$BT$11</f>
        <v>0</v>
      </c>
      <c r="CD440" s="449">
        <f>'Fiche info Avenant 5'!$BU$11</f>
        <v>0</v>
      </c>
      <c r="CE440" s="449">
        <f>'Fiche info Avenant 5'!$BV$11</f>
        <v>0</v>
      </c>
      <c r="CF440" s="449">
        <f>'Fiche info Avenant 5'!$BW$11</f>
        <v>0</v>
      </c>
      <c r="ED440" s="16" t="str">
        <f t="shared" si="101"/>
        <v>Fiche info Avenant 5G</v>
      </c>
      <c r="EE440" s="16" t="str">
        <f t="shared" si="92"/>
        <v>Fiche info Avenant 5</v>
      </c>
      <c r="EF440" s="16" t="str">
        <f t="shared" si="93"/>
        <v>G</v>
      </c>
      <c r="EG440" s="16">
        <f t="shared" si="94"/>
        <v>5</v>
      </c>
      <c r="EH440" s="16" t="str">
        <f t="shared" si="95"/>
        <v>Vendredi</v>
      </c>
      <c r="EI440" s="16" t="str">
        <f t="shared" si="96"/>
        <v/>
      </c>
    </row>
    <row r="441" spans="1:139" x14ac:dyDescent="0.2">
      <c r="A441" s="16" t="str">
        <f t="shared" si="100"/>
        <v>Fiche info Avenant 5G6</v>
      </c>
      <c r="B441" s="16" t="str">
        <f t="shared" si="99"/>
        <v>Fiche info Avenant 5</v>
      </c>
      <c r="C441" s="27" t="s">
        <v>245</v>
      </c>
      <c r="D441" s="27">
        <v>6</v>
      </c>
      <c r="E441" s="16" t="s">
        <v>193</v>
      </c>
      <c r="F441" s="34" t="str">
        <f>+IF('Fiche info Avenant 5'!$BY$12=0,"",'Fiche info Avenant 5'!$BY$12)</f>
        <v/>
      </c>
      <c r="G441" s="16">
        <f t="shared" si="97"/>
        <v>0</v>
      </c>
      <c r="BX441" s="16" t="str">
        <f t="shared" si="98"/>
        <v>Fiche info Avenant 5G6</v>
      </c>
      <c r="BY441" s="449">
        <f>'Fiche info Avenant 5'!$BP$12</f>
        <v>0</v>
      </c>
      <c r="BZ441" s="449">
        <f>'Fiche info Avenant 5'!$BQ$12</f>
        <v>0</v>
      </c>
      <c r="CA441" s="449">
        <f>'Fiche info Avenant 5'!$BR$12</f>
        <v>0</v>
      </c>
      <c r="CB441" s="449">
        <f>'Fiche info Avenant 5'!$BS$12</f>
        <v>0</v>
      </c>
      <c r="CC441" s="449">
        <f>'Fiche info Avenant 5'!$BT$12</f>
        <v>0</v>
      </c>
      <c r="CD441" s="449">
        <f>'Fiche info Avenant 5'!$BU$12</f>
        <v>0</v>
      </c>
      <c r="CE441" s="449">
        <f>'Fiche info Avenant 5'!$BV$12</f>
        <v>0</v>
      </c>
      <c r="CF441" s="449">
        <f>'Fiche info Avenant 5'!$BW$12</f>
        <v>0</v>
      </c>
      <c r="ED441" s="16" t="str">
        <f t="shared" si="101"/>
        <v>Fiche info Avenant 5G</v>
      </c>
      <c r="EE441" s="16" t="str">
        <f t="shared" si="92"/>
        <v>Fiche info Avenant 5</v>
      </c>
      <c r="EF441" s="16" t="str">
        <f t="shared" si="93"/>
        <v>G</v>
      </c>
      <c r="EG441" s="16">
        <f t="shared" si="94"/>
        <v>6</v>
      </c>
      <c r="EH441" s="16" t="str">
        <f t="shared" si="95"/>
        <v>Samedi</v>
      </c>
      <c r="EI441" s="16" t="str">
        <f t="shared" si="96"/>
        <v/>
      </c>
    </row>
    <row r="442" spans="1:139" x14ac:dyDescent="0.2">
      <c r="A442" s="16" t="str">
        <f t="shared" si="100"/>
        <v>Fiche info Avenant 5G7</v>
      </c>
      <c r="B442" s="16" t="str">
        <f t="shared" si="99"/>
        <v>Fiche info Avenant 5</v>
      </c>
      <c r="C442" s="27" t="s">
        <v>245</v>
      </c>
      <c r="D442" s="27">
        <v>7</v>
      </c>
      <c r="E442" s="16" t="s">
        <v>194</v>
      </c>
      <c r="F442" s="34" t="str">
        <f>+IF('Fiche info Avenant 5'!$BY$13=0,"",'Fiche info Avenant 5'!$BY$13)</f>
        <v/>
      </c>
      <c r="G442" s="16">
        <f t="shared" si="97"/>
        <v>0</v>
      </c>
      <c r="BX442" s="16" t="str">
        <f t="shared" si="98"/>
        <v>Fiche info Avenant 5G7</v>
      </c>
      <c r="BY442" s="449">
        <f>'Fiche info Avenant 5'!$BP$13</f>
        <v>0</v>
      </c>
      <c r="BZ442" s="449">
        <f>'Fiche info Avenant 5'!$BQ$13</f>
        <v>0</v>
      </c>
      <c r="CA442" s="449">
        <f>'Fiche info Avenant 5'!$BR$13</f>
        <v>0</v>
      </c>
      <c r="CB442" s="449">
        <f>'Fiche info Avenant 5'!$BS$13</f>
        <v>0</v>
      </c>
      <c r="CC442" s="449">
        <f>'Fiche info Avenant 5'!$BT$13</f>
        <v>0</v>
      </c>
      <c r="CD442" s="449">
        <f>'Fiche info Avenant 5'!$BU$13</f>
        <v>0</v>
      </c>
      <c r="CE442" s="449">
        <f>'Fiche info Avenant 5'!$BV$13</f>
        <v>0</v>
      </c>
      <c r="CF442" s="449">
        <f>'Fiche info Avenant 5'!$BW$13</f>
        <v>0</v>
      </c>
      <c r="ED442" s="16" t="str">
        <f t="shared" si="101"/>
        <v>Fiche info Avenant 5G</v>
      </c>
      <c r="EE442" s="16" t="str">
        <f t="shared" si="92"/>
        <v>Fiche info Avenant 5</v>
      </c>
      <c r="EF442" s="16" t="str">
        <f t="shared" si="93"/>
        <v>G</v>
      </c>
      <c r="EG442" s="16">
        <f t="shared" si="94"/>
        <v>7</v>
      </c>
      <c r="EH442" s="16" t="str">
        <f t="shared" si="95"/>
        <v>Dimanche</v>
      </c>
      <c r="EI442" s="16" t="str">
        <f t="shared" si="96"/>
        <v/>
      </c>
    </row>
    <row r="443" spans="1:139" x14ac:dyDescent="0.2">
      <c r="A443" s="16" t="str">
        <f t="shared" si="100"/>
        <v>Fiche info Avenant 5H1</v>
      </c>
      <c r="B443" s="16" t="str">
        <f t="shared" si="99"/>
        <v>Fiche info Avenant 5</v>
      </c>
      <c r="C443" s="27" t="s">
        <v>246</v>
      </c>
      <c r="D443" s="27">
        <v>1</v>
      </c>
      <c r="E443" s="16" t="s">
        <v>17</v>
      </c>
      <c r="F443" s="34" t="str">
        <f>+IF('Fiche info Avenant 5'!$CJ$7=0,"",'Fiche info Avenant 5'!$CJ$7)</f>
        <v/>
      </c>
      <c r="G443" s="16">
        <f t="shared" si="97"/>
        <v>0</v>
      </c>
      <c r="BX443" s="16" t="str">
        <f t="shared" si="98"/>
        <v>Fiche info Avenant 5H1</v>
      </c>
      <c r="BY443" s="449">
        <f>'Fiche info Avenant 5'!$CA$7</f>
        <v>0</v>
      </c>
      <c r="BZ443" s="449">
        <f>'Fiche info Avenant 5'!$CB$7</f>
        <v>0</v>
      </c>
      <c r="CA443" s="449">
        <f>'Fiche info Avenant 5'!$CC$7</f>
        <v>0</v>
      </c>
      <c r="CB443" s="449">
        <f>'Fiche info Avenant 5'!$CD$7</f>
        <v>0</v>
      </c>
      <c r="CC443" s="449">
        <f>'Fiche info Avenant 5'!$CE$7</f>
        <v>0</v>
      </c>
      <c r="CD443" s="449">
        <f>'Fiche info Avenant 5'!$CF$7</f>
        <v>0</v>
      </c>
      <c r="CE443" s="449">
        <f>'Fiche info Avenant 5'!$CG$7</f>
        <v>0</v>
      </c>
      <c r="CF443" s="449">
        <f>'Fiche info Avenant 5'!$CH$7</f>
        <v>0</v>
      </c>
      <c r="ED443" s="16" t="str">
        <f t="shared" si="101"/>
        <v>Fiche info Avenant 5H</v>
      </c>
      <c r="EE443" s="16" t="str">
        <f t="shared" si="92"/>
        <v>Fiche info Avenant 5</v>
      </c>
      <c r="EF443" s="16" t="str">
        <f t="shared" si="93"/>
        <v>H</v>
      </c>
      <c r="EG443" s="16">
        <f t="shared" si="94"/>
        <v>1</v>
      </c>
      <c r="EH443" s="16" t="str">
        <f t="shared" si="95"/>
        <v>Lundi</v>
      </c>
      <c r="EI443" s="16" t="str">
        <f t="shared" si="96"/>
        <v/>
      </c>
    </row>
    <row r="444" spans="1:139" x14ac:dyDescent="0.2">
      <c r="A444" s="16" t="str">
        <f t="shared" si="100"/>
        <v>Fiche info Avenant 5H2</v>
      </c>
      <c r="B444" s="16" t="str">
        <f t="shared" si="99"/>
        <v>Fiche info Avenant 5</v>
      </c>
      <c r="C444" s="27" t="s">
        <v>246</v>
      </c>
      <c r="D444" s="27">
        <v>2</v>
      </c>
      <c r="E444" s="16" t="s">
        <v>18</v>
      </c>
      <c r="F444" s="34" t="str">
        <f>+IF('Fiche info Avenant 5'!$CJ$8=0,"",'Fiche info Avenant 5'!$CJ$8)</f>
        <v/>
      </c>
      <c r="G444" s="16">
        <f t="shared" si="97"/>
        <v>0</v>
      </c>
      <c r="BX444" s="16" t="str">
        <f t="shared" si="98"/>
        <v>Fiche info Avenant 5H2</v>
      </c>
      <c r="BY444" s="449">
        <f>'Fiche info Avenant 5'!$CA$8</f>
        <v>0</v>
      </c>
      <c r="BZ444" s="449">
        <f>'Fiche info Avenant 5'!$CB$8</f>
        <v>0</v>
      </c>
      <c r="CA444" s="449">
        <f>'Fiche info Avenant 5'!$CC$8</f>
        <v>0</v>
      </c>
      <c r="CB444" s="449">
        <f>'Fiche info Avenant 5'!$CD$8</f>
        <v>0</v>
      </c>
      <c r="CC444" s="449">
        <f>'Fiche info Avenant 5'!$CE$8</f>
        <v>0</v>
      </c>
      <c r="CD444" s="449">
        <f>'Fiche info Avenant 5'!$CF$8</f>
        <v>0</v>
      </c>
      <c r="CE444" s="449">
        <f>'Fiche info Avenant 5'!$CG$8</f>
        <v>0</v>
      </c>
      <c r="CF444" s="449">
        <f>'Fiche info Avenant 5'!$CH$8</f>
        <v>0</v>
      </c>
      <c r="ED444" s="16" t="str">
        <f t="shared" si="101"/>
        <v>Fiche info Avenant 5H</v>
      </c>
      <c r="EE444" s="16" t="str">
        <f t="shared" si="92"/>
        <v>Fiche info Avenant 5</v>
      </c>
      <c r="EF444" s="16" t="str">
        <f t="shared" si="93"/>
        <v>H</v>
      </c>
      <c r="EG444" s="16">
        <f t="shared" si="94"/>
        <v>2</v>
      </c>
      <c r="EH444" s="16" t="str">
        <f t="shared" si="95"/>
        <v>Mardi</v>
      </c>
      <c r="EI444" s="16" t="str">
        <f t="shared" si="96"/>
        <v/>
      </c>
    </row>
    <row r="445" spans="1:139" x14ac:dyDescent="0.2">
      <c r="A445" s="16" t="str">
        <f t="shared" si="100"/>
        <v>Fiche info Avenant 5H3</v>
      </c>
      <c r="B445" s="16" t="str">
        <f t="shared" si="99"/>
        <v>Fiche info Avenant 5</v>
      </c>
      <c r="C445" s="27" t="s">
        <v>246</v>
      </c>
      <c r="D445" s="27">
        <v>3</v>
      </c>
      <c r="E445" s="16" t="s">
        <v>19</v>
      </c>
      <c r="F445" s="34" t="str">
        <f>+IF('Fiche info Avenant 5'!$CJ$9=0,"",'Fiche info Avenant 5'!$CJ$9)</f>
        <v/>
      </c>
      <c r="G445" s="16">
        <f t="shared" si="97"/>
        <v>0</v>
      </c>
      <c r="BX445" s="16" t="str">
        <f t="shared" si="98"/>
        <v>Fiche info Avenant 5H3</v>
      </c>
      <c r="BY445" s="449">
        <f>'Fiche info Avenant 5'!$CA$9</f>
        <v>0</v>
      </c>
      <c r="BZ445" s="449">
        <f>'Fiche info Avenant 5'!$CB$9</f>
        <v>0</v>
      </c>
      <c r="CA445" s="449">
        <f>'Fiche info Avenant 5'!$CC$9</f>
        <v>0</v>
      </c>
      <c r="CB445" s="449">
        <f>'Fiche info Avenant 5'!$CD$9</f>
        <v>0</v>
      </c>
      <c r="CC445" s="449">
        <f>'Fiche info Avenant 5'!$CE$9</f>
        <v>0</v>
      </c>
      <c r="CD445" s="449">
        <f>'Fiche info Avenant 5'!$CF$9</f>
        <v>0</v>
      </c>
      <c r="CE445" s="449">
        <f>'Fiche info Avenant 5'!$CG$9</f>
        <v>0</v>
      </c>
      <c r="CF445" s="449">
        <f>'Fiche info Avenant 5'!$CH$9</f>
        <v>0</v>
      </c>
      <c r="ED445" s="16" t="str">
        <f t="shared" si="101"/>
        <v>Fiche info Avenant 5H</v>
      </c>
      <c r="EE445" s="16" t="str">
        <f t="shared" si="92"/>
        <v>Fiche info Avenant 5</v>
      </c>
      <c r="EF445" s="16" t="str">
        <f t="shared" si="93"/>
        <v>H</v>
      </c>
      <c r="EG445" s="16">
        <f t="shared" si="94"/>
        <v>3</v>
      </c>
      <c r="EH445" s="16" t="str">
        <f t="shared" si="95"/>
        <v>Mercredi</v>
      </c>
      <c r="EI445" s="16" t="str">
        <f t="shared" si="96"/>
        <v/>
      </c>
    </row>
    <row r="446" spans="1:139" x14ac:dyDescent="0.2">
      <c r="A446" s="16" t="str">
        <f t="shared" si="100"/>
        <v>Fiche info Avenant 5H4</v>
      </c>
      <c r="B446" s="16" t="str">
        <f t="shared" si="99"/>
        <v>Fiche info Avenant 5</v>
      </c>
      <c r="C446" s="27" t="s">
        <v>246</v>
      </c>
      <c r="D446" s="27">
        <v>4</v>
      </c>
      <c r="E446" s="16" t="s">
        <v>20</v>
      </c>
      <c r="F446" s="34" t="str">
        <f>+IF('Fiche info Avenant 5'!$CJ$10=0,"",'Fiche info Avenant 5'!$CJ$10)</f>
        <v/>
      </c>
      <c r="G446" s="16">
        <f t="shared" si="97"/>
        <v>0</v>
      </c>
      <c r="BX446" s="16" t="str">
        <f t="shared" si="98"/>
        <v>Fiche info Avenant 5H4</v>
      </c>
      <c r="BY446" s="449">
        <f>'Fiche info Avenant 5'!$CA$10</f>
        <v>0</v>
      </c>
      <c r="BZ446" s="449">
        <f>'Fiche info Avenant 5'!$CB$10</f>
        <v>0</v>
      </c>
      <c r="CA446" s="449">
        <f>'Fiche info Avenant 5'!$CC$10</f>
        <v>0</v>
      </c>
      <c r="CB446" s="449">
        <f>'Fiche info Avenant 5'!$CD$10</f>
        <v>0</v>
      </c>
      <c r="CC446" s="449">
        <f>'Fiche info Avenant 5'!$CE$10</f>
        <v>0</v>
      </c>
      <c r="CD446" s="449">
        <f>'Fiche info Avenant 5'!$CF$10</f>
        <v>0</v>
      </c>
      <c r="CE446" s="449">
        <f>'Fiche info Avenant 5'!$CG$10</f>
        <v>0</v>
      </c>
      <c r="CF446" s="449">
        <f>'Fiche info Avenant 5'!$CH$10</f>
        <v>0</v>
      </c>
      <c r="ED446" s="16" t="str">
        <f t="shared" si="101"/>
        <v>Fiche info Avenant 5H</v>
      </c>
      <c r="EE446" s="16" t="str">
        <f t="shared" si="92"/>
        <v>Fiche info Avenant 5</v>
      </c>
      <c r="EF446" s="16" t="str">
        <f t="shared" si="93"/>
        <v>H</v>
      </c>
      <c r="EG446" s="16">
        <f t="shared" si="94"/>
        <v>4</v>
      </c>
      <c r="EH446" s="16" t="str">
        <f t="shared" si="95"/>
        <v>Jeudi</v>
      </c>
      <c r="EI446" s="16" t="str">
        <f t="shared" si="96"/>
        <v/>
      </c>
    </row>
    <row r="447" spans="1:139" x14ac:dyDescent="0.2">
      <c r="A447" s="16" t="str">
        <f t="shared" si="100"/>
        <v>Fiche info Avenant 5H5</v>
      </c>
      <c r="B447" s="16" t="str">
        <f t="shared" si="99"/>
        <v>Fiche info Avenant 5</v>
      </c>
      <c r="C447" s="27" t="s">
        <v>246</v>
      </c>
      <c r="D447" s="27">
        <v>5</v>
      </c>
      <c r="E447" s="16" t="s">
        <v>21</v>
      </c>
      <c r="F447" s="34" t="str">
        <f>+IF('Fiche info Avenant 5'!$CJ$11=0,"",'Fiche info Avenant 5'!$CJ$11)</f>
        <v/>
      </c>
      <c r="G447" s="16">
        <f t="shared" si="97"/>
        <v>0</v>
      </c>
      <c r="BX447" s="16" t="str">
        <f t="shared" si="98"/>
        <v>Fiche info Avenant 5H5</v>
      </c>
      <c r="BY447" s="449">
        <f>'Fiche info Avenant 5'!$CA$11</f>
        <v>0</v>
      </c>
      <c r="BZ447" s="449">
        <f>'Fiche info Avenant 5'!$CB$11</f>
        <v>0</v>
      </c>
      <c r="CA447" s="449">
        <f>'Fiche info Avenant 5'!$CC$11</f>
        <v>0</v>
      </c>
      <c r="CB447" s="449">
        <f>'Fiche info Avenant 5'!$CD$11</f>
        <v>0</v>
      </c>
      <c r="CC447" s="449">
        <f>'Fiche info Avenant 5'!$CE$11</f>
        <v>0</v>
      </c>
      <c r="CD447" s="449">
        <f>'Fiche info Avenant 5'!$CF$11</f>
        <v>0</v>
      </c>
      <c r="CE447" s="449">
        <f>'Fiche info Avenant 5'!$CG$11</f>
        <v>0</v>
      </c>
      <c r="CF447" s="449">
        <f>'Fiche info Avenant 5'!$CH$11</f>
        <v>0</v>
      </c>
      <c r="ED447" s="16" t="str">
        <f t="shared" si="101"/>
        <v>Fiche info Avenant 5H</v>
      </c>
      <c r="EE447" s="16" t="str">
        <f t="shared" si="92"/>
        <v>Fiche info Avenant 5</v>
      </c>
      <c r="EF447" s="16" t="str">
        <f t="shared" si="93"/>
        <v>H</v>
      </c>
      <c r="EG447" s="16">
        <f t="shared" si="94"/>
        <v>5</v>
      </c>
      <c r="EH447" s="16" t="str">
        <f t="shared" si="95"/>
        <v>Vendredi</v>
      </c>
      <c r="EI447" s="16" t="str">
        <f t="shared" si="96"/>
        <v/>
      </c>
    </row>
    <row r="448" spans="1:139" x14ac:dyDescent="0.2">
      <c r="A448" s="16" t="str">
        <f t="shared" si="100"/>
        <v>Fiche info Avenant 5H6</v>
      </c>
      <c r="B448" s="16" t="str">
        <f t="shared" si="99"/>
        <v>Fiche info Avenant 5</v>
      </c>
      <c r="C448" s="27" t="s">
        <v>246</v>
      </c>
      <c r="D448" s="27">
        <v>6</v>
      </c>
      <c r="E448" s="16" t="s">
        <v>193</v>
      </c>
      <c r="F448" s="34" t="str">
        <f>+IF('Fiche info Avenant 5'!$CJ$12=0,"",'Fiche info Avenant 5'!$CJ$12)</f>
        <v/>
      </c>
      <c r="G448" s="16">
        <f t="shared" si="97"/>
        <v>0</v>
      </c>
      <c r="BX448" s="16" t="str">
        <f t="shared" si="98"/>
        <v>Fiche info Avenant 5H6</v>
      </c>
      <c r="BY448" s="449">
        <f>'Fiche info Avenant 5'!$CA$12</f>
        <v>0</v>
      </c>
      <c r="BZ448" s="449">
        <f>'Fiche info Avenant 5'!$CB$12</f>
        <v>0</v>
      </c>
      <c r="CA448" s="449">
        <f>'Fiche info Avenant 5'!$CC$12</f>
        <v>0</v>
      </c>
      <c r="CB448" s="449">
        <f>'Fiche info Avenant 5'!$CD$12</f>
        <v>0</v>
      </c>
      <c r="CC448" s="449">
        <f>'Fiche info Avenant 5'!$CE$12</f>
        <v>0</v>
      </c>
      <c r="CD448" s="449">
        <f>'Fiche info Avenant 5'!$CF$12</f>
        <v>0</v>
      </c>
      <c r="CE448" s="449">
        <f>'Fiche info Avenant 5'!$CG$12</f>
        <v>0</v>
      </c>
      <c r="CF448" s="449">
        <f>'Fiche info Avenant 5'!$CH$12</f>
        <v>0</v>
      </c>
      <c r="ED448" s="16" t="str">
        <f t="shared" si="101"/>
        <v>Fiche info Avenant 5H</v>
      </c>
      <c r="EE448" s="16" t="str">
        <f t="shared" si="92"/>
        <v>Fiche info Avenant 5</v>
      </c>
      <c r="EF448" s="16" t="str">
        <f t="shared" si="93"/>
        <v>H</v>
      </c>
      <c r="EG448" s="16">
        <f t="shared" si="94"/>
        <v>6</v>
      </c>
      <c r="EH448" s="16" t="str">
        <f t="shared" si="95"/>
        <v>Samedi</v>
      </c>
      <c r="EI448" s="16" t="str">
        <f t="shared" si="96"/>
        <v/>
      </c>
    </row>
    <row r="449" spans="1:139" x14ac:dyDescent="0.2">
      <c r="A449" s="16" t="str">
        <f t="shared" si="100"/>
        <v>Fiche info Avenant 5H7</v>
      </c>
      <c r="B449" s="16" t="str">
        <f t="shared" si="99"/>
        <v>Fiche info Avenant 5</v>
      </c>
      <c r="C449" s="27" t="s">
        <v>246</v>
      </c>
      <c r="D449" s="27">
        <v>7</v>
      </c>
      <c r="E449" s="16" t="s">
        <v>194</v>
      </c>
      <c r="F449" s="34" t="str">
        <f>+IF('Fiche info'!$CJ$13=0,"",'Fiche info'!$CJ$13)</f>
        <v/>
      </c>
      <c r="G449" s="16">
        <f t="shared" si="97"/>
        <v>0</v>
      </c>
      <c r="BX449" s="16" t="str">
        <f t="shared" si="98"/>
        <v>Fiche info Avenant 5H7</v>
      </c>
      <c r="BY449" s="449">
        <f>'Fiche info Avenant 5'!$CA$13</f>
        <v>0</v>
      </c>
      <c r="BZ449" s="449">
        <f>'Fiche info Avenant 5'!$CB$13</f>
        <v>0</v>
      </c>
      <c r="CA449" s="449">
        <f>'Fiche info Avenant 5'!$CC$13</f>
        <v>0</v>
      </c>
      <c r="CB449" s="449">
        <f>'Fiche info Avenant 5'!$CD$13</f>
        <v>0</v>
      </c>
      <c r="CC449" s="449">
        <f>'Fiche info Avenant 5'!$CE$13</f>
        <v>0</v>
      </c>
      <c r="CD449" s="449">
        <f>'Fiche info Avenant 5'!$CF$13</f>
        <v>0</v>
      </c>
      <c r="CE449" s="449">
        <f>'Fiche info Avenant 5'!$CG$13</f>
        <v>0</v>
      </c>
      <c r="CF449" s="449">
        <f>'Fiche info Avenant 5'!$CH$13</f>
        <v>0</v>
      </c>
      <c r="ED449" s="16" t="str">
        <f t="shared" si="101"/>
        <v>Fiche info Avenant 5H</v>
      </c>
      <c r="EE449" s="16" t="str">
        <f t="shared" ref="EE449:EE512" si="102">B449</f>
        <v>Fiche info Avenant 5</v>
      </c>
      <c r="EF449" s="16" t="str">
        <f t="shared" ref="EF449:EF512" si="103">C449</f>
        <v>H</v>
      </c>
      <c r="EG449" s="16">
        <f t="shared" ref="EG449:EG512" si="104">D449</f>
        <v>7</v>
      </c>
      <c r="EH449" s="16" t="str">
        <f t="shared" ref="EH449:EH512" si="105">E449</f>
        <v>Dimanche</v>
      </c>
      <c r="EI449" s="16" t="str">
        <f t="shared" ref="EI449:EI512" si="106">F449</f>
        <v/>
      </c>
    </row>
    <row r="450" spans="1:139" x14ac:dyDescent="0.2">
      <c r="A450" s="16" t="str">
        <f t="shared" si="100"/>
        <v>Fiche info CDD C.DuréeA1</v>
      </c>
      <c r="B450" s="16" t="str">
        <f>+$P$10</f>
        <v>Fiche info CDD C.Durée</v>
      </c>
      <c r="C450" s="27" t="s">
        <v>235</v>
      </c>
      <c r="D450" s="27">
        <v>1</v>
      </c>
      <c r="E450" s="16" t="s">
        <v>17</v>
      </c>
      <c r="F450" s="34" t="str">
        <f>IF('Fiche info CDD C.Durée'!$K$7=0,"",'Fiche info CDD C.Durée'!$K$7)</f>
        <v/>
      </c>
      <c r="G450" s="16">
        <f t="shared" ref="G450:G513" si="107">+IF(OR(F450=0,F450=""),0,1)</f>
        <v>0</v>
      </c>
      <c r="BX450" s="16" t="str">
        <f t="shared" ref="BX450:BX513" si="108">A450</f>
        <v>Fiche info CDD C.DuréeA1</v>
      </c>
      <c r="BY450" s="449">
        <f>'Fiche info CDD C.Durée'!$B$7</f>
        <v>0</v>
      </c>
      <c r="BZ450" s="449">
        <f>'Fiche info CDD C.Durée'!$C$7</f>
        <v>0</v>
      </c>
      <c r="CA450" s="449">
        <f>'Fiche info CDD C.Durée'!$D$7</f>
        <v>0</v>
      </c>
      <c r="CB450" s="449">
        <f>'Fiche info CDD C.Durée'!$E$7</f>
        <v>0</v>
      </c>
      <c r="CC450" s="449">
        <f>'Fiche info CDD C.Durée'!$F$7</f>
        <v>0</v>
      </c>
      <c r="CD450" s="449">
        <f>'Fiche info CDD C.Durée'!$G$7</f>
        <v>0</v>
      </c>
      <c r="CE450" s="449">
        <f>'Fiche info CDD C.Durée'!$H$7</f>
        <v>0</v>
      </c>
      <c r="CF450" s="449">
        <f>'Fiche info CDD C.Durée'!$I$7</f>
        <v>0</v>
      </c>
      <c r="ED450" s="16" t="str">
        <f t="shared" si="101"/>
        <v>Fiche info CDD C.DuréeA</v>
      </c>
      <c r="EE450" s="16" t="str">
        <f t="shared" si="102"/>
        <v>Fiche info CDD C.Durée</v>
      </c>
      <c r="EF450" s="16" t="str">
        <f t="shared" si="103"/>
        <v>A</v>
      </c>
      <c r="EG450" s="16">
        <f t="shared" si="104"/>
        <v>1</v>
      </c>
      <c r="EH450" s="16" t="str">
        <f t="shared" si="105"/>
        <v>Lundi</v>
      </c>
      <c r="EI450" s="16" t="str">
        <f t="shared" si="106"/>
        <v/>
      </c>
    </row>
    <row r="451" spans="1:139" x14ac:dyDescent="0.2">
      <c r="A451" s="16" t="str">
        <f t="shared" si="100"/>
        <v>Fiche info CDD C.DuréeA2</v>
      </c>
      <c r="B451" s="16" t="str">
        <f t="shared" ref="B451:B505" si="109">+$P$10</f>
        <v>Fiche info CDD C.Durée</v>
      </c>
      <c r="C451" s="27" t="s">
        <v>235</v>
      </c>
      <c r="D451" s="27">
        <v>2</v>
      </c>
      <c r="E451" s="16" t="s">
        <v>18</v>
      </c>
      <c r="F451" s="34" t="str">
        <f>IF('Fiche info CDD C.Durée'!$K$8=0,"",'Fiche info CDD C.Durée'!$K$8)</f>
        <v/>
      </c>
      <c r="G451" s="16">
        <f t="shared" si="107"/>
        <v>0</v>
      </c>
      <c r="BX451" s="16" t="str">
        <f t="shared" si="108"/>
        <v>Fiche info CDD C.DuréeA2</v>
      </c>
      <c r="BY451" s="449">
        <f>'Fiche info CDD C.Durée'!$B$8</f>
        <v>0</v>
      </c>
      <c r="BZ451" s="449">
        <f>'Fiche info CDD C.Durée'!$C$8</f>
        <v>0</v>
      </c>
      <c r="CA451" s="449">
        <f>'Fiche info CDD C.Durée'!$D$8</f>
        <v>0</v>
      </c>
      <c r="CB451" s="449">
        <f>'Fiche info CDD C.Durée'!$E$8</f>
        <v>0</v>
      </c>
      <c r="CC451" s="449">
        <f>'Fiche info CDD C.Durée'!$F$8</f>
        <v>0</v>
      </c>
      <c r="CD451" s="449">
        <f>'Fiche info CDD C.Durée'!$G$8</f>
        <v>0</v>
      </c>
      <c r="CE451" s="449">
        <f>'Fiche info CDD C.Durée'!$H$8</f>
        <v>0</v>
      </c>
      <c r="CF451" s="449">
        <f>'Fiche info CDD C.Durée'!$I$8</f>
        <v>0</v>
      </c>
      <c r="ED451" s="16" t="str">
        <f t="shared" si="101"/>
        <v>Fiche info CDD C.DuréeA</v>
      </c>
      <c r="EE451" s="16" t="str">
        <f t="shared" si="102"/>
        <v>Fiche info CDD C.Durée</v>
      </c>
      <c r="EF451" s="16" t="str">
        <f t="shared" si="103"/>
        <v>A</v>
      </c>
      <c r="EG451" s="16">
        <f t="shared" si="104"/>
        <v>2</v>
      </c>
      <c r="EH451" s="16" t="str">
        <f t="shared" si="105"/>
        <v>Mardi</v>
      </c>
      <c r="EI451" s="16" t="str">
        <f t="shared" si="106"/>
        <v/>
      </c>
    </row>
    <row r="452" spans="1:139" x14ac:dyDescent="0.2">
      <c r="A452" s="16" t="str">
        <f t="shared" si="100"/>
        <v>Fiche info CDD C.DuréeA3</v>
      </c>
      <c r="B452" s="16" t="str">
        <f t="shared" si="109"/>
        <v>Fiche info CDD C.Durée</v>
      </c>
      <c r="C452" s="27" t="s">
        <v>235</v>
      </c>
      <c r="D452" s="27">
        <v>3</v>
      </c>
      <c r="E452" s="16" t="s">
        <v>19</v>
      </c>
      <c r="F452" s="34" t="str">
        <f>IF('Fiche info CDD C.Durée'!$K$9=0,"",'Fiche info CDD C.Durée'!$K$9)</f>
        <v/>
      </c>
      <c r="G452" s="16">
        <f t="shared" si="107"/>
        <v>0</v>
      </c>
      <c r="BX452" s="16" t="str">
        <f t="shared" si="108"/>
        <v>Fiche info CDD C.DuréeA3</v>
      </c>
      <c r="BY452" s="449">
        <f>'Fiche info CDD C.Durée'!$B$9</f>
        <v>0</v>
      </c>
      <c r="BZ452" s="449">
        <f>'Fiche info CDD C.Durée'!$C$9</f>
        <v>0</v>
      </c>
      <c r="CA452" s="449">
        <f>'Fiche info CDD C.Durée'!$D$9</f>
        <v>0</v>
      </c>
      <c r="CB452" s="449">
        <f>'Fiche info CDD C.Durée'!$E$9</f>
        <v>0</v>
      </c>
      <c r="CC452" s="449">
        <f>'Fiche info CDD C.Durée'!$F$9</f>
        <v>0</v>
      </c>
      <c r="CD452" s="449">
        <f>'Fiche info CDD C.Durée'!$G$9</f>
        <v>0</v>
      </c>
      <c r="CE452" s="449">
        <f>'Fiche info CDD C.Durée'!$H$9</f>
        <v>0</v>
      </c>
      <c r="CF452" s="449">
        <f>'Fiche info CDD C.Durée'!$I$9</f>
        <v>0</v>
      </c>
      <c r="ED452" s="16" t="str">
        <f t="shared" si="101"/>
        <v>Fiche info CDD C.DuréeA</v>
      </c>
      <c r="EE452" s="16" t="str">
        <f t="shared" si="102"/>
        <v>Fiche info CDD C.Durée</v>
      </c>
      <c r="EF452" s="16" t="str">
        <f t="shared" si="103"/>
        <v>A</v>
      </c>
      <c r="EG452" s="16">
        <f t="shared" si="104"/>
        <v>3</v>
      </c>
      <c r="EH452" s="16" t="str">
        <f t="shared" si="105"/>
        <v>Mercredi</v>
      </c>
      <c r="EI452" s="16" t="str">
        <f t="shared" si="106"/>
        <v/>
      </c>
    </row>
    <row r="453" spans="1:139" x14ac:dyDescent="0.2">
      <c r="A453" s="16" t="str">
        <f t="shared" si="100"/>
        <v>Fiche info CDD C.DuréeA4</v>
      </c>
      <c r="B453" s="16" t="str">
        <f t="shared" si="109"/>
        <v>Fiche info CDD C.Durée</v>
      </c>
      <c r="C453" s="27" t="s">
        <v>235</v>
      </c>
      <c r="D453" s="27">
        <v>4</v>
      </c>
      <c r="E453" s="16" t="s">
        <v>20</v>
      </c>
      <c r="F453" s="34" t="str">
        <f>IF('Fiche info CDD C.Durée'!$K$10=0,"",'Fiche info CDD C.Durée'!$K$10)</f>
        <v/>
      </c>
      <c r="G453" s="16">
        <f t="shared" si="107"/>
        <v>0</v>
      </c>
      <c r="BX453" s="16" t="str">
        <f t="shared" si="108"/>
        <v>Fiche info CDD C.DuréeA4</v>
      </c>
      <c r="BY453" s="449">
        <f>'Fiche info CDD C.Durée'!$B$10</f>
        <v>0</v>
      </c>
      <c r="BZ453" s="449">
        <f>'Fiche info CDD C.Durée'!$C$10</f>
        <v>0</v>
      </c>
      <c r="CA453" s="449">
        <f>'Fiche info CDD C.Durée'!$D$10</f>
        <v>0</v>
      </c>
      <c r="CB453" s="449">
        <f>'Fiche info CDD C.Durée'!$E$10</f>
        <v>0</v>
      </c>
      <c r="CC453" s="449">
        <f>'Fiche info CDD C.Durée'!$F$10</f>
        <v>0</v>
      </c>
      <c r="CD453" s="449">
        <f>'Fiche info CDD C.Durée'!$G$10</f>
        <v>0</v>
      </c>
      <c r="CE453" s="449">
        <f>'Fiche info CDD C.Durée'!$H$10</f>
        <v>0</v>
      </c>
      <c r="CF453" s="449">
        <f>'Fiche info CDD C.Durée'!$I$10</f>
        <v>0</v>
      </c>
      <c r="ED453" s="16" t="str">
        <f t="shared" si="101"/>
        <v>Fiche info CDD C.DuréeA</v>
      </c>
      <c r="EE453" s="16" t="str">
        <f t="shared" si="102"/>
        <v>Fiche info CDD C.Durée</v>
      </c>
      <c r="EF453" s="16" t="str">
        <f t="shared" si="103"/>
        <v>A</v>
      </c>
      <c r="EG453" s="16">
        <f t="shared" si="104"/>
        <v>4</v>
      </c>
      <c r="EH453" s="16" t="str">
        <f t="shared" si="105"/>
        <v>Jeudi</v>
      </c>
      <c r="EI453" s="16" t="str">
        <f t="shared" si="106"/>
        <v/>
      </c>
    </row>
    <row r="454" spans="1:139" x14ac:dyDescent="0.2">
      <c r="A454" s="16" t="str">
        <f t="shared" si="100"/>
        <v>Fiche info CDD C.DuréeA5</v>
      </c>
      <c r="B454" s="16" t="str">
        <f t="shared" si="109"/>
        <v>Fiche info CDD C.Durée</v>
      </c>
      <c r="C454" s="27" t="s">
        <v>235</v>
      </c>
      <c r="D454" s="27">
        <v>5</v>
      </c>
      <c r="E454" s="16" t="s">
        <v>21</v>
      </c>
      <c r="F454" s="34" t="str">
        <f>IF('Fiche info CDD C.Durée'!$K$11=0,"",'Fiche info CDD C.Durée'!$K$11)</f>
        <v/>
      </c>
      <c r="G454" s="16">
        <f t="shared" si="107"/>
        <v>0</v>
      </c>
      <c r="BX454" s="16" t="str">
        <f t="shared" si="108"/>
        <v>Fiche info CDD C.DuréeA5</v>
      </c>
      <c r="BY454" s="449">
        <f>'Fiche info CDD C.Durée'!$B$11</f>
        <v>0</v>
      </c>
      <c r="BZ454" s="449">
        <f>'Fiche info CDD C.Durée'!$C$11</f>
        <v>0</v>
      </c>
      <c r="CA454" s="449">
        <f>'Fiche info CDD C.Durée'!$D$11</f>
        <v>0</v>
      </c>
      <c r="CB454" s="449">
        <f>'Fiche info CDD C.Durée'!$E$11</f>
        <v>0</v>
      </c>
      <c r="CC454" s="449">
        <f>'Fiche info CDD C.Durée'!$F$11</f>
        <v>0</v>
      </c>
      <c r="CD454" s="449">
        <f>'Fiche info CDD C.Durée'!$G$11</f>
        <v>0</v>
      </c>
      <c r="CE454" s="449">
        <f>'Fiche info CDD C.Durée'!$H$11</f>
        <v>0</v>
      </c>
      <c r="CF454" s="449">
        <f>'Fiche info CDD C.Durée'!$I$11</f>
        <v>0</v>
      </c>
      <c r="ED454" s="16" t="str">
        <f t="shared" si="101"/>
        <v>Fiche info CDD C.DuréeA</v>
      </c>
      <c r="EE454" s="16" t="str">
        <f t="shared" si="102"/>
        <v>Fiche info CDD C.Durée</v>
      </c>
      <c r="EF454" s="16" t="str">
        <f t="shared" si="103"/>
        <v>A</v>
      </c>
      <c r="EG454" s="16">
        <f t="shared" si="104"/>
        <v>5</v>
      </c>
      <c r="EH454" s="16" t="str">
        <f t="shared" si="105"/>
        <v>Vendredi</v>
      </c>
      <c r="EI454" s="16" t="str">
        <f t="shared" si="106"/>
        <v/>
      </c>
    </row>
    <row r="455" spans="1:139" x14ac:dyDescent="0.2">
      <c r="A455" s="16" t="str">
        <f t="shared" si="100"/>
        <v>Fiche info CDD C.DuréeA6</v>
      </c>
      <c r="B455" s="16" t="str">
        <f t="shared" si="109"/>
        <v>Fiche info CDD C.Durée</v>
      </c>
      <c r="C455" s="27" t="s">
        <v>235</v>
      </c>
      <c r="D455" s="27">
        <v>6</v>
      </c>
      <c r="E455" s="16" t="s">
        <v>193</v>
      </c>
      <c r="F455" s="34" t="str">
        <f>IF('Fiche info CDD C.Durée'!$K$12=0,"",'Fiche info CDD C.Durée'!$K$12)</f>
        <v/>
      </c>
      <c r="G455" s="16">
        <f t="shared" si="107"/>
        <v>0</v>
      </c>
      <c r="BX455" s="16" t="str">
        <f t="shared" si="108"/>
        <v>Fiche info CDD C.DuréeA6</v>
      </c>
      <c r="BY455" s="449">
        <f>'Fiche info CDD C.Durée'!$B$12</f>
        <v>0</v>
      </c>
      <c r="BZ455" s="449">
        <f>'Fiche info CDD C.Durée'!$C$12</f>
        <v>0</v>
      </c>
      <c r="CA455" s="449">
        <f>'Fiche info CDD C.Durée'!$D$12</f>
        <v>0</v>
      </c>
      <c r="CB455" s="449">
        <f>'Fiche info CDD C.Durée'!$E$12</f>
        <v>0</v>
      </c>
      <c r="CC455" s="449">
        <f>'Fiche info CDD C.Durée'!$F$12</f>
        <v>0</v>
      </c>
      <c r="CD455" s="449">
        <f>'Fiche info CDD C.Durée'!$G$12</f>
        <v>0</v>
      </c>
      <c r="CE455" s="449">
        <f>'Fiche info CDD C.Durée'!$H$12</f>
        <v>0</v>
      </c>
      <c r="CF455" s="449">
        <f>'Fiche info CDD C.Durée'!$I$12</f>
        <v>0</v>
      </c>
      <c r="ED455" s="16" t="str">
        <f t="shared" si="101"/>
        <v>Fiche info CDD C.DuréeA</v>
      </c>
      <c r="EE455" s="16" t="str">
        <f t="shared" si="102"/>
        <v>Fiche info CDD C.Durée</v>
      </c>
      <c r="EF455" s="16" t="str">
        <f t="shared" si="103"/>
        <v>A</v>
      </c>
      <c r="EG455" s="16">
        <f t="shared" si="104"/>
        <v>6</v>
      </c>
      <c r="EH455" s="16" t="str">
        <f t="shared" si="105"/>
        <v>Samedi</v>
      </c>
      <c r="EI455" s="16" t="str">
        <f t="shared" si="106"/>
        <v/>
      </c>
    </row>
    <row r="456" spans="1:139" x14ac:dyDescent="0.2">
      <c r="A456" s="16" t="str">
        <f t="shared" si="100"/>
        <v>Fiche info CDD C.DuréeA7</v>
      </c>
      <c r="B456" s="16" t="str">
        <f t="shared" si="109"/>
        <v>Fiche info CDD C.Durée</v>
      </c>
      <c r="C456" s="27" t="s">
        <v>235</v>
      </c>
      <c r="D456" s="27">
        <v>7</v>
      </c>
      <c r="E456" s="16" t="s">
        <v>194</v>
      </c>
      <c r="F456" s="34" t="str">
        <f>IF('Fiche info CDD C.Durée'!$K$13=0,"",'Fiche info CDD C.Durée'!$K$13)</f>
        <v/>
      </c>
      <c r="G456" s="16">
        <f t="shared" si="107"/>
        <v>0</v>
      </c>
      <c r="BX456" s="16" t="str">
        <f t="shared" si="108"/>
        <v>Fiche info CDD C.DuréeA7</v>
      </c>
      <c r="BY456" s="449">
        <f>'Fiche info CDD C.Durée'!$B$13</f>
        <v>0</v>
      </c>
      <c r="BZ456" s="449">
        <f>'Fiche info CDD C.Durée'!$C$13</f>
        <v>0</v>
      </c>
      <c r="CA456" s="449">
        <f>'Fiche info CDD C.Durée'!$D$13</f>
        <v>0</v>
      </c>
      <c r="CB456" s="449">
        <f>'Fiche info CDD C.Durée'!$E$13</f>
        <v>0</v>
      </c>
      <c r="CC456" s="449">
        <f>'Fiche info CDD C.Durée'!$F$13</f>
        <v>0</v>
      </c>
      <c r="CD456" s="449">
        <f>'Fiche info CDD C.Durée'!$G$13</f>
        <v>0</v>
      </c>
      <c r="CE456" s="449">
        <f>'Fiche info CDD C.Durée'!$H$13</f>
        <v>0</v>
      </c>
      <c r="CF456" s="449">
        <f>'Fiche info CDD C.Durée'!$I$13</f>
        <v>0</v>
      </c>
      <c r="ED456" s="16" t="str">
        <f t="shared" si="101"/>
        <v>Fiche info CDD C.DuréeA</v>
      </c>
      <c r="EE456" s="16" t="str">
        <f t="shared" si="102"/>
        <v>Fiche info CDD C.Durée</v>
      </c>
      <c r="EF456" s="16" t="str">
        <f t="shared" si="103"/>
        <v>A</v>
      </c>
      <c r="EG456" s="16">
        <f t="shared" si="104"/>
        <v>7</v>
      </c>
      <c r="EH456" s="16" t="str">
        <f t="shared" si="105"/>
        <v>Dimanche</v>
      </c>
      <c r="EI456" s="16" t="str">
        <f t="shared" si="106"/>
        <v/>
      </c>
    </row>
    <row r="457" spans="1:139" x14ac:dyDescent="0.2">
      <c r="A457" s="16" t="str">
        <f t="shared" si="100"/>
        <v>Fiche info CDD C.DuréeB1</v>
      </c>
      <c r="B457" s="16" t="str">
        <f t="shared" si="109"/>
        <v>Fiche info CDD C.Durée</v>
      </c>
      <c r="C457" s="27" t="s">
        <v>236</v>
      </c>
      <c r="D457" s="27">
        <v>1</v>
      </c>
      <c r="E457" s="16" t="s">
        <v>17</v>
      </c>
      <c r="F457" s="34" t="str">
        <f>+IF('Fiche info CDD C.Durée'!$V$7=0,"",'Fiche info CDD C.Durée'!$V$7)</f>
        <v/>
      </c>
      <c r="G457" s="16">
        <f t="shared" si="107"/>
        <v>0</v>
      </c>
      <c r="BX457" s="16" t="str">
        <f t="shared" si="108"/>
        <v>Fiche info CDD C.DuréeB1</v>
      </c>
      <c r="BY457" s="449">
        <f>'Fiche info CDD C.Durée'!$M$7</f>
        <v>0</v>
      </c>
      <c r="BZ457" s="449">
        <f>'Fiche info CDD C.Durée'!$N$7</f>
        <v>0</v>
      </c>
      <c r="CA457" s="449">
        <f>'Fiche info CDD C.Durée'!$O$7</f>
        <v>0</v>
      </c>
      <c r="CB457" s="449">
        <f>'Fiche info CDD C.Durée'!$P$7</f>
        <v>0</v>
      </c>
      <c r="CC457" s="449">
        <f>'Fiche info CDD C.Durée'!$Q$7</f>
        <v>0</v>
      </c>
      <c r="CD457" s="449">
        <f>'Fiche info CDD C.Durée'!$R$7</f>
        <v>0</v>
      </c>
      <c r="CE457" s="449">
        <f>'Fiche info CDD C.Durée'!$S$7</f>
        <v>0</v>
      </c>
      <c r="CF457" s="449">
        <f>'Fiche info CDD C.Durée'!$T$7</f>
        <v>0</v>
      </c>
      <c r="ED457" s="16" t="str">
        <f t="shared" si="101"/>
        <v>Fiche info CDD C.DuréeB</v>
      </c>
      <c r="EE457" s="16" t="str">
        <f t="shared" si="102"/>
        <v>Fiche info CDD C.Durée</v>
      </c>
      <c r="EF457" s="16" t="str">
        <f t="shared" si="103"/>
        <v>B</v>
      </c>
      <c r="EG457" s="16">
        <f t="shared" si="104"/>
        <v>1</v>
      </c>
      <c r="EH457" s="16" t="str">
        <f t="shared" si="105"/>
        <v>Lundi</v>
      </c>
      <c r="EI457" s="16" t="str">
        <f t="shared" si="106"/>
        <v/>
      </c>
    </row>
    <row r="458" spans="1:139" x14ac:dyDescent="0.2">
      <c r="A458" s="16" t="str">
        <f t="shared" si="100"/>
        <v>Fiche info CDD C.DuréeB2</v>
      </c>
      <c r="B458" s="16" t="str">
        <f t="shared" si="109"/>
        <v>Fiche info CDD C.Durée</v>
      </c>
      <c r="C458" s="27" t="s">
        <v>236</v>
      </c>
      <c r="D458" s="27">
        <v>2</v>
      </c>
      <c r="E458" s="16" t="s">
        <v>18</v>
      </c>
      <c r="F458" s="34" t="str">
        <f>+IF('Fiche info CDD C.Durée'!$V$8=0,"",'Fiche info CDD C.Durée'!$V$8)</f>
        <v/>
      </c>
      <c r="G458" s="16">
        <f t="shared" si="107"/>
        <v>0</v>
      </c>
      <c r="BX458" s="16" t="str">
        <f t="shared" si="108"/>
        <v>Fiche info CDD C.DuréeB2</v>
      </c>
      <c r="BY458" s="449">
        <f>'Fiche info CDD C.Durée'!$M$8</f>
        <v>0</v>
      </c>
      <c r="BZ458" s="449">
        <f>'Fiche info CDD C.Durée'!$N$8</f>
        <v>0</v>
      </c>
      <c r="CA458" s="449">
        <f>'Fiche info CDD C.Durée'!$O$8</f>
        <v>0</v>
      </c>
      <c r="CB458" s="449">
        <f>'Fiche info CDD C.Durée'!$P$8</f>
        <v>0</v>
      </c>
      <c r="CC458" s="449">
        <f>'Fiche info CDD C.Durée'!$Q$8</f>
        <v>0</v>
      </c>
      <c r="CD458" s="449">
        <f>'Fiche info CDD C.Durée'!$R$8</f>
        <v>0</v>
      </c>
      <c r="CE458" s="449">
        <f>'Fiche info CDD C.Durée'!$S$8</f>
        <v>0</v>
      </c>
      <c r="CF458" s="449">
        <f>'Fiche info CDD C.Durée'!$T$8</f>
        <v>0</v>
      </c>
      <c r="ED458" s="16" t="str">
        <f t="shared" si="101"/>
        <v>Fiche info CDD C.DuréeB</v>
      </c>
      <c r="EE458" s="16" t="str">
        <f t="shared" si="102"/>
        <v>Fiche info CDD C.Durée</v>
      </c>
      <c r="EF458" s="16" t="str">
        <f t="shared" si="103"/>
        <v>B</v>
      </c>
      <c r="EG458" s="16">
        <f t="shared" si="104"/>
        <v>2</v>
      </c>
      <c r="EH458" s="16" t="str">
        <f t="shared" si="105"/>
        <v>Mardi</v>
      </c>
      <c r="EI458" s="16" t="str">
        <f t="shared" si="106"/>
        <v/>
      </c>
    </row>
    <row r="459" spans="1:139" x14ac:dyDescent="0.2">
      <c r="A459" s="16" t="str">
        <f t="shared" si="100"/>
        <v>Fiche info CDD C.DuréeB3</v>
      </c>
      <c r="B459" s="16" t="str">
        <f t="shared" si="109"/>
        <v>Fiche info CDD C.Durée</v>
      </c>
      <c r="C459" s="27" t="s">
        <v>236</v>
      </c>
      <c r="D459" s="27">
        <v>3</v>
      </c>
      <c r="E459" s="16" t="s">
        <v>19</v>
      </c>
      <c r="F459" s="34" t="str">
        <f>+IF('Fiche info CDD C.Durée'!$V$9=0,"",'Fiche info CDD C.Durée'!$V$9)</f>
        <v/>
      </c>
      <c r="G459" s="16">
        <f t="shared" si="107"/>
        <v>0</v>
      </c>
      <c r="BX459" s="16" t="str">
        <f t="shared" si="108"/>
        <v>Fiche info CDD C.DuréeB3</v>
      </c>
      <c r="BY459" s="449">
        <f>'Fiche info CDD C.Durée'!$M$9</f>
        <v>0</v>
      </c>
      <c r="BZ459" s="449">
        <f>'Fiche info CDD C.Durée'!$N$9</f>
        <v>0</v>
      </c>
      <c r="CA459" s="449">
        <f>'Fiche info CDD C.Durée'!$O$9</f>
        <v>0</v>
      </c>
      <c r="CB459" s="449">
        <f>'Fiche info CDD C.Durée'!$P$9</f>
        <v>0</v>
      </c>
      <c r="CC459" s="449">
        <f>'Fiche info CDD C.Durée'!$Q$9</f>
        <v>0</v>
      </c>
      <c r="CD459" s="449">
        <f>'Fiche info CDD C.Durée'!$R$9</f>
        <v>0</v>
      </c>
      <c r="CE459" s="449">
        <f>'Fiche info CDD C.Durée'!$S$9</f>
        <v>0</v>
      </c>
      <c r="CF459" s="449">
        <f>'Fiche info CDD C.Durée'!$T$9</f>
        <v>0</v>
      </c>
      <c r="ED459" s="16" t="str">
        <f t="shared" si="101"/>
        <v>Fiche info CDD C.DuréeB</v>
      </c>
      <c r="EE459" s="16" t="str">
        <f t="shared" si="102"/>
        <v>Fiche info CDD C.Durée</v>
      </c>
      <c r="EF459" s="16" t="str">
        <f t="shared" si="103"/>
        <v>B</v>
      </c>
      <c r="EG459" s="16">
        <f t="shared" si="104"/>
        <v>3</v>
      </c>
      <c r="EH459" s="16" t="str">
        <f t="shared" si="105"/>
        <v>Mercredi</v>
      </c>
      <c r="EI459" s="16" t="str">
        <f t="shared" si="106"/>
        <v/>
      </c>
    </row>
    <row r="460" spans="1:139" x14ac:dyDescent="0.2">
      <c r="A460" s="16" t="str">
        <f t="shared" si="100"/>
        <v>Fiche info CDD C.DuréeB4</v>
      </c>
      <c r="B460" s="16" t="str">
        <f t="shared" si="109"/>
        <v>Fiche info CDD C.Durée</v>
      </c>
      <c r="C460" s="27" t="s">
        <v>236</v>
      </c>
      <c r="D460" s="27">
        <v>4</v>
      </c>
      <c r="E460" s="16" t="s">
        <v>20</v>
      </c>
      <c r="F460" s="34" t="str">
        <f>+IF('Fiche info CDD C.Durée'!$V$10=0,"",'Fiche info CDD C.Durée'!$V$10)</f>
        <v/>
      </c>
      <c r="G460" s="16">
        <f t="shared" si="107"/>
        <v>0</v>
      </c>
      <c r="BX460" s="16" t="str">
        <f t="shared" si="108"/>
        <v>Fiche info CDD C.DuréeB4</v>
      </c>
      <c r="BY460" s="449">
        <f>'Fiche info CDD C.Durée'!$M$10</f>
        <v>0</v>
      </c>
      <c r="BZ460" s="449">
        <f>'Fiche info CDD C.Durée'!$N$10</f>
        <v>0</v>
      </c>
      <c r="CA460" s="449">
        <f>'Fiche info CDD C.Durée'!$O$10</f>
        <v>0</v>
      </c>
      <c r="CB460" s="449">
        <f>'Fiche info CDD C.Durée'!$P$10</f>
        <v>0</v>
      </c>
      <c r="CC460" s="449">
        <f>'Fiche info CDD C.Durée'!$Q$10</f>
        <v>0</v>
      </c>
      <c r="CD460" s="449">
        <f>'Fiche info CDD C.Durée'!$R$10</f>
        <v>0</v>
      </c>
      <c r="CE460" s="449">
        <f>'Fiche info CDD C.Durée'!$S$10</f>
        <v>0</v>
      </c>
      <c r="CF460" s="449">
        <f>'Fiche info CDD C.Durée'!$T$10</f>
        <v>0</v>
      </c>
      <c r="ED460" s="16" t="str">
        <f t="shared" si="101"/>
        <v>Fiche info CDD C.DuréeB</v>
      </c>
      <c r="EE460" s="16" t="str">
        <f t="shared" si="102"/>
        <v>Fiche info CDD C.Durée</v>
      </c>
      <c r="EF460" s="16" t="str">
        <f t="shared" si="103"/>
        <v>B</v>
      </c>
      <c r="EG460" s="16">
        <f t="shared" si="104"/>
        <v>4</v>
      </c>
      <c r="EH460" s="16" t="str">
        <f t="shared" si="105"/>
        <v>Jeudi</v>
      </c>
      <c r="EI460" s="16" t="str">
        <f t="shared" si="106"/>
        <v/>
      </c>
    </row>
    <row r="461" spans="1:139" x14ac:dyDescent="0.2">
      <c r="A461" s="16" t="str">
        <f t="shared" si="100"/>
        <v>Fiche info CDD C.DuréeB5</v>
      </c>
      <c r="B461" s="16" t="str">
        <f t="shared" si="109"/>
        <v>Fiche info CDD C.Durée</v>
      </c>
      <c r="C461" s="27" t="s">
        <v>236</v>
      </c>
      <c r="D461" s="27">
        <v>5</v>
      </c>
      <c r="E461" s="16" t="s">
        <v>21</v>
      </c>
      <c r="F461" s="34" t="str">
        <f>+IF('Fiche info CDD C.Durée'!$V$11=0,"",'Fiche info CDD C.Durée'!$V$11)</f>
        <v/>
      </c>
      <c r="G461" s="16">
        <f t="shared" si="107"/>
        <v>0</v>
      </c>
      <c r="BX461" s="16" t="str">
        <f t="shared" si="108"/>
        <v>Fiche info CDD C.DuréeB5</v>
      </c>
      <c r="BY461" s="449">
        <f>'Fiche info CDD C.Durée'!$M$11</f>
        <v>0</v>
      </c>
      <c r="BZ461" s="449">
        <f>'Fiche info CDD C.Durée'!$N$11</f>
        <v>0</v>
      </c>
      <c r="CA461" s="449">
        <f>'Fiche info CDD C.Durée'!$O$11</f>
        <v>0</v>
      </c>
      <c r="CB461" s="449">
        <f>'Fiche info CDD C.Durée'!$P$11</f>
        <v>0</v>
      </c>
      <c r="CC461" s="449">
        <f>'Fiche info CDD C.Durée'!$Q$11</f>
        <v>0</v>
      </c>
      <c r="CD461" s="449">
        <f>'Fiche info CDD C.Durée'!$R$11</f>
        <v>0</v>
      </c>
      <c r="CE461" s="449">
        <f>'Fiche info CDD C.Durée'!$S$11</f>
        <v>0</v>
      </c>
      <c r="CF461" s="449">
        <f>'Fiche info CDD C.Durée'!$T$11</f>
        <v>0</v>
      </c>
      <c r="ED461" s="16" t="str">
        <f t="shared" si="101"/>
        <v>Fiche info CDD C.DuréeB</v>
      </c>
      <c r="EE461" s="16" t="str">
        <f t="shared" si="102"/>
        <v>Fiche info CDD C.Durée</v>
      </c>
      <c r="EF461" s="16" t="str">
        <f t="shared" si="103"/>
        <v>B</v>
      </c>
      <c r="EG461" s="16">
        <f t="shared" si="104"/>
        <v>5</v>
      </c>
      <c r="EH461" s="16" t="str">
        <f t="shared" si="105"/>
        <v>Vendredi</v>
      </c>
      <c r="EI461" s="16" t="str">
        <f t="shared" si="106"/>
        <v/>
      </c>
    </row>
    <row r="462" spans="1:139" x14ac:dyDescent="0.2">
      <c r="A462" s="16" t="str">
        <f t="shared" si="100"/>
        <v>Fiche info CDD C.DuréeB6</v>
      </c>
      <c r="B462" s="16" t="str">
        <f t="shared" si="109"/>
        <v>Fiche info CDD C.Durée</v>
      </c>
      <c r="C462" s="27" t="s">
        <v>236</v>
      </c>
      <c r="D462" s="27">
        <v>6</v>
      </c>
      <c r="E462" s="16" t="s">
        <v>193</v>
      </c>
      <c r="F462" s="34" t="str">
        <f>+IF('Fiche info CDD C.Durée'!$V$12=0,"",'Fiche info CDD C.Durée'!$V$12)</f>
        <v/>
      </c>
      <c r="G462" s="16">
        <f t="shared" si="107"/>
        <v>0</v>
      </c>
      <c r="BX462" s="16" t="str">
        <f t="shared" si="108"/>
        <v>Fiche info CDD C.DuréeB6</v>
      </c>
      <c r="BY462" s="449">
        <f>'Fiche info CDD C.Durée'!$M$12</f>
        <v>0</v>
      </c>
      <c r="BZ462" s="449">
        <f>'Fiche info CDD C.Durée'!$N$12</f>
        <v>0</v>
      </c>
      <c r="CA462" s="449">
        <f>'Fiche info CDD C.Durée'!$O$12</f>
        <v>0</v>
      </c>
      <c r="CB462" s="449">
        <f>'Fiche info CDD C.Durée'!$P$12</f>
        <v>0</v>
      </c>
      <c r="CC462" s="449">
        <f>'Fiche info CDD C.Durée'!$Q$12</f>
        <v>0</v>
      </c>
      <c r="CD462" s="449">
        <f>'Fiche info CDD C.Durée'!$R$12</f>
        <v>0</v>
      </c>
      <c r="CE462" s="449">
        <f>'Fiche info CDD C.Durée'!$S$12</f>
        <v>0</v>
      </c>
      <c r="CF462" s="449">
        <f>'Fiche info CDD C.Durée'!$T$12</f>
        <v>0</v>
      </c>
      <c r="ED462" s="16" t="str">
        <f t="shared" si="101"/>
        <v>Fiche info CDD C.DuréeB</v>
      </c>
      <c r="EE462" s="16" t="str">
        <f t="shared" si="102"/>
        <v>Fiche info CDD C.Durée</v>
      </c>
      <c r="EF462" s="16" t="str">
        <f t="shared" si="103"/>
        <v>B</v>
      </c>
      <c r="EG462" s="16">
        <f t="shared" si="104"/>
        <v>6</v>
      </c>
      <c r="EH462" s="16" t="str">
        <f t="shared" si="105"/>
        <v>Samedi</v>
      </c>
      <c r="EI462" s="16" t="str">
        <f t="shared" si="106"/>
        <v/>
      </c>
    </row>
    <row r="463" spans="1:139" x14ac:dyDescent="0.2">
      <c r="A463" s="16" t="str">
        <f t="shared" si="100"/>
        <v>Fiche info CDD C.DuréeB7</v>
      </c>
      <c r="B463" s="16" t="str">
        <f t="shared" si="109"/>
        <v>Fiche info CDD C.Durée</v>
      </c>
      <c r="C463" s="27" t="s">
        <v>236</v>
      </c>
      <c r="D463" s="27">
        <v>7</v>
      </c>
      <c r="E463" s="16" t="s">
        <v>194</v>
      </c>
      <c r="F463" s="34" t="str">
        <f>+IF('Fiche info CDD C.Durée'!$V$13=0,"",'Fiche info CDD C.Durée'!$V$13)</f>
        <v/>
      </c>
      <c r="G463" s="16">
        <f t="shared" si="107"/>
        <v>0</v>
      </c>
      <c r="BX463" s="16" t="str">
        <f t="shared" si="108"/>
        <v>Fiche info CDD C.DuréeB7</v>
      </c>
      <c r="BY463" s="449">
        <f>'Fiche info CDD C.Durée'!$M$13</f>
        <v>0</v>
      </c>
      <c r="BZ463" s="449">
        <f>'Fiche info CDD C.Durée'!$N$13</f>
        <v>0</v>
      </c>
      <c r="CA463" s="449">
        <f>'Fiche info CDD C.Durée'!$O$13</f>
        <v>0</v>
      </c>
      <c r="CB463" s="449">
        <f>'Fiche info CDD C.Durée'!$P$13</f>
        <v>0</v>
      </c>
      <c r="CC463" s="449">
        <f>'Fiche info CDD C.Durée'!$Q$13</f>
        <v>0</v>
      </c>
      <c r="CD463" s="449">
        <f>'Fiche info CDD C.Durée'!$R$13</f>
        <v>0</v>
      </c>
      <c r="CE463" s="449">
        <f>'Fiche info CDD C.Durée'!$S$13</f>
        <v>0</v>
      </c>
      <c r="CF463" s="449">
        <f>'Fiche info CDD C.Durée'!$T$13</f>
        <v>0</v>
      </c>
      <c r="ED463" s="16" t="str">
        <f t="shared" si="101"/>
        <v>Fiche info CDD C.DuréeB</v>
      </c>
      <c r="EE463" s="16" t="str">
        <f t="shared" si="102"/>
        <v>Fiche info CDD C.Durée</v>
      </c>
      <c r="EF463" s="16" t="str">
        <f t="shared" si="103"/>
        <v>B</v>
      </c>
      <c r="EG463" s="16">
        <f t="shared" si="104"/>
        <v>7</v>
      </c>
      <c r="EH463" s="16" t="str">
        <f t="shared" si="105"/>
        <v>Dimanche</v>
      </c>
      <c r="EI463" s="16" t="str">
        <f t="shared" si="106"/>
        <v/>
      </c>
    </row>
    <row r="464" spans="1:139" x14ac:dyDescent="0.2">
      <c r="A464" s="16" t="str">
        <f t="shared" si="100"/>
        <v>Fiche info CDD C.DuréeC1</v>
      </c>
      <c r="B464" s="16" t="str">
        <f t="shared" si="109"/>
        <v>Fiche info CDD C.Durée</v>
      </c>
      <c r="C464" s="27" t="s">
        <v>241</v>
      </c>
      <c r="D464" s="27">
        <v>1</v>
      </c>
      <c r="E464" s="16" t="s">
        <v>17</v>
      </c>
      <c r="F464" s="34" t="str">
        <f>+IF('Fiche info CDD C.Durée'!$AG$7=0,"",'Fiche info CDD C.Durée'!$AG$7)</f>
        <v/>
      </c>
      <c r="G464" s="16">
        <f t="shared" si="107"/>
        <v>0</v>
      </c>
      <c r="BX464" s="16" t="str">
        <f t="shared" si="108"/>
        <v>Fiche info CDD C.DuréeC1</v>
      </c>
      <c r="BY464" s="449">
        <f>'Fiche info CDD C.Durée'!$X$7</f>
        <v>0</v>
      </c>
      <c r="BZ464" s="449">
        <f>'Fiche info CDD C.Durée'!$Y$7</f>
        <v>0</v>
      </c>
      <c r="CA464" s="449">
        <f>'Fiche info CDD C.Durée'!$Z$7</f>
        <v>0</v>
      </c>
      <c r="CB464" s="449">
        <f>'Fiche info CDD C.Durée'!$AA$7</f>
        <v>0</v>
      </c>
      <c r="CC464" s="449">
        <f>'Fiche info CDD C.Durée'!$AB$7</f>
        <v>0</v>
      </c>
      <c r="CD464" s="449">
        <f>'Fiche info CDD C.Durée'!$AC$7</f>
        <v>0</v>
      </c>
      <c r="CE464" s="449">
        <f>'Fiche info CDD C.Durée'!$AD$7</f>
        <v>0</v>
      </c>
      <c r="CF464" s="449">
        <f>'Fiche info CDD C.Durée'!$AE$7</f>
        <v>0</v>
      </c>
      <c r="ED464" s="16" t="str">
        <f t="shared" si="101"/>
        <v>Fiche info CDD C.DuréeC</v>
      </c>
      <c r="EE464" s="16" t="str">
        <f t="shared" si="102"/>
        <v>Fiche info CDD C.Durée</v>
      </c>
      <c r="EF464" s="16" t="str">
        <f t="shared" si="103"/>
        <v>C</v>
      </c>
      <c r="EG464" s="16">
        <f t="shared" si="104"/>
        <v>1</v>
      </c>
      <c r="EH464" s="16" t="str">
        <f t="shared" si="105"/>
        <v>Lundi</v>
      </c>
      <c r="EI464" s="16" t="str">
        <f t="shared" si="106"/>
        <v/>
      </c>
    </row>
    <row r="465" spans="1:139" x14ac:dyDescent="0.2">
      <c r="A465" s="16" t="str">
        <f t="shared" si="100"/>
        <v>Fiche info CDD C.DuréeC2</v>
      </c>
      <c r="B465" s="16" t="str">
        <f t="shared" si="109"/>
        <v>Fiche info CDD C.Durée</v>
      </c>
      <c r="C465" s="27" t="s">
        <v>241</v>
      </c>
      <c r="D465" s="27">
        <v>2</v>
      </c>
      <c r="E465" s="16" t="s">
        <v>18</v>
      </c>
      <c r="F465" s="34" t="str">
        <f>+IF('Fiche info CDD C.Durée'!$AG$8=0,"",'Fiche info CDD C.Durée'!$AG$8)</f>
        <v/>
      </c>
      <c r="G465" s="16">
        <f t="shared" si="107"/>
        <v>0</v>
      </c>
      <c r="BX465" s="16" t="str">
        <f t="shared" si="108"/>
        <v>Fiche info CDD C.DuréeC2</v>
      </c>
      <c r="BY465" s="449">
        <f>'Fiche info CDD C.Durée'!$X$8</f>
        <v>0</v>
      </c>
      <c r="BZ465" s="449">
        <f>'Fiche info CDD C.Durée'!$Y$8</f>
        <v>0</v>
      </c>
      <c r="CA465" s="449">
        <f>'Fiche info CDD C.Durée'!$Z$8</f>
        <v>0</v>
      </c>
      <c r="CB465" s="449">
        <f>'Fiche info CDD C.Durée'!$AA$8</f>
        <v>0</v>
      </c>
      <c r="CC465" s="449">
        <f>'Fiche info CDD C.Durée'!$AB$8</f>
        <v>0</v>
      </c>
      <c r="CD465" s="449">
        <f>'Fiche info CDD C.Durée'!$AC$8</f>
        <v>0</v>
      </c>
      <c r="CE465" s="449">
        <f>'Fiche info CDD C.Durée'!$AD$8</f>
        <v>0</v>
      </c>
      <c r="CF465" s="449">
        <f>'Fiche info CDD C.Durée'!$AE$8</f>
        <v>0</v>
      </c>
      <c r="ED465" s="16" t="str">
        <f t="shared" si="101"/>
        <v>Fiche info CDD C.DuréeC</v>
      </c>
      <c r="EE465" s="16" t="str">
        <f t="shared" si="102"/>
        <v>Fiche info CDD C.Durée</v>
      </c>
      <c r="EF465" s="16" t="str">
        <f t="shared" si="103"/>
        <v>C</v>
      </c>
      <c r="EG465" s="16">
        <f t="shared" si="104"/>
        <v>2</v>
      </c>
      <c r="EH465" s="16" t="str">
        <f t="shared" si="105"/>
        <v>Mardi</v>
      </c>
      <c r="EI465" s="16" t="str">
        <f t="shared" si="106"/>
        <v/>
      </c>
    </row>
    <row r="466" spans="1:139" x14ac:dyDescent="0.2">
      <c r="A466" s="16" t="str">
        <f t="shared" si="100"/>
        <v>Fiche info CDD C.DuréeC3</v>
      </c>
      <c r="B466" s="16" t="str">
        <f t="shared" si="109"/>
        <v>Fiche info CDD C.Durée</v>
      </c>
      <c r="C466" s="27" t="s">
        <v>241</v>
      </c>
      <c r="D466" s="27">
        <v>3</v>
      </c>
      <c r="E466" s="16" t="s">
        <v>19</v>
      </c>
      <c r="F466" s="34" t="str">
        <f>+IF('Fiche info CDD C.Durée'!$AG$9=0,"",'Fiche info CDD C.Durée'!$AG$9)</f>
        <v/>
      </c>
      <c r="G466" s="16">
        <f t="shared" si="107"/>
        <v>0</v>
      </c>
      <c r="BX466" s="16" t="str">
        <f t="shared" si="108"/>
        <v>Fiche info CDD C.DuréeC3</v>
      </c>
      <c r="BY466" s="449">
        <f>'Fiche info CDD C.Durée'!$X$9</f>
        <v>0</v>
      </c>
      <c r="BZ466" s="449">
        <f>'Fiche info CDD C.Durée'!$Y$9</f>
        <v>0</v>
      </c>
      <c r="CA466" s="449">
        <f>'Fiche info CDD C.Durée'!$Z$9</f>
        <v>0</v>
      </c>
      <c r="CB466" s="449">
        <f>'Fiche info CDD C.Durée'!$AA$9</f>
        <v>0</v>
      </c>
      <c r="CC466" s="449">
        <f>'Fiche info CDD C.Durée'!$AB$9</f>
        <v>0</v>
      </c>
      <c r="CD466" s="449">
        <f>'Fiche info CDD C.Durée'!$AC$9</f>
        <v>0</v>
      </c>
      <c r="CE466" s="449">
        <f>'Fiche info CDD C.Durée'!$AD$9</f>
        <v>0</v>
      </c>
      <c r="CF466" s="449">
        <f>'Fiche info CDD C.Durée'!$AE$9</f>
        <v>0</v>
      </c>
      <c r="ED466" s="16" t="str">
        <f t="shared" si="101"/>
        <v>Fiche info CDD C.DuréeC</v>
      </c>
      <c r="EE466" s="16" t="str">
        <f t="shared" si="102"/>
        <v>Fiche info CDD C.Durée</v>
      </c>
      <c r="EF466" s="16" t="str">
        <f t="shared" si="103"/>
        <v>C</v>
      </c>
      <c r="EG466" s="16">
        <f t="shared" si="104"/>
        <v>3</v>
      </c>
      <c r="EH466" s="16" t="str">
        <f t="shared" si="105"/>
        <v>Mercredi</v>
      </c>
      <c r="EI466" s="16" t="str">
        <f t="shared" si="106"/>
        <v/>
      </c>
    </row>
    <row r="467" spans="1:139" x14ac:dyDescent="0.2">
      <c r="A467" s="16" t="str">
        <f t="shared" si="100"/>
        <v>Fiche info CDD C.DuréeC4</v>
      </c>
      <c r="B467" s="16" t="str">
        <f t="shared" si="109"/>
        <v>Fiche info CDD C.Durée</v>
      </c>
      <c r="C467" s="27" t="s">
        <v>241</v>
      </c>
      <c r="D467" s="27">
        <v>4</v>
      </c>
      <c r="E467" s="16" t="s">
        <v>20</v>
      </c>
      <c r="F467" s="34" t="str">
        <f>+IF('Fiche info CDD C.Durée'!$AG$10=0,"",'Fiche info CDD C.Durée'!$AG$10)</f>
        <v/>
      </c>
      <c r="G467" s="16">
        <f t="shared" si="107"/>
        <v>0</v>
      </c>
      <c r="BX467" s="16" t="str">
        <f t="shared" si="108"/>
        <v>Fiche info CDD C.DuréeC4</v>
      </c>
      <c r="BY467" s="449">
        <f>'Fiche info CDD C.Durée'!$X$10</f>
        <v>0</v>
      </c>
      <c r="BZ467" s="449">
        <f>'Fiche info CDD C.Durée'!$Y$10</f>
        <v>0</v>
      </c>
      <c r="CA467" s="449">
        <f>'Fiche info CDD C.Durée'!$Z$10</f>
        <v>0</v>
      </c>
      <c r="CB467" s="449">
        <f>'Fiche info CDD C.Durée'!$AA$10</f>
        <v>0</v>
      </c>
      <c r="CC467" s="449">
        <f>'Fiche info CDD C.Durée'!$AB$10</f>
        <v>0</v>
      </c>
      <c r="CD467" s="449">
        <f>'Fiche info CDD C.Durée'!$AC$10</f>
        <v>0</v>
      </c>
      <c r="CE467" s="449">
        <f>'Fiche info CDD C.Durée'!$AD$10</f>
        <v>0</v>
      </c>
      <c r="CF467" s="449">
        <f>'Fiche info CDD C.Durée'!$AE$10</f>
        <v>0</v>
      </c>
      <c r="ED467" s="16" t="str">
        <f t="shared" si="101"/>
        <v>Fiche info CDD C.DuréeC</v>
      </c>
      <c r="EE467" s="16" t="str">
        <f t="shared" si="102"/>
        <v>Fiche info CDD C.Durée</v>
      </c>
      <c r="EF467" s="16" t="str">
        <f t="shared" si="103"/>
        <v>C</v>
      </c>
      <c r="EG467" s="16">
        <f t="shared" si="104"/>
        <v>4</v>
      </c>
      <c r="EH467" s="16" t="str">
        <f t="shared" si="105"/>
        <v>Jeudi</v>
      </c>
      <c r="EI467" s="16" t="str">
        <f t="shared" si="106"/>
        <v/>
      </c>
    </row>
    <row r="468" spans="1:139" x14ac:dyDescent="0.2">
      <c r="A468" s="16" t="str">
        <f t="shared" si="100"/>
        <v>Fiche info CDD C.DuréeC5</v>
      </c>
      <c r="B468" s="16" t="str">
        <f t="shared" si="109"/>
        <v>Fiche info CDD C.Durée</v>
      </c>
      <c r="C468" s="27" t="s">
        <v>241</v>
      </c>
      <c r="D468" s="27">
        <v>5</v>
      </c>
      <c r="E468" s="16" t="s">
        <v>21</v>
      </c>
      <c r="F468" s="34" t="str">
        <f>+IF('Fiche info CDD C.Durée'!$AG$11=0,"",'Fiche info CDD C.Durée'!$AG$11)</f>
        <v/>
      </c>
      <c r="G468" s="16">
        <f t="shared" si="107"/>
        <v>0</v>
      </c>
      <c r="BX468" s="16" t="str">
        <f t="shared" si="108"/>
        <v>Fiche info CDD C.DuréeC5</v>
      </c>
      <c r="BY468" s="449">
        <f>'Fiche info CDD C.Durée'!$X$11</f>
        <v>0</v>
      </c>
      <c r="BZ468" s="449">
        <f>'Fiche info CDD C.Durée'!$Y$11</f>
        <v>0</v>
      </c>
      <c r="CA468" s="449">
        <f>'Fiche info CDD C.Durée'!$Z$11</f>
        <v>0</v>
      </c>
      <c r="CB468" s="449">
        <f>'Fiche info CDD C.Durée'!$AA$11</f>
        <v>0</v>
      </c>
      <c r="CC468" s="449">
        <f>'Fiche info CDD C.Durée'!$AB$11</f>
        <v>0</v>
      </c>
      <c r="CD468" s="449">
        <f>'Fiche info CDD C.Durée'!$AC$11</f>
        <v>0</v>
      </c>
      <c r="CE468" s="449">
        <f>'Fiche info CDD C.Durée'!$AD$11</f>
        <v>0</v>
      </c>
      <c r="CF468" s="449">
        <f>'Fiche info CDD C.Durée'!$AE$11</f>
        <v>0</v>
      </c>
      <c r="ED468" s="16" t="str">
        <f t="shared" si="101"/>
        <v>Fiche info CDD C.DuréeC</v>
      </c>
      <c r="EE468" s="16" t="str">
        <f t="shared" si="102"/>
        <v>Fiche info CDD C.Durée</v>
      </c>
      <c r="EF468" s="16" t="str">
        <f t="shared" si="103"/>
        <v>C</v>
      </c>
      <c r="EG468" s="16">
        <f t="shared" si="104"/>
        <v>5</v>
      </c>
      <c r="EH468" s="16" t="str">
        <f t="shared" si="105"/>
        <v>Vendredi</v>
      </c>
      <c r="EI468" s="16" t="str">
        <f t="shared" si="106"/>
        <v/>
      </c>
    </row>
    <row r="469" spans="1:139" x14ac:dyDescent="0.2">
      <c r="A469" s="16" t="str">
        <f t="shared" si="100"/>
        <v>Fiche info CDD C.DuréeC6</v>
      </c>
      <c r="B469" s="16" t="str">
        <f t="shared" si="109"/>
        <v>Fiche info CDD C.Durée</v>
      </c>
      <c r="C469" s="27" t="s">
        <v>241</v>
      </c>
      <c r="D469" s="27">
        <v>6</v>
      </c>
      <c r="E469" s="16" t="s">
        <v>193</v>
      </c>
      <c r="F469" s="34" t="str">
        <f>+IF('Fiche info CDD C.Durée'!$AG$12=0,"",'Fiche info CDD C.Durée'!$AG$12)</f>
        <v/>
      </c>
      <c r="G469" s="16">
        <f t="shared" si="107"/>
        <v>0</v>
      </c>
      <c r="BX469" s="16" t="str">
        <f t="shared" si="108"/>
        <v>Fiche info CDD C.DuréeC6</v>
      </c>
      <c r="BY469" s="449">
        <f>'Fiche info CDD C.Durée'!$X$12</f>
        <v>0</v>
      </c>
      <c r="BZ469" s="449">
        <f>'Fiche info CDD C.Durée'!$Y$12</f>
        <v>0</v>
      </c>
      <c r="CA469" s="449">
        <f>'Fiche info CDD C.Durée'!$Z$12</f>
        <v>0</v>
      </c>
      <c r="CB469" s="449">
        <f>'Fiche info CDD C.Durée'!$AA$12</f>
        <v>0</v>
      </c>
      <c r="CC469" s="449">
        <f>'Fiche info CDD C.Durée'!$AB$12</f>
        <v>0</v>
      </c>
      <c r="CD469" s="449">
        <f>'Fiche info CDD C.Durée'!$AC$12</f>
        <v>0</v>
      </c>
      <c r="CE469" s="449">
        <f>'Fiche info CDD C.Durée'!$AD$12</f>
        <v>0</v>
      </c>
      <c r="CF469" s="449">
        <f>'Fiche info CDD C.Durée'!$AE$12</f>
        <v>0</v>
      </c>
      <c r="ED469" s="16" t="str">
        <f t="shared" si="101"/>
        <v>Fiche info CDD C.DuréeC</v>
      </c>
      <c r="EE469" s="16" t="str">
        <f t="shared" si="102"/>
        <v>Fiche info CDD C.Durée</v>
      </c>
      <c r="EF469" s="16" t="str">
        <f t="shared" si="103"/>
        <v>C</v>
      </c>
      <c r="EG469" s="16">
        <f t="shared" si="104"/>
        <v>6</v>
      </c>
      <c r="EH469" s="16" t="str">
        <f t="shared" si="105"/>
        <v>Samedi</v>
      </c>
      <c r="EI469" s="16" t="str">
        <f t="shared" si="106"/>
        <v/>
      </c>
    </row>
    <row r="470" spans="1:139" x14ac:dyDescent="0.2">
      <c r="A470" s="16" t="str">
        <f t="shared" si="100"/>
        <v>Fiche info CDD C.DuréeC7</v>
      </c>
      <c r="B470" s="16" t="str">
        <f t="shared" si="109"/>
        <v>Fiche info CDD C.Durée</v>
      </c>
      <c r="C470" s="27" t="s">
        <v>241</v>
      </c>
      <c r="D470" s="27">
        <v>7</v>
      </c>
      <c r="E470" s="16" t="s">
        <v>194</v>
      </c>
      <c r="F470" s="34" t="str">
        <f>+IF('Fiche info CDD C.Durée'!$AG$13=0,"",'Fiche info CDD C.Durée'!$AG$13)</f>
        <v/>
      </c>
      <c r="G470" s="16">
        <f t="shared" si="107"/>
        <v>0</v>
      </c>
      <c r="BX470" s="16" t="str">
        <f t="shared" si="108"/>
        <v>Fiche info CDD C.DuréeC7</v>
      </c>
      <c r="BY470" s="449">
        <f>'Fiche info CDD C.Durée'!$X$13</f>
        <v>0</v>
      </c>
      <c r="BZ470" s="449">
        <f>'Fiche info CDD C.Durée'!$Y$13</f>
        <v>0</v>
      </c>
      <c r="CA470" s="449">
        <f>'Fiche info CDD C.Durée'!$Z$13</f>
        <v>0</v>
      </c>
      <c r="CB470" s="449">
        <f>'Fiche info CDD C.Durée'!$AA$13</f>
        <v>0</v>
      </c>
      <c r="CC470" s="449">
        <f>'Fiche info CDD C.Durée'!$AB$13</f>
        <v>0</v>
      </c>
      <c r="CD470" s="449">
        <f>'Fiche info CDD C.Durée'!$AC$13</f>
        <v>0</v>
      </c>
      <c r="CE470" s="449">
        <f>'Fiche info CDD C.Durée'!$AD$13</f>
        <v>0</v>
      </c>
      <c r="CF470" s="449">
        <f>'Fiche info CDD C.Durée'!$AE$13</f>
        <v>0</v>
      </c>
      <c r="ED470" s="16" t="str">
        <f t="shared" si="101"/>
        <v>Fiche info CDD C.DuréeC</v>
      </c>
      <c r="EE470" s="16" t="str">
        <f t="shared" si="102"/>
        <v>Fiche info CDD C.Durée</v>
      </c>
      <c r="EF470" s="16" t="str">
        <f t="shared" si="103"/>
        <v>C</v>
      </c>
      <c r="EG470" s="16">
        <f t="shared" si="104"/>
        <v>7</v>
      </c>
      <c r="EH470" s="16" t="str">
        <f t="shared" si="105"/>
        <v>Dimanche</v>
      </c>
      <c r="EI470" s="16" t="str">
        <f t="shared" si="106"/>
        <v/>
      </c>
    </row>
    <row r="471" spans="1:139" x14ac:dyDescent="0.2">
      <c r="A471" s="16" t="str">
        <f t="shared" si="100"/>
        <v>Fiche info CDD C.DuréeD1</v>
      </c>
      <c r="B471" s="16" t="str">
        <f t="shared" si="109"/>
        <v>Fiche info CDD C.Durée</v>
      </c>
      <c r="C471" s="27" t="s">
        <v>242</v>
      </c>
      <c r="D471" s="27">
        <v>1</v>
      </c>
      <c r="E471" s="16" t="s">
        <v>17</v>
      </c>
      <c r="F471" s="34" t="str">
        <f>+IF('Fiche info CDD C.Durée'!$AR$7=0,"",'Fiche info CDD C.Durée'!$AR$7)</f>
        <v/>
      </c>
      <c r="G471" s="16">
        <f t="shared" si="107"/>
        <v>0</v>
      </c>
      <c r="BX471" s="16" t="str">
        <f t="shared" si="108"/>
        <v>Fiche info CDD C.DuréeD1</v>
      </c>
      <c r="BY471" s="449">
        <f>'Fiche info CDD C.Durée'!$AI$7</f>
        <v>0</v>
      </c>
      <c r="BZ471" s="449">
        <f>'Fiche info CDD C.Durée'!$AJ$7</f>
        <v>0</v>
      </c>
      <c r="CA471" s="449">
        <f>'Fiche info CDD C.Durée'!$AK$7</f>
        <v>0</v>
      </c>
      <c r="CB471" s="449">
        <f>'Fiche info CDD C.Durée'!$AL$7</f>
        <v>0</v>
      </c>
      <c r="CC471" s="449">
        <f>'Fiche info CDD C.Durée'!$AM$7</f>
        <v>0</v>
      </c>
      <c r="CD471" s="449">
        <f>'Fiche info CDD C.Durée'!$AN$7</f>
        <v>0</v>
      </c>
      <c r="CE471" s="449">
        <f>'Fiche info CDD C.Durée'!$AO$7</f>
        <v>0</v>
      </c>
      <c r="CF471" s="449">
        <f>'Fiche info CDD C.Durée'!$AP$7</f>
        <v>0</v>
      </c>
      <c r="ED471" s="16" t="str">
        <f t="shared" si="101"/>
        <v>Fiche info CDD C.DuréeD</v>
      </c>
      <c r="EE471" s="16" t="str">
        <f t="shared" si="102"/>
        <v>Fiche info CDD C.Durée</v>
      </c>
      <c r="EF471" s="16" t="str">
        <f t="shared" si="103"/>
        <v>D</v>
      </c>
      <c r="EG471" s="16">
        <f t="shared" si="104"/>
        <v>1</v>
      </c>
      <c r="EH471" s="16" t="str">
        <f t="shared" si="105"/>
        <v>Lundi</v>
      </c>
      <c r="EI471" s="16" t="str">
        <f t="shared" si="106"/>
        <v/>
      </c>
    </row>
    <row r="472" spans="1:139" x14ac:dyDescent="0.2">
      <c r="A472" s="16" t="str">
        <f t="shared" si="100"/>
        <v>Fiche info CDD C.DuréeD2</v>
      </c>
      <c r="B472" s="16" t="str">
        <f t="shared" si="109"/>
        <v>Fiche info CDD C.Durée</v>
      </c>
      <c r="C472" s="27" t="s">
        <v>242</v>
      </c>
      <c r="D472" s="27">
        <v>2</v>
      </c>
      <c r="E472" s="16" t="s">
        <v>18</v>
      </c>
      <c r="F472" s="34" t="str">
        <f>IF(+'Fiche info CDD C.Durée'!$AR$8=0,"",'Fiche info CDD C.Durée'!$AR$8)</f>
        <v/>
      </c>
      <c r="G472" s="16">
        <f t="shared" si="107"/>
        <v>0</v>
      </c>
      <c r="BX472" s="16" t="str">
        <f t="shared" si="108"/>
        <v>Fiche info CDD C.DuréeD2</v>
      </c>
      <c r="BY472" s="449">
        <f>'Fiche info CDD C.Durée'!$AI$8</f>
        <v>0</v>
      </c>
      <c r="BZ472" s="449">
        <f>'Fiche info CDD C.Durée'!$AJ$8</f>
        <v>0</v>
      </c>
      <c r="CA472" s="449">
        <f>'Fiche info CDD C.Durée'!$AK$8</f>
        <v>0</v>
      </c>
      <c r="CB472" s="449">
        <f>'Fiche info CDD C.Durée'!$AL$8</f>
        <v>0</v>
      </c>
      <c r="CC472" s="449">
        <f>'Fiche info CDD C.Durée'!$AM$8</f>
        <v>0</v>
      </c>
      <c r="CD472" s="449">
        <f>'Fiche info CDD C.Durée'!$AN$8</f>
        <v>0</v>
      </c>
      <c r="CE472" s="449">
        <f>'Fiche info CDD C.Durée'!$AO$8</f>
        <v>0</v>
      </c>
      <c r="CF472" s="449">
        <f>'Fiche info CDD C.Durée'!$AP$8</f>
        <v>0</v>
      </c>
      <c r="ED472" s="16" t="str">
        <f t="shared" si="101"/>
        <v>Fiche info CDD C.DuréeD</v>
      </c>
      <c r="EE472" s="16" t="str">
        <f t="shared" si="102"/>
        <v>Fiche info CDD C.Durée</v>
      </c>
      <c r="EF472" s="16" t="str">
        <f t="shared" si="103"/>
        <v>D</v>
      </c>
      <c r="EG472" s="16">
        <f t="shared" si="104"/>
        <v>2</v>
      </c>
      <c r="EH472" s="16" t="str">
        <f t="shared" si="105"/>
        <v>Mardi</v>
      </c>
      <c r="EI472" s="16" t="str">
        <f t="shared" si="106"/>
        <v/>
      </c>
    </row>
    <row r="473" spans="1:139" x14ac:dyDescent="0.2">
      <c r="A473" s="16" t="str">
        <f t="shared" si="100"/>
        <v>Fiche info CDD C.DuréeD3</v>
      </c>
      <c r="B473" s="16" t="str">
        <f t="shared" si="109"/>
        <v>Fiche info CDD C.Durée</v>
      </c>
      <c r="C473" s="27" t="s">
        <v>242</v>
      </c>
      <c r="D473" s="27">
        <v>3</v>
      </c>
      <c r="E473" s="16" t="s">
        <v>19</v>
      </c>
      <c r="F473" s="34" t="str">
        <f>IF(+'Fiche info CDD C.Durée'!$AR$9=0,"",'Fiche info CDD C.Durée'!$AR$9)</f>
        <v/>
      </c>
      <c r="G473" s="16">
        <f t="shared" si="107"/>
        <v>0</v>
      </c>
      <c r="BX473" s="16" t="str">
        <f t="shared" si="108"/>
        <v>Fiche info CDD C.DuréeD3</v>
      </c>
      <c r="BY473" s="449">
        <f>'Fiche info CDD C.Durée'!$AI$9</f>
        <v>0</v>
      </c>
      <c r="BZ473" s="449">
        <f>'Fiche info CDD C.Durée'!$AJ$9</f>
        <v>0</v>
      </c>
      <c r="CA473" s="449">
        <f>'Fiche info CDD C.Durée'!$AK$9</f>
        <v>0</v>
      </c>
      <c r="CB473" s="449">
        <f>'Fiche info CDD C.Durée'!$AL$9</f>
        <v>0</v>
      </c>
      <c r="CC473" s="449">
        <f>'Fiche info CDD C.Durée'!$AM$9</f>
        <v>0</v>
      </c>
      <c r="CD473" s="449">
        <f>'Fiche info CDD C.Durée'!$AN$9</f>
        <v>0</v>
      </c>
      <c r="CE473" s="449">
        <f>'Fiche info CDD C.Durée'!$AO$9</f>
        <v>0</v>
      </c>
      <c r="CF473" s="449">
        <f>'Fiche info CDD C.Durée'!$AP$9</f>
        <v>0</v>
      </c>
      <c r="ED473" s="16" t="str">
        <f t="shared" si="101"/>
        <v>Fiche info CDD C.DuréeD</v>
      </c>
      <c r="EE473" s="16" t="str">
        <f t="shared" si="102"/>
        <v>Fiche info CDD C.Durée</v>
      </c>
      <c r="EF473" s="16" t="str">
        <f t="shared" si="103"/>
        <v>D</v>
      </c>
      <c r="EG473" s="16">
        <f t="shared" si="104"/>
        <v>3</v>
      </c>
      <c r="EH473" s="16" t="str">
        <f t="shared" si="105"/>
        <v>Mercredi</v>
      </c>
      <c r="EI473" s="16" t="str">
        <f t="shared" si="106"/>
        <v/>
      </c>
    </row>
    <row r="474" spans="1:139" x14ac:dyDescent="0.2">
      <c r="A474" s="16" t="str">
        <f t="shared" si="100"/>
        <v>Fiche info CDD C.DuréeD4</v>
      </c>
      <c r="B474" s="16" t="str">
        <f t="shared" si="109"/>
        <v>Fiche info CDD C.Durée</v>
      </c>
      <c r="C474" s="27" t="s">
        <v>242</v>
      </c>
      <c r="D474" s="27">
        <v>4</v>
      </c>
      <c r="E474" s="16" t="s">
        <v>20</v>
      </c>
      <c r="F474" s="34" t="str">
        <f>IF(+'Fiche info CDD C.Durée'!$AR$10=0,"",'Fiche info CDD C.Durée'!$AR$10)</f>
        <v/>
      </c>
      <c r="G474" s="16">
        <f t="shared" si="107"/>
        <v>0</v>
      </c>
      <c r="BX474" s="16" t="str">
        <f t="shared" si="108"/>
        <v>Fiche info CDD C.DuréeD4</v>
      </c>
      <c r="BY474" s="449">
        <f>'Fiche info CDD C.Durée'!$AI$10</f>
        <v>0</v>
      </c>
      <c r="BZ474" s="449">
        <f>'Fiche info CDD C.Durée'!$AJ$10</f>
        <v>0</v>
      </c>
      <c r="CA474" s="449">
        <f>'Fiche info CDD C.Durée'!$AK$10</f>
        <v>0</v>
      </c>
      <c r="CB474" s="449">
        <f>'Fiche info CDD C.Durée'!$AL$10</f>
        <v>0</v>
      </c>
      <c r="CC474" s="449">
        <f>'Fiche info CDD C.Durée'!$AM$10</f>
        <v>0</v>
      </c>
      <c r="CD474" s="449">
        <f>'Fiche info CDD C.Durée'!$AN$10</f>
        <v>0</v>
      </c>
      <c r="CE474" s="449">
        <f>'Fiche info CDD C.Durée'!$AO$10</f>
        <v>0</v>
      </c>
      <c r="CF474" s="449">
        <f>'Fiche info CDD C.Durée'!$AP$10</f>
        <v>0</v>
      </c>
      <c r="ED474" s="16" t="str">
        <f t="shared" si="101"/>
        <v>Fiche info CDD C.DuréeD</v>
      </c>
      <c r="EE474" s="16" t="str">
        <f t="shared" si="102"/>
        <v>Fiche info CDD C.Durée</v>
      </c>
      <c r="EF474" s="16" t="str">
        <f t="shared" si="103"/>
        <v>D</v>
      </c>
      <c r="EG474" s="16">
        <f t="shared" si="104"/>
        <v>4</v>
      </c>
      <c r="EH474" s="16" t="str">
        <f t="shared" si="105"/>
        <v>Jeudi</v>
      </c>
      <c r="EI474" s="16" t="str">
        <f t="shared" si="106"/>
        <v/>
      </c>
    </row>
    <row r="475" spans="1:139" x14ac:dyDescent="0.2">
      <c r="A475" s="16" t="str">
        <f t="shared" si="100"/>
        <v>Fiche info CDD C.DuréeD5</v>
      </c>
      <c r="B475" s="16" t="str">
        <f t="shared" si="109"/>
        <v>Fiche info CDD C.Durée</v>
      </c>
      <c r="C475" s="27" t="s">
        <v>242</v>
      </c>
      <c r="D475" s="27">
        <v>5</v>
      </c>
      <c r="E475" s="16" t="s">
        <v>21</v>
      </c>
      <c r="F475" s="34" t="str">
        <f>IF(+'Fiche info CDD C.Durée'!$AR$11=0,"",'Fiche info CDD C.Durée'!$AR$11)</f>
        <v/>
      </c>
      <c r="G475" s="16">
        <f t="shared" si="107"/>
        <v>0</v>
      </c>
      <c r="BX475" s="16" t="str">
        <f t="shared" si="108"/>
        <v>Fiche info CDD C.DuréeD5</v>
      </c>
      <c r="BY475" s="449">
        <f>'Fiche info CDD C.Durée'!$AI$11</f>
        <v>0</v>
      </c>
      <c r="BZ475" s="449">
        <f>'Fiche info CDD C.Durée'!$AJ$11</f>
        <v>0</v>
      </c>
      <c r="CA475" s="449">
        <f>'Fiche info CDD C.Durée'!$AK$11</f>
        <v>0</v>
      </c>
      <c r="CB475" s="449">
        <f>'Fiche info CDD C.Durée'!$AL$11</f>
        <v>0</v>
      </c>
      <c r="CC475" s="449">
        <f>'Fiche info CDD C.Durée'!$AM$11</f>
        <v>0</v>
      </c>
      <c r="CD475" s="449">
        <f>'Fiche info CDD C.Durée'!$AN$11</f>
        <v>0</v>
      </c>
      <c r="CE475" s="449">
        <f>'Fiche info CDD C.Durée'!$AO$11</f>
        <v>0</v>
      </c>
      <c r="CF475" s="449">
        <f>'Fiche info CDD C.Durée'!$AP$11</f>
        <v>0</v>
      </c>
      <c r="ED475" s="16" t="str">
        <f t="shared" si="101"/>
        <v>Fiche info CDD C.DuréeD</v>
      </c>
      <c r="EE475" s="16" t="str">
        <f t="shared" si="102"/>
        <v>Fiche info CDD C.Durée</v>
      </c>
      <c r="EF475" s="16" t="str">
        <f t="shared" si="103"/>
        <v>D</v>
      </c>
      <c r="EG475" s="16">
        <f t="shared" si="104"/>
        <v>5</v>
      </c>
      <c r="EH475" s="16" t="str">
        <f t="shared" si="105"/>
        <v>Vendredi</v>
      </c>
      <c r="EI475" s="16" t="str">
        <f t="shared" si="106"/>
        <v/>
      </c>
    </row>
    <row r="476" spans="1:139" x14ac:dyDescent="0.2">
      <c r="A476" s="16" t="str">
        <f t="shared" si="100"/>
        <v>Fiche info CDD C.DuréeD6</v>
      </c>
      <c r="B476" s="16" t="str">
        <f t="shared" si="109"/>
        <v>Fiche info CDD C.Durée</v>
      </c>
      <c r="C476" s="27" t="s">
        <v>242</v>
      </c>
      <c r="D476" s="27">
        <v>6</v>
      </c>
      <c r="E476" s="16" t="s">
        <v>193</v>
      </c>
      <c r="F476" s="34" t="str">
        <f>IF(+'Fiche info CDD C.Durée'!$AR$12=0,"",'Fiche info CDD C.Durée'!$AR$12)</f>
        <v/>
      </c>
      <c r="G476" s="16">
        <f t="shared" si="107"/>
        <v>0</v>
      </c>
      <c r="BX476" s="16" t="str">
        <f t="shared" si="108"/>
        <v>Fiche info CDD C.DuréeD6</v>
      </c>
      <c r="BY476" s="449">
        <f>'Fiche info CDD C.Durée'!$AI$12</f>
        <v>0</v>
      </c>
      <c r="BZ476" s="449">
        <f>'Fiche info CDD C.Durée'!$AJ$12</f>
        <v>0</v>
      </c>
      <c r="CA476" s="449">
        <f>'Fiche info CDD C.Durée'!$AK$12</f>
        <v>0</v>
      </c>
      <c r="CB476" s="449">
        <f>'Fiche info CDD C.Durée'!$AL$12</f>
        <v>0</v>
      </c>
      <c r="CC476" s="449">
        <f>'Fiche info CDD C.Durée'!$AM$12</f>
        <v>0</v>
      </c>
      <c r="CD476" s="449">
        <f>'Fiche info CDD C.Durée'!$AN$12</f>
        <v>0</v>
      </c>
      <c r="CE476" s="449">
        <f>'Fiche info CDD C.Durée'!$AO$12</f>
        <v>0</v>
      </c>
      <c r="CF476" s="449">
        <f>'Fiche info CDD C.Durée'!$AP$12</f>
        <v>0</v>
      </c>
      <c r="ED476" s="16" t="str">
        <f t="shared" si="101"/>
        <v>Fiche info CDD C.DuréeD</v>
      </c>
      <c r="EE476" s="16" t="str">
        <f t="shared" si="102"/>
        <v>Fiche info CDD C.Durée</v>
      </c>
      <c r="EF476" s="16" t="str">
        <f t="shared" si="103"/>
        <v>D</v>
      </c>
      <c r="EG476" s="16">
        <f t="shared" si="104"/>
        <v>6</v>
      </c>
      <c r="EH476" s="16" t="str">
        <f t="shared" si="105"/>
        <v>Samedi</v>
      </c>
      <c r="EI476" s="16" t="str">
        <f t="shared" si="106"/>
        <v/>
      </c>
    </row>
    <row r="477" spans="1:139" x14ac:dyDescent="0.2">
      <c r="A477" s="16" t="str">
        <f t="shared" si="100"/>
        <v>Fiche info CDD C.DuréeD7</v>
      </c>
      <c r="B477" s="16" t="str">
        <f t="shared" si="109"/>
        <v>Fiche info CDD C.Durée</v>
      </c>
      <c r="C477" s="27" t="s">
        <v>242</v>
      </c>
      <c r="D477" s="27">
        <v>7</v>
      </c>
      <c r="E477" s="16" t="s">
        <v>194</v>
      </c>
      <c r="F477" s="34" t="str">
        <f>IF(+'Fiche info CDD C.Durée'!$AR$13=0,"",'Fiche info CDD C.Durée'!$AR$13)</f>
        <v/>
      </c>
      <c r="G477" s="16">
        <f t="shared" si="107"/>
        <v>0</v>
      </c>
      <c r="BX477" s="16" t="str">
        <f t="shared" si="108"/>
        <v>Fiche info CDD C.DuréeD7</v>
      </c>
      <c r="BY477" s="449">
        <f>'Fiche info CDD C.Durée'!$AI$13</f>
        <v>0</v>
      </c>
      <c r="BZ477" s="449">
        <f>'Fiche info CDD C.Durée'!$AJ$13</f>
        <v>0</v>
      </c>
      <c r="CA477" s="449">
        <f>'Fiche info CDD C.Durée'!$AK$13</f>
        <v>0</v>
      </c>
      <c r="CB477" s="449">
        <f>'Fiche info CDD C.Durée'!$AL$13</f>
        <v>0</v>
      </c>
      <c r="CC477" s="449">
        <f>'Fiche info CDD C.Durée'!$AM$13</f>
        <v>0</v>
      </c>
      <c r="CD477" s="449">
        <f>'Fiche info CDD C.Durée'!$AN$13</f>
        <v>0</v>
      </c>
      <c r="CE477" s="449">
        <f>'Fiche info CDD C.Durée'!$AO$13</f>
        <v>0</v>
      </c>
      <c r="CF477" s="449">
        <f>'Fiche info CDD C.Durée'!$AP$13</f>
        <v>0</v>
      </c>
      <c r="ED477" s="16" t="str">
        <f t="shared" si="101"/>
        <v>Fiche info CDD C.DuréeD</v>
      </c>
      <c r="EE477" s="16" t="str">
        <f t="shared" si="102"/>
        <v>Fiche info CDD C.Durée</v>
      </c>
      <c r="EF477" s="16" t="str">
        <f t="shared" si="103"/>
        <v>D</v>
      </c>
      <c r="EG477" s="16">
        <f t="shared" si="104"/>
        <v>7</v>
      </c>
      <c r="EH477" s="16" t="str">
        <f t="shared" si="105"/>
        <v>Dimanche</v>
      </c>
      <c r="EI477" s="16" t="str">
        <f t="shared" si="106"/>
        <v/>
      </c>
    </row>
    <row r="478" spans="1:139" x14ac:dyDescent="0.2">
      <c r="A478" s="16" t="str">
        <f t="shared" si="100"/>
        <v>Fiche info CDD C.DuréeE1</v>
      </c>
      <c r="B478" s="16" t="str">
        <f t="shared" si="109"/>
        <v>Fiche info CDD C.Durée</v>
      </c>
      <c r="C478" s="27" t="s">
        <v>243</v>
      </c>
      <c r="D478" s="27">
        <v>1</v>
      </c>
      <c r="E478" s="16" t="s">
        <v>17</v>
      </c>
      <c r="F478" s="34" t="str">
        <f>IF(+'Fiche info CDD C.Durée'!$BC$7=0,"",'Fiche info CDD C.Durée'!$BC$7)</f>
        <v/>
      </c>
      <c r="G478" s="16">
        <f t="shared" si="107"/>
        <v>0</v>
      </c>
      <c r="BX478" s="16" t="str">
        <f t="shared" si="108"/>
        <v>Fiche info CDD C.DuréeE1</v>
      </c>
      <c r="BY478" s="449">
        <f>'Fiche info CDD C.Durée'!$AT$7</f>
        <v>0</v>
      </c>
      <c r="BZ478" s="449">
        <f>'Fiche info CDD C.Durée'!$AU$7</f>
        <v>0</v>
      </c>
      <c r="CA478" s="449">
        <f>'Fiche info CDD C.Durée'!$AV$7</f>
        <v>0</v>
      </c>
      <c r="CB478" s="449">
        <f>'Fiche info CDD C.Durée'!$AW$7</f>
        <v>0</v>
      </c>
      <c r="CC478" s="449">
        <f>'Fiche info CDD C.Durée'!$AX$7</f>
        <v>0</v>
      </c>
      <c r="CD478" s="449">
        <f>'Fiche info CDD C.Durée'!$AY$7</f>
        <v>0</v>
      </c>
      <c r="CE478" s="449">
        <f>'Fiche info CDD C.Durée'!$AZ$7</f>
        <v>0</v>
      </c>
      <c r="CF478" s="449">
        <f>'Fiche info CDD C.Durée'!$BA$7</f>
        <v>0</v>
      </c>
      <c r="ED478" s="16" t="str">
        <f t="shared" si="101"/>
        <v>Fiche info CDD C.DuréeE</v>
      </c>
      <c r="EE478" s="16" t="str">
        <f t="shared" si="102"/>
        <v>Fiche info CDD C.Durée</v>
      </c>
      <c r="EF478" s="16" t="str">
        <f t="shared" si="103"/>
        <v>E</v>
      </c>
      <c r="EG478" s="16">
        <f t="shared" si="104"/>
        <v>1</v>
      </c>
      <c r="EH478" s="16" t="str">
        <f t="shared" si="105"/>
        <v>Lundi</v>
      </c>
      <c r="EI478" s="16" t="str">
        <f t="shared" si="106"/>
        <v/>
      </c>
    </row>
    <row r="479" spans="1:139" x14ac:dyDescent="0.2">
      <c r="A479" s="16" t="str">
        <f t="shared" si="100"/>
        <v>Fiche info CDD C.DuréeE2</v>
      </c>
      <c r="B479" s="16" t="str">
        <f t="shared" si="109"/>
        <v>Fiche info CDD C.Durée</v>
      </c>
      <c r="C479" s="27" t="s">
        <v>243</v>
      </c>
      <c r="D479" s="27">
        <v>2</v>
      </c>
      <c r="E479" s="16" t="s">
        <v>18</v>
      </c>
      <c r="F479" s="34" t="str">
        <f>IF(+'Fiche info CDD C.Durée'!$BC$8=0,"",'Fiche info CDD C.Durée'!$BC$8)</f>
        <v/>
      </c>
      <c r="G479" s="16">
        <f t="shared" si="107"/>
        <v>0</v>
      </c>
      <c r="BX479" s="16" t="str">
        <f t="shared" si="108"/>
        <v>Fiche info CDD C.DuréeE2</v>
      </c>
      <c r="BY479" s="449">
        <f>'Fiche info CDD C.Durée'!$AT$8</f>
        <v>0</v>
      </c>
      <c r="BZ479" s="449">
        <f>'Fiche info CDD C.Durée'!$AU$8</f>
        <v>0</v>
      </c>
      <c r="CA479" s="449">
        <f>'Fiche info CDD C.Durée'!$AV$8</f>
        <v>0</v>
      </c>
      <c r="CB479" s="449">
        <f>'Fiche info CDD C.Durée'!$AW$8</f>
        <v>0</v>
      </c>
      <c r="CC479" s="449">
        <f>'Fiche info CDD C.Durée'!$AX$8</f>
        <v>0</v>
      </c>
      <c r="CD479" s="449">
        <f>'Fiche info CDD C.Durée'!$AY$8</f>
        <v>0</v>
      </c>
      <c r="CE479" s="449">
        <f>'Fiche info CDD C.Durée'!$AZ$8</f>
        <v>0</v>
      </c>
      <c r="CF479" s="449">
        <f>'Fiche info CDD C.Durée'!$BA$8</f>
        <v>0</v>
      </c>
      <c r="ED479" s="16" t="str">
        <f t="shared" si="101"/>
        <v>Fiche info CDD C.DuréeE</v>
      </c>
      <c r="EE479" s="16" t="str">
        <f t="shared" si="102"/>
        <v>Fiche info CDD C.Durée</v>
      </c>
      <c r="EF479" s="16" t="str">
        <f t="shared" si="103"/>
        <v>E</v>
      </c>
      <c r="EG479" s="16">
        <f t="shared" si="104"/>
        <v>2</v>
      </c>
      <c r="EH479" s="16" t="str">
        <f t="shared" si="105"/>
        <v>Mardi</v>
      </c>
      <c r="EI479" s="16" t="str">
        <f t="shared" si="106"/>
        <v/>
      </c>
    </row>
    <row r="480" spans="1:139" x14ac:dyDescent="0.2">
      <c r="A480" s="16" t="str">
        <f t="shared" si="100"/>
        <v>Fiche info CDD C.DuréeE3</v>
      </c>
      <c r="B480" s="16" t="str">
        <f t="shared" si="109"/>
        <v>Fiche info CDD C.Durée</v>
      </c>
      <c r="C480" s="27" t="s">
        <v>243</v>
      </c>
      <c r="D480" s="27">
        <v>3</v>
      </c>
      <c r="E480" s="16" t="s">
        <v>19</v>
      </c>
      <c r="F480" s="34" t="str">
        <f>IF(+'Fiche info CDD C.Durée'!$BC$9=0,"",'Fiche info CDD C.Durée'!$BC$9)</f>
        <v/>
      </c>
      <c r="G480" s="16">
        <f t="shared" si="107"/>
        <v>0</v>
      </c>
      <c r="BX480" s="16" t="str">
        <f t="shared" si="108"/>
        <v>Fiche info CDD C.DuréeE3</v>
      </c>
      <c r="BY480" s="449">
        <f>'Fiche info CDD C.Durée'!$AT$9</f>
        <v>0</v>
      </c>
      <c r="BZ480" s="449">
        <f>'Fiche info CDD C.Durée'!$AU$9</f>
        <v>0</v>
      </c>
      <c r="CA480" s="449">
        <f>'Fiche info CDD C.Durée'!$AV$9</f>
        <v>0</v>
      </c>
      <c r="CB480" s="449">
        <f>'Fiche info CDD C.Durée'!$AW$9</f>
        <v>0</v>
      </c>
      <c r="CC480" s="449">
        <f>'Fiche info CDD C.Durée'!$AX$9</f>
        <v>0</v>
      </c>
      <c r="CD480" s="449">
        <f>'Fiche info CDD C.Durée'!$AY$9</f>
        <v>0</v>
      </c>
      <c r="CE480" s="449">
        <f>'Fiche info CDD C.Durée'!$AZ$9</f>
        <v>0</v>
      </c>
      <c r="CF480" s="449">
        <f>'Fiche info CDD C.Durée'!$BA$9</f>
        <v>0</v>
      </c>
      <c r="ED480" s="16" t="str">
        <f t="shared" si="101"/>
        <v>Fiche info CDD C.DuréeE</v>
      </c>
      <c r="EE480" s="16" t="str">
        <f t="shared" si="102"/>
        <v>Fiche info CDD C.Durée</v>
      </c>
      <c r="EF480" s="16" t="str">
        <f t="shared" si="103"/>
        <v>E</v>
      </c>
      <c r="EG480" s="16">
        <f t="shared" si="104"/>
        <v>3</v>
      </c>
      <c r="EH480" s="16" t="str">
        <f t="shared" si="105"/>
        <v>Mercredi</v>
      </c>
      <c r="EI480" s="16" t="str">
        <f t="shared" si="106"/>
        <v/>
      </c>
    </row>
    <row r="481" spans="1:139" x14ac:dyDescent="0.2">
      <c r="A481" s="16" t="str">
        <f t="shared" si="100"/>
        <v>Fiche info CDD C.DuréeE4</v>
      </c>
      <c r="B481" s="16" t="str">
        <f t="shared" si="109"/>
        <v>Fiche info CDD C.Durée</v>
      </c>
      <c r="C481" s="27" t="s">
        <v>243</v>
      </c>
      <c r="D481" s="27">
        <v>4</v>
      </c>
      <c r="E481" s="16" t="s">
        <v>20</v>
      </c>
      <c r="F481" s="34" t="str">
        <f>IF(+'Fiche info CDD C.Durée'!$BC$10=0,"",'Fiche info CDD C.Durée'!$BC$10)</f>
        <v/>
      </c>
      <c r="G481" s="16">
        <f t="shared" si="107"/>
        <v>0</v>
      </c>
      <c r="BX481" s="16" t="str">
        <f t="shared" si="108"/>
        <v>Fiche info CDD C.DuréeE4</v>
      </c>
      <c r="BY481" s="449">
        <f>'Fiche info CDD C.Durée'!$AT$10</f>
        <v>0</v>
      </c>
      <c r="BZ481" s="449">
        <f>'Fiche info CDD C.Durée'!$AU$10</f>
        <v>0</v>
      </c>
      <c r="CA481" s="449">
        <f>'Fiche info CDD C.Durée'!$AV$10</f>
        <v>0</v>
      </c>
      <c r="CB481" s="449">
        <f>'Fiche info CDD C.Durée'!$AW$10</f>
        <v>0</v>
      </c>
      <c r="CC481" s="449">
        <f>'Fiche info CDD C.Durée'!$AX$10</f>
        <v>0</v>
      </c>
      <c r="CD481" s="449">
        <f>'Fiche info CDD C.Durée'!$AY$10</f>
        <v>0</v>
      </c>
      <c r="CE481" s="449">
        <f>'Fiche info CDD C.Durée'!$AZ$10</f>
        <v>0</v>
      </c>
      <c r="CF481" s="449">
        <f>'Fiche info CDD C.Durée'!$BA$10</f>
        <v>0</v>
      </c>
      <c r="ED481" s="16" t="str">
        <f t="shared" si="101"/>
        <v>Fiche info CDD C.DuréeE</v>
      </c>
      <c r="EE481" s="16" t="str">
        <f t="shared" si="102"/>
        <v>Fiche info CDD C.Durée</v>
      </c>
      <c r="EF481" s="16" t="str">
        <f t="shared" si="103"/>
        <v>E</v>
      </c>
      <c r="EG481" s="16">
        <f t="shared" si="104"/>
        <v>4</v>
      </c>
      <c r="EH481" s="16" t="str">
        <f t="shared" si="105"/>
        <v>Jeudi</v>
      </c>
      <c r="EI481" s="16" t="str">
        <f t="shared" si="106"/>
        <v/>
      </c>
    </row>
    <row r="482" spans="1:139" x14ac:dyDescent="0.2">
      <c r="A482" s="16" t="str">
        <f t="shared" si="100"/>
        <v>Fiche info CDD C.DuréeE5</v>
      </c>
      <c r="B482" s="16" t="str">
        <f t="shared" si="109"/>
        <v>Fiche info CDD C.Durée</v>
      </c>
      <c r="C482" s="27" t="s">
        <v>243</v>
      </c>
      <c r="D482" s="27">
        <v>5</v>
      </c>
      <c r="E482" s="16" t="s">
        <v>21</v>
      </c>
      <c r="F482" s="34" t="str">
        <f>IF(+'Fiche info CDD C.Durée'!$BC$11=0,"",'Fiche info CDD C.Durée'!$BC$11)</f>
        <v/>
      </c>
      <c r="G482" s="16">
        <f t="shared" si="107"/>
        <v>0</v>
      </c>
      <c r="BX482" s="16" t="str">
        <f t="shared" si="108"/>
        <v>Fiche info CDD C.DuréeE5</v>
      </c>
      <c r="BY482" s="449">
        <f>'Fiche info CDD C.Durée'!$AT$11</f>
        <v>0</v>
      </c>
      <c r="BZ482" s="449">
        <f>'Fiche info CDD C.Durée'!$AU$11</f>
        <v>0</v>
      </c>
      <c r="CA482" s="449">
        <f>'Fiche info CDD C.Durée'!$AV$11</f>
        <v>0</v>
      </c>
      <c r="CB482" s="449">
        <f>'Fiche info CDD C.Durée'!$AW$11</f>
        <v>0</v>
      </c>
      <c r="CC482" s="449">
        <f>'Fiche info CDD C.Durée'!$AX$11</f>
        <v>0</v>
      </c>
      <c r="CD482" s="449">
        <f>'Fiche info CDD C.Durée'!$AY$11</f>
        <v>0</v>
      </c>
      <c r="CE482" s="449">
        <f>'Fiche info CDD C.Durée'!$AZ$11</f>
        <v>0</v>
      </c>
      <c r="CF482" s="449">
        <f>'Fiche info CDD C.Durée'!$BA$11</f>
        <v>0</v>
      </c>
      <c r="ED482" s="16" t="str">
        <f t="shared" si="101"/>
        <v>Fiche info CDD C.DuréeE</v>
      </c>
      <c r="EE482" s="16" t="str">
        <f t="shared" si="102"/>
        <v>Fiche info CDD C.Durée</v>
      </c>
      <c r="EF482" s="16" t="str">
        <f t="shared" si="103"/>
        <v>E</v>
      </c>
      <c r="EG482" s="16">
        <f t="shared" si="104"/>
        <v>5</v>
      </c>
      <c r="EH482" s="16" t="str">
        <f t="shared" si="105"/>
        <v>Vendredi</v>
      </c>
      <c r="EI482" s="16" t="str">
        <f t="shared" si="106"/>
        <v/>
      </c>
    </row>
    <row r="483" spans="1:139" x14ac:dyDescent="0.2">
      <c r="A483" s="16" t="str">
        <f t="shared" si="100"/>
        <v>Fiche info CDD C.DuréeE6</v>
      </c>
      <c r="B483" s="16" t="str">
        <f t="shared" si="109"/>
        <v>Fiche info CDD C.Durée</v>
      </c>
      <c r="C483" s="27" t="s">
        <v>243</v>
      </c>
      <c r="D483" s="27">
        <v>6</v>
      </c>
      <c r="E483" s="16" t="s">
        <v>193</v>
      </c>
      <c r="F483" s="34" t="str">
        <f>IF(+'Fiche info CDD C.Durée'!$BC$12=0,"",'Fiche info CDD C.Durée'!$BC$12)</f>
        <v/>
      </c>
      <c r="G483" s="16">
        <f t="shared" si="107"/>
        <v>0</v>
      </c>
      <c r="BX483" s="16" t="str">
        <f t="shared" si="108"/>
        <v>Fiche info CDD C.DuréeE6</v>
      </c>
      <c r="BY483" s="449">
        <f>'Fiche info CDD C.Durée'!$AT$12</f>
        <v>0</v>
      </c>
      <c r="BZ483" s="449">
        <f>'Fiche info CDD C.Durée'!$AU$12</f>
        <v>0</v>
      </c>
      <c r="CA483" s="449">
        <f>'Fiche info CDD C.Durée'!$AV$12</f>
        <v>0</v>
      </c>
      <c r="CB483" s="449">
        <f>'Fiche info CDD C.Durée'!$AW$12</f>
        <v>0</v>
      </c>
      <c r="CC483" s="449">
        <f>'Fiche info CDD C.Durée'!$AX$12</f>
        <v>0</v>
      </c>
      <c r="CD483" s="449">
        <f>'Fiche info CDD C.Durée'!$AY$12</f>
        <v>0</v>
      </c>
      <c r="CE483" s="449">
        <f>'Fiche info CDD C.Durée'!$AZ$12</f>
        <v>0</v>
      </c>
      <c r="CF483" s="449">
        <f>'Fiche info CDD C.Durée'!$BA$12</f>
        <v>0</v>
      </c>
      <c r="ED483" s="16" t="str">
        <f t="shared" si="101"/>
        <v>Fiche info CDD C.DuréeE</v>
      </c>
      <c r="EE483" s="16" t="str">
        <f t="shared" si="102"/>
        <v>Fiche info CDD C.Durée</v>
      </c>
      <c r="EF483" s="16" t="str">
        <f t="shared" si="103"/>
        <v>E</v>
      </c>
      <c r="EG483" s="16">
        <f t="shared" si="104"/>
        <v>6</v>
      </c>
      <c r="EH483" s="16" t="str">
        <f t="shared" si="105"/>
        <v>Samedi</v>
      </c>
      <c r="EI483" s="16" t="str">
        <f t="shared" si="106"/>
        <v/>
      </c>
    </row>
    <row r="484" spans="1:139" x14ac:dyDescent="0.2">
      <c r="A484" s="16" t="str">
        <f t="shared" si="100"/>
        <v>Fiche info CDD C.DuréeE7</v>
      </c>
      <c r="B484" s="16" t="str">
        <f t="shared" si="109"/>
        <v>Fiche info CDD C.Durée</v>
      </c>
      <c r="C484" s="27" t="s">
        <v>243</v>
      </c>
      <c r="D484" s="27">
        <v>7</v>
      </c>
      <c r="E484" s="16" t="s">
        <v>194</v>
      </c>
      <c r="F484" s="34" t="str">
        <f>IF(+'Fiche info CDD C.Durée'!$BC$13=0,"",'Fiche info CDD C.Durée'!$BC$13)</f>
        <v/>
      </c>
      <c r="G484" s="16">
        <f t="shared" si="107"/>
        <v>0</v>
      </c>
      <c r="BX484" s="16" t="str">
        <f t="shared" si="108"/>
        <v>Fiche info CDD C.DuréeE7</v>
      </c>
      <c r="BY484" s="449">
        <f>'Fiche info CDD C.Durée'!$AT$13</f>
        <v>0</v>
      </c>
      <c r="BZ484" s="449">
        <f>'Fiche info CDD C.Durée'!$AU$13</f>
        <v>0</v>
      </c>
      <c r="CA484" s="449">
        <f>'Fiche info CDD C.Durée'!$AV$13</f>
        <v>0</v>
      </c>
      <c r="CB484" s="449">
        <f>'Fiche info CDD C.Durée'!$AW$13</f>
        <v>0</v>
      </c>
      <c r="CC484" s="449">
        <f>'Fiche info CDD C.Durée'!$AX$13</f>
        <v>0</v>
      </c>
      <c r="CD484" s="449">
        <f>'Fiche info CDD C.Durée'!$AY$13</f>
        <v>0</v>
      </c>
      <c r="CE484" s="449">
        <f>'Fiche info CDD C.Durée'!$AZ$13</f>
        <v>0</v>
      </c>
      <c r="CF484" s="449">
        <f>'Fiche info CDD C.Durée'!$BA$13</f>
        <v>0</v>
      </c>
      <c r="ED484" s="16" t="str">
        <f t="shared" si="101"/>
        <v>Fiche info CDD C.DuréeE</v>
      </c>
      <c r="EE484" s="16" t="str">
        <f t="shared" si="102"/>
        <v>Fiche info CDD C.Durée</v>
      </c>
      <c r="EF484" s="16" t="str">
        <f t="shared" si="103"/>
        <v>E</v>
      </c>
      <c r="EG484" s="16">
        <f t="shared" si="104"/>
        <v>7</v>
      </c>
      <c r="EH484" s="16" t="str">
        <f t="shared" si="105"/>
        <v>Dimanche</v>
      </c>
      <c r="EI484" s="16" t="str">
        <f t="shared" si="106"/>
        <v/>
      </c>
    </row>
    <row r="485" spans="1:139" x14ac:dyDescent="0.2">
      <c r="A485" s="16" t="str">
        <f t="shared" si="100"/>
        <v>Fiche info CDD C.DuréeF1</v>
      </c>
      <c r="B485" s="16" t="str">
        <f t="shared" si="109"/>
        <v>Fiche info CDD C.Durée</v>
      </c>
      <c r="C485" s="27" t="s">
        <v>244</v>
      </c>
      <c r="D485" s="27">
        <v>1</v>
      </c>
      <c r="E485" s="16" t="s">
        <v>17</v>
      </c>
      <c r="F485" s="34" t="str">
        <f>+IF('Fiche info CDD C.Durée'!$BN$7=0,"",'Fiche info CDD C.Durée'!$BN$7)</f>
        <v/>
      </c>
      <c r="G485" s="16">
        <f t="shared" si="107"/>
        <v>0</v>
      </c>
      <c r="BX485" s="16" t="str">
        <f t="shared" si="108"/>
        <v>Fiche info CDD C.DuréeF1</v>
      </c>
      <c r="BY485" s="449">
        <f>'Fiche info CDD C.Durée'!$BE$7</f>
        <v>0</v>
      </c>
      <c r="BZ485" s="449">
        <f>'Fiche info CDD C.Durée'!$BF$7</f>
        <v>0</v>
      </c>
      <c r="CA485" s="449">
        <f>'Fiche info CDD C.Durée'!$BG$7</f>
        <v>0</v>
      </c>
      <c r="CB485" s="449">
        <f>'Fiche info CDD C.Durée'!$BH$7</f>
        <v>0</v>
      </c>
      <c r="CC485" s="449">
        <f>'Fiche info CDD C.Durée'!$BI$7</f>
        <v>0</v>
      </c>
      <c r="CD485" s="449">
        <f>'Fiche info CDD C.Durée'!$BJ$7</f>
        <v>0</v>
      </c>
      <c r="CE485" s="449">
        <f>'Fiche info CDD C.Durée'!$BK$7</f>
        <v>0</v>
      </c>
      <c r="CF485" s="449">
        <f>'Fiche info CDD C.Durée'!$BL$7</f>
        <v>0</v>
      </c>
      <c r="ED485" s="16" t="str">
        <f t="shared" si="101"/>
        <v>Fiche info CDD C.DuréeF</v>
      </c>
      <c r="EE485" s="16" t="str">
        <f t="shared" si="102"/>
        <v>Fiche info CDD C.Durée</v>
      </c>
      <c r="EF485" s="16" t="str">
        <f t="shared" si="103"/>
        <v>F</v>
      </c>
      <c r="EG485" s="16">
        <f t="shared" si="104"/>
        <v>1</v>
      </c>
      <c r="EH485" s="16" t="str">
        <f t="shared" si="105"/>
        <v>Lundi</v>
      </c>
      <c r="EI485" s="16" t="str">
        <f t="shared" si="106"/>
        <v/>
      </c>
    </row>
    <row r="486" spans="1:139" x14ac:dyDescent="0.2">
      <c r="A486" s="16" t="str">
        <f t="shared" si="100"/>
        <v>Fiche info CDD C.DuréeF2</v>
      </c>
      <c r="B486" s="16" t="str">
        <f t="shared" si="109"/>
        <v>Fiche info CDD C.Durée</v>
      </c>
      <c r="C486" s="27" t="s">
        <v>244</v>
      </c>
      <c r="D486" s="27">
        <v>2</v>
      </c>
      <c r="E486" s="16" t="s">
        <v>18</v>
      </c>
      <c r="F486" s="34" t="str">
        <f>+IF('Fiche info CDD C.Durée'!$BN$8=0,"",'Fiche info CDD C.Durée'!$BN$8)</f>
        <v/>
      </c>
      <c r="G486" s="16">
        <f t="shared" si="107"/>
        <v>0</v>
      </c>
      <c r="BX486" s="16" t="str">
        <f t="shared" si="108"/>
        <v>Fiche info CDD C.DuréeF2</v>
      </c>
      <c r="BY486" s="449">
        <f>'Fiche info CDD C.Durée'!$BE$8</f>
        <v>0</v>
      </c>
      <c r="BZ486" s="449">
        <f>'Fiche info CDD C.Durée'!$BF$8</f>
        <v>0</v>
      </c>
      <c r="CA486" s="449">
        <f>'Fiche info CDD C.Durée'!$BG$8</f>
        <v>0</v>
      </c>
      <c r="CB486" s="449">
        <f>'Fiche info CDD C.Durée'!$BH$8</f>
        <v>0</v>
      </c>
      <c r="CC486" s="449">
        <f>'Fiche info CDD C.Durée'!$BI$8</f>
        <v>0</v>
      </c>
      <c r="CD486" s="449">
        <f>'Fiche info CDD C.Durée'!$BJ$8</f>
        <v>0</v>
      </c>
      <c r="CE486" s="449">
        <f>'Fiche info CDD C.Durée'!$BK$8</f>
        <v>0</v>
      </c>
      <c r="CF486" s="449">
        <f>'Fiche info CDD C.Durée'!$BL$8</f>
        <v>0</v>
      </c>
      <c r="ED486" s="16" t="str">
        <f t="shared" si="101"/>
        <v>Fiche info CDD C.DuréeF</v>
      </c>
      <c r="EE486" s="16" t="str">
        <f t="shared" si="102"/>
        <v>Fiche info CDD C.Durée</v>
      </c>
      <c r="EF486" s="16" t="str">
        <f t="shared" si="103"/>
        <v>F</v>
      </c>
      <c r="EG486" s="16">
        <f t="shared" si="104"/>
        <v>2</v>
      </c>
      <c r="EH486" s="16" t="str">
        <f t="shared" si="105"/>
        <v>Mardi</v>
      </c>
      <c r="EI486" s="16" t="str">
        <f t="shared" si="106"/>
        <v/>
      </c>
    </row>
    <row r="487" spans="1:139" x14ac:dyDescent="0.2">
      <c r="A487" s="16" t="str">
        <f t="shared" si="100"/>
        <v>Fiche info CDD C.DuréeF3</v>
      </c>
      <c r="B487" s="16" t="str">
        <f t="shared" si="109"/>
        <v>Fiche info CDD C.Durée</v>
      </c>
      <c r="C487" s="27" t="s">
        <v>244</v>
      </c>
      <c r="D487" s="27">
        <v>3</v>
      </c>
      <c r="E487" s="16" t="s">
        <v>19</v>
      </c>
      <c r="F487" s="34" t="str">
        <f>+IF('Fiche info CDD C.Durée'!$BN$9=0,"",'Fiche info CDD C.Durée'!$BN$9)</f>
        <v/>
      </c>
      <c r="G487" s="16">
        <f t="shared" si="107"/>
        <v>0</v>
      </c>
      <c r="BX487" s="16" t="str">
        <f t="shared" si="108"/>
        <v>Fiche info CDD C.DuréeF3</v>
      </c>
      <c r="BY487" s="449">
        <f>'Fiche info CDD C.Durée'!$BE$9</f>
        <v>0</v>
      </c>
      <c r="BZ487" s="449">
        <f>'Fiche info CDD C.Durée'!$BF$9</f>
        <v>0</v>
      </c>
      <c r="CA487" s="449">
        <f>'Fiche info CDD C.Durée'!$BG$9</f>
        <v>0</v>
      </c>
      <c r="CB487" s="449">
        <f>'Fiche info CDD C.Durée'!$BH$9</f>
        <v>0</v>
      </c>
      <c r="CC487" s="449">
        <f>'Fiche info CDD C.Durée'!$BI$9</f>
        <v>0</v>
      </c>
      <c r="CD487" s="449">
        <f>'Fiche info CDD C.Durée'!$BJ$9</f>
        <v>0</v>
      </c>
      <c r="CE487" s="449">
        <f>'Fiche info CDD C.Durée'!$BK$9</f>
        <v>0</v>
      </c>
      <c r="CF487" s="449">
        <f>'Fiche info CDD C.Durée'!$BL$9</f>
        <v>0</v>
      </c>
      <c r="ED487" s="16" t="str">
        <f t="shared" si="101"/>
        <v>Fiche info CDD C.DuréeF</v>
      </c>
      <c r="EE487" s="16" t="str">
        <f t="shared" si="102"/>
        <v>Fiche info CDD C.Durée</v>
      </c>
      <c r="EF487" s="16" t="str">
        <f t="shared" si="103"/>
        <v>F</v>
      </c>
      <c r="EG487" s="16">
        <f t="shared" si="104"/>
        <v>3</v>
      </c>
      <c r="EH487" s="16" t="str">
        <f t="shared" si="105"/>
        <v>Mercredi</v>
      </c>
      <c r="EI487" s="16" t="str">
        <f t="shared" si="106"/>
        <v/>
      </c>
    </row>
    <row r="488" spans="1:139" x14ac:dyDescent="0.2">
      <c r="A488" s="16" t="str">
        <f t="shared" si="100"/>
        <v>Fiche info CDD C.DuréeF4</v>
      </c>
      <c r="B488" s="16" t="str">
        <f t="shared" si="109"/>
        <v>Fiche info CDD C.Durée</v>
      </c>
      <c r="C488" s="27" t="s">
        <v>244</v>
      </c>
      <c r="D488" s="27">
        <v>4</v>
      </c>
      <c r="E488" s="16" t="s">
        <v>20</v>
      </c>
      <c r="F488" s="34" t="str">
        <f>+IF('Fiche info CDD C.Durée'!$BN$10=0,"",'Fiche info CDD C.Durée'!$BN$10)</f>
        <v/>
      </c>
      <c r="G488" s="16">
        <f t="shared" si="107"/>
        <v>0</v>
      </c>
      <c r="BX488" s="16" t="str">
        <f t="shared" si="108"/>
        <v>Fiche info CDD C.DuréeF4</v>
      </c>
      <c r="BY488" s="449">
        <f>'Fiche info CDD C.Durée'!$BE$10</f>
        <v>0</v>
      </c>
      <c r="BZ488" s="449">
        <f>'Fiche info CDD C.Durée'!$BF$10</f>
        <v>0</v>
      </c>
      <c r="CA488" s="449">
        <f>'Fiche info CDD C.Durée'!$BG$10</f>
        <v>0</v>
      </c>
      <c r="CB488" s="449">
        <f>'Fiche info CDD C.Durée'!$BH$10</f>
        <v>0</v>
      </c>
      <c r="CC488" s="449">
        <f>'Fiche info CDD C.Durée'!$BI$10</f>
        <v>0</v>
      </c>
      <c r="CD488" s="449">
        <f>'Fiche info CDD C.Durée'!$BJ$10</f>
        <v>0</v>
      </c>
      <c r="CE488" s="449">
        <f>'Fiche info CDD C.Durée'!$BK$10</f>
        <v>0</v>
      </c>
      <c r="CF488" s="449">
        <f>'Fiche info CDD C.Durée'!$BL$10</f>
        <v>0</v>
      </c>
      <c r="ED488" s="16" t="str">
        <f t="shared" si="101"/>
        <v>Fiche info CDD C.DuréeF</v>
      </c>
      <c r="EE488" s="16" t="str">
        <f t="shared" si="102"/>
        <v>Fiche info CDD C.Durée</v>
      </c>
      <c r="EF488" s="16" t="str">
        <f t="shared" si="103"/>
        <v>F</v>
      </c>
      <c r="EG488" s="16">
        <f t="shared" si="104"/>
        <v>4</v>
      </c>
      <c r="EH488" s="16" t="str">
        <f t="shared" si="105"/>
        <v>Jeudi</v>
      </c>
      <c r="EI488" s="16" t="str">
        <f t="shared" si="106"/>
        <v/>
      </c>
    </row>
    <row r="489" spans="1:139" x14ac:dyDescent="0.2">
      <c r="A489" s="16" t="str">
        <f t="shared" si="100"/>
        <v>Fiche info CDD C.DuréeF5</v>
      </c>
      <c r="B489" s="16" t="str">
        <f t="shared" si="109"/>
        <v>Fiche info CDD C.Durée</v>
      </c>
      <c r="C489" s="27" t="s">
        <v>244</v>
      </c>
      <c r="D489" s="27">
        <v>5</v>
      </c>
      <c r="E489" s="16" t="s">
        <v>21</v>
      </c>
      <c r="F489" s="34" t="str">
        <f>+IF('Fiche info CDD C.Durée'!$BN$11=0,"",'Fiche info CDD C.Durée'!$BN$11)</f>
        <v/>
      </c>
      <c r="G489" s="16">
        <f t="shared" si="107"/>
        <v>0</v>
      </c>
      <c r="BX489" s="16" t="str">
        <f t="shared" si="108"/>
        <v>Fiche info CDD C.DuréeF5</v>
      </c>
      <c r="BY489" s="449">
        <f>'Fiche info CDD C.Durée'!$BE$11</f>
        <v>0</v>
      </c>
      <c r="BZ489" s="449">
        <f>'Fiche info CDD C.Durée'!$BF$11</f>
        <v>0</v>
      </c>
      <c r="CA489" s="449">
        <f>'Fiche info CDD C.Durée'!$BG$11</f>
        <v>0</v>
      </c>
      <c r="CB489" s="449">
        <f>'Fiche info CDD C.Durée'!$BH$11</f>
        <v>0</v>
      </c>
      <c r="CC489" s="449">
        <f>'Fiche info CDD C.Durée'!$BI$11</f>
        <v>0</v>
      </c>
      <c r="CD489" s="449">
        <f>'Fiche info CDD C.Durée'!$BJ$11</f>
        <v>0</v>
      </c>
      <c r="CE489" s="449">
        <f>'Fiche info CDD C.Durée'!$BK$11</f>
        <v>0</v>
      </c>
      <c r="CF489" s="449">
        <f>'Fiche info CDD C.Durée'!$BL$11</f>
        <v>0</v>
      </c>
      <c r="ED489" s="16" t="str">
        <f t="shared" si="101"/>
        <v>Fiche info CDD C.DuréeF</v>
      </c>
      <c r="EE489" s="16" t="str">
        <f t="shared" si="102"/>
        <v>Fiche info CDD C.Durée</v>
      </c>
      <c r="EF489" s="16" t="str">
        <f t="shared" si="103"/>
        <v>F</v>
      </c>
      <c r="EG489" s="16">
        <f t="shared" si="104"/>
        <v>5</v>
      </c>
      <c r="EH489" s="16" t="str">
        <f t="shared" si="105"/>
        <v>Vendredi</v>
      </c>
      <c r="EI489" s="16" t="str">
        <f t="shared" si="106"/>
        <v/>
      </c>
    </row>
    <row r="490" spans="1:139" x14ac:dyDescent="0.2">
      <c r="A490" s="16" t="str">
        <f t="shared" si="100"/>
        <v>Fiche info CDD C.DuréeF6</v>
      </c>
      <c r="B490" s="16" t="str">
        <f t="shared" si="109"/>
        <v>Fiche info CDD C.Durée</v>
      </c>
      <c r="C490" s="27" t="s">
        <v>244</v>
      </c>
      <c r="D490" s="27">
        <v>6</v>
      </c>
      <c r="E490" s="16" t="s">
        <v>193</v>
      </c>
      <c r="F490" s="34" t="str">
        <f>+IF('Fiche info CDD C.Durée'!$BN$12=0,"",'Fiche info CDD C.Durée'!$BN$12)</f>
        <v/>
      </c>
      <c r="G490" s="16">
        <f t="shared" si="107"/>
        <v>0</v>
      </c>
      <c r="BX490" s="16" t="str">
        <f t="shared" si="108"/>
        <v>Fiche info CDD C.DuréeF6</v>
      </c>
      <c r="BY490" s="449">
        <f>'Fiche info CDD C.Durée'!$BE$12</f>
        <v>0</v>
      </c>
      <c r="BZ490" s="449">
        <f>'Fiche info CDD C.Durée'!$BF$12</f>
        <v>0</v>
      </c>
      <c r="CA490" s="449">
        <f>'Fiche info CDD C.Durée'!$BG$12</f>
        <v>0</v>
      </c>
      <c r="CB490" s="449">
        <f>'Fiche info CDD C.Durée'!$BH$12</f>
        <v>0</v>
      </c>
      <c r="CC490" s="449">
        <f>'Fiche info CDD C.Durée'!$BI$12</f>
        <v>0</v>
      </c>
      <c r="CD490" s="449">
        <f>'Fiche info CDD C.Durée'!$BJ$12</f>
        <v>0</v>
      </c>
      <c r="CE490" s="449">
        <f>'Fiche info CDD C.Durée'!$BK$12</f>
        <v>0</v>
      </c>
      <c r="CF490" s="449">
        <f>'Fiche info CDD C.Durée'!$BL$12</f>
        <v>0</v>
      </c>
      <c r="ED490" s="16" t="str">
        <f t="shared" si="101"/>
        <v>Fiche info CDD C.DuréeF</v>
      </c>
      <c r="EE490" s="16" t="str">
        <f t="shared" si="102"/>
        <v>Fiche info CDD C.Durée</v>
      </c>
      <c r="EF490" s="16" t="str">
        <f t="shared" si="103"/>
        <v>F</v>
      </c>
      <c r="EG490" s="16">
        <f t="shared" si="104"/>
        <v>6</v>
      </c>
      <c r="EH490" s="16" t="str">
        <f t="shared" si="105"/>
        <v>Samedi</v>
      </c>
      <c r="EI490" s="16" t="str">
        <f t="shared" si="106"/>
        <v/>
      </c>
    </row>
    <row r="491" spans="1:139" x14ac:dyDescent="0.2">
      <c r="A491" s="16" t="str">
        <f t="shared" ref="A491:A554" si="110">+B491&amp;C491&amp;D491</f>
        <v>Fiche info CDD C.DuréeF7</v>
      </c>
      <c r="B491" s="16" t="str">
        <f t="shared" si="109"/>
        <v>Fiche info CDD C.Durée</v>
      </c>
      <c r="C491" s="27" t="s">
        <v>244</v>
      </c>
      <c r="D491" s="27">
        <v>7</v>
      </c>
      <c r="E491" s="16" t="s">
        <v>194</v>
      </c>
      <c r="F491" s="34" t="str">
        <f>+IF('Fiche info CDD C.Durée'!$BN$13=0,"",'Fiche info CDD C.Durée'!$BN$13)</f>
        <v/>
      </c>
      <c r="G491" s="16">
        <f t="shared" si="107"/>
        <v>0</v>
      </c>
      <c r="BX491" s="16" t="str">
        <f t="shared" si="108"/>
        <v>Fiche info CDD C.DuréeF7</v>
      </c>
      <c r="BY491" s="449">
        <f>'Fiche info CDD C.Durée'!$BE$13</f>
        <v>0</v>
      </c>
      <c r="BZ491" s="449">
        <f>'Fiche info CDD C.Durée'!$BF$13</f>
        <v>0</v>
      </c>
      <c r="CA491" s="449">
        <f>'Fiche info CDD C.Durée'!$BG$13</f>
        <v>0</v>
      </c>
      <c r="CB491" s="449">
        <f>'Fiche info CDD C.Durée'!$BH$13</f>
        <v>0</v>
      </c>
      <c r="CC491" s="449">
        <f>'Fiche info CDD C.Durée'!$BI$13</f>
        <v>0</v>
      </c>
      <c r="CD491" s="449">
        <f>'Fiche info CDD C.Durée'!$BJ$13</f>
        <v>0</v>
      </c>
      <c r="CE491" s="449">
        <f>'Fiche info CDD C.Durée'!$BK$13</f>
        <v>0</v>
      </c>
      <c r="CF491" s="449">
        <f>'Fiche info CDD C.Durée'!$BL$13</f>
        <v>0</v>
      </c>
      <c r="ED491" s="16" t="str">
        <f t="shared" si="101"/>
        <v>Fiche info CDD C.DuréeF</v>
      </c>
      <c r="EE491" s="16" t="str">
        <f t="shared" si="102"/>
        <v>Fiche info CDD C.Durée</v>
      </c>
      <c r="EF491" s="16" t="str">
        <f t="shared" si="103"/>
        <v>F</v>
      </c>
      <c r="EG491" s="16">
        <f t="shared" si="104"/>
        <v>7</v>
      </c>
      <c r="EH491" s="16" t="str">
        <f t="shared" si="105"/>
        <v>Dimanche</v>
      </c>
      <c r="EI491" s="16" t="str">
        <f t="shared" si="106"/>
        <v/>
      </c>
    </row>
    <row r="492" spans="1:139" x14ac:dyDescent="0.2">
      <c r="A492" s="16" t="str">
        <f t="shared" si="110"/>
        <v>Fiche info CDD C.DuréeG1</v>
      </c>
      <c r="B492" s="16" t="str">
        <f t="shared" si="109"/>
        <v>Fiche info CDD C.Durée</v>
      </c>
      <c r="C492" s="27" t="s">
        <v>245</v>
      </c>
      <c r="D492" s="27">
        <v>1</v>
      </c>
      <c r="E492" s="16" t="s">
        <v>17</v>
      </c>
      <c r="F492" s="34" t="str">
        <f>+IF('Fiche info CDD C.Durée'!$BY$7=0,"",'Fiche info CDD C.Durée'!$BY$7)</f>
        <v/>
      </c>
      <c r="G492" s="16">
        <f t="shared" si="107"/>
        <v>0</v>
      </c>
      <c r="BX492" s="16" t="str">
        <f t="shared" si="108"/>
        <v>Fiche info CDD C.DuréeG1</v>
      </c>
      <c r="BY492" s="449">
        <f>'Fiche info CDD C.Durée'!$BP$7</f>
        <v>0</v>
      </c>
      <c r="BZ492" s="449">
        <f>'Fiche info CDD C.Durée'!$BQ$7</f>
        <v>0</v>
      </c>
      <c r="CA492" s="449">
        <f>'Fiche info CDD C.Durée'!$BR$7</f>
        <v>0</v>
      </c>
      <c r="CB492" s="449">
        <f>'Fiche info CDD C.Durée'!$BS$7</f>
        <v>0</v>
      </c>
      <c r="CC492" s="449">
        <f>'Fiche info CDD C.Durée'!$BT$7</f>
        <v>0</v>
      </c>
      <c r="CD492" s="449">
        <f>'Fiche info CDD C.Durée'!$BU$7</f>
        <v>0</v>
      </c>
      <c r="CE492" s="449">
        <f>'Fiche info CDD C.Durée'!$BV$7</f>
        <v>0</v>
      </c>
      <c r="CF492" s="449">
        <f>'Fiche info CDD C.Durée'!$BW$7</f>
        <v>0</v>
      </c>
      <c r="ED492" s="16" t="str">
        <f t="shared" si="101"/>
        <v>Fiche info CDD C.DuréeG</v>
      </c>
      <c r="EE492" s="16" t="str">
        <f t="shared" si="102"/>
        <v>Fiche info CDD C.Durée</v>
      </c>
      <c r="EF492" s="16" t="str">
        <f t="shared" si="103"/>
        <v>G</v>
      </c>
      <c r="EG492" s="16">
        <f t="shared" si="104"/>
        <v>1</v>
      </c>
      <c r="EH492" s="16" t="str">
        <f t="shared" si="105"/>
        <v>Lundi</v>
      </c>
      <c r="EI492" s="16" t="str">
        <f t="shared" si="106"/>
        <v/>
      </c>
    </row>
    <row r="493" spans="1:139" x14ac:dyDescent="0.2">
      <c r="A493" s="16" t="str">
        <f t="shared" si="110"/>
        <v>Fiche info CDD C.DuréeG2</v>
      </c>
      <c r="B493" s="16" t="str">
        <f t="shared" si="109"/>
        <v>Fiche info CDD C.Durée</v>
      </c>
      <c r="C493" s="27" t="s">
        <v>245</v>
      </c>
      <c r="D493" s="27">
        <v>2</v>
      </c>
      <c r="E493" s="16" t="s">
        <v>18</v>
      </c>
      <c r="F493" s="34" t="str">
        <f>+IF('Fiche info CDD C.Durée'!$BY$8=0,"",'Fiche info CDD C.Durée'!$BY$8)</f>
        <v/>
      </c>
      <c r="G493" s="16">
        <f t="shared" si="107"/>
        <v>0</v>
      </c>
      <c r="BX493" s="16" t="str">
        <f t="shared" si="108"/>
        <v>Fiche info CDD C.DuréeG2</v>
      </c>
      <c r="BY493" s="449">
        <f>'Fiche info CDD C.Durée'!$BP$8</f>
        <v>0</v>
      </c>
      <c r="BZ493" s="449">
        <f>'Fiche info CDD C.Durée'!$BQ$8</f>
        <v>0</v>
      </c>
      <c r="CA493" s="449">
        <f>'Fiche info CDD C.Durée'!$BR$8</f>
        <v>0</v>
      </c>
      <c r="CB493" s="449">
        <f>'Fiche info CDD C.Durée'!$BS$8</f>
        <v>0</v>
      </c>
      <c r="CC493" s="449">
        <f>'Fiche info CDD C.Durée'!$BT$8</f>
        <v>0</v>
      </c>
      <c r="CD493" s="449">
        <f>'Fiche info CDD C.Durée'!$BU$8</f>
        <v>0</v>
      </c>
      <c r="CE493" s="449">
        <f>'Fiche info CDD C.Durée'!$BV$8</f>
        <v>0</v>
      </c>
      <c r="CF493" s="449">
        <f>'Fiche info CDD C.Durée'!$BW$8</f>
        <v>0</v>
      </c>
      <c r="ED493" s="16" t="str">
        <f t="shared" si="101"/>
        <v>Fiche info CDD C.DuréeG</v>
      </c>
      <c r="EE493" s="16" t="str">
        <f t="shared" si="102"/>
        <v>Fiche info CDD C.Durée</v>
      </c>
      <c r="EF493" s="16" t="str">
        <f t="shared" si="103"/>
        <v>G</v>
      </c>
      <c r="EG493" s="16">
        <f t="shared" si="104"/>
        <v>2</v>
      </c>
      <c r="EH493" s="16" t="str">
        <f t="shared" si="105"/>
        <v>Mardi</v>
      </c>
      <c r="EI493" s="16" t="str">
        <f t="shared" si="106"/>
        <v/>
      </c>
    </row>
    <row r="494" spans="1:139" x14ac:dyDescent="0.2">
      <c r="A494" s="16" t="str">
        <f t="shared" si="110"/>
        <v>Fiche info CDD C.DuréeG3</v>
      </c>
      <c r="B494" s="16" t="str">
        <f t="shared" si="109"/>
        <v>Fiche info CDD C.Durée</v>
      </c>
      <c r="C494" s="27" t="s">
        <v>245</v>
      </c>
      <c r="D494" s="27">
        <v>3</v>
      </c>
      <c r="E494" s="16" t="s">
        <v>19</v>
      </c>
      <c r="F494" s="34" t="str">
        <f>+IF('Fiche info CDD C.Durée'!$BY$9=0,"",'Fiche info CDD C.Durée'!$BY$9)</f>
        <v/>
      </c>
      <c r="G494" s="16">
        <f t="shared" si="107"/>
        <v>0</v>
      </c>
      <c r="BX494" s="16" t="str">
        <f t="shared" si="108"/>
        <v>Fiche info CDD C.DuréeG3</v>
      </c>
      <c r="BY494" s="449">
        <f>'Fiche info CDD C.Durée'!$BP$9</f>
        <v>0</v>
      </c>
      <c r="BZ494" s="449">
        <f>'Fiche info CDD C.Durée'!$BQ$9</f>
        <v>0</v>
      </c>
      <c r="CA494" s="449">
        <f>'Fiche info CDD C.Durée'!$BR$9</f>
        <v>0</v>
      </c>
      <c r="CB494" s="449">
        <f>'Fiche info CDD C.Durée'!$BS$9</f>
        <v>0</v>
      </c>
      <c r="CC494" s="449">
        <f>'Fiche info CDD C.Durée'!$BT$9</f>
        <v>0</v>
      </c>
      <c r="CD494" s="449">
        <f>'Fiche info CDD C.Durée'!$BU$9</f>
        <v>0</v>
      </c>
      <c r="CE494" s="449">
        <f>'Fiche info CDD C.Durée'!$BV$9</f>
        <v>0</v>
      </c>
      <c r="CF494" s="449">
        <f>'Fiche info CDD C.Durée'!$BW$9</f>
        <v>0</v>
      </c>
      <c r="ED494" s="16" t="str">
        <f t="shared" si="101"/>
        <v>Fiche info CDD C.DuréeG</v>
      </c>
      <c r="EE494" s="16" t="str">
        <f t="shared" si="102"/>
        <v>Fiche info CDD C.Durée</v>
      </c>
      <c r="EF494" s="16" t="str">
        <f t="shared" si="103"/>
        <v>G</v>
      </c>
      <c r="EG494" s="16">
        <f t="shared" si="104"/>
        <v>3</v>
      </c>
      <c r="EH494" s="16" t="str">
        <f t="shared" si="105"/>
        <v>Mercredi</v>
      </c>
      <c r="EI494" s="16" t="str">
        <f t="shared" si="106"/>
        <v/>
      </c>
    </row>
    <row r="495" spans="1:139" x14ac:dyDescent="0.2">
      <c r="A495" s="16" t="str">
        <f t="shared" si="110"/>
        <v>Fiche info CDD C.DuréeG4</v>
      </c>
      <c r="B495" s="16" t="str">
        <f t="shared" si="109"/>
        <v>Fiche info CDD C.Durée</v>
      </c>
      <c r="C495" s="27" t="s">
        <v>245</v>
      </c>
      <c r="D495" s="27">
        <v>4</v>
      </c>
      <c r="E495" s="16" t="s">
        <v>20</v>
      </c>
      <c r="F495" s="34" t="str">
        <f>+IF('Fiche info CDD C.Durée'!$BY$10=0,"",'Fiche info CDD C.Durée'!$BY$10)</f>
        <v/>
      </c>
      <c r="G495" s="16">
        <f t="shared" si="107"/>
        <v>0</v>
      </c>
      <c r="BX495" s="16" t="str">
        <f t="shared" si="108"/>
        <v>Fiche info CDD C.DuréeG4</v>
      </c>
      <c r="BY495" s="449">
        <f>'Fiche info CDD C.Durée'!$BP$10</f>
        <v>0</v>
      </c>
      <c r="BZ495" s="449">
        <f>'Fiche info CDD C.Durée'!$BQ$10</f>
        <v>0</v>
      </c>
      <c r="CA495" s="449">
        <f>'Fiche info CDD C.Durée'!$BR$10</f>
        <v>0</v>
      </c>
      <c r="CB495" s="449">
        <f>'Fiche info CDD C.Durée'!$BS$10</f>
        <v>0</v>
      </c>
      <c r="CC495" s="449">
        <f>'Fiche info CDD C.Durée'!$BT$10</f>
        <v>0</v>
      </c>
      <c r="CD495" s="449">
        <f>'Fiche info CDD C.Durée'!$BU$10</f>
        <v>0</v>
      </c>
      <c r="CE495" s="449">
        <f>'Fiche info CDD C.Durée'!$BV$10</f>
        <v>0</v>
      </c>
      <c r="CF495" s="449">
        <f>'Fiche info CDD C.Durée'!$BW$10</f>
        <v>0</v>
      </c>
      <c r="ED495" s="16" t="str">
        <f t="shared" si="101"/>
        <v>Fiche info CDD C.DuréeG</v>
      </c>
      <c r="EE495" s="16" t="str">
        <f t="shared" si="102"/>
        <v>Fiche info CDD C.Durée</v>
      </c>
      <c r="EF495" s="16" t="str">
        <f t="shared" si="103"/>
        <v>G</v>
      </c>
      <c r="EG495" s="16">
        <f t="shared" si="104"/>
        <v>4</v>
      </c>
      <c r="EH495" s="16" t="str">
        <f t="shared" si="105"/>
        <v>Jeudi</v>
      </c>
      <c r="EI495" s="16" t="str">
        <f t="shared" si="106"/>
        <v/>
      </c>
    </row>
    <row r="496" spans="1:139" x14ac:dyDescent="0.2">
      <c r="A496" s="16" t="str">
        <f t="shared" si="110"/>
        <v>Fiche info CDD C.DuréeG5</v>
      </c>
      <c r="B496" s="16" t="str">
        <f t="shared" si="109"/>
        <v>Fiche info CDD C.Durée</v>
      </c>
      <c r="C496" s="27" t="s">
        <v>245</v>
      </c>
      <c r="D496" s="27">
        <v>5</v>
      </c>
      <c r="E496" s="16" t="s">
        <v>21</v>
      </c>
      <c r="F496" s="34" t="str">
        <f>+IF('Fiche info CDD C.Durée'!$BY$11=0,"",'Fiche info CDD C.Durée'!$BY$11)</f>
        <v/>
      </c>
      <c r="G496" s="16">
        <f t="shared" si="107"/>
        <v>0</v>
      </c>
      <c r="BX496" s="16" t="str">
        <f t="shared" si="108"/>
        <v>Fiche info CDD C.DuréeG5</v>
      </c>
      <c r="BY496" s="449">
        <f>'Fiche info CDD C.Durée'!$BP$11</f>
        <v>0</v>
      </c>
      <c r="BZ496" s="449">
        <f>'Fiche info CDD C.Durée'!$BQ$11</f>
        <v>0</v>
      </c>
      <c r="CA496" s="449">
        <f>'Fiche info CDD C.Durée'!$BR$11</f>
        <v>0</v>
      </c>
      <c r="CB496" s="449">
        <f>'Fiche info CDD C.Durée'!$BS$11</f>
        <v>0</v>
      </c>
      <c r="CC496" s="449">
        <f>'Fiche info CDD C.Durée'!$BT$11</f>
        <v>0</v>
      </c>
      <c r="CD496" s="449">
        <f>'Fiche info CDD C.Durée'!$BU$11</f>
        <v>0</v>
      </c>
      <c r="CE496" s="449">
        <f>'Fiche info CDD C.Durée'!$BV$11</f>
        <v>0</v>
      </c>
      <c r="CF496" s="449">
        <f>'Fiche info CDD C.Durée'!$BW$11</f>
        <v>0</v>
      </c>
      <c r="ED496" s="16" t="str">
        <f t="shared" si="101"/>
        <v>Fiche info CDD C.DuréeG</v>
      </c>
      <c r="EE496" s="16" t="str">
        <f t="shared" si="102"/>
        <v>Fiche info CDD C.Durée</v>
      </c>
      <c r="EF496" s="16" t="str">
        <f t="shared" si="103"/>
        <v>G</v>
      </c>
      <c r="EG496" s="16">
        <f t="shared" si="104"/>
        <v>5</v>
      </c>
      <c r="EH496" s="16" t="str">
        <f t="shared" si="105"/>
        <v>Vendredi</v>
      </c>
      <c r="EI496" s="16" t="str">
        <f t="shared" si="106"/>
        <v/>
      </c>
    </row>
    <row r="497" spans="1:139" x14ac:dyDescent="0.2">
      <c r="A497" s="16" t="str">
        <f t="shared" si="110"/>
        <v>Fiche info CDD C.DuréeG6</v>
      </c>
      <c r="B497" s="16" t="str">
        <f t="shared" si="109"/>
        <v>Fiche info CDD C.Durée</v>
      </c>
      <c r="C497" s="27" t="s">
        <v>245</v>
      </c>
      <c r="D497" s="27">
        <v>6</v>
      </c>
      <c r="E497" s="16" t="s">
        <v>193</v>
      </c>
      <c r="F497" s="34" t="str">
        <f>+IF('Fiche info CDD C.Durée'!$BY$12=0,"",'Fiche info CDD C.Durée'!$BY$12)</f>
        <v/>
      </c>
      <c r="G497" s="16">
        <f t="shared" si="107"/>
        <v>0</v>
      </c>
      <c r="BX497" s="16" t="str">
        <f t="shared" si="108"/>
        <v>Fiche info CDD C.DuréeG6</v>
      </c>
      <c r="BY497" s="449">
        <f>'Fiche info CDD C.Durée'!$BP$12</f>
        <v>0</v>
      </c>
      <c r="BZ497" s="449">
        <f>'Fiche info CDD C.Durée'!$BQ$12</f>
        <v>0</v>
      </c>
      <c r="CA497" s="449">
        <f>'Fiche info CDD C.Durée'!$BR$12</f>
        <v>0</v>
      </c>
      <c r="CB497" s="449">
        <f>'Fiche info CDD C.Durée'!$BS$12</f>
        <v>0</v>
      </c>
      <c r="CC497" s="449">
        <f>'Fiche info CDD C.Durée'!$BT$12</f>
        <v>0</v>
      </c>
      <c r="CD497" s="449">
        <f>'Fiche info CDD C.Durée'!$BU$12</f>
        <v>0</v>
      </c>
      <c r="CE497" s="449">
        <f>'Fiche info CDD C.Durée'!$BV$12</f>
        <v>0</v>
      </c>
      <c r="CF497" s="449">
        <f>'Fiche info CDD C.Durée'!$BW$12</f>
        <v>0</v>
      </c>
      <c r="ED497" s="16" t="str">
        <f t="shared" si="101"/>
        <v>Fiche info CDD C.DuréeG</v>
      </c>
      <c r="EE497" s="16" t="str">
        <f t="shared" si="102"/>
        <v>Fiche info CDD C.Durée</v>
      </c>
      <c r="EF497" s="16" t="str">
        <f t="shared" si="103"/>
        <v>G</v>
      </c>
      <c r="EG497" s="16">
        <f t="shared" si="104"/>
        <v>6</v>
      </c>
      <c r="EH497" s="16" t="str">
        <f t="shared" si="105"/>
        <v>Samedi</v>
      </c>
      <c r="EI497" s="16" t="str">
        <f t="shared" si="106"/>
        <v/>
      </c>
    </row>
    <row r="498" spans="1:139" x14ac:dyDescent="0.2">
      <c r="A498" s="16" t="str">
        <f t="shared" si="110"/>
        <v>Fiche info CDD C.DuréeG7</v>
      </c>
      <c r="B498" s="16" t="str">
        <f t="shared" si="109"/>
        <v>Fiche info CDD C.Durée</v>
      </c>
      <c r="C498" s="27" t="s">
        <v>245</v>
      </c>
      <c r="D498" s="27">
        <v>7</v>
      </c>
      <c r="E498" s="16" t="s">
        <v>194</v>
      </c>
      <c r="F498" s="34" t="str">
        <f>+IF('Fiche info CDD C.Durée'!$BY$13=0,"",'Fiche info CDD C.Durée'!$BY$13)</f>
        <v/>
      </c>
      <c r="G498" s="16">
        <f t="shared" si="107"/>
        <v>0</v>
      </c>
      <c r="BX498" s="16" t="str">
        <f t="shared" si="108"/>
        <v>Fiche info CDD C.DuréeG7</v>
      </c>
      <c r="BY498" s="449">
        <f>'Fiche info CDD C.Durée'!$BP$13</f>
        <v>0</v>
      </c>
      <c r="BZ498" s="449">
        <f>'Fiche info CDD C.Durée'!$BQ$13</f>
        <v>0</v>
      </c>
      <c r="CA498" s="449">
        <f>'Fiche info CDD C.Durée'!$BR$13</f>
        <v>0</v>
      </c>
      <c r="CB498" s="449">
        <f>'Fiche info CDD C.Durée'!$BS$13</f>
        <v>0</v>
      </c>
      <c r="CC498" s="449">
        <f>'Fiche info CDD C.Durée'!$BT$13</f>
        <v>0</v>
      </c>
      <c r="CD498" s="449">
        <f>'Fiche info CDD C.Durée'!$BU$13</f>
        <v>0</v>
      </c>
      <c r="CE498" s="449">
        <f>'Fiche info CDD C.Durée'!$BV$13</f>
        <v>0</v>
      </c>
      <c r="CF498" s="449">
        <f>'Fiche info CDD C.Durée'!$BW$13</f>
        <v>0</v>
      </c>
      <c r="ED498" s="16" t="str">
        <f t="shared" si="101"/>
        <v>Fiche info CDD C.DuréeG</v>
      </c>
      <c r="EE498" s="16" t="str">
        <f t="shared" si="102"/>
        <v>Fiche info CDD C.Durée</v>
      </c>
      <c r="EF498" s="16" t="str">
        <f t="shared" si="103"/>
        <v>G</v>
      </c>
      <c r="EG498" s="16">
        <f t="shared" si="104"/>
        <v>7</v>
      </c>
      <c r="EH498" s="16" t="str">
        <f t="shared" si="105"/>
        <v>Dimanche</v>
      </c>
      <c r="EI498" s="16" t="str">
        <f t="shared" si="106"/>
        <v/>
      </c>
    </row>
    <row r="499" spans="1:139" x14ac:dyDescent="0.2">
      <c r="A499" s="16" t="str">
        <f t="shared" si="110"/>
        <v>Fiche info CDD C.DuréeH1</v>
      </c>
      <c r="B499" s="16" t="str">
        <f t="shared" si="109"/>
        <v>Fiche info CDD C.Durée</v>
      </c>
      <c r="C499" s="27" t="s">
        <v>246</v>
      </c>
      <c r="D499" s="27">
        <v>1</v>
      </c>
      <c r="E499" s="16" t="s">
        <v>17</v>
      </c>
      <c r="F499" s="34" t="str">
        <f>+IF('Fiche info CDD C.Durée'!$CJ$7=0,"",'Fiche info CDD C.Durée'!$CJ$7)</f>
        <v/>
      </c>
      <c r="G499" s="16">
        <f t="shared" si="107"/>
        <v>0</v>
      </c>
      <c r="BX499" s="16" t="str">
        <f t="shared" si="108"/>
        <v>Fiche info CDD C.DuréeH1</v>
      </c>
      <c r="BY499" s="449">
        <f>'Fiche info CDD C.Durée'!$CA$7</f>
        <v>0</v>
      </c>
      <c r="BZ499" s="449">
        <f>'Fiche info CDD C.Durée'!$CB$7</f>
        <v>0</v>
      </c>
      <c r="CA499" s="449">
        <f>'Fiche info CDD C.Durée'!$CC$7</f>
        <v>0</v>
      </c>
      <c r="CB499" s="449">
        <f>'Fiche info CDD C.Durée'!$CD$7</f>
        <v>0</v>
      </c>
      <c r="CC499" s="449">
        <f>'Fiche info CDD C.Durée'!$CE$7</f>
        <v>0</v>
      </c>
      <c r="CD499" s="449">
        <f>'Fiche info CDD C.Durée'!$CF$7</f>
        <v>0</v>
      </c>
      <c r="CE499" s="449">
        <f>'Fiche info CDD C.Durée'!$CG$7</f>
        <v>0</v>
      </c>
      <c r="CF499" s="449">
        <f>'Fiche info CDD C.Durée'!$CH$7</f>
        <v>0</v>
      </c>
      <c r="ED499" s="16" t="str">
        <f t="shared" ref="ED499:ED562" si="111">+EE499&amp;EF499</f>
        <v>Fiche info CDD C.DuréeH</v>
      </c>
      <c r="EE499" s="16" t="str">
        <f t="shared" si="102"/>
        <v>Fiche info CDD C.Durée</v>
      </c>
      <c r="EF499" s="16" t="str">
        <f t="shared" si="103"/>
        <v>H</v>
      </c>
      <c r="EG499" s="16">
        <f t="shared" si="104"/>
        <v>1</v>
      </c>
      <c r="EH499" s="16" t="str">
        <f t="shared" si="105"/>
        <v>Lundi</v>
      </c>
      <c r="EI499" s="16" t="str">
        <f t="shared" si="106"/>
        <v/>
      </c>
    </row>
    <row r="500" spans="1:139" x14ac:dyDescent="0.2">
      <c r="A500" s="16" t="str">
        <f t="shared" si="110"/>
        <v>Fiche info CDD C.DuréeH2</v>
      </c>
      <c r="B500" s="16" t="str">
        <f t="shared" si="109"/>
        <v>Fiche info CDD C.Durée</v>
      </c>
      <c r="C500" s="27" t="s">
        <v>246</v>
      </c>
      <c r="D500" s="27">
        <v>2</v>
      </c>
      <c r="E500" s="16" t="s">
        <v>18</v>
      </c>
      <c r="F500" s="34" t="str">
        <f>+IF('Fiche info CDD C.Durée'!$CJ$8=0,"",'Fiche info CDD C.Durée'!$CJ$8)</f>
        <v/>
      </c>
      <c r="G500" s="16">
        <f t="shared" si="107"/>
        <v>0</v>
      </c>
      <c r="BX500" s="16" t="str">
        <f t="shared" si="108"/>
        <v>Fiche info CDD C.DuréeH2</v>
      </c>
      <c r="BY500" s="449">
        <f>'Fiche info CDD C.Durée'!$CA$8</f>
        <v>0</v>
      </c>
      <c r="BZ500" s="449">
        <f>'Fiche info CDD C.Durée'!$CB$8</f>
        <v>0</v>
      </c>
      <c r="CA500" s="449">
        <f>'Fiche info CDD C.Durée'!$CC$8</f>
        <v>0</v>
      </c>
      <c r="CB500" s="449">
        <f>'Fiche info CDD C.Durée'!$CD$8</f>
        <v>0</v>
      </c>
      <c r="CC500" s="449">
        <f>'Fiche info CDD C.Durée'!$CE$8</f>
        <v>0</v>
      </c>
      <c r="CD500" s="449">
        <f>'Fiche info CDD C.Durée'!$CF$8</f>
        <v>0</v>
      </c>
      <c r="CE500" s="449">
        <f>'Fiche info CDD C.Durée'!$CG$8</f>
        <v>0</v>
      </c>
      <c r="CF500" s="449">
        <f>'Fiche info CDD C.Durée'!$CH$8</f>
        <v>0</v>
      </c>
      <c r="ED500" s="16" t="str">
        <f t="shared" si="111"/>
        <v>Fiche info CDD C.DuréeH</v>
      </c>
      <c r="EE500" s="16" t="str">
        <f t="shared" si="102"/>
        <v>Fiche info CDD C.Durée</v>
      </c>
      <c r="EF500" s="16" t="str">
        <f t="shared" si="103"/>
        <v>H</v>
      </c>
      <c r="EG500" s="16">
        <f t="shared" si="104"/>
        <v>2</v>
      </c>
      <c r="EH500" s="16" t="str">
        <f t="shared" si="105"/>
        <v>Mardi</v>
      </c>
      <c r="EI500" s="16" t="str">
        <f t="shared" si="106"/>
        <v/>
      </c>
    </row>
    <row r="501" spans="1:139" x14ac:dyDescent="0.2">
      <c r="A501" s="16" t="str">
        <f t="shared" si="110"/>
        <v>Fiche info CDD C.DuréeH3</v>
      </c>
      <c r="B501" s="16" t="str">
        <f t="shared" si="109"/>
        <v>Fiche info CDD C.Durée</v>
      </c>
      <c r="C501" s="27" t="s">
        <v>246</v>
      </c>
      <c r="D501" s="27">
        <v>3</v>
      </c>
      <c r="E501" s="16" t="s">
        <v>19</v>
      </c>
      <c r="F501" s="34" t="str">
        <f>+IF('Fiche info CDD C.Durée'!$CJ$9=0,"",'Fiche info CDD C.Durée'!$CJ$9)</f>
        <v/>
      </c>
      <c r="G501" s="16">
        <f t="shared" si="107"/>
        <v>0</v>
      </c>
      <c r="BX501" s="16" t="str">
        <f t="shared" si="108"/>
        <v>Fiche info CDD C.DuréeH3</v>
      </c>
      <c r="BY501" s="449">
        <f>'Fiche info CDD C.Durée'!$CA$9</f>
        <v>0</v>
      </c>
      <c r="BZ501" s="449">
        <f>'Fiche info CDD C.Durée'!$CB$9</f>
        <v>0</v>
      </c>
      <c r="CA501" s="449">
        <f>'Fiche info CDD C.Durée'!$CC$9</f>
        <v>0</v>
      </c>
      <c r="CB501" s="449">
        <f>'Fiche info CDD C.Durée'!$CD$9</f>
        <v>0</v>
      </c>
      <c r="CC501" s="449">
        <f>'Fiche info CDD C.Durée'!$CE$9</f>
        <v>0</v>
      </c>
      <c r="CD501" s="449">
        <f>'Fiche info CDD C.Durée'!$CF$9</f>
        <v>0</v>
      </c>
      <c r="CE501" s="449">
        <f>'Fiche info CDD C.Durée'!$CG$9</f>
        <v>0</v>
      </c>
      <c r="CF501" s="449">
        <f>'Fiche info CDD C.Durée'!$CH$9</f>
        <v>0</v>
      </c>
      <c r="ED501" s="16" t="str">
        <f t="shared" si="111"/>
        <v>Fiche info CDD C.DuréeH</v>
      </c>
      <c r="EE501" s="16" t="str">
        <f t="shared" si="102"/>
        <v>Fiche info CDD C.Durée</v>
      </c>
      <c r="EF501" s="16" t="str">
        <f t="shared" si="103"/>
        <v>H</v>
      </c>
      <c r="EG501" s="16">
        <f t="shared" si="104"/>
        <v>3</v>
      </c>
      <c r="EH501" s="16" t="str">
        <f t="shared" si="105"/>
        <v>Mercredi</v>
      </c>
      <c r="EI501" s="16" t="str">
        <f t="shared" si="106"/>
        <v/>
      </c>
    </row>
    <row r="502" spans="1:139" x14ac:dyDescent="0.2">
      <c r="A502" s="16" t="str">
        <f t="shared" si="110"/>
        <v>Fiche info CDD C.DuréeH4</v>
      </c>
      <c r="B502" s="16" t="str">
        <f t="shared" si="109"/>
        <v>Fiche info CDD C.Durée</v>
      </c>
      <c r="C502" s="27" t="s">
        <v>246</v>
      </c>
      <c r="D502" s="27">
        <v>4</v>
      </c>
      <c r="E502" s="16" t="s">
        <v>20</v>
      </c>
      <c r="F502" s="34" t="str">
        <f>+IF('Fiche info CDD C.Durée'!$CJ$10=0,"",'Fiche info CDD C.Durée'!$CJ$10)</f>
        <v/>
      </c>
      <c r="G502" s="16">
        <f t="shared" si="107"/>
        <v>0</v>
      </c>
      <c r="BX502" s="16" t="str">
        <f t="shared" si="108"/>
        <v>Fiche info CDD C.DuréeH4</v>
      </c>
      <c r="BY502" s="449">
        <f>'Fiche info CDD C.Durée'!$CA$10</f>
        <v>0</v>
      </c>
      <c r="BZ502" s="449">
        <f>'Fiche info CDD C.Durée'!$CB$10</f>
        <v>0</v>
      </c>
      <c r="CA502" s="449">
        <f>'Fiche info CDD C.Durée'!$CC$10</f>
        <v>0</v>
      </c>
      <c r="CB502" s="449">
        <f>'Fiche info CDD C.Durée'!$CD$10</f>
        <v>0</v>
      </c>
      <c r="CC502" s="449">
        <f>'Fiche info CDD C.Durée'!$CE$10</f>
        <v>0</v>
      </c>
      <c r="CD502" s="449">
        <f>'Fiche info CDD C.Durée'!$CF$10</f>
        <v>0</v>
      </c>
      <c r="CE502" s="449">
        <f>'Fiche info CDD C.Durée'!$CG$10</f>
        <v>0</v>
      </c>
      <c r="CF502" s="449">
        <f>'Fiche info CDD C.Durée'!$CH$10</f>
        <v>0</v>
      </c>
      <c r="ED502" s="16" t="str">
        <f t="shared" si="111"/>
        <v>Fiche info CDD C.DuréeH</v>
      </c>
      <c r="EE502" s="16" t="str">
        <f t="shared" si="102"/>
        <v>Fiche info CDD C.Durée</v>
      </c>
      <c r="EF502" s="16" t="str">
        <f t="shared" si="103"/>
        <v>H</v>
      </c>
      <c r="EG502" s="16">
        <f t="shared" si="104"/>
        <v>4</v>
      </c>
      <c r="EH502" s="16" t="str">
        <f t="shared" si="105"/>
        <v>Jeudi</v>
      </c>
      <c r="EI502" s="16" t="str">
        <f t="shared" si="106"/>
        <v/>
      </c>
    </row>
    <row r="503" spans="1:139" x14ac:dyDescent="0.2">
      <c r="A503" s="16" t="str">
        <f t="shared" si="110"/>
        <v>Fiche info CDD C.DuréeH5</v>
      </c>
      <c r="B503" s="16" t="str">
        <f t="shared" si="109"/>
        <v>Fiche info CDD C.Durée</v>
      </c>
      <c r="C503" s="27" t="s">
        <v>246</v>
      </c>
      <c r="D503" s="27">
        <v>5</v>
      </c>
      <c r="E503" s="16" t="s">
        <v>21</v>
      </c>
      <c r="F503" s="34" t="str">
        <f>+IF('Fiche info CDD C.Durée'!$CJ$11=0,"",'Fiche info CDD C.Durée'!$CJ$11)</f>
        <v/>
      </c>
      <c r="G503" s="16">
        <f t="shared" si="107"/>
        <v>0</v>
      </c>
      <c r="BX503" s="16" t="str">
        <f t="shared" si="108"/>
        <v>Fiche info CDD C.DuréeH5</v>
      </c>
      <c r="BY503" s="449">
        <f>'Fiche info CDD C.Durée'!$CA$11</f>
        <v>0</v>
      </c>
      <c r="BZ503" s="449">
        <f>'Fiche info CDD C.Durée'!$CB$11</f>
        <v>0</v>
      </c>
      <c r="CA503" s="449">
        <f>'Fiche info CDD C.Durée'!$CC$11</f>
        <v>0</v>
      </c>
      <c r="CB503" s="449">
        <f>'Fiche info CDD C.Durée'!$CD$11</f>
        <v>0</v>
      </c>
      <c r="CC503" s="449">
        <f>'Fiche info CDD C.Durée'!$CE$11</f>
        <v>0</v>
      </c>
      <c r="CD503" s="449">
        <f>'Fiche info CDD C.Durée'!$CF$11</f>
        <v>0</v>
      </c>
      <c r="CE503" s="449">
        <f>'Fiche info CDD C.Durée'!$CG$11</f>
        <v>0</v>
      </c>
      <c r="CF503" s="449">
        <f>'Fiche info CDD C.Durée'!$CH$11</f>
        <v>0</v>
      </c>
      <c r="ED503" s="16" t="str">
        <f t="shared" si="111"/>
        <v>Fiche info CDD C.DuréeH</v>
      </c>
      <c r="EE503" s="16" t="str">
        <f t="shared" si="102"/>
        <v>Fiche info CDD C.Durée</v>
      </c>
      <c r="EF503" s="16" t="str">
        <f t="shared" si="103"/>
        <v>H</v>
      </c>
      <c r="EG503" s="16">
        <f t="shared" si="104"/>
        <v>5</v>
      </c>
      <c r="EH503" s="16" t="str">
        <f t="shared" si="105"/>
        <v>Vendredi</v>
      </c>
      <c r="EI503" s="16" t="str">
        <f t="shared" si="106"/>
        <v/>
      </c>
    </row>
    <row r="504" spans="1:139" x14ac:dyDescent="0.2">
      <c r="A504" s="16" t="str">
        <f t="shared" si="110"/>
        <v>Fiche info CDD C.DuréeH6</v>
      </c>
      <c r="B504" s="16" t="str">
        <f t="shared" si="109"/>
        <v>Fiche info CDD C.Durée</v>
      </c>
      <c r="C504" s="27" t="s">
        <v>246</v>
      </c>
      <c r="D504" s="27">
        <v>6</v>
      </c>
      <c r="E504" s="16" t="s">
        <v>193</v>
      </c>
      <c r="F504" s="34" t="str">
        <f>+IF('Fiche info CDD C.Durée'!$CJ$12=0,"",'Fiche info CDD C.Durée'!$CJ$12)</f>
        <v/>
      </c>
      <c r="G504" s="16">
        <f t="shared" si="107"/>
        <v>0</v>
      </c>
      <c r="BX504" s="16" t="str">
        <f t="shared" si="108"/>
        <v>Fiche info CDD C.DuréeH6</v>
      </c>
      <c r="BY504" s="449">
        <f>'Fiche info CDD C.Durée'!$CA$12</f>
        <v>0</v>
      </c>
      <c r="BZ504" s="449">
        <f>'Fiche info CDD C.Durée'!$CB$12</f>
        <v>0</v>
      </c>
      <c r="CA504" s="449">
        <f>'Fiche info CDD C.Durée'!$CC$12</f>
        <v>0</v>
      </c>
      <c r="CB504" s="449">
        <f>'Fiche info CDD C.Durée'!$CD$12</f>
        <v>0</v>
      </c>
      <c r="CC504" s="449">
        <f>'Fiche info CDD C.Durée'!$CE$12</f>
        <v>0</v>
      </c>
      <c r="CD504" s="449">
        <f>'Fiche info CDD C.Durée'!$CF$12</f>
        <v>0</v>
      </c>
      <c r="CE504" s="449">
        <f>'Fiche info CDD C.Durée'!$CG$12</f>
        <v>0</v>
      </c>
      <c r="CF504" s="449">
        <f>'Fiche info CDD C.Durée'!$CH$12</f>
        <v>0</v>
      </c>
      <c r="ED504" s="16" t="str">
        <f t="shared" si="111"/>
        <v>Fiche info CDD C.DuréeH</v>
      </c>
      <c r="EE504" s="16" t="str">
        <f t="shared" si="102"/>
        <v>Fiche info CDD C.Durée</v>
      </c>
      <c r="EF504" s="16" t="str">
        <f t="shared" si="103"/>
        <v>H</v>
      </c>
      <c r="EG504" s="16">
        <f t="shared" si="104"/>
        <v>6</v>
      </c>
      <c r="EH504" s="16" t="str">
        <f t="shared" si="105"/>
        <v>Samedi</v>
      </c>
      <c r="EI504" s="16" t="str">
        <f t="shared" si="106"/>
        <v/>
      </c>
    </row>
    <row r="505" spans="1:139" x14ac:dyDescent="0.2">
      <c r="A505" s="16" t="str">
        <f t="shared" si="110"/>
        <v>Fiche info CDD C.DuréeH7</v>
      </c>
      <c r="B505" s="16" t="str">
        <f t="shared" si="109"/>
        <v>Fiche info CDD C.Durée</v>
      </c>
      <c r="C505" s="27" t="s">
        <v>246</v>
      </c>
      <c r="D505" s="27">
        <v>7</v>
      </c>
      <c r="E505" s="16" t="s">
        <v>194</v>
      </c>
      <c r="F505" s="34" t="str">
        <f>+IF('Fiche info CDD C.Durée'!$CJ$13=0,"",'Fiche info CDD C.Durée'!$CJ$13)</f>
        <v/>
      </c>
      <c r="G505" s="16">
        <f t="shared" si="107"/>
        <v>0</v>
      </c>
      <c r="BX505" s="16" t="str">
        <f t="shared" si="108"/>
        <v>Fiche info CDD C.DuréeH7</v>
      </c>
      <c r="BY505" s="449">
        <f>'Fiche info CDD C.Durée'!$CA$13</f>
        <v>0</v>
      </c>
      <c r="BZ505" s="449">
        <f>'Fiche info CDD C.Durée'!$CB$13</f>
        <v>0</v>
      </c>
      <c r="CA505" s="449">
        <f>'Fiche info CDD C.Durée'!$CC$13</f>
        <v>0</v>
      </c>
      <c r="CB505" s="449">
        <f>'Fiche info CDD C.Durée'!$CD$13</f>
        <v>0</v>
      </c>
      <c r="CC505" s="449">
        <f>'Fiche info CDD C.Durée'!$CE$13</f>
        <v>0</v>
      </c>
      <c r="CD505" s="449">
        <f>'Fiche info CDD C.Durée'!$CF$13</f>
        <v>0</v>
      </c>
      <c r="CE505" s="449">
        <f>'Fiche info CDD C.Durée'!$CG$13</f>
        <v>0</v>
      </c>
      <c r="CF505" s="449">
        <f>'Fiche info CDD C.Durée'!$CH$13</f>
        <v>0</v>
      </c>
      <c r="ED505" s="16" t="str">
        <f t="shared" si="111"/>
        <v>Fiche info CDD C.DuréeH</v>
      </c>
      <c r="EE505" s="16" t="str">
        <f t="shared" si="102"/>
        <v>Fiche info CDD C.Durée</v>
      </c>
      <c r="EF505" s="16" t="str">
        <f t="shared" si="103"/>
        <v>H</v>
      </c>
      <c r="EG505" s="16">
        <f t="shared" si="104"/>
        <v>7</v>
      </c>
      <c r="EH505" s="16" t="str">
        <f t="shared" si="105"/>
        <v>Dimanche</v>
      </c>
      <c r="EI505" s="16" t="str">
        <f t="shared" si="106"/>
        <v/>
      </c>
    </row>
    <row r="506" spans="1:139" x14ac:dyDescent="0.2">
      <c r="A506" s="16" t="str">
        <f t="shared" si="110"/>
        <v>Fiche info CDD_ Avenant 1A1</v>
      </c>
      <c r="B506" s="16" t="str">
        <f>+$P$11</f>
        <v>Fiche info CDD_ Avenant 1</v>
      </c>
      <c r="C506" s="27" t="s">
        <v>235</v>
      </c>
      <c r="D506" s="27">
        <v>1</v>
      </c>
      <c r="E506" s="16" t="s">
        <v>17</v>
      </c>
      <c r="F506" s="34" t="str">
        <f>IF('Fiche info CDD_ Avenant 1'!$K$7=0,"",'Fiche info CDD_ Avenant 1'!$K$7)</f>
        <v/>
      </c>
      <c r="G506" s="34">
        <f t="shared" si="107"/>
        <v>0</v>
      </c>
      <c r="BX506" s="16" t="str">
        <f t="shared" si="108"/>
        <v>Fiche info CDD_ Avenant 1A1</v>
      </c>
      <c r="BY506" s="449">
        <f>'Fiche info CDD_ Avenant 1'!$B$7</f>
        <v>0</v>
      </c>
      <c r="BZ506" s="449">
        <f>'Fiche info CDD_ Avenant 1'!$C$7</f>
        <v>0</v>
      </c>
      <c r="CA506" s="449">
        <f>'Fiche info CDD_ Avenant 1'!$D$7</f>
        <v>0</v>
      </c>
      <c r="CB506" s="449">
        <f>'Fiche info CDD_ Avenant 1'!$E$7</f>
        <v>0</v>
      </c>
      <c r="CC506" s="449">
        <f>'Fiche info CDD_ Avenant 1'!$F$7</f>
        <v>0</v>
      </c>
      <c r="CD506" s="449">
        <f>'Fiche info CDD_ Avenant 1'!$G$7</f>
        <v>0</v>
      </c>
      <c r="CE506" s="449">
        <f>'Fiche info CDD_ Avenant 1'!$H$7</f>
        <v>0</v>
      </c>
      <c r="CF506" s="449">
        <f>'Fiche info CDD_ Avenant 1'!$I$7</f>
        <v>0</v>
      </c>
      <c r="ED506" s="16" t="str">
        <f t="shared" si="111"/>
        <v>Fiche info CDD_ Avenant 1A</v>
      </c>
      <c r="EE506" s="16" t="str">
        <f t="shared" si="102"/>
        <v>Fiche info CDD_ Avenant 1</v>
      </c>
      <c r="EF506" s="16" t="str">
        <f t="shared" si="103"/>
        <v>A</v>
      </c>
      <c r="EG506" s="16">
        <f t="shared" si="104"/>
        <v>1</v>
      </c>
      <c r="EH506" s="16" t="str">
        <f t="shared" si="105"/>
        <v>Lundi</v>
      </c>
      <c r="EI506" s="16" t="str">
        <f t="shared" si="106"/>
        <v/>
      </c>
    </row>
    <row r="507" spans="1:139" x14ac:dyDescent="0.2">
      <c r="A507" s="16" t="str">
        <f t="shared" si="110"/>
        <v>Fiche info CDD_ Avenant 1A2</v>
      </c>
      <c r="B507" s="16" t="str">
        <f t="shared" ref="B507:B561" si="112">+$P$11</f>
        <v>Fiche info CDD_ Avenant 1</v>
      </c>
      <c r="C507" s="27" t="s">
        <v>235</v>
      </c>
      <c r="D507" s="27">
        <v>2</v>
      </c>
      <c r="E507" s="16" t="s">
        <v>18</v>
      </c>
      <c r="F507" s="34" t="str">
        <f>IF('Fiche info CDD_ Avenant 1'!$K$8=0,"",'Fiche info CDD_ Avenant 1'!$K$8)</f>
        <v/>
      </c>
      <c r="G507" s="16">
        <f t="shared" si="107"/>
        <v>0</v>
      </c>
      <c r="BX507" s="16" t="str">
        <f t="shared" si="108"/>
        <v>Fiche info CDD_ Avenant 1A2</v>
      </c>
      <c r="BY507" s="449">
        <f>'Fiche info CDD_ Avenant 1'!$B$8</f>
        <v>0</v>
      </c>
      <c r="BZ507" s="449">
        <f>'Fiche info CDD_ Avenant 1'!$C$8</f>
        <v>0</v>
      </c>
      <c r="CA507" s="449">
        <f>'Fiche info CDD_ Avenant 1'!$D$8</f>
        <v>0</v>
      </c>
      <c r="CB507" s="449">
        <f>'Fiche info CDD_ Avenant 1'!$E$8</f>
        <v>0</v>
      </c>
      <c r="CC507" s="449">
        <f>'Fiche info CDD_ Avenant 1'!$F$8</f>
        <v>0</v>
      </c>
      <c r="CD507" s="449">
        <f>'Fiche info CDD_ Avenant 1'!$G$8</f>
        <v>0</v>
      </c>
      <c r="CE507" s="449">
        <f>'Fiche info CDD_ Avenant 1'!$H$8</f>
        <v>0</v>
      </c>
      <c r="CF507" s="449">
        <f>'Fiche info CDD_ Avenant 1'!$I$8</f>
        <v>0</v>
      </c>
      <c r="ED507" s="16" t="str">
        <f t="shared" si="111"/>
        <v>Fiche info CDD_ Avenant 1A</v>
      </c>
      <c r="EE507" s="16" t="str">
        <f t="shared" si="102"/>
        <v>Fiche info CDD_ Avenant 1</v>
      </c>
      <c r="EF507" s="16" t="str">
        <f t="shared" si="103"/>
        <v>A</v>
      </c>
      <c r="EG507" s="16">
        <f t="shared" si="104"/>
        <v>2</v>
      </c>
      <c r="EH507" s="16" t="str">
        <f t="shared" si="105"/>
        <v>Mardi</v>
      </c>
      <c r="EI507" s="16" t="str">
        <f t="shared" si="106"/>
        <v/>
      </c>
    </row>
    <row r="508" spans="1:139" x14ac:dyDescent="0.2">
      <c r="A508" s="16" t="str">
        <f t="shared" si="110"/>
        <v>Fiche info CDD_ Avenant 1A3</v>
      </c>
      <c r="B508" s="16" t="str">
        <f t="shared" si="112"/>
        <v>Fiche info CDD_ Avenant 1</v>
      </c>
      <c r="C508" s="27" t="s">
        <v>235</v>
      </c>
      <c r="D508" s="27">
        <v>3</v>
      </c>
      <c r="E508" s="16" t="s">
        <v>19</v>
      </c>
      <c r="F508" s="34" t="str">
        <f>IF('Fiche info CDD_ Avenant 1'!$K$9=0,"",'Fiche info CDD_ Avenant 1'!$K$9)</f>
        <v/>
      </c>
      <c r="G508" s="16">
        <f t="shared" si="107"/>
        <v>0</v>
      </c>
      <c r="BX508" s="16" t="str">
        <f t="shared" si="108"/>
        <v>Fiche info CDD_ Avenant 1A3</v>
      </c>
      <c r="BY508" s="449">
        <f>'Fiche info CDD_ Avenant 1'!$B$9</f>
        <v>0</v>
      </c>
      <c r="BZ508" s="449">
        <f>'Fiche info CDD_ Avenant 1'!$C$9</f>
        <v>0</v>
      </c>
      <c r="CA508" s="449">
        <f>'Fiche info CDD_ Avenant 1'!$D$9</f>
        <v>0</v>
      </c>
      <c r="CB508" s="449">
        <f>'Fiche info CDD_ Avenant 1'!$E$9</f>
        <v>0</v>
      </c>
      <c r="CC508" s="449">
        <f>'Fiche info CDD_ Avenant 1'!$F$9</f>
        <v>0</v>
      </c>
      <c r="CD508" s="449">
        <f>'Fiche info CDD_ Avenant 1'!$G$9</f>
        <v>0</v>
      </c>
      <c r="CE508" s="449">
        <f>'Fiche info CDD_ Avenant 1'!$H$9</f>
        <v>0</v>
      </c>
      <c r="CF508" s="449">
        <f>'Fiche info CDD_ Avenant 1'!$I$9</f>
        <v>0</v>
      </c>
      <c r="ED508" s="16" t="str">
        <f t="shared" si="111"/>
        <v>Fiche info CDD_ Avenant 1A</v>
      </c>
      <c r="EE508" s="16" t="str">
        <f t="shared" si="102"/>
        <v>Fiche info CDD_ Avenant 1</v>
      </c>
      <c r="EF508" s="16" t="str">
        <f t="shared" si="103"/>
        <v>A</v>
      </c>
      <c r="EG508" s="16">
        <f t="shared" si="104"/>
        <v>3</v>
      </c>
      <c r="EH508" s="16" t="str">
        <f t="shared" si="105"/>
        <v>Mercredi</v>
      </c>
      <c r="EI508" s="16" t="str">
        <f t="shared" si="106"/>
        <v/>
      </c>
    </row>
    <row r="509" spans="1:139" x14ac:dyDescent="0.2">
      <c r="A509" s="16" t="str">
        <f t="shared" si="110"/>
        <v>Fiche info CDD_ Avenant 1A4</v>
      </c>
      <c r="B509" s="16" t="str">
        <f t="shared" si="112"/>
        <v>Fiche info CDD_ Avenant 1</v>
      </c>
      <c r="C509" s="27" t="s">
        <v>235</v>
      </c>
      <c r="D509" s="27">
        <v>4</v>
      </c>
      <c r="E509" s="16" t="s">
        <v>20</v>
      </c>
      <c r="F509" s="34" t="str">
        <f>IF('Fiche info CDD_ Avenant 1'!$K$10=0,"",'Fiche info CDD_ Avenant 1'!$K$10)</f>
        <v/>
      </c>
      <c r="G509" s="16">
        <f t="shared" si="107"/>
        <v>0</v>
      </c>
      <c r="BX509" s="16" t="str">
        <f t="shared" si="108"/>
        <v>Fiche info CDD_ Avenant 1A4</v>
      </c>
      <c r="BY509" s="449">
        <f>'Fiche info CDD_ Avenant 1'!$B$10</f>
        <v>0</v>
      </c>
      <c r="BZ509" s="449">
        <f>'Fiche info CDD_ Avenant 1'!$C$10</f>
        <v>0</v>
      </c>
      <c r="CA509" s="449">
        <f>'Fiche info CDD_ Avenant 1'!$D$10</f>
        <v>0</v>
      </c>
      <c r="CB509" s="449">
        <f>'Fiche info CDD_ Avenant 1'!$E$10</f>
        <v>0</v>
      </c>
      <c r="CC509" s="449">
        <f>'Fiche info CDD_ Avenant 1'!$F$10</f>
        <v>0</v>
      </c>
      <c r="CD509" s="449">
        <f>'Fiche info CDD_ Avenant 1'!$G$10</f>
        <v>0</v>
      </c>
      <c r="CE509" s="449">
        <f>'Fiche info CDD_ Avenant 1'!$H$10</f>
        <v>0</v>
      </c>
      <c r="CF509" s="449">
        <f>'Fiche info CDD_ Avenant 1'!$I$10</f>
        <v>0</v>
      </c>
      <c r="ED509" s="16" t="str">
        <f t="shared" si="111"/>
        <v>Fiche info CDD_ Avenant 1A</v>
      </c>
      <c r="EE509" s="16" t="str">
        <f t="shared" si="102"/>
        <v>Fiche info CDD_ Avenant 1</v>
      </c>
      <c r="EF509" s="16" t="str">
        <f t="shared" si="103"/>
        <v>A</v>
      </c>
      <c r="EG509" s="16">
        <f t="shared" si="104"/>
        <v>4</v>
      </c>
      <c r="EH509" s="16" t="str">
        <f t="shared" si="105"/>
        <v>Jeudi</v>
      </c>
      <c r="EI509" s="16" t="str">
        <f t="shared" si="106"/>
        <v/>
      </c>
    </row>
    <row r="510" spans="1:139" x14ac:dyDescent="0.2">
      <c r="A510" s="16" t="str">
        <f t="shared" si="110"/>
        <v>Fiche info CDD_ Avenant 1A5</v>
      </c>
      <c r="B510" s="16" t="str">
        <f t="shared" si="112"/>
        <v>Fiche info CDD_ Avenant 1</v>
      </c>
      <c r="C510" s="27" t="s">
        <v>235</v>
      </c>
      <c r="D510" s="27">
        <v>5</v>
      </c>
      <c r="E510" s="16" t="s">
        <v>21</v>
      </c>
      <c r="F510" s="34" t="str">
        <f>IF('Fiche info CDD_ Avenant 1'!$K$11=0,"",'Fiche info CDD_ Avenant 1'!$K$11)</f>
        <v/>
      </c>
      <c r="G510" s="16">
        <f t="shared" si="107"/>
        <v>0</v>
      </c>
      <c r="BX510" s="16" t="str">
        <f t="shared" si="108"/>
        <v>Fiche info CDD_ Avenant 1A5</v>
      </c>
      <c r="BY510" s="449">
        <f>'Fiche info CDD_ Avenant 1'!$B$11</f>
        <v>0</v>
      </c>
      <c r="BZ510" s="449">
        <f>'Fiche info CDD_ Avenant 1'!$C$11</f>
        <v>0</v>
      </c>
      <c r="CA510" s="449">
        <f>'Fiche info CDD_ Avenant 1'!$D$11</f>
        <v>0</v>
      </c>
      <c r="CB510" s="449">
        <f>'Fiche info CDD_ Avenant 1'!$E$11</f>
        <v>0</v>
      </c>
      <c r="CC510" s="449">
        <f>'Fiche info CDD_ Avenant 1'!$F$11</f>
        <v>0</v>
      </c>
      <c r="CD510" s="449">
        <f>'Fiche info CDD_ Avenant 1'!$G$11</f>
        <v>0</v>
      </c>
      <c r="CE510" s="449">
        <f>'Fiche info CDD_ Avenant 1'!$H$11</f>
        <v>0</v>
      </c>
      <c r="CF510" s="449">
        <f>'Fiche info CDD_ Avenant 1'!$I$11</f>
        <v>0</v>
      </c>
      <c r="ED510" s="16" t="str">
        <f t="shared" si="111"/>
        <v>Fiche info CDD_ Avenant 1A</v>
      </c>
      <c r="EE510" s="16" t="str">
        <f t="shared" si="102"/>
        <v>Fiche info CDD_ Avenant 1</v>
      </c>
      <c r="EF510" s="16" t="str">
        <f t="shared" si="103"/>
        <v>A</v>
      </c>
      <c r="EG510" s="16">
        <f t="shared" si="104"/>
        <v>5</v>
      </c>
      <c r="EH510" s="16" t="str">
        <f t="shared" si="105"/>
        <v>Vendredi</v>
      </c>
      <c r="EI510" s="16" t="str">
        <f t="shared" si="106"/>
        <v/>
      </c>
    </row>
    <row r="511" spans="1:139" x14ac:dyDescent="0.2">
      <c r="A511" s="16" t="str">
        <f t="shared" si="110"/>
        <v>Fiche info CDD_ Avenant 1A6</v>
      </c>
      <c r="B511" s="16" t="str">
        <f t="shared" si="112"/>
        <v>Fiche info CDD_ Avenant 1</v>
      </c>
      <c r="C511" s="27" t="s">
        <v>235</v>
      </c>
      <c r="D511" s="27">
        <v>6</v>
      </c>
      <c r="E511" s="16" t="s">
        <v>193</v>
      </c>
      <c r="F511" s="34" t="str">
        <f>IF('Fiche info CDD_ Avenant 1'!$K$12=0,"",'Fiche info CDD_ Avenant 1'!$K$12)</f>
        <v/>
      </c>
      <c r="G511" s="16">
        <f t="shared" si="107"/>
        <v>0</v>
      </c>
      <c r="BX511" s="16" t="str">
        <f t="shared" si="108"/>
        <v>Fiche info CDD_ Avenant 1A6</v>
      </c>
      <c r="BY511" s="449">
        <f>'Fiche info CDD_ Avenant 1'!$B$12</f>
        <v>0</v>
      </c>
      <c r="BZ511" s="449">
        <f>'Fiche info CDD_ Avenant 1'!$C$12</f>
        <v>0</v>
      </c>
      <c r="CA511" s="449">
        <f>'Fiche info CDD_ Avenant 1'!$D$12</f>
        <v>0</v>
      </c>
      <c r="CB511" s="449">
        <f>'Fiche info CDD_ Avenant 1'!$E$12</f>
        <v>0</v>
      </c>
      <c r="CC511" s="449">
        <f>'Fiche info CDD_ Avenant 1'!$F$12</f>
        <v>0</v>
      </c>
      <c r="CD511" s="449">
        <f>'Fiche info CDD_ Avenant 1'!$G$12</f>
        <v>0</v>
      </c>
      <c r="CE511" s="449">
        <f>'Fiche info CDD_ Avenant 1'!$H$12</f>
        <v>0</v>
      </c>
      <c r="CF511" s="449">
        <f>'Fiche info CDD_ Avenant 1'!$I$12</f>
        <v>0</v>
      </c>
      <c r="ED511" s="16" t="str">
        <f t="shared" si="111"/>
        <v>Fiche info CDD_ Avenant 1A</v>
      </c>
      <c r="EE511" s="16" t="str">
        <f t="shared" si="102"/>
        <v>Fiche info CDD_ Avenant 1</v>
      </c>
      <c r="EF511" s="16" t="str">
        <f t="shared" si="103"/>
        <v>A</v>
      </c>
      <c r="EG511" s="16">
        <f t="shared" si="104"/>
        <v>6</v>
      </c>
      <c r="EH511" s="16" t="str">
        <f t="shared" si="105"/>
        <v>Samedi</v>
      </c>
      <c r="EI511" s="16" t="str">
        <f t="shared" si="106"/>
        <v/>
      </c>
    </row>
    <row r="512" spans="1:139" x14ac:dyDescent="0.2">
      <c r="A512" s="16" t="str">
        <f t="shared" si="110"/>
        <v>Fiche info CDD_ Avenant 1A7</v>
      </c>
      <c r="B512" s="16" t="str">
        <f t="shared" si="112"/>
        <v>Fiche info CDD_ Avenant 1</v>
      </c>
      <c r="C512" s="27" t="s">
        <v>235</v>
      </c>
      <c r="D512" s="27">
        <v>7</v>
      </c>
      <c r="E512" s="16" t="s">
        <v>194</v>
      </c>
      <c r="F512" s="34" t="str">
        <f>IF('Fiche info CDD_ Avenant 1'!$K$13=0,"",'Fiche info CDD_ Avenant 1'!$K$13)</f>
        <v/>
      </c>
      <c r="G512" s="16">
        <f t="shared" si="107"/>
        <v>0</v>
      </c>
      <c r="BX512" s="16" t="str">
        <f t="shared" si="108"/>
        <v>Fiche info CDD_ Avenant 1A7</v>
      </c>
      <c r="BY512" s="449">
        <f>'Fiche info CDD_ Avenant 1'!$B$13</f>
        <v>0</v>
      </c>
      <c r="BZ512" s="449">
        <f>'Fiche info CDD_ Avenant 1'!$C$13</f>
        <v>0</v>
      </c>
      <c r="CA512" s="449">
        <f>'Fiche info CDD_ Avenant 1'!$D$13</f>
        <v>0</v>
      </c>
      <c r="CB512" s="449">
        <f>'Fiche info CDD_ Avenant 1'!$E$13</f>
        <v>0</v>
      </c>
      <c r="CC512" s="449">
        <f>'Fiche info CDD_ Avenant 1'!$F$13</f>
        <v>0</v>
      </c>
      <c r="CD512" s="449">
        <f>'Fiche info CDD_ Avenant 1'!$G$13</f>
        <v>0</v>
      </c>
      <c r="CE512" s="449">
        <f>'Fiche info CDD_ Avenant 1'!$H$13</f>
        <v>0</v>
      </c>
      <c r="CF512" s="449">
        <f>'Fiche info CDD_ Avenant 1'!$I$13</f>
        <v>0</v>
      </c>
      <c r="ED512" s="16" t="str">
        <f t="shared" si="111"/>
        <v>Fiche info CDD_ Avenant 1A</v>
      </c>
      <c r="EE512" s="16" t="str">
        <f t="shared" si="102"/>
        <v>Fiche info CDD_ Avenant 1</v>
      </c>
      <c r="EF512" s="16" t="str">
        <f t="shared" si="103"/>
        <v>A</v>
      </c>
      <c r="EG512" s="16">
        <f t="shared" si="104"/>
        <v>7</v>
      </c>
      <c r="EH512" s="16" t="str">
        <f t="shared" si="105"/>
        <v>Dimanche</v>
      </c>
      <c r="EI512" s="16" t="str">
        <f t="shared" si="106"/>
        <v/>
      </c>
    </row>
    <row r="513" spans="1:139" x14ac:dyDescent="0.2">
      <c r="A513" s="16" t="str">
        <f t="shared" si="110"/>
        <v>Fiche info CDD_ Avenant 1B1</v>
      </c>
      <c r="B513" s="16" t="str">
        <f t="shared" si="112"/>
        <v>Fiche info CDD_ Avenant 1</v>
      </c>
      <c r="C513" s="27" t="s">
        <v>236</v>
      </c>
      <c r="D513" s="27">
        <v>1</v>
      </c>
      <c r="E513" s="16" t="s">
        <v>17</v>
      </c>
      <c r="F513" s="34" t="str">
        <f>+IF('Fiche info CDD_ Avenant 1'!$V$7=0,"",'Fiche info CDD_ Avenant 1'!$V$7)</f>
        <v/>
      </c>
      <c r="G513" s="16">
        <f t="shared" si="107"/>
        <v>0</v>
      </c>
      <c r="BX513" s="16" t="str">
        <f t="shared" si="108"/>
        <v>Fiche info CDD_ Avenant 1B1</v>
      </c>
      <c r="BY513" s="449">
        <f>'Fiche info CDD_ Avenant 1'!$M$7</f>
        <v>0</v>
      </c>
      <c r="BZ513" s="449">
        <f>'Fiche info CDD_ Avenant 1'!$N$7</f>
        <v>0</v>
      </c>
      <c r="CA513" s="449">
        <f>'Fiche info CDD_ Avenant 1'!$O$7</f>
        <v>0</v>
      </c>
      <c r="CB513" s="449">
        <f>'Fiche info CDD_ Avenant 1'!$P$7</f>
        <v>0</v>
      </c>
      <c r="CC513" s="449">
        <f>'Fiche info CDD_ Avenant 1'!$Q$7</f>
        <v>0</v>
      </c>
      <c r="CD513" s="449">
        <f>'Fiche info CDD_ Avenant 1'!$R$7</f>
        <v>0</v>
      </c>
      <c r="CE513" s="449">
        <f>'Fiche info CDD_ Avenant 1'!$S$7</f>
        <v>0</v>
      </c>
      <c r="CF513" s="449">
        <f>'Fiche info CDD_ Avenant 1'!$T$7</f>
        <v>0</v>
      </c>
      <c r="ED513" s="16" t="str">
        <f t="shared" si="111"/>
        <v>Fiche info CDD_ Avenant 1B</v>
      </c>
      <c r="EE513" s="16" t="str">
        <f t="shared" ref="EE513:EE576" si="113">B513</f>
        <v>Fiche info CDD_ Avenant 1</v>
      </c>
      <c r="EF513" s="16" t="str">
        <f t="shared" ref="EF513:EF576" si="114">C513</f>
        <v>B</v>
      </c>
      <c r="EG513" s="16">
        <f t="shared" ref="EG513:EG576" si="115">D513</f>
        <v>1</v>
      </c>
      <c r="EH513" s="16" t="str">
        <f t="shared" ref="EH513:EH576" si="116">E513</f>
        <v>Lundi</v>
      </c>
      <c r="EI513" s="16" t="str">
        <f t="shared" ref="EI513:EI576" si="117">F513</f>
        <v/>
      </c>
    </row>
    <row r="514" spans="1:139" x14ac:dyDescent="0.2">
      <c r="A514" s="16" t="str">
        <f t="shared" si="110"/>
        <v>Fiche info CDD_ Avenant 1B2</v>
      </c>
      <c r="B514" s="16" t="str">
        <f t="shared" si="112"/>
        <v>Fiche info CDD_ Avenant 1</v>
      </c>
      <c r="C514" s="27" t="s">
        <v>236</v>
      </c>
      <c r="D514" s="27">
        <v>2</v>
      </c>
      <c r="E514" s="16" t="s">
        <v>18</v>
      </c>
      <c r="F514" s="34" t="str">
        <f>+IF('Fiche info CDD_ Avenant 1'!$V$8=0,"",'Fiche info CDD_ Avenant 1'!$V$8)</f>
        <v/>
      </c>
      <c r="G514" s="16">
        <f t="shared" ref="G514:G577" si="118">+IF(OR(F514=0,F514=""),0,1)</f>
        <v>0</v>
      </c>
      <c r="BX514" s="16" t="str">
        <f t="shared" ref="BX514:BX577" si="119">A514</f>
        <v>Fiche info CDD_ Avenant 1B2</v>
      </c>
      <c r="BY514" s="449">
        <f>'Fiche info CDD_ Avenant 1'!$M$8</f>
        <v>0</v>
      </c>
      <c r="BZ514" s="449">
        <f>'Fiche info CDD_ Avenant 1'!$N$8</f>
        <v>0</v>
      </c>
      <c r="CA514" s="449">
        <f>'Fiche info CDD_ Avenant 1'!$O$8</f>
        <v>0</v>
      </c>
      <c r="CB514" s="449">
        <f>'Fiche info CDD_ Avenant 1'!$P$8</f>
        <v>0</v>
      </c>
      <c r="CC514" s="449">
        <f>'Fiche info CDD_ Avenant 1'!$Q$8</f>
        <v>0</v>
      </c>
      <c r="CD514" s="449">
        <f>'Fiche info CDD_ Avenant 1'!$R$8</f>
        <v>0</v>
      </c>
      <c r="CE514" s="449">
        <f>'Fiche info CDD_ Avenant 1'!$S$8</f>
        <v>0</v>
      </c>
      <c r="CF514" s="449">
        <f>'Fiche info CDD_ Avenant 1'!$T$8</f>
        <v>0</v>
      </c>
      <c r="ED514" s="16" t="str">
        <f t="shared" si="111"/>
        <v>Fiche info CDD_ Avenant 1B</v>
      </c>
      <c r="EE514" s="16" t="str">
        <f t="shared" si="113"/>
        <v>Fiche info CDD_ Avenant 1</v>
      </c>
      <c r="EF514" s="16" t="str">
        <f t="shared" si="114"/>
        <v>B</v>
      </c>
      <c r="EG514" s="16">
        <f t="shared" si="115"/>
        <v>2</v>
      </c>
      <c r="EH514" s="16" t="str">
        <f t="shared" si="116"/>
        <v>Mardi</v>
      </c>
      <c r="EI514" s="16" t="str">
        <f t="shared" si="117"/>
        <v/>
      </c>
    </row>
    <row r="515" spans="1:139" x14ac:dyDescent="0.2">
      <c r="A515" s="16" t="str">
        <f t="shared" si="110"/>
        <v>Fiche info CDD_ Avenant 1B3</v>
      </c>
      <c r="B515" s="16" t="str">
        <f t="shared" si="112"/>
        <v>Fiche info CDD_ Avenant 1</v>
      </c>
      <c r="C515" s="27" t="s">
        <v>236</v>
      </c>
      <c r="D515" s="27">
        <v>3</v>
      </c>
      <c r="E515" s="16" t="s">
        <v>19</v>
      </c>
      <c r="F515" s="34" t="str">
        <f>+IF('Fiche info CDD_ Avenant 1'!$V$9=0,"",'Fiche info CDD_ Avenant 1'!$V$9)</f>
        <v/>
      </c>
      <c r="G515" s="16">
        <f t="shared" si="118"/>
        <v>0</v>
      </c>
      <c r="BX515" s="16" t="str">
        <f t="shared" si="119"/>
        <v>Fiche info CDD_ Avenant 1B3</v>
      </c>
      <c r="BY515" s="449">
        <f>'Fiche info CDD_ Avenant 1'!$M$9</f>
        <v>0</v>
      </c>
      <c r="BZ515" s="449">
        <f>'Fiche info CDD_ Avenant 1'!$N$9</f>
        <v>0</v>
      </c>
      <c r="CA515" s="449">
        <f>'Fiche info CDD_ Avenant 1'!$O$9</f>
        <v>0</v>
      </c>
      <c r="CB515" s="449">
        <f>'Fiche info CDD_ Avenant 1'!$P$9</f>
        <v>0</v>
      </c>
      <c r="CC515" s="449">
        <f>'Fiche info CDD_ Avenant 1'!$Q$9</f>
        <v>0</v>
      </c>
      <c r="CD515" s="449">
        <f>'Fiche info CDD_ Avenant 1'!$R$9</f>
        <v>0</v>
      </c>
      <c r="CE515" s="449">
        <f>'Fiche info CDD_ Avenant 1'!$S$9</f>
        <v>0</v>
      </c>
      <c r="CF515" s="449">
        <f>'Fiche info CDD_ Avenant 1'!$T$9</f>
        <v>0</v>
      </c>
      <c r="ED515" s="16" t="str">
        <f t="shared" si="111"/>
        <v>Fiche info CDD_ Avenant 1B</v>
      </c>
      <c r="EE515" s="16" t="str">
        <f t="shared" si="113"/>
        <v>Fiche info CDD_ Avenant 1</v>
      </c>
      <c r="EF515" s="16" t="str">
        <f t="shared" si="114"/>
        <v>B</v>
      </c>
      <c r="EG515" s="16">
        <f t="shared" si="115"/>
        <v>3</v>
      </c>
      <c r="EH515" s="16" t="str">
        <f t="shared" si="116"/>
        <v>Mercredi</v>
      </c>
      <c r="EI515" s="16" t="str">
        <f t="shared" si="117"/>
        <v/>
      </c>
    </row>
    <row r="516" spans="1:139" x14ac:dyDescent="0.2">
      <c r="A516" s="16" t="str">
        <f t="shared" si="110"/>
        <v>Fiche info CDD_ Avenant 1B4</v>
      </c>
      <c r="B516" s="16" t="str">
        <f t="shared" si="112"/>
        <v>Fiche info CDD_ Avenant 1</v>
      </c>
      <c r="C516" s="27" t="s">
        <v>236</v>
      </c>
      <c r="D516" s="27">
        <v>4</v>
      </c>
      <c r="E516" s="16" t="s">
        <v>20</v>
      </c>
      <c r="F516" s="34" t="str">
        <f>+IF('Fiche info CDD_ Avenant 1'!$V$10=0,"",'Fiche info CDD_ Avenant 1'!$V$10)</f>
        <v/>
      </c>
      <c r="G516" s="16">
        <f t="shared" si="118"/>
        <v>0</v>
      </c>
      <c r="BX516" s="16" t="str">
        <f t="shared" si="119"/>
        <v>Fiche info CDD_ Avenant 1B4</v>
      </c>
      <c r="BY516" s="449">
        <f>'Fiche info CDD_ Avenant 1'!$M$10</f>
        <v>0</v>
      </c>
      <c r="BZ516" s="449">
        <f>'Fiche info CDD_ Avenant 1'!$N$10</f>
        <v>0</v>
      </c>
      <c r="CA516" s="449">
        <f>'Fiche info CDD_ Avenant 1'!$O$10</f>
        <v>0</v>
      </c>
      <c r="CB516" s="449">
        <f>'Fiche info CDD_ Avenant 1'!$P$10</f>
        <v>0</v>
      </c>
      <c r="CC516" s="449">
        <f>'Fiche info CDD_ Avenant 1'!$Q$10</f>
        <v>0</v>
      </c>
      <c r="CD516" s="449">
        <f>'Fiche info CDD_ Avenant 1'!$R$10</f>
        <v>0</v>
      </c>
      <c r="CE516" s="449">
        <f>'Fiche info CDD_ Avenant 1'!$S$10</f>
        <v>0</v>
      </c>
      <c r="CF516" s="449">
        <f>'Fiche info CDD_ Avenant 1'!$T$10</f>
        <v>0</v>
      </c>
      <c r="ED516" s="16" t="str">
        <f t="shared" si="111"/>
        <v>Fiche info CDD_ Avenant 1B</v>
      </c>
      <c r="EE516" s="16" t="str">
        <f t="shared" si="113"/>
        <v>Fiche info CDD_ Avenant 1</v>
      </c>
      <c r="EF516" s="16" t="str">
        <f t="shared" si="114"/>
        <v>B</v>
      </c>
      <c r="EG516" s="16">
        <f t="shared" si="115"/>
        <v>4</v>
      </c>
      <c r="EH516" s="16" t="str">
        <f t="shared" si="116"/>
        <v>Jeudi</v>
      </c>
      <c r="EI516" s="16" t="str">
        <f t="shared" si="117"/>
        <v/>
      </c>
    </row>
    <row r="517" spans="1:139" x14ac:dyDescent="0.2">
      <c r="A517" s="16" t="str">
        <f t="shared" si="110"/>
        <v>Fiche info CDD_ Avenant 1B5</v>
      </c>
      <c r="B517" s="16" t="str">
        <f t="shared" si="112"/>
        <v>Fiche info CDD_ Avenant 1</v>
      </c>
      <c r="C517" s="27" t="s">
        <v>236</v>
      </c>
      <c r="D517" s="27">
        <v>5</v>
      </c>
      <c r="E517" s="16" t="s">
        <v>21</v>
      </c>
      <c r="F517" s="34" t="str">
        <f>+IF('Fiche info CDD_ Avenant 1'!$V$11=0,"",'Fiche info CDD_ Avenant 1'!$V$11)</f>
        <v/>
      </c>
      <c r="G517" s="16">
        <f t="shared" si="118"/>
        <v>0</v>
      </c>
      <c r="BX517" s="16" t="str">
        <f t="shared" si="119"/>
        <v>Fiche info CDD_ Avenant 1B5</v>
      </c>
      <c r="BY517" s="449">
        <f>'Fiche info CDD_ Avenant 1'!$M$11</f>
        <v>0</v>
      </c>
      <c r="BZ517" s="449">
        <f>'Fiche info CDD_ Avenant 1'!$N$11</f>
        <v>0</v>
      </c>
      <c r="CA517" s="449">
        <f>'Fiche info CDD_ Avenant 1'!$O$11</f>
        <v>0</v>
      </c>
      <c r="CB517" s="449">
        <f>'Fiche info CDD_ Avenant 1'!$P$11</f>
        <v>0</v>
      </c>
      <c r="CC517" s="449">
        <f>'Fiche info CDD_ Avenant 1'!$Q$11</f>
        <v>0</v>
      </c>
      <c r="CD517" s="449">
        <f>'Fiche info CDD_ Avenant 1'!$R$11</f>
        <v>0</v>
      </c>
      <c r="CE517" s="449">
        <f>'Fiche info CDD_ Avenant 1'!$S$11</f>
        <v>0</v>
      </c>
      <c r="CF517" s="449">
        <f>'Fiche info CDD_ Avenant 1'!$T$11</f>
        <v>0</v>
      </c>
      <c r="ED517" s="16" t="str">
        <f t="shared" si="111"/>
        <v>Fiche info CDD_ Avenant 1B</v>
      </c>
      <c r="EE517" s="16" t="str">
        <f t="shared" si="113"/>
        <v>Fiche info CDD_ Avenant 1</v>
      </c>
      <c r="EF517" s="16" t="str">
        <f t="shared" si="114"/>
        <v>B</v>
      </c>
      <c r="EG517" s="16">
        <f t="shared" si="115"/>
        <v>5</v>
      </c>
      <c r="EH517" s="16" t="str">
        <f t="shared" si="116"/>
        <v>Vendredi</v>
      </c>
      <c r="EI517" s="16" t="str">
        <f t="shared" si="117"/>
        <v/>
      </c>
    </row>
    <row r="518" spans="1:139" x14ac:dyDescent="0.2">
      <c r="A518" s="16" t="str">
        <f t="shared" si="110"/>
        <v>Fiche info CDD_ Avenant 1B6</v>
      </c>
      <c r="B518" s="16" t="str">
        <f t="shared" si="112"/>
        <v>Fiche info CDD_ Avenant 1</v>
      </c>
      <c r="C518" s="27" t="s">
        <v>236</v>
      </c>
      <c r="D518" s="27">
        <v>6</v>
      </c>
      <c r="E518" s="16" t="s">
        <v>193</v>
      </c>
      <c r="F518" s="34" t="str">
        <f>+IF('Fiche info CDD_ Avenant 1'!$V$12=0,"",'Fiche info CDD_ Avenant 1'!$V$12)</f>
        <v/>
      </c>
      <c r="G518" s="16">
        <f t="shared" si="118"/>
        <v>0</v>
      </c>
      <c r="BX518" s="16" t="str">
        <f t="shared" si="119"/>
        <v>Fiche info CDD_ Avenant 1B6</v>
      </c>
      <c r="BY518" s="449">
        <f>'Fiche info CDD_ Avenant 1'!$M$12</f>
        <v>0</v>
      </c>
      <c r="BZ518" s="449">
        <f>'Fiche info CDD_ Avenant 1'!$N$12</f>
        <v>0</v>
      </c>
      <c r="CA518" s="449">
        <f>'Fiche info CDD_ Avenant 1'!$O$12</f>
        <v>0</v>
      </c>
      <c r="CB518" s="449">
        <f>'Fiche info CDD_ Avenant 1'!$P$12</f>
        <v>0</v>
      </c>
      <c r="CC518" s="449">
        <f>'Fiche info CDD_ Avenant 1'!$Q$12</f>
        <v>0</v>
      </c>
      <c r="CD518" s="449">
        <f>'Fiche info CDD_ Avenant 1'!$R$12</f>
        <v>0</v>
      </c>
      <c r="CE518" s="449">
        <f>'Fiche info CDD_ Avenant 1'!$S$12</f>
        <v>0</v>
      </c>
      <c r="CF518" s="449">
        <f>'Fiche info CDD_ Avenant 1'!$T$12</f>
        <v>0</v>
      </c>
      <c r="ED518" s="16" t="str">
        <f t="shared" si="111"/>
        <v>Fiche info CDD_ Avenant 1B</v>
      </c>
      <c r="EE518" s="16" t="str">
        <f t="shared" si="113"/>
        <v>Fiche info CDD_ Avenant 1</v>
      </c>
      <c r="EF518" s="16" t="str">
        <f t="shared" si="114"/>
        <v>B</v>
      </c>
      <c r="EG518" s="16">
        <f t="shared" si="115"/>
        <v>6</v>
      </c>
      <c r="EH518" s="16" t="str">
        <f t="shared" si="116"/>
        <v>Samedi</v>
      </c>
      <c r="EI518" s="16" t="str">
        <f t="shared" si="117"/>
        <v/>
      </c>
    </row>
    <row r="519" spans="1:139" x14ac:dyDescent="0.2">
      <c r="A519" s="16" t="str">
        <f t="shared" si="110"/>
        <v>Fiche info CDD_ Avenant 1B7</v>
      </c>
      <c r="B519" s="16" t="str">
        <f t="shared" si="112"/>
        <v>Fiche info CDD_ Avenant 1</v>
      </c>
      <c r="C519" s="27" t="s">
        <v>236</v>
      </c>
      <c r="D519" s="27">
        <v>7</v>
      </c>
      <c r="E519" s="16" t="s">
        <v>194</v>
      </c>
      <c r="F519" s="34" t="str">
        <f>+IF('Fiche info CDD_ Avenant 1'!$V$13=0,"",'Fiche info CDD_ Avenant 1'!$V$13)</f>
        <v/>
      </c>
      <c r="G519" s="16">
        <f t="shared" si="118"/>
        <v>0</v>
      </c>
      <c r="BX519" s="16" t="str">
        <f t="shared" si="119"/>
        <v>Fiche info CDD_ Avenant 1B7</v>
      </c>
      <c r="BY519" s="449">
        <f>'Fiche info CDD_ Avenant 1'!$M$13</f>
        <v>0</v>
      </c>
      <c r="BZ519" s="449">
        <f>'Fiche info CDD_ Avenant 1'!$N$13</f>
        <v>0</v>
      </c>
      <c r="CA519" s="449">
        <f>'Fiche info CDD_ Avenant 1'!$O$13</f>
        <v>0</v>
      </c>
      <c r="CB519" s="449">
        <f>'Fiche info CDD_ Avenant 1'!$P$13</f>
        <v>0</v>
      </c>
      <c r="CC519" s="449">
        <f>'Fiche info CDD_ Avenant 1'!$Q$13</f>
        <v>0</v>
      </c>
      <c r="CD519" s="449">
        <f>'Fiche info CDD_ Avenant 1'!$R$13</f>
        <v>0</v>
      </c>
      <c r="CE519" s="449">
        <f>'Fiche info CDD_ Avenant 1'!$S$13</f>
        <v>0</v>
      </c>
      <c r="CF519" s="449">
        <f>'Fiche info CDD_ Avenant 1'!$T$13</f>
        <v>0</v>
      </c>
      <c r="ED519" s="16" t="str">
        <f t="shared" si="111"/>
        <v>Fiche info CDD_ Avenant 1B</v>
      </c>
      <c r="EE519" s="16" t="str">
        <f t="shared" si="113"/>
        <v>Fiche info CDD_ Avenant 1</v>
      </c>
      <c r="EF519" s="16" t="str">
        <f t="shared" si="114"/>
        <v>B</v>
      </c>
      <c r="EG519" s="16">
        <f t="shared" si="115"/>
        <v>7</v>
      </c>
      <c r="EH519" s="16" t="str">
        <f t="shared" si="116"/>
        <v>Dimanche</v>
      </c>
      <c r="EI519" s="16" t="str">
        <f t="shared" si="117"/>
        <v/>
      </c>
    </row>
    <row r="520" spans="1:139" x14ac:dyDescent="0.2">
      <c r="A520" s="16" t="str">
        <f t="shared" si="110"/>
        <v>Fiche info CDD_ Avenant 1C1</v>
      </c>
      <c r="B520" s="16" t="str">
        <f t="shared" si="112"/>
        <v>Fiche info CDD_ Avenant 1</v>
      </c>
      <c r="C520" s="27" t="s">
        <v>241</v>
      </c>
      <c r="D520" s="27">
        <v>1</v>
      </c>
      <c r="E520" s="16" t="s">
        <v>17</v>
      </c>
      <c r="F520" s="34" t="str">
        <f>+IF('Fiche info CDD_ Avenant 1'!$AG$7=0,"",'Fiche info CDD_ Avenant 1'!$AG$7)</f>
        <v/>
      </c>
      <c r="G520" s="16">
        <f t="shared" si="118"/>
        <v>0</v>
      </c>
      <c r="BX520" s="16" t="str">
        <f t="shared" si="119"/>
        <v>Fiche info CDD_ Avenant 1C1</v>
      </c>
      <c r="BY520" s="449">
        <f>'Fiche info CDD_ Avenant 1'!$X$7</f>
        <v>0</v>
      </c>
      <c r="BZ520" s="449">
        <f>'Fiche info CDD_ Avenant 1'!$Y$7</f>
        <v>0</v>
      </c>
      <c r="CA520" s="449">
        <f>'Fiche info CDD_ Avenant 1'!$Z$7</f>
        <v>0</v>
      </c>
      <c r="CB520" s="449">
        <f>'Fiche info CDD_ Avenant 1'!$AA$7</f>
        <v>0</v>
      </c>
      <c r="CC520" s="449">
        <f>'Fiche info CDD_ Avenant 1'!$AB$7</f>
        <v>0</v>
      </c>
      <c r="CD520" s="449">
        <f>'Fiche info CDD_ Avenant 1'!$AC$7</f>
        <v>0</v>
      </c>
      <c r="CE520" s="449">
        <f>'Fiche info CDD_ Avenant 1'!$AD$7</f>
        <v>0</v>
      </c>
      <c r="CF520" s="449">
        <f>'Fiche info CDD_ Avenant 1'!$AE$7</f>
        <v>0</v>
      </c>
      <c r="ED520" s="16" t="str">
        <f t="shared" si="111"/>
        <v>Fiche info CDD_ Avenant 1C</v>
      </c>
      <c r="EE520" s="16" t="str">
        <f t="shared" si="113"/>
        <v>Fiche info CDD_ Avenant 1</v>
      </c>
      <c r="EF520" s="16" t="str">
        <f t="shared" si="114"/>
        <v>C</v>
      </c>
      <c r="EG520" s="16">
        <f t="shared" si="115"/>
        <v>1</v>
      </c>
      <c r="EH520" s="16" t="str">
        <f t="shared" si="116"/>
        <v>Lundi</v>
      </c>
      <c r="EI520" s="16" t="str">
        <f t="shared" si="117"/>
        <v/>
      </c>
    </row>
    <row r="521" spans="1:139" x14ac:dyDescent="0.2">
      <c r="A521" s="16" t="str">
        <f t="shared" si="110"/>
        <v>Fiche info CDD_ Avenant 1C2</v>
      </c>
      <c r="B521" s="16" t="str">
        <f t="shared" si="112"/>
        <v>Fiche info CDD_ Avenant 1</v>
      </c>
      <c r="C521" s="27" t="s">
        <v>241</v>
      </c>
      <c r="D521" s="27">
        <v>2</v>
      </c>
      <c r="E521" s="16" t="s">
        <v>18</v>
      </c>
      <c r="F521" s="34" t="str">
        <f>+IF('Fiche info CDD_ Avenant 1'!$AG$8=0,"",'Fiche info CDD_ Avenant 1'!$AG$8)</f>
        <v/>
      </c>
      <c r="G521" s="16">
        <f t="shared" si="118"/>
        <v>0</v>
      </c>
      <c r="BX521" s="16" t="str">
        <f t="shared" si="119"/>
        <v>Fiche info CDD_ Avenant 1C2</v>
      </c>
      <c r="BY521" s="449">
        <f>'Fiche info CDD_ Avenant 1'!$X$8</f>
        <v>0</v>
      </c>
      <c r="BZ521" s="449">
        <f>'Fiche info CDD_ Avenant 1'!$Y$8</f>
        <v>0</v>
      </c>
      <c r="CA521" s="449">
        <f>'Fiche info CDD_ Avenant 1'!$Z$8</f>
        <v>0</v>
      </c>
      <c r="CB521" s="449">
        <f>'Fiche info CDD_ Avenant 1'!$AA$8</f>
        <v>0</v>
      </c>
      <c r="CC521" s="449">
        <f>'Fiche info CDD_ Avenant 1'!$AB$8</f>
        <v>0</v>
      </c>
      <c r="CD521" s="449">
        <f>'Fiche info CDD_ Avenant 1'!$AC$8</f>
        <v>0</v>
      </c>
      <c r="CE521" s="449">
        <f>'Fiche info CDD_ Avenant 1'!$AD$8</f>
        <v>0</v>
      </c>
      <c r="CF521" s="449">
        <f>'Fiche info CDD_ Avenant 1'!$AE$8</f>
        <v>0</v>
      </c>
      <c r="ED521" s="16" t="str">
        <f t="shared" si="111"/>
        <v>Fiche info CDD_ Avenant 1C</v>
      </c>
      <c r="EE521" s="16" t="str">
        <f t="shared" si="113"/>
        <v>Fiche info CDD_ Avenant 1</v>
      </c>
      <c r="EF521" s="16" t="str">
        <f t="shared" si="114"/>
        <v>C</v>
      </c>
      <c r="EG521" s="16">
        <f t="shared" si="115"/>
        <v>2</v>
      </c>
      <c r="EH521" s="16" t="str">
        <f t="shared" si="116"/>
        <v>Mardi</v>
      </c>
      <c r="EI521" s="16" t="str">
        <f t="shared" si="117"/>
        <v/>
      </c>
    </row>
    <row r="522" spans="1:139" x14ac:dyDescent="0.2">
      <c r="A522" s="16" t="str">
        <f t="shared" si="110"/>
        <v>Fiche info CDD_ Avenant 1C3</v>
      </c>
      <c r="B522" s="16" t="str">
        <f t="shared" si="112"/>
        <v>Fiche info CDD_ Avenant 1</v>
      </c>
      <c r="C522" s="27" t="s">
        <v>241</v>
      </c>
      <c r="D522" s="27">
        <v>3</v>
      </c>
      <c r="E522" s="16" t="s">
        <v>19</v>
      </c>
      <c r="F522" s="34" t="str">
        <f>+IF('Fiche info CDD_ Avenant 1'!$AG$9=0,"",'Fiche info CDD_ Avenant 1'!$AG$9)</f>
        <v/>
      </c>
      <c r="G522" s="16">
        <f t="shared" si="118"/>
        <v>0</v>
      </c>
      <c r="BX522" s="16" t="str">
        <f t="shared" si="119"/>
        <v>Fiche info CDD_ Avenant 1C3</v>
      </c>
      <c r="BY522" s="449">
        <f>'Fiche info CDD_ Avenant 1'!$X$9</f>
        <v>0</v>
      </c>
      <c r="BZ522" s="449">
        <f>'Fiche info CDD_ Avenant 1'!$Y$9</f>
        <v>0</v>
      </c>
      <c r="CA522" s="449">
        <f>'Fiche info CDD_ Avenant 1'!$Z$9</f>
        <v>0</v>
      </c>
      <c r="CB522" s="449">
        <f>'Fiche info CDD_ Avenant 1'!$AA$9</f>
        <v>0</v>
      </c>
      <c r="CC522" s="449">
        <f>'Fiche info CDD_ Avenant 1'!$AB$9</f>
        <v>0</v>
      </c>
      <c r="CD522" s="449">
        <f>'Fiche info CDD_ Avenant 1'!$AC$9</f>
        <v>0</v>
      </c>
      <c r="CE522" s="449">
        <f>'Fiche info CDD_ Avenant 1'!$AD$9</f>
        <v>0</v>
      </c>
      <c r="CF522" s="449">
        <f>'Fiche info CDD_ Avenant 1'!$AE$9</f>
        <v>0</v>
      </c>
      <c r="ED522" s="16" t="str">
        <f t="shared" si="111"/>
        <v>Fiche info CDD_ Avenant 1C</v>
      </c>
      <c r="EE522" s="16" t="str">
        <f t="shared" si="113"/>
        <v>Fiche info CDD_ Avenant 1</v>
      </c>
      <c r="EF522" s="16" t="str">
        <f t="shared" si="114"/>
        <v>C</v>
      </c>
      <c r="EG522" s="16">
        <f t="shared" si="115"/>
        <v>3</v>
      </c>
      <c r="EH522" s="16" t="str">
        <f t="shared" si="116"/>
        <v>Mercredi</v>
      </c>
      <c r="EI522" s="16" t="str">
        <f t="shared" si="117"/>
        <v/>
      </c>
    </row>
    <row r="523" spans="1:139" x14ac:dyDescent="0.2">
      <c r="A523" s="16" t="str">
        <f t="shared" si="110"/>
        <v>Fiche info CDD_ Avenant 1C4</v>
      </c>
      <c r="B523" s="16" t="str">
        <f t="shared" si="112"/>
        <v>Fiche info CDD_ Avenant 1</v>
      </c>
      <c r="C523" s="27" t="s">
        <v>241</v>
      </c>
      <c r="D523" s="27">
        <v>4</v>
      </c>
      <c r="E523" s="16" t="s">
        <v>20</v>
      </c>
      <c r="F523" s="34" t="str">
        <f>+IF('Fiche info CDD_ Avenant 1'!$AG$10=0,"",'Fiche info CDD_ Avenant 1'!$AG$10)</f>
        <v/>
      </c>
      <c r="G523" s="16">
        <f t="shared" si="118"/>
        <v>0</v>
      </c>
      <c r="BX523" s="16" t="str">
        <f t="shared" si="119"/>
        <v>Fiche info CDD_ Avenant 1C4</v>
      </c>
      <c r="BY523" s="449">
        <f>'Fiche info CDD_ Avenant 1'!$X$10</f>
        <v>0</v>
      </c>
      <c r="BZ523" s="449">
        <f>'Fiche info CDD_ Avenant 1'!$Y$10</f>
        <v>0</v>
      </c>
      <c r="CA523" s="449">
        <f>'Fiche info CDD_ Avenant 1'!$Z$10</f>
        <v>0</v>
      </c>
      <c r="CB523" s="449">
        <f>'Fiche info CDD_ Avenant 1'!$AA$10</f>
        <v>0</v>
      </c>
      <c r="CC523" s="449">
        <f>'Fiche info CDD_ Avenant 1'!$AB$10</f>
        <v>0</v>
      </c>
      <c r="CD523" s="449">
        <f>'Fiche info CDD_ Avenant 1'!$AC$10</f>
        <v>0</v>
      </c>
      <c r="CE523" s="449">
        <f>'Fiche info CDD_ Avenant 1'!$AD$10</f>
        <v>0</v>
      </c>
      <c r="CF523" s="449">
        <f>'Fiche info CDD_ Avenant 1'!$AE$10</f>
        <v>0</v>
      </c>
      <c r="ED523" s="16" t="str">
        <f t="shared" si="111"/>
        <v>Fiche info CDD_ Avenant 1C</v>
      </c>
      <c r="EE523" s="16" t="str">
        <f t="shared" si="113"/>
        <v>Fiche info CDD_ Avenant 1</v>
      </c>
      <c r="EF523" s="16" t="str">
        <f t="shared" si="114"/>
        <v>C</v>
      </c>
      <c r="EG523" s="16">
        <f t="shared" si="115"/>
        <v>4</v>
      </c>
      <c r="EH523" s="16" t="str">
        <f t="shared" si="116"/>
        <v>Jeudi</v>
      </c>
      <c r="EI523" s="16" t="str">
        <f t="shared" si="117"/>
        <v/>
      </c>
    </row>
    <row r="524" spans="1:139" x14ac:dyDescent="0.2">
      <c r="A524" s="16" t="str">
        <f t="shared" si="110"/>
        <v>Fiche info CDD_ Avenant 1C5</v>
      </c>
      <c r="B524" s="16" t="str">
        <f t="shared" si="112"/>
        <v>Fiche info CDD_ Avenant 1</v>
      </c>
      <c r="C524" s="27" t="s">
        <v>241</v>
      </c>
      <c r="D524" s="27">
        <v>5</v>
      </c>
      <c r="E524" s="16" t="s">
        <v>21</v>
      </c>
      <c r="F524" s="34" t="str">
        <f>+IF('Fiche info CDD_ Avenant 1'!$AG$11=0,"",'Fiche info CDD_ Avenant 1'!$AG$11)</f>
        <v/>
      </c>
      <c r="G524" s="16">
        <f t="shared" si="118"/>
        <v>0</v>
      </c>
      <c r="BX524" s="16" t="str">
        <f t="shared" si="119"/>
        <v>Fiche info CDD_ Avenant 1C5</v>
      </c>
      <c r="BY524" s="449">
        <f>'Fiche info CDD_ Avenant 1'!$X$11</f>
        <v>0</v>
      </c>
      <c r="BZ524" s="449">
        <f>'Fiche info CDD_ Avenant 1'!$Y$11</f>
        <v>0</v>
      </c>
      <c r="CA524" s="449">
        <f>'Fiche info CDD_ Avenant 1'!$Z$11</f>
        <v>0</v>
      </c>
      <c r="CB524" s="449">
        <f>'Fiche info CDD_ Avenant 1'!$AA$11</f>
        <v>0</v>
      </c>
      <c r="CC524" s="449">
        <f>'Fiche info CDD_ Avenant 1'!$AB$11</f>
        <v>0</v>
      </c>
      <c r="CD524" s="449">
        <f>'Fiche info CDD_ Avenant 1'!$AC$11</f>
        <v>0</v>
      </c>
      <c r="CE524" s="449">
        <f>'Fiche info CDD_ Avenant 1'!$AD$11</f>
        <v>0</v>
      </c>
      <c r="CF524" s="449">
        <f>'Fiche info CDD_ Avenant 1'!$AE$11</f>
        <v>0</v>
      </c>
      <c r="ED524" s="16" t="str">
        <f t="shared" si="111"/>
        <v>Fiche info CDD_ Avenant 1C</v>
      </c>
      <c r="EE524" s="16" t="str">
        <f t="shared" si="113"/>
        <v>Fiche info CDD_ Avenant 1</v>
      </c>
      <c r="EF524" s="16" t="str">
        <f t="shared" si="114"/>
        <v>C</v>
      </c>
      <c r="EG524" s="16">
        <f t="shared" si="115"/>
        <v>5</v>
      </c>
      <c r="EH524" s="16" t="str">
        <f t="shared" si="116"/>
        <v>Vendredi</v>
      </c>
      <c r="EI524" s="16" t="str">
        <f t="shared" si="117"/>
        <v/>
      </c>
    </row>
    <row r="525" spans="1:139" x14ac:dyDescent="0.2">
      <c r="A525" s="16" t="str">
        <f t="shared" si="110"/>
        <v>Fiche info CDD_ Avenant 1C6</v>
      </c>
      <c r="B525" s="16" t="str">
        <f t="shared" si="112"/>
        <v>Fiche info CDD_ Avenant 1</v>
      </c>
      <c r="C525" s="27" t="s">
        <v>241</v>
      </c>
      <c r="D525" s="27">
        <v>6</v>
      </c>
      <c r="E525" s="16" t="s">
        <v>193</v>
      </c>
      <c r="F525" s="34" t="str">
        <f>+IF('Fiche info CDD_ Avenant 1'!$AG$12=0,"",'Fiche info CDD_ Avenant 1'!$AG$12)</f>
        <v/>
      </c>
      <c r="G525" s="16">
        <f t="shared" si="118"/>
        <v>0</v>
      </c>
      <c r="BX525" s="16" t="str">
        <f t="shared" si="119"/>
        <v>Fiche info CDD_ Avenant 1C6</v>
      </c>
      <c r="BY525" s="449">
        <f>'Fiche info CDD_ Avenant 1'!$X$12</f>
        <v>0</v>
      </c>
      <c r="BZ525" s="449">
        <f>'Fiche info CDD_ Avenant 1'!$Y$12</f>
        <v>0</v>
      </c>
      <c r="CA525" s="449">
        <f>'Fiche info CDD_ Avenant 1'!$Z$12</f>
        <v>0</v>
      </c>
      <c r="CB525" s="449">
        <f>'Fiche info CDD_ Avenant 1'!$AA$12</f>
        <v>0</v>
      </c>
      <c r="CC525" s="449">
        <f>'Fiche info CDD_ Avenant 1'!$AB$12</f>
        <v>0</v>
      </c>
      <c r="CD525" s="449">
        <f>'Fiche info CDD_ Avenant 1'!$AC$12</f>
        <v>0</v>
      </c>
      <c r="CE525" s="449">
        <f>'Fiche info CDD_ Avenant 1'!$AD$12</f>
        <v>0</v>
      </c>
      <c r="CF525" s="449">
        <f>'Fiche info CDD_ Avenant 1'!$AE$12</f>
        <v>0</v>
      </c>
      <c r="ED525" s="16" t="str">
        <f t="shared" si="111"/>
        <v>Fiche info CDD_ Avenant 1C</v>
      </c>
      <c r="EE525" s="16" t="str">
        <f t="shared" si="113"/>
        <v>Fiche info CDD_ Avenant 1</v>
      </c>
      <c r="EF525" s="16" t="str">
        <f t="shared" si="114"/>
        <v>C</v>
      </c>
      <c r="EG525" s="16">
        <f t="shared" si="115"/>
        <v>6</v>
      </c>
      <c r="EH525" s="16" t="str">
        <f t="shared" si="116"/>
        <v>Samedi</v>
      </c>
      <c r="EI525" s="16" t="str">
        <f t="shared" si="117"/>
        <v/>
      </c>
    </row>
    <row r="526" spans="1:139" x14ac:dyDescent="0.2">
      <c r="A526" s="16" t="str">
        <f t="shared" si="110"/>
        <v>Fiche info CDD_ Avenant 1C7</v>
      </c>
      <c r="B526" s="16" t="str">
        <f t="shared" si="112"/>
        <v>Fiche info CDD_ Avenant 1</v>
      </c>
      <c r="C526" s="27" t="s">
        <v>241</v>
      </c>
      <c r="D526" s="27">
        <v>7</v>
      </c>
      <c r="E526" s="16" t="s">
        <v>194</v>
      </c>
      <c r="F526" s="34" t="str">
        <f>+IF('Fiche info CDD_ Avenant 1'!$AG$13=0,"",'Fiche info CDD_ Avenant 1'!$AG$13)</f>
        <v/>
      </c>
      <c r="G526" s="16">
        <f t="shared" si="118"/>
        <v>0</v>
      </c>
      <c r="BX526" s="16" t="str">
        <f t="shared" si="119"/>
        <v>Fiche info CDD_ Avenant 1C7</v>
      </c>
      <c r="BY526" s="449">
        <f>'Fiche info CDD_ Avenant 1'!$X$13</f>
        <v>0</v>
      </c>
      <c r="BZ526" s="449">
        <f>'Fiche info CDD_ Avenant 1'!$Y$13</f>
        <v>0</v>
      </c>
      <c r="CA526" s="449">
        <f>'Fiche info CDD_ Avenant 1'!$Z$13</f>
        <v>0</v>
      </c>
      <c r="CB526" s="449">
        <f>'Fiche info CDD_ Avenant 1'!$AA$13</f>
        <v>0</v>
      </c>
      <c r="CC526" s="449">
        <f>'Fiche info CDD_ Avenant 1'!$AB$13</f>
        <v>0</v>
      </c>
      <c r="CD526" s="449">
        <f>'Fiche info CDD_ Avenant 1'!$AC$13</f>
        <v>0</v>
      </c>
      <c r="CE526" s="449">
        <f>'Fiche info CDD_ Avenant 1'!$AD$13</f>
        <v>0</v>
      </c>
      <c r="CF526" s="449">
        <f>'Fiche info CDD_ Avenant 1'!$AE$13</f>
        <v>0</v>
      </c>
      <c r="ED526" s="16" t="str">
        <f t="shared" si="111"/>
        <v>Fiche info CDD_ Avenant 1C</v>
      </c>
      <c r="EE526" s="16" t="str">
        <f t="shared" si="113"/>
        <v>Fiche info CDD_ Avenant 1</v>
      </c>
      <c r="EF526" s="16" t="str">
        <f t="shared" si="114"/>
        <v>C</v>
      </c>
      <c r="EG526" s="16">
        <f t="shared" si="115"/>
        <v>7</v>
      </c>
      <c r="EH526" s="16" t="str">
        <f t="shared" si="116"/>
        <v>Dimanche</v>
      </c>
      <c r="EI526" s="16" t="str">
        <f t="shared" si="117"/>
        <v/>
      </c>
    </row>
    <row r="527" spans="1:139" x14ac:dyDescent="0.2">
      <c r="A527" s="16" t="str">
        <f t="shared" si="110"/>
        <v>Fiche info CDD_ Avenant 1D1</v>
      </c>
      <c r="B527" s="16" t="str">
        <f t="shared" si="112"/>
        <v>Fiche info CDD_ Avenant 1</v>
      </c>
      <c r="C527" s="27" t="s">
        <v>242</v>
      </c>
      <c r="D527" s="27">
        <v>1</v>
      </c>
      <c r="E527" s="16" t="s">
        <v>17</v>
      </c>
      <c r="F527" s="34" t="str">
        <f>+IF('Fiche info CDD_ Avenant 1'!$AR$7=0,"",'Fiche info CDD_ Avenant 1'!$AR$7)</f>
        <v/>
      </c>
      <c r="G527" s="16">
        <f t="shared" si="118"/>
        <v>0</v>
      </c>
      <c r="BX527" s="16" t="str">
        <f t="shared" si="119"/>
        <v>Fiche info CDD_ Avenant 1D1</v>
      </c>
      <c r="BY527" s="449">
        <f>'Fiche info CDD_ Avenant 1'!$AI$7</f>
        <v>0</v>
      </c>
      <c r="BZ527" s="449">
        <f>'Fiche info CDD_ Avenant 1'!$AJ$7</f>
        <v>0</v>
      </c>
      <c r="CA527" s="449">
        <f>'Fiche info CDD_ Avenant 1'!$AK$7</f>
        <v>0</v>
      </c>
      <c r="CB527" s="449">
        <f>'Fiche info CDD_ Avenant 1'!$AL$7</f>
        <v>0</v>
      </c>
      <c r="CC527" s="449">
        <f>'Fiche info CDD_ Avenant 1'!$AM$7</f>
        <v>0</v>
      </c>
      <c r="CD527" s="449">
        <f>'Fiche info CDD_ Avenant 1'!$AN$7</f>
        <v>0</v>
      </c>
      <c r="CE527" s="449">
        <f>'Fiche info CDD_ Avenant 1'!$AO$7</f>
        <v>0</v>
      </c>
      <c r="CF527" s="449">
        <f>'Fiche info CDD_ Avenant 1'!$AP$7</f>
        <v>0</v>
      </c>
      <c r="ED527" s="16" t="str">
        <f t="shared" si="111"/>
        <v>Fiche info CDD_ Avenant 1D</v>
      </c>
      <c r="EE527" s="16" t="str">
        <f t="shared" si="113"/>
        <v>Fiche info CDD_ Avenant 1</v>
      </c>
      <c r="EF527" s="16" t="str">
        <f t="shared" si="114"/>
        <v>D</v>
      </c>
      <c r="EG527" s="16">
        <f t="shared" si="115"/>
        <v>1</v>
      </c>
      <c r="EH527" s="16" t="str">
        <f t="shared" si="116"/>
        <v>Lundi</v>
      </c>
      <c r="EI527" s="16" t="str">
        <f t="shared" si="117"/>
        <v/>
      </c>
    </row>
    <row r="528" spans="1:139" x14ac:dyDescent="0.2">
      <c r="A528" s="16" t="str">
        <f t="shared" si="110"/>
        <v>Fiche info CDD_ Avenant 1D2</v>
      </c>
      <c r="B528" s="16" t="str">
        <f t="shared" si="112"/>
        <v>Fiche info CDD_ Avenant 1</v>
      </c>
      <c r="C528" s="27" t="s">
        <v>242</v>
      </c>
      <c r="D528" s="27">
        <v>2</v>
      </c>
      <c r="E528" s="16" t="s">
        <v>18</v>
      </c>
      <c r="F528" s="34" t="str">
        <f>IF(+'Fiche info CDD_ Avenant 1'!$AR$8=0,"",'Fiche info CDD_ Avenant 1'!$AR$8)</f>
        <v/>
      </c>
      <c r="G528" s="16">
        <f t="shared" si="118"/>
        <v>0</v>
      </c>
      <c r="BX528" s="16" t="str">
        <f t="shared" si="119"/>
        <v>Fiche info CDD_ Avenant 1D2</v>
      </c>
      <c r="BY528" s="449">
        <f>'Fiche info CDD_ Avenant 1'!$AI$8</f>
        <v>0</v>
      </c>
      <c r="BZ528" s="449">
        <f>'Fiche info CDD_ Avenant 1'!$AJ$8</f>
        <v>0</v>
      </c>
      <c r="CA528" s="449">
        <f>'Fiche info CDD_ Avenant 1'!$AK$8</f>
        <v>0</v>
      </c>
      <c r="CB528" s="449">
        <f>'Fiche info CDD_ Avenant 1'!$AL$8</f>
        <v>0</v>
      </c>
      <c r="CC528" s="449">
        <f>'Fiche info CDD_ Avenant 1'!$AM$8</f>
        <v>0</v>
      </c>
      <c r="CD528" s="449">
        <f>'Fiche info CDD_ Avenant 1'!$AN$8</f>
        <v>0</v>
      </c>
      <c r="CE528" s="449">
        <f>'Fiche info CDD_ Avenant 1'!$AO$8</f>
        <v>0</v>
      </c>
      <c r="CF528" s="449">
        <f>'Fiche info CDD_ Avenant 1'!$AP$8</f>
        <v>0</v>
      </c>
      <c r="ED528" s="16" t="str">
        <f t="shared" si="111"/>
        <v>Fiche info CDD_ Avenant 1D</v>
      </c>
      <c r="EE528" s="16" t="str">
        <f t="shared" si="113"/>
        <v>Fiche info CDD_ Avenant 1</v>
      </c>
      <c r="EF528" s="16" t="str">
        <f t="shared" si="114"/>
        <v>D</v>
      </c>
      <c r="EG528" s="16">
        <f t="shared" si="115"/>
        <v>2</v>
      </c>
      <c r="EH528" s="16" t="str">
        <f t="shared" si="116"/>
        <v>Mardi</v>
      </c>
      <c r="EI528" s="16" t="str">
        <f t="shared" si="117"/>
        <v/>
      </c>
    </row>
    <row r="529" spans="1:139" x14ac:dyDescent="0.2">
      <c r="A529" s="16" t="str">
        <f t="shared" si="110"/>
        <v>Fiche info CDD_ Avenant 1D3</v>
      </c>
      <c r="B529" s="16" t="str">
        <f t="shared" si="112"/>
        <v>Fiche info CDD_ Avenant 1</v>
      </c>
      <c r="C529" s="27" t="s">
        <v>242</v>
      </c>
      <c r="D529" s="27">
        <v>3</v>
      </c>
      <c r="E529" s="16" t="s">
        <v>19</v>
      </c>
      <c r="F529" s="34" t="str">
        <f>IF(+'Fiche info CDD_ Avenant 1'!$AR$9=0,"",'Fiche info CDD_ Avenant 1'!$AR$9)</f>
        <v/>
      </c>
      <c r="G529" s="16">
        <f t="shared" si="118"/>
        <v>0</v>
      </c>
      <c r="BX529" s="16" t="str">
        <f t="shared" si="119"/>
        <v>Fiche info CDD_ Avenant 1D3</v>
      </c>
      <c r="BY529" s="449">
        <f>'Fiche info CDD_ Avenant 1'!$AI$9</f>
        <v>0</v>
      </c>
      <c r="BZ529" s="449">
        <f>'Fiche info CDD_ Avenant 1'!$AJ$9</f>
        <v>0</v>
      </c>
      <c r="CA529" s="449">
        <f>'Fiche info CDD_ Avenant 1'!$AK$9</f>
        <v>0</v>
      </c>
      <c r="CB529" s="449">
        <f>'Fiche info CDD_ Avenant 1'!$AL$9</f>
        <v>0</v>
      </c>
      <c r="CC529" s="449">
        <f>'Fiche info CDD_ Avenant 1'!$AM$9</f>
        <v>0</v>
      </c>
      <c r="CD529" s="449">
        <f>'Fiche info CDD_ Avenant 1'!$AN$9</f>
        <v>0</v>
      </c>
      <c r="CE529" s="449">
        <f>'Fiche info CDD_ Avenant 1'!$AO$9</f>
        <v>0</v>
      </c>
      <c r="CF529" s="449">
        <f>'Fiche info CDD_ Avenant 1'!$AP$9</f>
        <v>0</v>
      </c>
      <c r="ED529" s="16" t="str">
        <f t="shared" si="111"/>
        <v>Fiche info CDD_ Avenant 1D</v>
      </c>
      <c r="EE529" s="16" t="str">
        <f t="shared" si="113"/>
        <v>Fiche info CDD_ Avenant 1</v>
      </c>
      <c r="EF529" s="16" t="str">
        <f t="shared" si="114"/>
        <v>D</v>
      </c>
      <c r="EG529" s="16">
        <f t="shared" si="115"/>
        <v>3</v>
      </c>
      <c r="EH529" s="16" t="str">
        <f t="shared" si="116"/>
        <v>Mercredi</v>
      </c>
      <c r="EI529" s="16" t="str">
        <f t="shared" si="117"/>
        <v/>
      </c>
    </row>
    <row r="530" spans="1:139" x14ac:dyDescent="0.2">
      <c r="A530" s="16" t="str">
        <f t="shared" si="110"/>
        <v>Fiche info CDD_ Avenant 1D4</v>
      </c>
      <c r="B530" s="16" t="str">
        <f t="shared" si="112"/>
        <v>Fiche info CDD_ Avenant 1</v>
      </c>
      <c r="C530" s="27" t="s">
        <v>242</v>
      </c>
      <c r="D530" s="27">
        <v>4</v>
      </c>
      <c r="E530" s="16" t="s">
        <v>20</v>
      </c>
      <c r="F530" s="34" t="str">
        <f>IF(+'Fiche info CDD_ Avenant 1'!$AR$10=0,"",'Fiche info CDD_ Avenant 1'!$AR$10)</f>
        <v/>
      </c>
      <c r="G530" s="16">
        <f t="shared" si="118"/>
        <v>0</v>
      </c>
      <c r="BX530" s="16" t="str">
        <f t="shared" si="119"/>
        <v>Fiche info CDD_ Avenant 1D4</v>
      </c>
      <c r="BY530" s="449">
        <f>'Fiche info CDD_ Avenant 1'!$AI$10</f>
        <v>0</v>
      </c>
      <c r="BZ530" s="449">
        <f>'Fiche info CDD_ Avenant 1'!$AJ$10</f>
        <v>0</v>
      </c>
      <c r="CA530" s="449">
        <f>'Fiche info CDD_ Avenant 1'!$AK$10</f>
        <v>0</v>
      </c>
      <c r="CB530" s="449">
        <f>'Fiche info CDD_ Avenant 1'!$AL$10</f>
        <v>0</v>
      </c>
      <c r="CC530" s="449">
        <f>'Fiche info CDD_ Avenant 1'!$AM$10</f>
        <v>0</v>
      </c>
      <c r="CD530" s="449">
        <f>'Fiche info CDD_ Avenant 1'!$AN$10</f>
        <v>0</v>
      </c>
      <c r="CE530" s="449">
        <f>'Fiche info CDD_ Avenant 1'!$AO$10</f>
        <v>0</v>
      </c>
      <c r="CF530" s="449">
        <f>'Fiche info CDD_ Avenant 1'!$AP$10</f>
        <v>0</v>
      </c>
      <c r="ED530" s="16" t="str">
        <f t="shared" si="111"/>
        <v>Fiche info CDD_ Avenant 1D</v>
      </c>
      <c r="EE530" s="16" t="str">
        <f t="shared" si="113"/>
        <v>Fiche info CDD_ Avenant 1</v>
      </c>
      <c r="EF530" s="16" t="str">
        <f t="shared" si="114"/>
        <v>D</v>
      </c>
      <c r="EG530" s="16">
        <f t="shared" si="115"/>
        <v>4</v>
      </c>
      <c r="EH530" s="16" t="str">
        <f t="shared" si="116"/>
        <v>Jeudi</v>
      </c>
      <c r="EI530" s="16" t="str">
        <f t="shared" si="117"/>
        <v/>
      </c>
    </row>
    <row r="531" spans="1:139" x14ac:dyDescent="0.2">
      <c r="A531" s="16" t="str">
        <f t="shared" si="110"/>
        <v>Fiche info CDD_ Avenant 1D5</v>
      </c>
      <c r="B531" s="16" t="str">
        <f t="shared" si="112"/>
        <v>Fiche info CDD_ Avenant 1</v>
      </c>
      <c r="C531" s="27" t="s">
        <v>242</v>
      </c>
      <c r="D531" s="27">
        <v>5</v>
      </c>
      <c r="E531" s="16" t="s">
        <v>21</v>
      </c>
      <c r="F531" s="34" t="str">
        <f>IF(+'Fiche info CDD_ Avenant 1'!$AR$11=0,"",'Fiche info CDD_ Avenant 1'!$AR$11)</f>
        <v/>
      </c>
      <c r="G531" s="16">
        <f t="shared" si="118"/>
        <v>0</v>
      </c>
      <c r="BX531" s="16" t="str">
        <f t="shared" si="119"/>
        <v>Fiche info CDD_ Avenant 1D5</v>
      </c>
      <c r="BY531" s="449">
        <f>'Fiche info CDD_ Avenant 1'!$AI$11</f>
        <v>0</v>
      </c>
      <c r="BZ531" s="449">
        <f>'Fiche info CDD_ Avenant 1'!$AJ$11</f>
        <v>0</v>
      </c>
      <c r="CA531" s="449">
        <f>'Fiche info CDD_ Avenant 1'!$AK$11</f>
        <v>0</v>
      </c>
      <c r="CB531" s="449">
        <f>'Fiche info CDD_ Avenant 1'!$AL$11</f>
        <v>0</v>
      </c>
      <c r="CC531" s="449">
        <f>'Fiche info CDD_ Avenant 1'!$AM$11</f>
        <v>0</v>
      </c>
      <c r="CD531" s="449">
        <f>'Fiche info CDD_ Avenant 1'!$AN$11</f>
        <v>0</v>
      </c>
      <c r="CE531" s="449">
        <f>'Fiche info CDD_ Avenant 1'!$AO$11</f>
        <v>0</v>
      </c>
      <c r="CF531" s="449">
        <f>'Fiche info CDD_ Avenant 1'!$AP$11</f>
        <v>0</v>
      </c>
      <c r="ED531" s="16" t="str">
        <f t="shared" si="111"/>
        <v>Fiche info CDD_ Avenant 1D</v>
      </c>
      <c r="EE531" s="16" t="str">
        <f t="shared" si="113"/>
        <v>Fiche info CDD_ Avenant 1</v>
      </c>
      <c r="EF531" s="16" t="str">
        <f t="shared" si="114"/>
        <v>D</v>
      </c>
      <c r="EG531" s="16">
        <f t="shared" si="115"/>
        <v>5</v>
      </c>
      <c r="EH531" s="16" t="str">
        <f t="shared" si="116"/>
        <v>Vendredi</v>
      </c>
      <c r="EI531" s="16" t="str">
        <f t="shared" si="117"/>
        <v/>
      </c>
    </row>
    <row r="532" spans="1:139" x14ac:dyDescent="0.2">
      <c r="A532" s="16" t="str">
        <f t="shared" si="110"/>
        <v>Fiche info CDD_ Avenant 1D6</v>
      </c>
      <c r="B532" s="16" t="str">
        <f t="shared" si="112"/>
        <v>Fiche info CDD_ Avenant 1</v>
      </c>
      <c r="C532" s="27" t="s">
        <v>242</v>
      </c>
      <c r="D532" s="27">
        <v>6</v>
      </c>
      <c r="E532" s="16" t="s">
        <v>193</v>
      </c>
      <c r="F532" s="34" t="str">
        <f>IF(+'Fiche info CDD_ Avenant 1'!$AR$12=0,"",'Fiche info CDD_ Avenant 1'!$AR$12)</f>
        <v/>
      </c>
      <c r="G532" s="16">
        <f t="shared" si="118"/>
        <v>0</v>
      </c>
      <c r="BX532" s="16" t="str">
        <f t="shared" si="119"/>
        <v>Fiche info CDD_ Avenant 1D6</v>
      </c>
      <c r="BY532" s="449">
        <f>'Fiche info CDD_ Avenant 1'!$AI$12</f>
        <v>0</v>
      </c>
      <c r="BZ532" s="449">
        <f>'Fiche info CDD_ Avenant 1'!$AJ$12</f>
        <v>0</v>
      </c>
      <c r="CA532" s="449">
        <f>'Fiche info CDD_ Avenant 1'!$AK$12</f>
        <v>0</v>
      </c>
      <c r="CB532" s="449">
        <f>'Fiche info CDD_ Avenant 1'!$AL$12</f>
        <v>0</v>
      </c>
      <c r="CC532" s="449">
        <f>'Fiche info CDD_ Avenant 1'!$AM$12</f>
        <v>0</v>
      </c>
      <c r="CD532" s="449">
        <f>'Fiche info CDD_ Avenant 1'!$AN$12</f>
        <v>0</v>
      </c>
      <c r="CE532" s="449">
        <f>'Fiche info CDD_ Avenant 1'!$AO$12</f>
        <v>0</v>
      </c>
      <c r="CF532" s="449">
        <f>'Fiche info CDD_ Avenant 1'!$AP$12</f>
        <v>0</v>
      </c>
      <c r="ED532" s="16" t="str">
        <f t="shared" si="111"/>
        <v>Fiche info CDD_ Avenant 1D</v>
      </c>
      <c r="EE532" s="16" t="str">
        <f t="shared" si="113"/>
        <v>Fiche info CDD_ Avenant 1</v>
      </c>
      <c r="EF532" s="16" t="str">
        <f t="shared" si="114"/>
        <v>D</v>
      </c>
      <c r="EG532" s="16">
        <f t="shared" si="115"/>
        <v>6</v>
      </c>
      <c r="EH532" s="16" t="str">
        <f t="shared" si="116"/>
        <v>Samedi</v>
      </c>
      <c r="EI532" s="16" t="str">
        <f t="shared" si="117"/>
        <v/>
      </c>
    </row>
    <row r="533" spans="1:139" x14ac:dyDescent="0.2">
      <c r="A533" s="16" t="str">
        <f t="shared" si="110"/>
        <v>Fiche info CDD_ Avenant 1D7</v>
      </c>
      <c r="B533" s="16" t="str">
        <f t="shared" si="112"/>
        <v>Fiche info CDD_ Avenant 1</v>
      </c>
      <c r="C533" s="27" t="s">
        <v>242</v>
      </c>
      <c r="D533" s="27">
        <v>7</v>
      </c>
      <c r="E533" s="16" t="s">
        <v>194</v>
      </c>
      <c r="F533" s="34" t="str">
        <f>IF(+'Fiche info CDD_ Avenant 1'!$AR$13=0,"",'Fiche info CDD_ Avenant 1'!$AR$13)</f>
        <v/>
      </c>
      <c r="G533" s="16">
        <f t="shared" si="118"/>
        <v>0</v>
      </c>
      <c r="BX533" s="16" t="str">
        <f t="shared" si="119"/>
        <v>Fiche info CDD_ Avenant 1D7</v>
      </c>
      <c r="BY533" s="449">
        <f>'Fiche info CDD_ Avenant 1'!$AI$13</f>
        <v>0</v>
      </c>
      <c r="BZ533" s="449">
        <f>'Fiche info CDD_ Avenant 1'!$AJ$13</f>
        <v>0</v>
      </c>
      <c r="CA533" s="449">
        <f>'Fiche info CDD_ Avenant 1'!$AK$13</f>
        <v>0</v>
      </c>
      <c r="CB533" s="449">
        <f>'Fiche info CDD_ Avenant 1'!$AL$13</f>
        <v>0</v>
      </c>
      <c r="CC533" s="449">
        <f>'Fiche info CDD_ Avenant 1'!$AM$13</f>
        <v>0</v>
      </c>
      <c r="CD533" s="449">
        <f>'Fiche info CDD_ Avenant 1'!$AN$13</f>
        <v>0</v>
      </c>
      <c r="CE533" s="449">
        <f>'Fiche info CDD_ Avenant 1'!$AO$13</f>
        <v>0</v>
      </c>
      <c r="CF533" s="449">
        <f>'Fiche info CDD_ Avenant 1'!$AP$13</f>
        <v>0</v>
      </c>
      <c r="ED533" s="16" t="str">
        <f t="shared" si="111"/>
        <v>Fiche info CDD_ Avenant 1D</v>
      </c>
      <c r="EE533" s="16" t="str">
        <f t="shared" si="113"/>
        <v>Fiche info CDD_ Avenant 1</v>
      </c>
      <c r="EF533" s="16" t="str">
        <f t="shared" si="114"/>
        <v>D</v>
      </c>
      <c r="EG533" s="16">
        <f t="shared" si="115"/>
        <v>7</v>
      </c>
      <c r="EH533" s="16" t="str">
        <f t="shared" si="116"/>
        <v>Dimanche</v>
      </c>
      <c r="EI533" s="16" t="str">
        <f t="shared" si="117"/>
        <v/>
      </c>
    </row>
    <row r="534" spans="1:139" x14ac:dyDescent="0.2">
      <c r="A534" s="16" t="str">
        <f t="shared" si="110"/>
        <v>Fiche info CDD_ Avenant 1E1</v>
      </c>
      <c r="B534" s="16" t="str">
        <f t="shared" si="112"/>
        <v>Fiche info CDD_ Avenant 1</v>
      </c>
      <c r="C534" s="27" t="s">
        <v>243</v>
      </c>
      <c r="D534" s="27">
        <v>1</v>
      </c>
      <c r="E534" s="16" t="s">
        <v>17</v>
      </c>
      <c r="F534" s="34" t="str">
        <f>IF(+'Fiche info CDD_ Avenant 1'!$BC$7=0,"",'Fiche info CDD_ Avenant 1'!$BC$7)</f>
        <v/>
      </c>
      <c r="G534" s="16">
        <f t="shared" si="118"/>
        <v>0</v>
      </c>
      <c r="BX534" s="16" t="str">
        <f t="shared" si="119"/>
        <v>Fiche info CDD_ Avenant 1E1</v>
      </c>
      <c r="BY534" s="449">
        <f>'Fiche info CDD_ Avenant 1'!$AT$7</f>
        <v>0</v>
      </c>
      <c r="BZ534" s="449">
        <f>'Fiche info CDD_ Avenant 1'!$AU$7</f>
        <v>0</v>
      </c>
      <c r="CA534" s="449">
        <f>'Fiche info CDD_ Avenant 1'!$AV$7</f>
        <v>0</v>
      </c>
      <c r="CB534" s="449">
        <f>'Fiche info CDD_ Avenant 1'!$AW$7</f>
        <v>0</v>
      </c>
      <c r="CC534" s="449">
        <f>'Fiche info CDD_ Avenant 1'!$AX$7</f>
        <v>0</v>
      </c>
      <c r="CD534" s="449">
        <f>'Fiche info CDD_ Avenant 1'!$AY$7</f>
        <v>0</v>
      </c>
      <c r="CE534" s="449">
        <f>'Fiche info CDD_ Avenant 1'!$AZ$7</f>
        <v>0</v>
      </c>
      <c r="CF534" s="449">
        <f>'Fiche info CDD_ Avenant 1'!$BA$7</f>
        <v>0</v>
      </c>
      <c r="ED534" s="16" t="str">
        <f t="shared" si="111"/>
        <v>Fiche info CDD_ Avenant 1E</v>
      </c>
      <c r="EE534" s="16" t="str">
        <f t="shared" si="113"/>
        <v>Fiche info CDD_ Avenant 1</v>
      </c>
      <c r="EF534" s="16" t="str">
        <f t="shared" si="114"/>
        <v>E</v>
      </c>
      <c r="EG534" s="16">
        <f t="shared" si="115"/>
        <v>1</v>
      </c>
      <c r="EH534" s="16" t="str">
        <f t="shared" si="116"/>
        <v>Lundi</v>
      </c>
      <c r="EI534" s="16" t="str">
        <f t="shared" si="117"/>
        <v/>
      </c>
    </row>
    <row r="535" spans="1:139" x14ac:dyDescent="0.2">
      <c r="A535" s="16" t="str">
        <f t="shared" si="110"/>
        <v>Fiche info CDD_ Avenant 1E2</v>
      </c>
      <c r="B535" s="16" t="str">
        <f t="shared" si="112"/>
        <v>Fiche info CDD_ Avenant 1</v>
      </c>
      <c r="C535" s="27" t="s">
        <v>243</v>
      </c>
      <c r="D535" s="27">
        <v>2</v>
      </c>
      <c r="E535" s="16" t="s">
        <v>18</v>
      </c>
      <c r="F535" s="34" t="str">
        <f>IF(+'Fiche info CDD_ Avenant 1'!$BC$8=0,"",'Fiche info CDD_ Avenant 1'!$BC$8)</f>
        <v/>
      </c>
      <c r="G535" s="16">
        <f t="shared" si="118"/>
        <v>0</v>
      </c>
      <c r="BX535" s="16" t="str">
        <f t="shared" si="119"/>
        <v>Fiche info CDD_ Avenant 1E2</v>
      </c>
      <c r="BY535" s="449">
        <f>'Fiche info CDD_ Avenant 1'!$AT$8</f>
        <v>0</v>
      </c>
      <c r="BZ535" s="449">
        <f>'Fiche info CDD_ Avenant 1'!$AU$8</f>
        <v>0</v>
      </c>
      <c r="CA535" s="449">
        <f>'Fiche info CDD_ Avenant 1'!$AV$8</f>
        <v>0</v>
      </c>
      <c r="CB535" s="449">
        <f>'Fiche info CDD_ Avenant 1'!$AW$8</f>
        <v>0</v>
      </c>
      <c r="CC535" s="449">
        <f>'Fiche info CDD_ Avenant 1'!$AX$8</f>
        <v>0</v>
      </c>
      <c r="CD535" s="449">
        <f>'Fiche info CDD_ Avenant 1'!$AY$8</f>
        <v>0</v>
      </c>
      <c r="CE535" s="449">
        <f>'Fiche info CDD_ Avenant 1'!$AZ$8</f>
        <v>0</v>
      </c>
      <c r="CF535" s="449">
        <f>'Fiche info CDD_ Avenant 1'!$BA$8</f>
        <v>0</v>
      </c>
      <c r="ED535" s="16" t="str">
        <f t="shared" si="111"/>
        <v>Fiche info CDD_ Avenant 1E</v>
      </c>
      <c r="EE535" s="16" t="str">
        <f t="shared" si="113"/>
        <v>Fiche info CDD_ Avenant 1</v>
      </c>
      <c r="EF535" s="16" t="str">
        <f t="shared" si="114"/>
        <v>E</v>
      </c>
      <c r="EG535" s="16">
        <f t="shared" si="115"/>
        <v>2</v>
      </c>
      <c r="EH535" s="16" t="str">
        <f t="shared" si="116"/>
        <v>Mardi</v>
      </c>
      <c r="EI535" s="16" t="str">
        <f t="shared" si="117"/>
        <v/>
      </c>
    </row>
    <row r="536" spans="1:139" x14ac:dyDescent="0.2">
      <c r="A536" s="16" t="str">
        <f t="shared" si="110"/>
        <v>Fiche info CDD_ Avenant 1E3</v>
      </c>
      <c r="B536" s="16" t="str">
        <f t="shared" si="112"/>
        <v>Fiche info CDD_ Avenant 1</v>
      </c>
      <c r="C536" s="27" t="s">
        <v>243</v>
      </c>
      <c r="D536" s="27">
        <v>3</v>
      </c>
      <c r="E536" s="16" t="s">
        <v>19</v>
      </c>
      <c r="F536" s="34" t="str">
        <f>IF(+'Fiche info CDD_ Avenant 1'!$BC$9=0,"",'Fiche info CDD_ Avenant 1'!$BC$9)</f>
        <v/>
      </c>
      <c r="G536" s="16">
        <f t="shared" si="118"/>
        <v>0</v>
      </c>
      <c r="BX536" s="16" t="str">
        <f t="shared" si="119"/>
        <v>Fiche info CDD_ Avenant 1E3</v>
      </c>
      <c r="BY536" s="449">
        <f>'Fiche info CDD_ Avenant 1'!$AT$9</f>
        <v>0</v>
      </c>
      <c r="BZ536" s="449">
        <f>'Fiche info CDD_ Avenant 1'!$AU$9</f>
        <v>0</v>
      </c>
      <c r="CA536" s="449">
        <f>'Fiche info CDD_ Avenant 1'!$AV$9</f>
        <v>0</v>
      </c>
      <c r="CB536" s="449">
        <f>'Fiche info CDD_ Avenant 1'!$AW$9</f>
        <v>0</v>
      </c>
      <c r="CC536" s="449">
        <f>'Fiche info CDD_ Avenant 1'!$AX$9</f>
        <v>0</v>
      </c>
      <c r="CD536" s="449">
        <f>'Fiche info CDD_ Avenant 1'!$AY$9</f>
        <v>0</v>
      </c>
      <c r="CE536" s="449">
        <f>'Fiche info CDD_ Avenant 1'!$AZ$9</f>
        <v>0</v>
      </c>
      <c r="CF536" s="449">
        <f>'Fiche info CDD_ Avenant 1'!$BA$9</f>
        <v>0</v>
      </c>
      <c r="ED536" s="16" t="str">
        <f t="shared" si="111"/>
        <v>Fiche info CDD_ Avenant 1E</v>
      </c>
      <c r="EE536" s="16" t="str">
        <f t="shared" si="113"/>
        <v>Fiche info CDD_ Avenant 1</v>
      </c>
      <c r="EF536" s="16" t="str">
        <f t="shared" si="114"/>
        <v>E</v>
      </c>
      <c r="EG536" s="16">
        <f t="shared" si="115"/>
        <v>3</v>
      </c>
      <c r="EH536" s="16" t="str">
        <f t="shared" si="116"/>
        <v>Mercredi</v>
      </c>
      <c r="EI536" s="16" t="str">
        <f t="shared" si="117"/>
        <v/>
      </c>
    </row>
    <row r="537" spans="1:139" x14ac:dyDescent="0.2">
      <c r="A537" s="16" t="str">
        <f t="shared" si="110"/>
        <v>Fiche info CDD_ Avenant 1E4</v>
      </c>
      <c r="B537" s="16" t="str">
        <f t="shared" si="112"/>
        <v>Fiche info CDD_ Avenant 1</v>
      </c>
      <c r="C537" s="27" t="s">
        <v>243</v>
      </c>
      <c r="D537" s="27">
        <v>4</v>
      </c>
      <c r="E537" s="16" t="s">
        <v>20</v>
      </c>
      <c r="F537" s="34" t="str">
        <f>IF(+'Fiche info CDD_ Avenant 1'!$BC$10=0,"",'Fiche info CDD_ Avenant 1'!$BC$10)</f>
        <v/>
      </c>
      <c r="G537" s="16">
        <f t="shared" si="118"/>
        <v>0</v>
      </c>
      <c r="BX537" s="16" t="str">
        <f t="shared" si="119"/>
        <v>Fiche info CDD_ Avenant 1E4</v>
      </c>
      <c r="BY537" s="449">
        <f>'Fiche info CDD_ Avenant 1'!$AT$10</f>
        <v>0</v>
      </c>
      <c r="BZ537" s="449">
        <f>'Fiche info CDD_ Avenant 1'!$AU$10</f>
        <v>0</v>
      </c>
      <c r="CA537" s="449">
        <f>'Fiche info CDD_ Avenant 1'!$AV$10</f>
        <v>0</v>
      </c>
      <c r="CB537" s="449">
        <f>'Fiche info CDD_ Avenant 1'!$AW$10</f>
        <v>0</v>
      </c>
      <c r="CC537" s="449">
        <f>'Fiche info CDD_ Avenant 1'!$AX$10</f>
        <v>0</v>
      </c>
      <c r="CD537" s="449">
        <f>'Fiche info CDD_ Avenant 1'!$AY$10</f>
        <v>0</v>
      </c>
      <c r="CE537" s="449">
        <f>'Fiche info CDD_ Avenant 1'!$AZ$10</f>
        <v>0</v>
      </c>
      <c r="CF537" s="449">
        <f>'Fiche info CDD_ Avenant 1'!$BA$10</f>
        <v>0</v>
      </c>
      <c r="ED537" s="16" t="str">
        <f t="shared" si="111"/>
        <v>Fiche info CDD_ Avenant 1E</v>
      </c>
      <c r="EE537" s="16" t="str">
        <f t="shared" si="113"/>
        <v>Fiche info CDD_ Avenant 1</v>
      </c>
      <c r="EF537" s="16" t="str">
        <f t="shared" si="114"/>
        <v>E</v>
      </c>
      <c r="EG537" s="16">
        <f t="shared" si="115"/>
        <v>4</v>
      </c>
      <c r="EH537" s="16" t="str">
        <f t="shared" si="116"/>
        <v>Jeudi</v>
      </c>
      <c r="EI537" s="16" t="str">
        <f t="shared" si="117"/>
        <v/>
      </c>
    </row>
    <row r="538" spans="1:139" x14ac:dyDescent="0.2">
      <c r="A538" s="16" t="str">
        <f t="shared" si="110"/>
        <v>Fiche info CDD_ Avenant 1E5</v>
      </c>
      <c r="B538" s="16" t="str">
        <f t="shared" si="112"/>
        <v>Fiche info CDD_ Avenant 1</v>
      </c>
      <c r="C538" s="27" t="s">
        <v>243</v>
      </c>
      <c r="D538" s="27">
        <v>5</v>
      </c>
      <c r="E538" s="16" t="s">
        <v>21</v>
      </c>
      <c r="F538" s="34" t="str">
        <f>IF(+'Fiche info CDD_ Avenant 1'!$BC$11=0,"",'Fiche info CDD_ Avenant 1'!$BC$11)</f>
        <v/>
      </c>
      <c r="G538" s="16">
        <f t="shared" si="118"/>
        <v>0</v>
      </c>
      <c r="BX538" s="16" t="str">
        <f t="shared" si="119"/>
        <v>Fiche info CDD_ Avenant 1E5</v>
      </c>
      <c r="BY538" s="449">
        <f>'Fiche info CDD_ Avenant 1'!$AT$11</f>
        <v>0</v>
      </c>
      <c r="BZ538" s="449">
        <f>'Fiche info CDD_ Avenant 1'!$AU$11</f>
        <v>0</v>
      </c>
      <c r="CA538" s="449">
        <f>'Fiche info CDD_ Avenant 1'!$AV$11</f>
        <v>0</v>
      </c>
      <c r="CB538" s="449">
        <f>'Fiche info CDD_ Avenant 1'!$AW$11</f>
        <v>0</v>
      </c>
      <c r="CC538" s="449">
        <f>'Fiche info CDD_ Avenant 1'!$AX$11</f>
        <v>0</v>
      </c>
      <c r="CD538" s="449">
        <f>'Fiche info CDD_ Avenant 1'!$AY$11</f>
        <v>0</v>
      </c>
      <c r="CE538" s="449">
        <f>'Fiche info CDD_ Avenant 1'!$AZ$11</f>
        <v>0</v>
      </c>
      <c r="CF538" s="449">
        <f>'Fiche info CDD_ Avenant 1'!$BA$11</f>
        <v>0</v>
      </c>
      <c r="ED538" s="16" t="str">
        <f t="shared" si="111"/>
        <v>Fiche info CDD_ Avenant 1E</v>
      </c>
      <c r="EE538" s="16" t="str">
        <f t="shared" si="113"/>
        <v>Fiche info CDD_ Avenant 1</v>
      </c>
      <c r="EF538" s="16" t="str">
        <f t="shared" si="114"/>
        <v>E</v>
      </c>
      <c r="EG538" s="16">
        <f t="shared" si="115"/>
        <v>5</v>
      </c>
      <c r="EH538" s="16" t="str">
        <f t="shared" si="116"/>
        <v>Vendredi</v>
      </c>
      <c r="EI538" s="16" t="str">
        <f t="shared" si="117"/>
        <v/>
      </c>
    </row>
    <row r="539" spans="1:139" x14ac:dyDescent="0.2">
      <c r="A539" s="16" t="str">
        <f t="shared" si="110"/>
        <v>Fiche info CDD_ Avenant 1E6</v>
      </c>
      <c r="B539" s="16" t="str">
        <f t="shared" si="112"/>
        <v>Fiche info CDD_ Avenant 1</v>
      </c>
      <c r="C539" s="27" t="s">
        <v>243</v>
      </c>
      <c r="D539" s="27">
        <v>6</v>
      </c>
      <c r="E539" s="16" t="s">
        <v>193</v>
      </c>
      <c r="F539" s="34" t="str">
        <f>IF(+'Fiche info CDD_ Avenant 1'!$BC$12=0,"",'Fiche info CDD_ Avenant 1'!$BC$12)</f>
        <v/>
      </c>
      <c r="G539" s="16">
        <f t="shared" si="118"/>
        <v>0</v>
      </c>
      <c r="BX539" s="16" t="str">
        <f t="shared" si="119"/>
        <v>Fiche info CDD_ Avenant 1E6</v>
      </c>
      <c r="BY539" s="449">
        <f>'Fiche info CDD_ Avenant 1'!$AT$12</f>
        <v>0</v>
      </c>
      <c r="BZ539" s="449">
        <f>'Fiche info CDD_ Avenant 1'!$AU$12</f>
        <v>0</v>
      </c>
      <c r="CA539" s="449">
        <f>'Fiche info CDD_ Avenant 1'!$AV$12</f>
        <v>0</v>
      </c>
      <c r="CB539" s="449">
        <f>'Fiche info CDD_ Avenant 1'!$AW$12</f>
        <v>0</v>
      </c>
      <c r="CC539" s="449">
        <f>'Fiche info CDD_ Avenant 1'!$AX$12</f>
        <v>0</v>
      </c>
      <c r="CD539" s="449">
        <f>'Fiche info CDD_ Avenant 1'!$AY$12</f>
        <v>0</v>
      </c>
      <c r="CE539" s="449">
        <f>'Fiche info CDD_ Avenant 1'!$AZ$12</f>
        <v>0</v>
      </c>
      <c r="CF539" s="449">
        <f>'Fiche info CDD_ Avenant 1'!$BA$12</f>
        <v>0</v>
      </c>
      <c r="ED539" s="16" t="str">
        <f t="shared" si="111"/>
        <v>Fiche info CDD_ Avenant 1E</v>
      </c>
      <c r="EE539" s="16" t="str">
        <f t="shared" si="113"/>
        <v>Fiche info CDD_ Avenant 1</v>
      </c>
      <c r="EF539" s="16" t="str">
        <f t="shared" si="114"/>
        <v>E</v>
      </c>
      <c r="EG539" s="16">
        <f t="shared" si="115"/>
        <v>6</v>
      </c>
      <c r="EH539" s="16" t="str">
        <f t="shared" si="116"/>
        <v>Samedi</v>
      </c>
      <c r="EI539" s="16" t="str">
        <f t="shared" si="117"/>
        <v/>
      </c>
    </row>
    <row r="540" spans="1:139" x14ac:dyDescent="0.2">
      <c r="A540" s="16" t="str">
        <f t="shared" si="110"/>
        <v>Fiche info CDD_ Avenant 1E7</v>
      </c>
      <c r="B540" s="16" t="str">
        <f t="shared" si="112"/>
        <v>Fiche info CDD_ Avenant 1</v>
      </c>
      <c r="C540" s="27" t="s">
        <v>243</v>
      </c>
      <c r="D540" s="27">
        <v>7</v>
      </c>
      <c r="E540" s="16" t="s">
        <v>194</v>
      </c>
      <c r="F540" s="34" t="str">
        <f>IF(+'Fiche info CDD_ Avenant 1'!$BC$13=0,"",'Fiche info CDD_ Avenant 1'!$BC$13)</f>
        <v/>
      </c>
      <c r="G540" s="16">
        <f t="shared" si="118"/>
        <v>0</v>
      </c>
      <c r="BX540" s="16" t="str">
        <f t="shared" si="119"/>
        <v>Fiche info CDD_ Avenant 1E7</v>
      </c>
      <c r="BY540" s="449">
        <f>'Fiche info CDD_ Avenant 1'!$AT$13</f>
        <v>0</v>
      </c>
      <c r="BZ540" s="449">
        <f>'Fiche info CDD_ Avenant 1'!$AU$13</f>
        <v>0</v>
      </c>
      <c r="CA540" s="449">
        <f>'Fiche info CDD_ Avenant 1'!$AV$13</f>
        <v>0</v>
      </c>
      <c r="CB540" s="449">
        <f>'Fiche info CDD_ Avenant 1'!$AW$13</f>
        <v>0</v>
      </c>
      <c r="CC540" s="449">
        <f>'Fiche info CDD_ Avenant 1'!$AX$13</f>
        <v>0</v>
      </c>
      <c r="CD540" s="449">
        <f>'Fiche info CDD_ Avenant 1'!$AY$13</f>
        <v>0</v>
      </c>
      <c r="CE540" s="449">
        <f>'Fiche info CDD_ Avenant 1'!$AZ$13</f>
        <v>0</v>
      </c>
      <c r="CF540" s="449">
        <f>'Fiche info CDD_ Avenant 1'!$BA$13</f>
        <v>0</v>
      </c>
      <c r="ED540" s="16" t="str">
        <f t="shared" si="111"/>
        <v>Fiche info CDD_ Avenant 1E</v>
      </c>
      <c r="EE540" s="16" t="str">
        <f t="shared" si="113"/>
        <v>Fiche info CDD_ Avenant 1</v>
      </c>
      <c r="EF540" s="16" t="str">
        <f t="shared" si="114"/>
        <v>E</v>
      </c>
      <c r="EG540" s="16">
        <f t="shared" si="115"/>
        <v>7</v>
      </c>
      <c r="EH540" s="16" t="str">
        <f t="shared" si="116"/>
        <v>Dimanche</v>
      </c>
      <c r="EI540" s="16" t="str">
        <f t="shared" si="117"/>
        <v/>
      </c>
    </row>
    <row r="541" spans="1:139" x14ac:dyDescent="0.2">
      <c r="A541" s="16" t="str">
        <f t="shared" si="110"/>
        <v>Fiche info CDD_ Avenant 1F1</v>
      </c>
      <c r="B541" s="16" t="str">
        <f t="shared" si="112"/>
        <v>Fiche info CDD_ Avenant 1</v>
      </c>
      <c r="C541" s="27" t="s">
        <v>244</v>
      </c>
      <c r="D541" s="27">
        <v>1</v>
      </c>
      <c r="E541" s="16" t="s">
        <v>17</v>
      </c>
      <c r="F541" s="34" t="str">
        <f>+IF('Fiche info CDD_ Avenant 1'!$BN$7=0,"",'Fiche info CDD_ Avenant 1'!$BN$7)</f>
        <v/>
      </c>
      <c r="G541" s="16">
        <f t="shared" si="118"/>
        <v>0</v>
      </c>
      <c r="BX541" s="16" t="str">
        <f t="shared" si="119"/>
        <v>Fiche info CDD_ Avenant 1F1</v>
      </c>
      <c r="BY541" s="449">
        <f>'Fiche info CDD_ Avenant 1'!$BE$7</f>
        <v>0</v>
      </c>
      <c r="BZ541" s="449">
        <f>'Fiche info CDD_ Avenant 1'!$BF$7</f>
        <v>0</v>
      </c>
      <c r="CA541" s="449">
        <f>'Fiche info CDD_ Avenant 1'!$BG$7</f>
        <v>0</v>
      </c>
      <c r="CB541" s="449">
        <f>'Fiche info CDD_ Avenant 1'!$BH$7</f>
        <v>0</v>
      </c>
      <c r="CC541" s="449">
        <f>'Fiche info CDD_ Avenant 1'!$BI$7</f>
        <v>0</v>
      </c>
      <c r="CD541" s="449">
        <f>'Fiche info CDD_ Avenant 1'!$BJ$7</f>
        <v>0</v>
      </c>
      <c r="CE541" s="449">
        <f>'Fiche info CDD_ Avenant 1'!$BK$7</f>
        <v>0</v>
      </c>
      <c r="CF541" s="449">
        <f>'Fiche info CDD_ Avenant 1'!$BL$7</f>
        <v>0</v>
      </c>
      <c r="ED541" s="16" t="str">
        <f t="shared" si="111"/>
        <v>Fiche info CDD_ Avenant 1F</v>
      </c>
      <c r="EE541" s="16" t="str">
        <f t="shared" si="113"/>
        <v>Fiche info CDD_ Avenant 1</v>
      </c>
      <c r="EF541" s="16" t="str">
        <f t="shared" si="114"/>
        <v>F</v>
      </c>
      <c r="EG541" s="16">
        <f t="shared" si="115"/>
        <v>1</v>
      </c>
      <c r="EH541" s="16" t="str">
        <f t="shared" si="116"/>
        <v>Lundi</v>
      </c>
      <c r="EI541" s="16" t="str">
        <f t="shared" si="117"/>
        <v/>
      </c>
    </row>
    <row r="542" spans="1:139" x14ac:dyDescent="0.2">
      <c r="A542" s="16" t="str">
        <f t="shared" si="110"/>
        <v>Fiche info CDD_ Avenant 1F2</v>
      </c>
      <c r="B542" s="16" t="str">
        <f t="shared" si="112"/>
        <v>Fiche info CDD_ Avenant 1</v>
      </c>
      <c r="C542" s="27" t="s">
        <v>244</v>
      </c>
      <c r="D542" s="27">
        <v>2</v>
      </c>
      <c r="E542" s="16" t="s">
        <v>18</v>
      </c>
      <c r="F542" s="34" t="str">
        <f>+IF('Fiche info CDD_ Avenant 1'!$BN$8=0,"",'Fiche info CDD_ Avenant 1'!$BN$8)</f>
        <v/>
      </c>
      <c r="G542" s="16">
        <f t="shared" si="118"/>
        <v>0</v>
      </c>
      <c r="BX542" s="16" t="str">
        <f t="shared" si="119"/>
        <v>Fiche info CDD_ Avenant 1F2</v>
      </c>
      <c r="BY542" s="449">
        <f>'Fiche info CDD_ Avenant 1'!$BE$8</f>
        <v>0</v>
      </c>
      <c r="BZ542" s="449">
        <f>'Fiche info CDD_ Avenant 1'!$BF$8</f>
        <v>0</v>
      </c>
      <c r="CA542" s="449">
        <f>'Fiche info CDD_ Avenant 1'!$BG$8</f>
        <v>0</v>
      </c>
      <c r="CB542" s="449">
        <f>'Fiche info CDD_ Avenant 1'!$BH$8</f>
        <v>0</v>
      </c>
      <c r="CC542" s="449">
        <f>'Fiche info CDD_ Avenant 1'!$BI$8</f>
        <v>0</v>
      </c>
      <c r="CD542" s="449">
        <f>'Fiche info CDD_ Avenant 1'!$BJ$8</f>
        <v>0</v>
      </c>
      <c r="CE542" s="449">
        <f>'Fiche info CDD_ Avenant 1'!$BK$8</f>
        <v>0</v>
      </c>
      <c r="CF542" s="449">
        <f>'Fiche info CDD_ Avenant 1'!$BL$8</f>
        <v>0</v>
      </c>
      <c r="ED542" s="16" t="str">
        <f t="shared" si="111"/>
        <v>Fiche info CDD_ Avenant 1F</v>
      </c>
      <c r="EE542" s="16" t="str">
        <f t="shared" si="113"/>
        <v>Fiche info CDD_ Avenant 1</v>
      </c>
      <c r="EF542" s="16" t="str">
        <f t="shared" si="114"/>
        <v>F</v>
      </c>
      <c r="EG542" s="16">
        <f t="shared" si="115"/>
        <v>2</v>
      </c>
      <c r="EH542" s="16" t="str">
        <f t="shared" si="116"/>
        <v>Mardi</v>
      </c>
      <c r="EI542" s="16" t="str">
        <f t="shared" si="117"/>
        <v/>
      </c>
    </row>
    <row r="543" spans="1:139" x14ac:dyDescent="0.2">
      <c r="A543" s="16" t="str">
        <f t="shared" si="110"/>
        <v>Fiche info CDD_ Avenant 1F3</v>
      </c>
      <c r="B543" s="16" t="str">
        <f t="shared" si="112"/>
        <v>Fiche info CDD_ Avenant 1</v>
      </c>
      <c r="C543" s="27" t="s">
        <v>244</v>
      </c>
      <c r="D543" s="27">
        <v>3</v>
      </c>
      <c r="E543" s="16" t="s">
        <v>19</v>
      </c>
      <c r="F543" s="34" t="str">
        <f>+IF('Fiche info CDD_ Avenant 1'!$BN$9=0,"",'Fiche info CDD_ Avenant 1'!$BN$9)</f>
        <v/>
      </c>
      <c r="G543" s="16">
        <f t="shared" si="118"/>
        <v>0</v>
      </c>
      <c r="BX543" s="16" t="str">
        <f t="shared" si="119"/>
        <v>Fiche info CDD_ Avenant 1F3</v>
      </c>
      <c r="BY543" s="449">
        <f>'Fiche info CDD_ Avenant 1'!$BE$9</f>
        <v>0</v>
      </c>
      <c r="BZ543" s="449">
        <f>'Fiche info CDD_ Avenant 1'!$BF$9</f>
        <v>0</v>
      </c>
      <c r="CA543" s="449">
        <f>'Fiche info CDD_ Avenant 1'!$BG$9</f>
        <v>0</v>
      </c>
      <c r="CB543" s="449">
        <f>'Fiche info CDD_ Avenant 1'!$BH$9</f>
        <v>0</v>
      </c>
      <c r="CC543" s="449">
        <f>'Fiche info CDD_ Avenant 1'!$BI$9</f>
        <v>0</v>
      </c>
      <c r="CD543" s="449">
        <f>'Fiche info CDD_ Avenant 1'!$BJ$9</f>
        <v>0</v>
      </c>
      <c r="CE543" s="449">
        <f>'Fiche info CDD_ Avenant 1'!$BK$9</f>
        <v>0</v>
      </c>
      <c r="CF543" s="449">
        <f>'Fiche info CDD_ Avenant 1'!$BL$9</f>
        <v>0</v>
      </c>
      <c r="ED543" s="16" t="str">
        <f t="shared" si="111"/>
        <v>Fiche info CDD_ Avenant 1F</v>
      </c>
      <c r="EE543" s="16" t="str">
        <f t="shared" si="113"/>
        <v>Fiche info CDD_ Avenant 1</v>
      </c>
      <c r="EF543" s="16" t="str">
        <f t="shared" si="114"/>
        <v>F</v>
      </c>
      <c r="EG543" s="16">
        <f t="shared" si="115"/>
        <v>3</v>
      </c>
      <c r="EH543" s="16" t="str">
        <f t="shared" si="116"/>
        <v>Mercredi</v>
      </c>
      <c r="EI543" s="16" t="str">
        <f t="shared" si="117"/>
        <v/>
      </c>
    </row>
    <row r="544" spans="1:139" x14ac:dyDescent="0.2">
      <c r="A544" s="16" t="str">
        <f t="shared" si="110"/>
        <v>Fiche info CDD_ Avenant 1F4</v>
      </c>
      <c r="B544" s="16" t="str">
        <f t="shared" si="112"/>
        <v>Fiche info CDD_ Avenant 1</v>
      </c>
      <c r="C544" s="27" t="s">
        <v>244</v>
      </c>
      <c r="D544" s="27">
        <v>4</v>
      </c>
      <c r="E544" s="16" t="s">
        <v>20</v>
      </c>
      <c r="F544" s="34" t="str">
        <f>+IF('Fiche info CDD_ Avenant 1'!$BN$10=0,"",'Fiche info CDD_ Avenant 1'!$BN$10)</f>
        <v/>
      </c>
      <c r="G544" s="16">
        <f t="shared" si="118"/>
        <v>0</v>
      </c>
      <c r="BX544" s="16" t="str">
        <f t="shared" si="119"/>
        <v>Fiche info CDD_ Avenant 1F4</v>
      </c>
      <c r="BY544" s="449">
        <f>'Fiche info CDD_ Avenant 1'!$BE$10</f>
        <v>0</v>
      </c>
      <c r="BZ544" s="449">
        <f>'Fiche info CDD_ Avenant 1'!$BF$10</f>
        <v>0</v>
      </c>
      <c r="CA544" s="449">
        <f>'Fiche info CDD_ Avenant 1'!$BG$10</f>
        <v>0</v>
      </c>
      <c r="CB544" s="449">
        <f>'Fiche info CDD_ Avenant 1'!$BH$10</f>
        <v>0</v>
      </c>
      <c r="CC544" s="449">
        <f>'Fiche info CDD_ Avenant 1'!$BI$10</f>
        <v>0</v>
      </c>
      <c r="CD544" s="449">
        <f>'Fiche info CDD_ Avenant 1'!$BJ$10</f>
        <v>0</v>
      </c>
      <c r="CE544" s="449">
        <f>'Fiche info CDD_ Avenant 1'!$BK$10</f>
        <v>0</v>
      </c>
      <c r="CF544" s="449">
        <f>'Fiche info CDD_ Avenant 1'!$BL$10</f>
        <v>0</v>
      </c>
      <c r="ED544" s="16" t="str">
        <f t="shared" si="111"/>
        <v>Fiche info CDD_ Avenant 1F</v>
      </c>
      <c r="EE544" s="16" t="str">
        <f t="shared" si="113"/>
        <v>Fiche info CDD_ Avenant 1</v>
      </c>
      <c r="EF544" s="16" t="str">
        <f t="shared" si="114"/>
        <v>F</v>
      </c>
      <c r="EG544" s="16">
        <f t="shared" si="115"/>
        <v>4</v>
      </c>
      <c r="EH544" s="16" t="str">
        <f t="shared" si="116"/>
        <v>Jeudi</v>
      </c>
      <c r="EI544" s="16" t="str">
        <f t="shared" si="117"/>
        <v/>
      </c>
    </row>
    <row r="545" spans="1:139" x14ac:dyDescent="0.2">
      <c r="A545" s="16" t="str">
        <f t="shared" si="110"/>
        <v>Fiche info CDD_ Avenant 1F5</v>
      </c>
      <c r="B545" s="16" t="str">
        <f t="shared" si="112"/>
        <v>Fiche info CDD_ Avenant 1</v>
      </c>
      <c r="C545" s="27" t="s">
        <v>244</v>
      </c>
      <c r="D545" s="27">
        <v>5</v>
      </c>
      <c r="E545" s="16" t="s">
        <v>21</v>
      </c>
      <c r="F545" s="34" t="str">
        <f>+IF('Fiche info CDD_ Avenant 1'!$BN$11=0,"",'Fiche info CDD_ Avenant 1'!$BN$11)</f>
        <v/>
      </c>
      <c r="G545" s="16">
        <f t="shared" si="118"/>
        <v>0</v>
      </c>
      <c r="BX545" s="16" t="str">
        <f t="shared" si="119"/>
        <v>Fiche info CDD_ Avenant 1F5</v>
      </c>
      <c r="BY545" s="449">
        <f>'Fiche info CDD_ Avenant 1'!$BE$11</f>
        <v>0</v>
      </c>
      <c r="BZ545" s="449">
        <f>'Fiche info CDD_ Avenant 1'!$BF$11</f>
        <v>0</v>
      </c>
      <c r="CA545" s="449">
        <f>'Fiche info CDD_ Avenant 1'!$BG$11</f>
        <v>0</v>
      </c>
      <c r="CB545" s="449">
        <f>'Fiche info CDD_ Avenant 1'!$BH$11</f>
        <v>0</v>
      </c>
      <c r="CC545" s="449">
        <f>'Fiche info CDD_ Avenant 1'!$BI$11</f>
        <v>0</v>
      </c>
      <c r="CD545" s="449">
        <f>'Fiche info CDD_ Avenant 1'!$BJ$11</f>
        <v>0</v>
      </c>
      <c r="CE545" s="449">
        <f>'Fiche info CDD_ Avenant 1'!$BK$11</f>
        <v>0</v>
      </c>
      <c r="CF545" s="449">
        <f>'Fiche info CDD_ Avenant 1'!$BL$11</f>
        <v>0</v>
      </c>
      <c r="ED545" s="16" t="str">
        <f t="shared" si="111"/>
        <v>Fiche info CDD_ Avenant 1F</v>
      </c>
      <c r="EE545" s="16" t="str">
        <f t="shared" si="113"/>
        <v>Fiche info CDD_ Avenant 1</v>
      </c>
      <c r="EF545" s="16" t="str">
        <f t="shared" si="114"/>
        <v>F</v>
      </c>
      <c r="EG545" s="16">
        <f t="shared" si="115"/>
        <v>5</v>
      </c>
      <c r="EH545" s="16" t="str">
        <f t="shared" si="116"/>
        <v>Vendredi</v>
      </c>
      <c r="EI545" s="16" t="str">
        <f t="shared" si="117"/>
        <v/>
      </c>
    </row>
    <row r="546" spans="1:139" x14ac:dyDescent="0.2">
      <c r="A546" s="16" t="str">
        <f t="shared" si="110"/>
        <v>Fiche info CDD_ Avenant 1F6</v>
      </c>
      <c r="B546" s="16" t="str">
        <f t="shared" si="112"/>
        <v>Fiche info CDD_ Avenant 1</v>
      </c>
      <c r="C546" s="27" t="s">
        <v>244</v>
      </c>
      <c r="D546" s="27">
        <v>6</v>
      </c>
      <c r="E546" s="16" t="s">
        <v>193</v>
      </c>
      <c r="F546" s="34" t="str">
        <f>+IF('Fiche info CDD_ Avenant 1'!$BN$12=0,"",'Fiche info CDD_ Avenant 1'!$BN$12)</f>
        <v/>
      </c>
      <c r="G546" s="16">
        <f t="shared" si="118"/>
        <v>0</v>
      </c>
      <c r="BX546" s="16" t="str">
        <f t="shared" si="119"/>
        <v>Fiche info CDD_ Avenant 1F6</v>
      </c>
      <c r="BY546" s="449">
        <f>'Fiche info CDD_ Avenant 1'!$BE$12</f>
        <v>0</v>
      </c>
      <c r="BZ546" s="449">
        <f>'Fiche info CDD_ Avenant 1'!$BF$12</f>
        <v>0</v>
      </c>
      <c r="CA546" s="449">
        <f>'Fiche info CDD_ Avenant 1'!$BG$12</f>
        <v>0</v>
      </c>
      <c r="CB546" s="449">
        <f>'Fiche info CDD_ Avenant 1'!$BH$12</f>
        <v>0</v>
      </c>
      <c r="CC546" s="449">
        <f>'Fiche info CDD_ Avenant 1'!$BI$12</f>
        <v>0</v>
      </c>
      <c r="CD546" s="449">
        <f>'Fiche info CDD_ Avenant 1'!$BJ$12</f>
        <v>0</v>
      </c>
      <c r="CE546" s="449">
        <f>'Fiche info CDD_ Avenant 1'!$BK$12</f>
        <v>0</v>
      </c>
      <c r="CF546" s="449">
        <f>'Fiche info CDD_ Avenant 1'!$BL$12</f>
        <v>0</v>
      </c>
      <c r="ED546" s="16" t="str">
        <f t="shared" si="111"/>
        <v>Fiche info CDD_ Avenant 1F</v>
      </c>
      <c r="EE546" s="16" t="str">
        <f t="shared" si="113"/>
        <v>Fiche info CDD_ Avenant 1</v>
      </c>
      <c r="EF546" s="16" t="str">
        <f t="shared" si="114"/>
        <v>F</v>
      </c>
      <c r="EG546" s="16">
        <f t="shared" si="115"/>
        <v>6</v>
      </c>
      <c r="EH546" s="16" t="str">
        <f t="shared" si="116"/>
        <v>Samedi</v>
      </c>
      <c r="EI546" s="16" t="str">
        <f t="shared" si="117"/>
        <v/>
      </c>
    </row>
    <row r="547" spans="1:139" x14ac:dyDescent="0.2">
      <c r="A547" s="16" t="str">
        <f t="shared" si="110"/>
        <v>Fiche info CDD_ Avenant 1F7</v>
      </c>
      <c r="B547" s="16" t="str">
        <f t="shared" si="112"/>
        <v>Fiche info CDD_ Avenant 1</v>
      </c>
      <c r="C547" s="27" t="s">
        <v>244</v>
      </c>
      <c r="D547" s="27">
        <v>7</v>
      </c>
      <c r="E547" s="16" t="s">
        <v>194</v>
      </c>
      <c r="F547" s="34" t="str">
        <f>+IF('Fiche info CDD_ Avenant 1'!$BN$13=0,"",'Fiche info CDD_ Avenant 1'!$BN$13)</f>
        <v/>
      </c>
      <c r="G547" s="16">
        <f t="shared" si="118"/>
        <v>0</v>
      </c>
      <c r="BX547" s="16" t="str">
        <f t="shared" si="119"/>
        <v>Fiche info CDD_ Avenant 1F7</v>
      </c>
      <c r="BY547" s="449">
        <f>'Fiche info CDD_ Avenant 1'!$BE$13</f>
        <v>0</v>
      </c>
      <c r="BZ547" s="449">
        <f>'Fiche info CDD_ Avenant 1'!$BF$13</f>
        <v>0</v>
      </c>
      <c r="CA547" s="449">
        <f>'Fiche info CDD_ Avenant 1'!$BG$13</f>
        <v>0</v>
      </c>
      <c r="CB547" s="449">
        <f>'Fiche info CDD_ Avenant 1'!$BH$13</f>
        <v>0</v>
      </c>
      <c r="CC547" s="449">
        <f>'Fiche info CDD_ Avenant 1'!$BI$13</f>
        <v>0</v>
      </c>
      <c r="CD547" s="449">
        <f>'Fiche info CDD_ Avenant 1'!$BJ$13</f>
        <v>0</v>
      </c>
      <c r="CE547" s="449">
        <f>'Fiche info CDD_ Avenant 1'!$BK$13</f>
        <v>0</v>
      </c>
      <c r="CF547" s="449">
        <f>'Fiche info CDD_ Avenant 1'!$BL$13</f>
        <v>0</v>
      </c>
      <c r="ED547" s="16" t="str">
        <f t="shared" si="111"/>
        <v>Fiche info CDD_ Avenant 1F</v>
      </c>
      <c r="EE547" s="16" t="str">
        <f t="shared" si="113"/>
        <v>Fiche info CDD_ Avenant 1</v>
      </c>
      <c r="EF547" s="16" t="str">
        <f t="shared" si="114"/>
        <v>F</v>
      </c>
      <c r="EG547" s="16">
        <f t="shared" si="115"/>
        <v>7</v>
      </c>
      <c r="EH547" s="16" t="str">
        <f t="shared" si="116"/>
        <v>Dimanche</v>
      </c>
      <c r="EI547" s="16" t="str">
        <f t="shared" si="117"/>
        <v/>
      </c>
    </row>
    <row r="548" spans="1:139" x14ac:dyDescent="0.2">
      <c r="A548" s="16" t="str">
        <f t="shared" si="110"/>
        <v>Fiche info CDD_ Avenant 1G1</v>
      </c>
      <c r="B548" s="16" t="str">
        <f t="shared" si="112"/>
        <v>Fiche info CDD_ Avenant 1</v>
      </c>
      <c r="C548" s="27" t="s">
        <v>245</v>
      </c>
      <c r="D548" s="27">
        <v>1</v>
      </c>
      <c r="E548" s="16" t="s">
        <v>17</v>
      </c>
      <c r="F548" s="34" t="str">
        <f>+IF('Fiche info CDD_ Avenant 1'!$BY$7=0,"",'Fiche info CDD_ Avenant 1'!$BY$7)</f>
        <v/>
      </c>
      <c r="G548" s="16">
        <f t="shared" si="118"/>
        <v>0</v>
      </c>
      <c r="BX548" s="16" t="str">
        <f t="shared" si="119"/>
        <v>Fiche info CDD_ Avenant 1G1</v>
      </c>
      <c r="BY548" s="449">
        <f>'Fiche info CDD_ Avenant 1'!$BP$7</f>
        <v>0</v>
      </c>
      <c r="BZ548" s="449">
        <f>'Fiche info CDD_ Avenant 1'!$BQ$7</f>
        <v>0</v>
      </c>
      <c r="CA548" s="449">
        <f>'Fiche info CDD_ Avenant 1'!$BR$7</f>
        <v>0</v>
      </c>
      <c r="CB548" s="449">
        <f>'Fiche info CDD_ Avenant 1'!$BS$7</f>
        <v>0</v>
      </c>
      <c r="CC548" s="449">
        <f>'Fiche info CDD_ Avenant 1'!$BT$7</f>
        <v>0</v>
      </c>
      <c r="CD548" s="449">
        <f>'Fiche info CDD_ Avenant 1'!$BU$7</f>
        <v>0</v>
      </c>
      <c r="CE548" s="449">
        <f>'Fiche info CDD_ Avenant 1'!$BV$7</f>
        <v>0</v>
      </c>
      <c r="CF548" s="449">
        <f>'Fiche info CDD_ Avenant 1'!$BW$7</f>
        <v>0</v>
      </c>
      <c r="ED548" s="16" t="str">
        <f t="shared" si="111"/>
        <v>Fiche info CDD_ Avenant 1G</v>
      </c>
      <c r="EE548" s="16" t="str">
        <f t="shared" si="113"/>
        <v>Fiche info CDD_ Avenant 1</v>
      </c>
      <c r="EF548" s="16" t="str">
        <f t="shared" si="114"/>
        <v>G</v>
      </c>
      <c r="EG548" s="16">
        <f t="shared" si="115"/>
        <v>1</v>
      </c>
      <c r="EH548" s="16" t="str">
        <f t="shared" si="116"/>
        <v>Lundi</v>
      </c>
      <c r="EI548" s="16" t="str">
        <f t="shared" si="117"/>
        <v/>
      </c>
    </row>
    <row r="549" spans="1:139" x14ac:dyDescent="0.2">
      <c r="A549" s="16" t="str">
        <f t="shared" si="110"/>
        <v>Fiche info CDD_ Avenant 1G2</v>
      </c>
      <c r="B549" s="16" t="str">
        <f t="shared" si="112"/>
        <v>Fiche info CDD_ Avenant 1</v>
      </c>
      <c r="C549" s="27" t="s">
        <v>245</v>
      </c>
      <c r="D549" s="27">
        <v>2</v>
      </c>
      <c r="E549" s="16" t="s">
        <v>18</v>
      </c>
      <c r="F549" s="34" t="str">
        <f>+IF('Fiche info CDD_ Avenant 1'!$BY$8=0,"",'Fiche info CDD_ Avenant 1'!$BY$8)</f>
        <v/>
      </c>
      <c r="G549" s="16">
        <f t="shared" si="118"/>
        <v>0</v>
      </c>
      <c r="BX549" s="16" t="str">
        <f t="shared" si="119"/>
        <v>Fiche info CDD_ Avenant 1G2</v>
      </c>
      <c r="BY549" s="449">
        <f>'Fiche info CDD_ Avenant 1'!$BP$8</f>
        <v>0</v>
      </c>
      <c r="BZ549" s="449">
        <f>'Fiche info CDD_ Avenant 1'!$BQ$8</f>
        <v>0</v>
      </c>
      <c r="CA549" s="449">
        <f>'Fiche info CDD_ Avenant 1'!$BR$8</f>
        <v>0</v>
      </c>
      <c r="CB549" s="449">
        <f>'Fiche info CDD_ Avenant 1'!$BS$8</f>
        <v>0</v>
      </c>
      <c r="CC549" s="449">
        <f>'Fiche info CDD_ Avenant 1'!$BT$8</f>
        <v>0</v>
      </c>
      <c r="CD549" s="449">
        <f>'Fiche info CDD_ Avenant 1'!$BU$8</f>
        <v>0</v>
      </c>
      <c r="CE549" s="449">
        <f>'Fiche info CDD_ Avenant 1'!$BV$8</f>
        <v>0</v>
      </c>
      <c r="CF549" s="449">
        <f>'Fiche info CDD_ Avenant 1'!$BW$8</f>
        <v>0</v>
      </c>
      <c r="ED549" s="16" t="str">
        <f t="shared" si="111"/>
        <v>Fiche info CDD_ Avenant 1G</v>
      </c>
      <c r="EE549" s="16" t="str">
        <f t="shared" si="113"/>
        <v>Fiche info CDD_ Avenant 1</v>
      </c>
      <c r="EF549" s="16" t="str">
        <f t="shared" si="114"/>
        <v>G</v>
      </c>
      <c r="EG549" s="16">
        <f t="shared" si="115"/>
        <v>2</v>
      </c>
      <c r="EH549" s="16" t="str">
        <f t="shared" si="116"/>
        <v>Mardi</v>
      </c>
      <c r="EI549" s="16" t="str">
        <f t="shared" si="117"/>
        <v/>
      </c>
    </row>
    <row r="550" spans="1:139" x14ac:dyDescent="0.2">
      <c r="A550" s="16" t="str">
        <f t="shared" si="110"/>
        <v>Fiche info CDD_ Avenant 1G3</v>
      </c>
      <c r="B550" s="16" t="str">
        <f t="shared" si="112"/>
        <v>Fiche info CDD_ Avenant 1</v>
      </c>
      <c r="C550" s="27" t="s">
        <v>245</v>
      </c>
      <c r="D550" s="27">
        <v>3</v>
      </c>
      <c r="E550" s="16" t="s">
        <v>19</v>
      </c>
      <c r="F550" s="34" t="str">
        <f>+IF('Fiche info CDD_ Avenant 1'!$BY$9=0,"",'Fiche info CDD_ Avenant 1'!$BY$9)</f>
        <v/>
      </c>
      <c r="G550" s="16">
        <f t="shared" si="118"/>
        <v>0</v>
      </c>
      <c r="BX550" s="16" t="str">
        <f t="shared" si="119"/>
        <v>Fiche info CDD_ Avenant 1G3</v>
      </c>
      <c r="BY550" s="449">
        <f>'Fiche info CDD_ Avenant 1'!$BP$9</f>
        <v>0</v>
      </c>
      <c r="BZ550" s="449">
        <f>'Fiche info CDD_ Avenant 1'!$BQ$9</f>
        <v>0</v>
      </c>
      <c r="CA550" s="449">
        <f>'Fiche info CDD_ Avenant 1'!$BR$9</f>
        <v>0</v>
      </c>
      <c r="CB550" s="449">
        <f>'Fiche info CDD_ Avenant 1'!$BS$9</f>
        <v>0</v>
      </c>
      <c r="CC550" s="449">
        <f>'Fiche info CDD_ Avenant 1'!$BT$9</f>
        <v>0</v>
      </c>
      <c r="CD550" s="449">
        <f>'Fiche info CDD_ Avenant 1'!$BU$9</f>
        <v>0</v>
      </c>
      <c r="CE550" s="449">
        <f>'Fiche info CDD_ Avenant 1'!$BV$9</f>
        <v>0</v>
      </c>
      <c r="CF550" s="449">
        <f>'Fiche info CDD_ Avenant 1'!$BW$9</f>
        <v>0</v>
      </c>
      <c r="ED550" s="16" t="str">
        <f t="shared" si="111"/>
        <v>Fiche info CDD_ Avenant 1G</v>
      </c>
      <c r="EE550" s="16" t="str">
        <f t="shared" si="113"/>
        <v>Fiche info CDD_ Avenant 1</v>
      </c>
      <c r="EF550" s="16" t="str">
        <f t="shared" si="114"/>
        <v>G</v>
      </c>
      <c r="EG550" s="16">
        <f t="shared" si="115"/>
        <v>3</v>
      </c>
      <c r="EH550" s="16" t="str">
        <f t="shared" si="116"/>
        <v>Mercredi</v>
      </c>
      <c r="EI550" s="16" t="str">
        <f t="shared" si="117"/>
        <v/>
      </c>
    </row>
    <row r="551" spans="1:139" x14ac:dyDescent="0.2">
      <c r="A551" s="16" t="str">
        <f t="shared" si="110"/>
        <v>Fiche info CDD_ Avenant 1G4</v>
      </c>
      <c r="B551" s="16" t="str">
        <f t="shared" si="112"/>
        <v>Fiche info CDD_ Avenant 1</v>
      </c>
      <c r="C551" s="27" t="s">
        <v>245</v>
      </c>
      <c r="D551" s="27">
        <v>4</v>
      </c>
      <c r="E551" s="16" t="s">
        <v>20</v>
      </c>
      <c r="F551" s="34" t="str">
        <f>+IF('Fiche info CDD_ Avenant 1'!$BY$10=0,"",'Fiche info CDD_ Avenant 1'!$BY$10)</f>
        <v/>
      </c>
      <c r="G551" s="16">
        <f t="shared" si="118"/>
        <v>0</v>
      </c>
      <c r="BX551" s="16" t="str">
        <f t="shared" si="119"/>
        <v>Fiche info CDD_ Avenant 1G4</v>
      </c>
      <c r="BY551" s="449">
        <f>'Fiche info CDD_ Avenant 1'!$BP$10</f>
        <v>0</v>
      </c>
      <c r="BZ551" s="449">
        <f>'Fiche info CDD_ Avenant 1'!$BQ$10</f>
        <v>0</v>
      </c>
      <c r="CA551" s="449">
        <f>'Fiche info CDD_ Avenant 1'!$BR$10</f>
        <v>0</v>
      </c>
      <c r="CB551" s="449">
        <f>'Fiche info CDD_ Avenant 1'!$BS$10</f>
        <v>0</v>
      </c>
      <c r="CC551" s="449">
        <f>'Fiche info CDD_ Avenant 1'!$BT$10</f>
        <v>0</v>
      </c>
      <c r="CD551" s="449">
        <f>'Fiche info CDD_ Avenant 1'!$BU$10</f>
        <v>0</v>
      </c>
      <c r="CE551" s="449">
        <f>'Fiche info CDD_ Avenant 1'!$BV$10</f>
        <v>0</v>
      </c>
      <c r="CF551" s="449">
        <f>'Fiche info CDD_ Avenant 1'!$BW$10</f>
        <v>0</v>
      </c>
      <c r="ED551" s="16" t="str">
        <f t="shared" si="111"/>
        <v>Fiche info CDD_ Avenant 1G</v>
      </c>
      <c r="EE551" s="16" t="str">
        <f t="shared" si="113"/>
        <v>Fiche info CDD_ Avenant 1</v>
      </c>
      <c r="EF551" s="16" t="str">
        <f t="shared" si="114"/>
        <v>G</v>
      </c>
      <c r="EG551" s="16">
        <f t="shared" si="115"/>
        <v>4</v>
      </c>
      <c r="EH551" s="16" t="str">
        <f t="shared" si="116"/>
        <v>Jeudi</v>
      </c>
      <c r="EI551" s="16" t="str">
        <f t="shared" si="117"/>
        <v/>
      </c>
    </row>
    <row r="552" spans="1:139" x14ac:dyDescent="0.2">
      <c r="A552" s="16" t="str">
        <f t="shared" si="110"/>
        <v>Fiche info CDD_ Avenant 1G5</v>
      </c>
      <c r="B552" s="16" t="str">
        <f t="shared" si="112"/>
        <v>Fiche info CDD_ Avenant 1</v>
      </c>
      <c r="C552" s="27" t="s">
        <v>245</v>
      </c>
      <c r="D552" s="27">
        <v>5</v>
      </c>
      <c r="E552" s="16" t="s">
        <v>21</v>
      </c>
      <c r="F552" s="34" t="str">
        <f>+IF('Fiche info CDD_ Avenant 1'!$BY$11=0,"",'Fiche info CDD_ Avenant 1'!$BY$11)</f>
        <v/>
      </c>
      <c r="G552" s="16">
        <f t="shared" si="118"/>
        <v>0</v>
      </c>
      <c r="BX552" s="16" t="str">
        <f t="shared" si="119"/>
        <v>Fiche info CDD_ Avenant 1G5</v>
      </c>
      <c r="BY552" s="449">
        <f>'Fiche info CDD_ Avenant 1'!$BP$11</f>
        <v>0</v>
      </c>
      <c r="BZ552" s="449">
        <f>'Fiche info CDD_ Avenant 1'!$BQ$11</f>
        <v>0</v>
      </c>
      <c r="CA552" s="449">
        <f>'Fiche info CDD_ Avenant 1'!$BR$11</f>
        <v>0</v>
      </c>
      <c r="CB552" s="449">
        <f>'Fiche info CDD_ Avenant 1'!$BS$11</f>
        <v>0</v>
      </c>
      <c r="CC552" s="449">
        <f>'Fiche info CDD_ Avenant 1'!$BT$11</f>
        <v>0</v>
      </c>
      <c r="CD552" s="449">
        <f>'Fiche info CDD_ Avenant 1'!$BU$11</f>
        <v>0</v>
      </c>
      <c r="CE552" s="449">
        <f>'Fiche info CDD_ Avenant 1'!$BV$11</f>
        <v>0</v>
      </c>
      <c r="CF552" s="449">
        <f>'Fiche info CDD_ Avenant 1'!$BW$11</f>
        <v>0</v>
      </c>
      <c r="ED552" s="16" t="str">
        <f t="shared" si="111"/>
        <v>Fiche info CDD_ Avenant 1G</v>
      </c>
      <c r="EE552" s="16" t="str">
        <f t="shared" si="113"/>
        <v>Fiche info CDD_ Avenant 1</v>
      </c>
      <c r="EF552" s="16" t="str">
        <f t="shared" si="114"/>
        <v>G</v>
      </c>
      <c r="EG552" s="16">
        <f t="shared" si="115"/>
        <v>5</v>
      </c>
      <c r="EH552" s="16" t="str">
        <f t="shared" si="116"/>
        <v>Vendredi</v>
      </c>
      <c r="EI552" s="16" t="str">
        <f t="shared" si="117"/>
        <v/>
      </c>
    </row>
    <row r="553" spans="1:139" x14ac:dyDescent="0.2">
      <c r="A553" s="16" t="str">
        <f t="shared" si="110"/>
        <v>Fiche info CDD_ Avenant 1G6</v>
      </c>
      <c r="B553" s="16" t="str">
        <f t="shared" si="112"/>
        <v>Fiche info CDD_ Avenant 1</v>
      </c>
      <c r="C553" s="27" t="s">
        <v>245</v>
      </c>
      <c r="D553" s="27">
        <v>6</v>
      </c>
      <c r="E553" s="16" t="s">
        <v>193</v>
      </c>
      <c r="F553" s="34" t="str">
        <f>+IF('Fiche info CDD_ Avenant 1'!$BY$12=0,"",'Fiche info CDD_ Avenant 1'!$BY$12)</f>
        <v/>
      </c>
      <c r="G553" s="16">
        <f t="shared" si="118"/>
        <v>0</v>
      </c>
      <c r="BX553" s="16" t="str">
        <f t="shared" si="119"/>
        <v>Fiche info CDD_ Avenant 1G6</v>
      </c>
      <c r="BY553" s="449">
        <f>'Fiche info CDD_ Avenant 1'!$BP$12</f>
        <v>0</v>
      </c>
      <c r="BZ553" s="449">
        <f>'Fiche info CDD_ Avenant 1'!$BQ$12</f>
        <v>0</v>
      </c>
      <c r="CA553" s="449">
        <f>'Fiche info CDD_ Avenant 1'!$BR$12</f>
        <v>0</v>
      </c>
      <c r="CB553" s="449">
        <f>'Fiche info CDD_ Avenant 1'!$BS$12</f>
        <v>0</v>
      </c>
      <c r="CC553" s="449">
        <f>'Fiche info CDD_ Avenant 1'!$BT$12</f>
        <v>0</v>
      </c>
      <c r="CD553" s="449">
        <f>'Fiche info CDD_ Avenant 1'!$BU$12</f>
        <v>0</v>
      </c>
      <c r="CE553" s="449">
        <f>'Fiche info CDD_ Avenant 1'!$BV$12</f>
        <v>0</v>
      </c>
      <c r="CF553" s="449">
        <f>'Fiche info CDD_ Avenant 1'!$BW$12</f>
        <v>0</v>
      </c>
      <c r="ED553" s="16" t="str">
        <f t="shared" si="111"/>
        <v>Fiche info CDD_ Avenant 1G</v>
      </c>
      <c r="EE553" s="16" t="str">
        <f t="shared" si="113"/>
        <v>Fiche info CDD_ Avenant 1</v>
      </c>
      <c r="EF553" s="16" t="str">
        <f t="shared" si="114"/>
        <v>G</v>
      </c>
      <c r="EG553" s="16">
        <f t="shared" si="115"/>
        <v>6</v>
      </c>
      <c r="EH553" s="16" t="str">
        <f t="shared" si="116"/>
        <v>Samedi</v>
      </c>
      <c r="EI553" s="16" t="str">
        <f t="shared" si="117"/>
        <v/>
      </c>
    </row>
    <row r="554" spans="1:139" x14ac:dyDescent="0.2">
      <c r="A554" s="16" t="str">
        <f t="shared" si="110"/>
        <v>Fiche info CDD_ Avenant 1G7</v>
      </c>
      <c r="B554" s="16" t="str">
        <f t="shared" si="112"/>
        <v>Fiche info CDD_ Avenant 1</v>
      </c>
      <c r="C554" s="27" t="s">
        <v>245</v>
      </c>
      <c r="D554" s="27">
        <v>7</v>
      </c>
      <c r="E554" s="16" t="s">
        <v>194</v>
      </c>
      <c r="F554" s="34" t="str">
        <f>+IF('Fiche info CDD_ Avenant 1'!$BY$13=0,"",'Fiche info CDD_ Avenant 1'!$BY$13)</f>
        <v/>
      </c>
      <c r="G554" s="16">
        <f t="shared" si="118"/>
        <v>0</v>
      </c>
      <c r="BX554" s="16" t="str">
        <f t="shared" si="119"/>
        <v>Fiche info CDD_ Avenant 1G7</v>
      </c>
      <c r="BY554" s="449">
        <f>'Fiche info CDD_ Avenant 1'!$BP$13</f>
        <v>0</v>
      </c>
      <c r="BZ554" s="449">
        <f>'Fiche info CDD_ Avenant 1'!$BQ$13</f>
        <v>0</v>
      </c>
      <c r="CA554" s="449">
        <f>'Fiche info CDD_ Avenant 1'!$BR$13</f>
        <v>0</v>
      </c>
      <c r="CB554" s="449">
        <f>'Fiche info CDD_ Avenant 1'!$BS$13</f>
        <v>0</v>
      </c>
      <c r="CC554" s="449">
        <f>'Fiche info CDD_ Avenant 1'!$BT$13</f>
        <v>0</v>
      </c>
      <c r="CD554" s="449">
        <f>'Fiche info CDD_ Avenant 1'!$BU$13</f>
        <v>0</v>
      </c>
      <c r="CE554" s="449">
        <f>'Fiche info CDD_ Avenant 1'!$BV$13</f>
        <v>0</v>
      </c>
      <c r="CF554" s="449">
        <f>'Fiche info CDD_ Avenant 1'!$BW$13</f>
        <v>0</v>
      </c>
      <c r="ED554" s="16" t="str">
        <f t="shared" si="111"/>
        <v>Fiche info CDD_ Avenant 1G</v>
      </c>
      <c r="EE554" s="16" t="str">
        <f t="shared" si="113"/>
        <v>Fiche info CDD_ Avenant 1</v>
      </c>
      <c r="EF554" s="16" t="str">
        <f t="shared" si="114"/>
        <v>G</v>
      </c>
      <c r="EG554" s="16">
        <f t="shared" si="115"/>
        <v>7</v>
      </c>
      <c r="EH554" s="16" t="str">
        <f t="shared" si="116"/>
        <v>Dimanche</v>
      </c>
      <c r="EI554" s="16" t="str">
        <f t="shared" si="117"/>
        <v/>
      </c>
    </row>
    <row r="555" spans="1:139" x14ac:dyDescent="0.2">
      <c r="A555" s="16" t="str">
        <f t="shared" ref="A555:A618" si="120">+B555&amp;C555&amp;D555</f>
        <v>Fiche info CDD_ Avenant 1H1</v>
      </c>
      <c r="B555" s="16" t="str">
        <f t="shared" si="112"/>
        <v>Fiche info CDD_ Avenant 1</v>
      </c>
      <c r="C555" s="27" t="s">
        <v>246</v>
      </c>
      <c r="D555" s="27">
        <v>1</v>
      </c>
      <c r="E555" s="16" t="s">
        <v>17</v>
      </c>
      <c r="F555" s="34" t="str">
        <f>+IF('Fiche info CDD_ Avenant 1'!$CJ$7=0,"",'Fiche info CDD_ Avenant 1'!$CJ$7)</f>
        <v/>
      </c>
      <c r="G555" s="16">
        <f t="shared" si="118"/>
        <v>0</v>
      </c>
      <c r="BX555" s="16" t="str">
        <f t="shared" si="119"/>
        <v>Fiche info CDD_ Avenant 1H1</v>
      </c>
      <c r="BY555" s="449">
        <f>'Fiche info CDD_ Avenant 1'!$CA$7</f>
        <v>0</v>
      </c>
      <c r="BZ555" s="449">
        <f>'Fiche info CDD_ Avenant 1'!$CB$7</f>
        <v>0</v>
      </c>
      <c r="CA555" s="449">
        <f>'Fiche info CDD_ Avenant 1'!$CC$7</f>
        <v>0</v>
      </c>
      <c r="CB555" s="449">
        <f>'Fiche info CDD_ Avenant 1'!$CD$7</f>
        <v>0</v>
      </c>
      <c r="CC555" s="449">
        <f>'Fiche info CDD_ Avenant 1'!$CE$7</f>
        <v>0</v>
      </c>
      <c r="CD555" s="449">
        <f>'Fiche info CDD_ Avenant 1'!$CF$7</f>
        <v>0</v>
      </c>
      <c r="CE555" s="449">
        <f>'Fiche info CDD_ Avenant 1'!$CG$7</f>
        <v>0</v>
      </c>
      <c r="CF555" s="449">
        <f>'Fiche info CDD_ Avenant 1'!$CH$7</f>
        <v>0</v>
      </c>
      <c r="ED555" s="16" t="str">
        <f t="shared" si="111"/>
        <v>Fiche info CDD_ Avenant 1H</v>
      </c>
      <c r="EE555" s="16" t="str">
        <f t="shared" si="113"/>
        <v>Fiche info CDD_ Avenant 1</v>
      </c>
      <c r="EF555" s="16" t="str">
        <f t="shared" si="114"/>
        <v>H</v>
      </c>
      <c r="EG555" s="16">
        <f t="shared" si="115"/>
        <v>1</v>
      </c>
      <c r="EH555" s="16" t="str">
        <f t="shared" si="116"/>
        <v>Lundi</v>
      </c>
      <c r="EI555" s="16" t="str">
        <f t="shared" si="117"/>
        <v/>
      </c>
    </row>
    <row r="556" spans="1:139" x14ac:dyDescent="0.2">
      <c r="A556" s="16" t="str">
        <f t="shared" si="120"/>
        <v>Fiche info CDD_ Avenant 1H2</v>
      </c>
      <c r="B556" s="16" t="str">
        <f t="shared" si="112"/>
        <v>Fiche info CDD_ Avenant 1</v>
      </c>
      <c r="C556" s="27" t="s">
        <v>246</v>
      </c>
      <c r="D556" s="27">
        <v>2</v>
      </c>
      <c r="E556" s="16" t="s">
        <v>18</v>
      </c>
      <c r="F556" s="34" t="str">
        <f>+IF('Fiche info CDD_ Avenant 1'!$CJ$8=0,"",'Fiche info CDD_ Avenant 1'!$CJ$8)</f>
        <v/>
      </c>
      <c r="G556" s="16">
        <f t="shared" si="118"/>
        <v>0</v>
      </c>
      <c r="BX556" s="16" t="str">
        <f t="shared" si="119"/>
        <v>Fiche info CDD_ Avenant 1H2</v>
      </c>
      <c r="BY556" s="449">
        <f>'Fiche info CDD_ Avenant 1'!$CA$8</f>
        <v>0</v>
      </c>
      <c r="BZ556" s="449">
        <f>'Fiche info CDD_ Avenant 1'!$CB$8</f>
        <v>0</v>
      </c>
      <c r="CA556" s="449">
        <f>'Fiche info CDD_ Avenant 1'!$CC$8</f>
        <v>0</v>
      </c>
      <c r="CB556" s="449">
        <f>'Fiche info CDD_ Avenant 1'!$CD$8</f>
        <v>0</v>
      </c>
      <c r="CC556" s="449">
        <f>'Fiche info CDD_ Avenant 1'!$CE$8</f>
        <v>0</v>
      </c>
      <c r="CD556" s="449">
        <f>'Fiche info CDD_ Avenant 1'!$CF$8</f>
        <v>0</v>
      </c>
      <c r="CE556" s="449">
        <f>'Fiche info CDD_ Avenant 1'!$CG$8</f>
        <v>0</v>
      </c>
      <c r="CF556" s="449">
        <f>'Fiche info CDD_ Avenant 1'!$CH$8</f>
        <v>0</v>
      </c>
      <c r="ED556" s="16" t="str">
        <f t="shared" si="111"/>
        <v>Fiche info CDD_ Avenant 1H</v>
      </c>
      <c r="EE556" s="16" t="str">
        <f t="shared" si="113"/>
        <v>Fiche info CDD_ Avenant 1</v>
      </c>
      <c r="EF556" s="16" t="str">
        <f t="shared" si="114"/>
        <v>H</v>
      </c>
      <c r="EG556" s="16">
        <f t="shared" si="115"/>
        <v>2</v>
      </c>
      <c r="EH556" s="16" t="str">
        <f t="shared" si="116"/>
        <v>Mardi</v>
      </c>
      <c r="EI556" s="16" t="str">
        <f t="shared" si="117"/>
        <v/>
      </c>
    </row>
    <row r="557" spans="1:139" x14ac:dyDescent="0.2">
      <c r="A557" s="16" t="str">
        <f t="shared" si="120"/>
        <v>Fiche info CDD_ Avenant 1H3</v>
      </c>
      <c r="B557" s="16" t="str">
        <f t="shared" si="112"/>
        <v>Fiche info CDD_ Avenant 1</v>
      </c>
      <c r="C557" s="27" t="s">
        <v>246</v>
      </c>
      <c r="D557" s="27">
        <v>3</v>
      </c>
      <c r="E557" s="16" t="s">
        <v>19</v>
      </c>
      <c r="F557" s="34" t="str">
        <f>+IF('Fiche info CDD_ Avenant 1'!$CJ$9=0,"",'Fiche info CDD_ Avenant 1'!$CJ$9)</f>
        <v/>
      </c>
      <c r="G557" s="16">
        <f t="shared" si="118"/>
        <v>0</v>
      </c>
      <c r="BX557" s="16" t="str">
        <f t="shared" si="119"/>
        <v>Fiche info CDD_ Avenant 1H3</v>
      </c>
      <c r="BY557" s="449">
        <f>'Fiche info CDD_ Avenant 1'!$CA$9</f>
        <v>0</v>
      </c>
      <c r="BZ557" s="449">
        <f>'Fiche info CDD_ Avenant 1'!$CB$9</f>
        <v>0</v>
      </c>
      <c r="CA557" s="449">
        <f>'Fiche info CDD_ Avenant 1'!$CC$9</f>
        <v>0</v>
      </c>
      <c r="CB557" s="449">
        <f>'Fiche info CDD_ Avenant 1'!$CD$9</f>
        <v>0</v>
      </c>
      <c r="CC557" s="449">
        <f>'Fiche info CDD_ Avenant 1'!$CE$9</f>
        <v>0</v>
      </c>
      <c r="CD557" s="449">
        <f>'Fiche info CDD_ Avenant 1'!$CF$9</f>
        <v>0</v>
      </c>
      <c r="CE557" s="449">
        <f>'Fiche info CDD_ Avenant 1'!$CG$9</f>
        <v>0</v>
      </c>
      <c r="CF557" s="449">
        <f>'Fiche info CDD_ Avenant 1'!$CH$9</f>
        <v>0</v>
      </c>
      <c r="ED557" s="16" t="str">
        <f t="shared" si="111"/>
        <v>Fiche info CDD_ Avenant 1H</v>
      </c>
      <c r="EE557" s="16" t="str">
        <f t="shared" si="113"/>
        <v>Fiche info CDD_ Avenant 1</v>
      </c>
      <c r="EF557" s="16" t="str">
        <f t="shared" si="114"/>
        <v>H</v>
      </c>
      <c r="EG557" s="16">
        <f t="shared" si="115"/>
        <v>3</v>
      </c>
      <c r="EH557" s="16" t="str">
        <f t="shared" si="116"/>
        <v>Mercredi</v>
      </c>
      <c r="EI557" s="16" t="str">
        <f t="shared" si="117"/>
        <v/>
      </c>
    </row>
    <row r="558" spans="1:139" x14ac:dyDescent="0.2">
      <c r="A558" s="16" t="str">
        <f t="shared" si="120"/>
        <v>Fiche info CDD_ Avenant 1H4</v>
      </c>
      <c r="B558" s="16" t="str">
        <f t="shared" si="112"/>
        <v>Fiche info CDD_ Avenant 1</v>
      </c>
      <c r="C558" s="27" t="s">
        <v>246</v>
      </c>
      <c r="D558" s="27">
        <v>4</v>
      </c>
      <c r="E558" s="16" t="s">
        <v>20</v>
      </c>
      <c r="F558" s="34" t="str">
        <f>+IF('Fiche info CDD_ Avenant 1'!$CJ$10=0,"",'Fiche info CDD_ Avenant 1'!$CJ$10)</f>
        <v/>
      </c>
      <c r="G558" s="16">
        <f t="shared" si="118"/>
        <v>0</v>
      </c>
      <c r="BX558" s="16" t="str">
        <f t="shared" si="119"/>
        <v>Fiche info CDD_ Avenant 1H4</v>
      </c>
      <c r="BY558" s="449">
        <f>'Fiche info CDD_ Avenant 1'!$CA$10</f>
        <v>0</v>
      </c>
      <c r="BZ558" s="449">
        <f>'Fiche info CDD_ Avenant 1'!$CB$10</f>
        <v>0</v>
      </c>
      <c r="CA558" s="449">
        <f>'Fiche info CDD_ Avenant 1'!$CC$10</f>
        <v>0</v>
      </c>
      <c r="CB558" s="449">
        <f>'Fiche info CDD_ Avenant 1'!$CD$10</f>
        <v>0</v>
      </c>
      <c r="CC558" s="449">
        <f>'Fiche info CDD_ Avenant 1'!$CE$10</f>
        <v>0</v>
      </c>
      <c r="CD558" s="449">
        <f>'Fiche info CDD_ Avenant 1'!$CF$10</f>
        <v>0</v>
      </c>
      <c r="CE558" s="449">
        <f>'Fiche info CDD_ Avenant 1'!$CG$10</f>
        <v>0</v>
      </c>
      <c r="CF558" s="449">
        <f>'Fiche info CDD_ Avenant 1'!$CH$10</f>
        <v>0</v>
      </c>
      <c r="ED558" s="16" t="str">
        <f t="shared" si="111"/>
        <v>Fiche info CDD_ Avenant 1H</v>
      </c>
      <c r="EE558" s="16" t="str">
        <f t="shared" si="113"/>
        <v>Fiche info CDD_ Avenant 1</v>
      </c>
      <c r="EF558" s="16" t="str">
        <f t="shared" si="114"/>
        <v>H</v>
      </c>
      <c r="EG558" s="16">
        <f t="shared" si="115"/>
        <v>4</v>
      </c>
      <c r="EH558" s="16" t="str">
        <f t="shared" si="116"/>
        <v>Jeudi</v>
      </c>
      <c r="EI558" s="16" t="str">
        <f t="shared" si="117"/>
        <v/>
      </c>
    </row>
    <row r="559" spans="1:139" x14ac:dyDescent="0.2">
      <c r="A559" s="16" t="str">
        <f t="shared" si="120"/>
        <v>Fiche info CDD_ Avenant 1H5</v>
      </c>
      <c r="B559" s="16" t="str">
        <f t="shared" si="112"/>
        <v>Fiche info CDD_ Avenant 1</v>
      </c>
      <c r="C559" s="27" t="s">
        <v>246</v>
      </c>
      <c r="D559" s="27">
        <v>5</v>
      </c>
      <c r="E559" s="16" t="s">
        <v>21</v>
      </c>
      <c r="F559" s="34" t="str">
        <f>+IF('Fiche info CDD_ Avenant 1'!$CJ$11=0,"",'Fiche info CDD_ Avenant 1'!$CJ$11)</f>
        <v/>
      </c>
      <c r="G559" s="16">
        <f t="shared" si="118"/>
        <v>0</v>
      </c>
      <c r="BX559" s="16" t="str">
        <f t="shared" si="119"/>
        <v>Fiche info CDD_ Avenant 1H5</v>
      </c>
      <c r="BY559" s="449">
        <f>'Fiche info CDD_ Avenant 1'!$CA$11</f>
        <v>0</v>
      </c>
      <c r="BZ559" s="449">
        <f>'Fiche info CDD_ Avenant 1'!$CB$11</f>
        <v>0</v>
      </c>
      <c r="CA559" s="449">
        <f>'Fiche info CDD_ Avenant 1'!$CC$11</f>
        <v>0</v>
      </c>
      <c r="CB559" s="449">
        <f>'Fiche info CDD_ Avenant 1'!$CD$11</f>
        <v>0</v>
      </c>
      <c r="CC559" s="449">
        <f>'Fiche info CDD_ Avenant 1'!$CE$11</f>
        <v>0</v>
      </c>
      <c r="CD559" s="449">
        <f>'Fiche info CDD_ Avenant 1'!$CF$11</f>
        <v>0</v>
      </c>
      <c r="CE559" s="449">
        <f>'Fiche info CDD_ Avenant 1'!$CG$11</f>
        <v>0</v>
      </c>
      <c r="CF559" s="449">
        <f>'Fiche info CDD_ Avenant 1'!$CH$11</f>
        <v>0</v>
      </c>
      <c r="ED559" s="16" t="str">
        <f t="shared" si="111"/>
        <v>Fiche info CDD_ Avenant 1H</v>
      </c>
      <c r="EE559" s="16" t="str">
        <f t="shared" si="113"/>
        <v>Fiche info CDD_ Avenant 1</v>
      </c>
      <c r="EF559" s="16" t="str">
        <f t="shared" si="114"/>
        <v>H</v>
      </c>
      <c r="EG559" s="16">
        <f t="shared" si="115"/>
        <v>5</v>
      </c>
      <c r="EH559" s="16" t="str">
        <f t="shared" si="116"/>
        <v>Vendredi</v>
      </c>
      <c r="EI559" s="16" t="str">
        <f t="shared" si="117"/>
        <v/>
      </c>
    </row>
    <row r="560" spans="1:139" x14ac:dyDescent="0.2">
      <c r="A560" s="16" t="str">
        <f t="shared" si="120"/>
        <v>Fiche info CDD_ Avenant 1H6</v>
      </c>
      <c r="B560" s="16" t="str">
        <f t="shared" si="112"/>
        <v>Fiche info CDD_ Avenant 1</v>
      </c>
      <c r="C560" s="27" t="s">
        <v>246</v>
      </c>
      <c r="D560" s="27">
        <v>6</v>
      </c>
      <c r="E560" s="16" t="s">
        <v>193</v>
      </c>
      <c r="F560" s="34" t="str">
        <f>+IF('Fiche info CDD_ Avenant 1'!$CJ$12=0,"",'Fiche info CDD_ Avenant 1'!$CJ$12)</f>
        <v/>
      </c>
      <c r="G560" s="16">
        <f t="shared" si="118"/>
        <v>0</v>
      </c>
      <c r="BX560" s="16" t="str">
        <f t="shared" si="119"/>
        <v>Fiche info CDD_ Avenant 1H6</v>
      </c>
      <c r="BY560" s="449">
        <f>'Fiche info CDD_ Avenant 1'!$CA$12</f>
        <v>0</v>
      </c>
      <c r="BZ560" s="449">
        <f>'Fiche info CDD_ Avenant 1'!$CB$12</f>
        <v>0</v>
      </c>
      <c r="CA560" s="449">
        <f>'Fiche info CDD_ Avenant 1'!$CC$12</f>
        <v>0</v>
      </c>
      <c r="CB560" s="449">
        <f>'Fiche info CDD_ Avenant 1'!$CD$12</f>
        <v>0</v>
      </c>
      <c r="CC560" s="449">
        <f>'Fiche info CDD_ Avenant 1'!$CE$12</f>
        <v>0</v>
      </c>
      <c r="CD560" s="449">
        <f>'Fiche info CDD_ Avenant 1'!$CF$12</f>
        <v>0</v>
      </c>
      <c r="CE560" s="449">
        <f>'Fiche info CDD_ Avenant 1'!$CG$12</f>
        <v>0</v>
      </c>
      <c r="CF560" s="449">
        <f>'Fiche info CDD_ Avenant 1'!$CH$12</f>
        <v>0</v>
      </c>
      <c r="ED560" s="16" t="str">
        <f t="shared" si="111"/>
        <v>Fiche info CDD_ Avenant 1H</v>
      </c>
      <c r="EE560" s="16" t="str">
        <f t="shared" si="113"/>
        <v>Fiche info CDD_ Avenant 1</v>
      </c>
      <c r="EF560" s="16" t="str">
        <f t="shared" si="114"/>
        <v>H</v>
      </c>
      <c r="EG560" s="16">
        <f t="shared" si="115"/>
        <v>6</v>
      </c>
      <c r="EH560" s="16" t="str">
        <f t="shared" si="116"/>
        <v>Samedi</v>
      </c>
      <c r="EI560" s="16" t="str">
        <f t="shared" si="117"/>
        <v/>
      </c>
    </row>
    <row r="561" spans="1:139" x14ac:dyDescent="0.2">
      <c r="A561" s="16" t="str">
        <f t="shared" si="120"/>
        <v>Fiche info CDD_ Avenant 1H7</v>
      </c>
      <c r="B561" s="16" t="str">
        <f t="shared" si="112"/>
        <v>Fiche info CDD_ Avenant 1</v>
      </c>
      <c r="C561" s="27" t="s">
        <v>246</v>
      </c>
      <c r="D561" s="27">
        <v>7</v>
      </c>
      <c r="E561" s="16" t="s">
        <v>194</v>
      </c>
      <c r="F561" s="34" t="str">
        <f>+IF('Fiche info CDD_ Avenant 1'!$CJ$13=0,"",'Fiche info CDD_ Avenant 1'!$CJ$13)</f>
        <v/>
      </c>
      <c r="G561" s="16">
        <f t="shared" si="118"/>
        <v>0</v>
      </c>
      <c r="BX561" s="16" t="str">
        <f t="shared" si="119"/>
        <v>Fiche info CDD_ Avenant 1H7</v>
      </c>
      <c r="BY561" s="449">
        <f>'Fiche info CDD_ Avenant 1'!$CA$13</f>
        <v>0</v>
      </c>
      <c r="BZ561" s="449">
        <f>'Fiche info CDD_ Avenant 1'!$CB$13</f>
        <v>0</v>
      </c>
      <c r="CA561" s="449">
        <f>'Fiche info CDD_ Avenant 1'!$CC$13</f>
        <v>0</v>
      </c>
      <c r="CB561" s="449">
        <f>'Fiche info CDD_ Avenant 1'!$CD$13</f>
        <v>0</v>
      </c>
      <c r="CC561" s="449">
        <f>'Fiche info CDD_ Avenant 1'!$CE$13</f>
        <v>0</v>
      </c>
      <c r="CD561" s="449">
        <f>'Fiche info CDD_ Avenant 1'!$CF$13</f>
        <v>0</v>
      </c>
      <c r="CE561" s="449">
        <f>'Fiche info CDD_ Avenant 1'!$CG$13</f>
        <v>0</v>
      </c>
      <c r="CF561" s="449">
        <f>'Fiche info CDD_ Avenant 1'!$CH$13</f>
        <v>0</v>
      </c>
      <c r="ED561" s="16" t="str">
        <f t="shared" si="111"/>
        <v>Fiche info CDD_ Avenant 1H</v>
      </c>
      <c r="EE561" s="16" t="str">
        <f t="shared" si="113"/>
        <v>Fiche info CDD_ Avenant 1</v>
      </c>
      <c r="EF561" s="16" t="str">
        <f t="shared" si="114"/>
        <v>H</v>
      </c>
      <c r="EG561" s="16">
        <f t="shared" si="115"/>
        <v>7</v>
      </c>
      <c r="EH561" s="16" t="str">
        <f t="shared" si="116"/>
        <v>Dimanche</v>
      </c>
      <c r="EI561" s="16" t="str">
        <f t="shared" si="117"/>
        <v/>
      </c>
    </row>
    <row r="562" spans="1:139" x14ac:dyDescent="0.2">
      <c r="A562" s="16" t="str">
        <f t="shared" si="120"/>
        <v>Fiche info CDD_ Avenant 2A1</v>
      </c>
      <c r="B562" s="16" t="str">
        <f>+$P$12</f>
        <v>Fiche info CDD_ Avenant 2</v>
      </c>
      <c r="C562" s="27" t="s">
        <v>235</v>
      </c>
      <c r="D562" s="27">
        <v>1</v>
      </c>
      <c r="E562" s="16" t="s">
        <v>17</v>
      </c>
      <c r="F562" s="34" t="str">
        <f>IF('Fiche info CDD_ Avenant 2'!$K$7=0,"",'Fiche info CDD_ Avenant 2'!$K$7)</f>
        <v/>
      </c>
      <c r="G562" s="16">
        <f t="shared" si="118"/>
        <v>0</v>
      </c>
      <c r="BX562" s="16" t="str">
        <f t="shared" si="119"/>
        <v>Fiche info CDD_ Avenant 2A1</v>
      </c>
      <c r="BY562" s="449">
        <f>'Fiche info CDD_ Avenant 2'!$B$7</f>
        <v>0</v>
      </c>
      <c r="BZ562" s="449">
        <f>'Fiche info CDD_ Avenant 2'!$C$7</f>
        <v>0</v>
      </c>
      <c r="CA562" s="449">
        <f>'Fiche info CDD_ Avenant 2'!$D$7</f>
        <v>0</v>
      </c>
      <c r="CB562" s="449">
        <f>'Fiche info CDD_ Avenant 2'!$E$7</f>
        <v>0</v>
      </c>
      <c r="CC562" s="449">
        <f>'Fiche info CDD_ Avenant 2'!$F$7</f>
        <v>0</v>
      </c>
      <c r="CD562" s="449">
        <f>'Fiche info CDD_ Avenant 2'!$G$7</f>
        <v>0</v>
      </c>
      <c r="CE562" s="449">
        <f>'Fiche info CDD_ Avenant 2'!$H$7</f>
        <v>0</v>
      </c>
      <c r="CF562" s="449">
        <f>'Fiche info CDD_ Avenant 2'!$I$7</f>
        <v>0</v>
      </c>
      <c r="ED562" s="16" t="str">
        <f t="shared" si="111"/>
        <v>Fiche info CDD_ Avenant 2A</v>
      </c>
      <c r="EE562" s="16" t="str">
        <f t="shared" si="113"/>
        <v>Fiche info CDD_ Avenant 2</v>
      </c>
      <c r="EF562" s="16" t="str">
        <f t="shared" si="114"/>
        <v>A</v>
      </c>
      <c r="EG562" s="16">
        <f t="shared" si="115"/>
        <v>1</v>
      </c>
      <c r="EH562" s="16" t="str">
        <f t="shared" si="116"/>
        <v>Lundi</v>
      </c>
      <c r="EI562" s="16" t="str">
        <f t="shared" si="117"/>
        <v/>
      </c>
    </row>
    <row r="563" spans="1:139" x14ac:dyDescent="0.2">
      <c r="A563" s="16" t="str">
        <f t="shared" si="120"/>
        <v>Fiche info CDD_ Avenant 2A2</v>
      </c>
      <c r="B563" s="16" t="str">
        <f t="shared" ref="B563:B617" si="121">+$P$12</f>
        <v>Fiche info CDD_ Avenant 2</v>
      </c>
      <c r="C563" s="27" t="s">
        <v>235</v>
      </c>
      <c r="D563" s="27">
        <v>2</v>
      </c>
      <c r="E563" s="16" t="s">
        <v>18</v>
      </c>
      <c r="F563" s="34" t="str">
        <f>IF('Fiche info CDD_ Avenant 2'!$K$8=0,"",'Fiche info CDD_ Avenant 2'!$K$8)</f>
        <v/>
      </c>
      <c r="G563" s="16">
        <f t="shared" si="118"/>
        <v>0</v>
      </c>
      <c r="BX563" s="16" t="str">
        <f t="shared" si="119"/>
        <v>Fiche info CDD_ Avenant 2A2</v>
      </c>
      <c r="BY563" s="449">
        <f>'Fiche info CDD_ Avenant 2'!$B$8</f>
        <v>0</v>
      </c>
      <c r="BZ563" s="449">
        <f>'Fiche info CDD_ Avenant 2'!$C$8</f>
        <v>0</v>
      </c>
      <c r="CA563" s="449">
        <f>'Fiche info CDD_ Avenant 2'!$D$8</f>
        <v>0</v>
      </c>
      <c r="CB563" s="449">
        <f>'Fiche info CDD_ Avenant 2'!$E$8</f>
        <v>0</v>
      </c>
      <c r="CC563" s="449">
        <f>'Fiche info CDD_ Avenant 2'!$F$8</f>
        <v>0</v>
      </c>
      <c r="CD563" s="449">
        <f>'Fiche info CDD_ Avenant 2'!$G$8</f>
        <v>0</v>
      </c>
      <c r="CE563" s="449">
        <f>'Fiche info CDD_ Avenant 2'!$H$8</f>
        <v>0</v>
      </c>
      <c r="CF563" s="449">
        <f>'Fiche info CDD_ Avenant 2'!$I$8</f>
        <v>0</v>
      </c>
      <c r="ED563" s="16" t="str">
        <f t="shared" ref="ED563:ED626" si="122">+EE563&amp;EF563</f>
        <v>Fiche info CDD_ Avenant 2A</v>
      </c>
      <c r="EE563" s="16" t="str">
        <f t="shared" si="113"/>
        <v>Fiche info CDD_ Avenant 2</v>
      </c>
      <c r="EF563" s="16" t="str">
        <f t="shared" si="114"/>
        <v>A</v>
      </c>
      <c r="EG563" s="16">
        <f t="shared" si="115"/>
        <v>2</v>
      </c>
      <c r="EH563" s="16" t="str">
        <f t="shared" si="116"/>
        <v>Mardi</v>
      </c>
      <c r="EI563" s="16" t="str">
        <f t="shared" si="117"/>
        <v/>
      </c>
    </row>
    <row r="564" spans="1:139" x14ac:dyDescent="0.2">
      <c r="A564" s="16" t="str">
        <f t="shared" si="120"/>
        <v>Fiche info CDD_ Avenant 2A3</v>
      </c>
      <c r="B564" s="16" t="str">
        <f t="shared" si="121"/>
        <v>Fiche info CDD_ Avenant 2</v>
      </c>
      <c r="C564" s="27" t="s">
        <v>235</v>
      </c>
      <c r="D564" s="27">
        <v>3</v>
      </c>
      <c r="E564" s="16" t="s">
        <v>19</v>
      </c>
      <c r="F564" s="34" t="str">
        <f>IF('Fiche info CDD_ Avenant 2'!$K$9=0,"",'Fiche info CDD_ Avenant 2'!$K$9)</f>
        <v/>
      </c>
      <c r="G564" s="16">
        <f t="shared" si="118"/>
        <v>0</v>
      </c>
      <c r="BX564" s="16" t="str">
        <f t="shared" si="119"/>
        <v>Fiche info CDD_ Avenant 2A3</v>
      </c>
      <c r="BY564" s="449">
        <f>'Fiche info CDD_ Avenant 2'!$B$9</f>
        <v>0</v>
      </c>
      <c r="BZ564" s="449">
        <f>'Fiche info CDD_ Avenant 2'!$C$9</f>
        <v>0</v>
      </c>
      <c r="CA564" s="449">
        <f>'Fiche info CDD_ Avenant 2'!$D$9</f>
        <v>0</v>
      </c>
      <c r="CB564" s="449">
        <f>'Fiche info CDD_ Avenant 2'!$E$9</f>
        <v>0</v>
      </c>
      <c r="CC564" s="449">
        <f>'Fiche info CDD_ Avenant 2'!$F$9</f>
        <v>0</v>
      </c>
      <c r="CD564" s="449">
        <f>'Fiche info CDD_ Avenant 2'!$G$9</f>
        <v>0</v>
      </c>
      <c r="CE564" s="449">
        <f>'Fiche info CDD_ Avenant 2'!$H$9</f>
        <v>0</v>
      </c>
      <c r="CF564" s="449">
        <f>'Fiche info CDD_ Avenant 2'!$I$9</f>
        <v>0</v>
      </c>
      <c r="ED564" s="16" t="str">
        <f t="shared" si="122"/>
        <v>Fiche info CDD_ Avenant 2A</v>
      </c>
      <c r="EE564" s="16" t="str">
        <f t="shared" si="113"/>
        <v>Fiche info CDD_ Avenant 2</v>
      </c>
      <c r="EF564" s="16" t="str">
        <f t="shared" si="114"/>
        <v>A</v>
      </c>
      <c r="EG564" s="16">
        <f t="shared" si="115"/>
        <v>3</v>
      </c>
      <c r="EH564" s="16" t="str">
        <f t="shared" si="116"/>
        <v>Mercredi</v>
      </c>
      <c r="EI564" s="16" t="str">
        <f t="shared" si="117"/>
        <v/>
      </c>
    </row>
    <row r="565" spans="1:139" x14ac:dyDescent="0.2">
      <c r="A565" s="16" t="str">
        <f t="shared" si="120"/>
        <v>Fiche info CDD_ Avenant 2A4</v>
      </c>
      <c r="B565" s="16" t="str">
        <f t="shared" si="121"/>
        <v>Fiche info CDD_ Avenant 2</v>
      </c>
      <c r="C565" s="27" t="s">
        <v>235</v>
      </c>
      <c r="D565" s="27">
        <v>4</v>
      </c>
      <c r="E565" s="16" t="s">
        <v>20</v>
      </c>
      <c r="F565" s="34" t="str">
        <f>IF('Fiche info CDD_ Avenant 2'!$K$10=0,"",'Fiche info CDD_ Avenant 2'!$K$10)</f>
        <v/>
      </c>
      <c r="G565" s="16">
        <f t="shared" si="118"/>
        <v>0</v>
      </c>
      <c r="BX565" s="16" t="str">
        <f t="shared" si="119"/>
        <v>Fiche info CDD_ Avenant 2A4</v>
      </c>
      <c r="BY565" s="449">
        <f>'Fiche info CDD_ Avenant 2'!$B$10</f>
        <v>0</v>
      </c>
      <c r="BZ565" s="449">
        <f>'Fiche info CDD_ Avenant 2'!$C$10</f>
        <v>0</v>
      </c>
      <c r="CA565" s="449">
        <f>'Fiche info CDD_ Avenant 2'!$D$10</f>
        <v>0</v>
      </c>
      <c r="CB565" s="449">
        <f>'Fiche info CDD_ Avenant 2'!$E$10</f>
        <v>0</v>
      </c>
      <c r="CC565" s="449">
        <f>'Fiche info CDD_ Avenant 2'!$F$10</f>
        <v>0</v>
      </c>
      <c r="CD565" s="449">
        <f>'Fiche info CDD_ Avenant 2'!$G$10</f>
        <v>0</v>
      </c>
      <c r="CE565" s="449">
        <f>'Fiche info CDD_ Avenant 2'!$H$10</f>
        <v>0</v>
      </c>
      <c r="CF565" s="449">
        <f>'Fiche info CDD_ Avenant 2'!$I$10</f>
        <v>0</v>
      </c>
      <c r="ED565" s="16" t="str">
        <f t="shared" si="122"/>
        <v>Fiche info CDD_ Avenant 2A</v>
      </c>
      <c r="EE565" s="16" t="str">
        <f t="shared" si="113"/>
        <v>Fiche info CDD_ Avenant 2</v>
      </c>
      <c r="EF565" s="16" t="str">
        <f t="shared" si="114"/>
        <v>A</v>
      </c>
      <c r="EG565" s="16">
        <f t="shared" si="115"/>
        <v>4</v>
      </c>
      <c r="EH565" s="16" t="str">
        <f t="shared" si="116"/>
        <v>Jeudi</v>
      </c>
      <c r="EI565" s="16" t="str">
        <f t="shared" si="117"/>
        <v/>
      </c>
    </row>
    <row r="566" spans="1:139" x14ac:dyDescent="0.2">
      <c r="A566" s="16" t="str">
        <f t="shared" si="120"/>
        <v>Fiche info CDD_ Avenant 2A5</v>
      </c>
      <c r="B566" s="16" t="str">
        <f t="shared" si="121"/>
        <v>Fiche info CDD_ Avenant 2</v>
      </c>
      <c r="C566" s="27" t="s">
        <v>235</v>
      </c>
      <c r="D566" s="27">
        <v>5</v>
      </c>
      <c r="E566" s="16" t="s">
        <v>21</v>
      </c>
      <c r="F566" s="34" t="str">
        <f>IF('Fiche info CDD_ Avenant 2'!$K$11=0,"",'Fiche info CDD_ Avenant 2'!$K$11)</f>
        <v/>
      </c>
      <c r="G566" s="16">
        <f t="shared" si="118"/>
        <v>0</v>
      </c>
      <c r="BX566" s="16" t="str">
        <f t="shared" si="119"/>
        <v>Fiche info CDD_ Avenant 2A5</v>
      </c>
      <c r="BY566" s="449">
        <f>'Fiche info CDD_ Avenant 2'!$B$11</f>
        <v>0</v>
      </c>
      <c r="BZ566" s="449">
        <f>'Fiche info CDD_ Avenant 2'!$C$11</f>
        <v>0</v>
      </c>
      <c r="CA566" s="449">
        <f>'Fiche info CDD_ Avenant 2'!$D$11</f>
        <v>0</v>
      </c>
      <c r="CB566" s="449">
        <f>'Fiche info CDD_ Avenant 2'!$E$11</f>
        <v>0</v>
      </c>
      <c r="CC566" s="449">
        <f>'Fiche info CDD_ Avenant 2'!$F$11</f>
        <v>0</v>
      </c>
      <c r="CD566" s="449">
        <f>'Fiche info CDD_ Avenant 2'!$G$11</f>
        <v>0</v>
      </c>
      <c r="CE566" s="449">
        <f>'Fiche info CDD_ Avenant 2'!$H$11</f>
        <v>0</v>
      </c>
      <c r="CF566" s="449">
        <f>'Fiche info CDD_ Avenant 2'!$I$11</f>
        <v>0</v>
      </c>
      <c r="ED566" s="16" t="str">
        <f t="shared" si="122"/>
        <v>Fiche info CDD_ Avenant 2A</v>
      </c>
      <c r="EE566" s="16" t="str">
        <f t="shared" si="113"/>
        <v>Fiche info CDD_ Avenant 2</v>
      </c>
      <c r="EF566" s="16" t="str">
        <f t="shared" si="114"/>
        <v>A</v>
      </c>
      <c r="EG566" s="16">
        <f t="shared" si="115"/>
        <v>5</v>
      </c>
      <c r="EH566" s="16" t="str">
        <f t="shared" si="116"/>
        <v>Vendredi</v>
      </c>
      <c r="EI566" s="16" t="str">
        <f t="shared" si="117"/>
        <v/>
      </c>
    </row>
    <row r="567" spans="1:139" x14ac:dyDescent="0.2">
      <c r="A567" s="16" t="str">
        <f t="shared" si="120"/>
        <v>Fiche info CDD_ Avenant 2A6</v>
      </c>
      <c r="B567" s="16" t="str">
        <f t="shared" si="121"/>
        <v>Fiche info CDD_ Avenant 2</v>
      </c>
      <c r="C567" s="27" t="s">
        <v>235</v>
      </c>
      <c r="D567" s="27">
        <v>6</v>
      </c>
      <c r="E567" s="16" t="s">
        <v>193</v>
      </c>
      <c r="F567" s="34" t="str">
        <f>IF('Fiche info CDD_ Avenant 2'!$K$12=0,"",'Fiche info CDD_ Avenant 2'!$K$12)</f>
        <v/>
      </c>
      <c r="G567" s="16">
        <f t="shared" si="118"/>
        <v>0</v>
      </c>
      <c r="BX567" s="16" t="str">
        <f t="shared" si="119"/>
        <v>Fiche info CDD_ Avenant 2A6</v>
      </c>
      <c r="BY567" s="449">
        <f>'Fiche info CDD_ Avenant 2'!$B$12</f>
        <v>0</v>
      </c>
      <c r="BZ567" s="449">
        <f>'Fiche info CDD_ Avenant 2'!$C$12</f>
        <v>0</v>
      </c>
      <c r="CA567" s="449">
        <f>'Fiche info CDD_ Avenant 2'!$D$12</f>
        <v>0</v>
      </c>
      <c r="CB567" s="449">
        <f>'Fiche info CDD_ Avenant 2'!$E$12</f>
        <v>0</v>
      </c>
      <c r="CC567" s="449">
        <f>'Fiche info CDD_ Avenant 2'!$F$12</f>
        <v>0</v>
      </c>
      <c r="CD567" s="449">
        <f>'Fiche info CDD_ Avenant 2'!$G$12</f>
        <v>0</v>
      </c>
      <c r="CE567" s="449">
        <f>'Fiche info CDD_ Avenant 2'!$H$12</f>
        <v>0</v>
      </c>
      <c r="CF567" s="449">
        <f>'Fiche info CDD_ Avenant 2'!$I$12</f>
        <v>0</v>
      </c>
      <c r="ED567" s="16" t="str">
        <f t="shared" si="122"/>
        <v>Fiche info CDD_ Avenant 2A</v>
      </c>
      <c r="EE567" s="16" t="str">
        <f t="shared" si="113"/>
        <v>Fiche info CDD_ Avenant 2</v>
      </c>
      <c r="EF567" s="16" t="str">
        <f t="shared" si="114"/>
        <v>A</v>
      </c>
      <c r="EG567" s="16">
        <f t="shared" si="115"/>
        <v>6</v>
      </c>
      <c r="EH567" s="16" t="str">
        <f t="shared" si="116"/>
        <v>Samedi</v>
      </c>
      <c r="EI567" s="16" t="str">
        <f t="shared" si="117"/>
        <v/>
      </c>
    </row>
    <row r="568" spans="1:139" x14ac:dyDescent="0.2">
      <c r="A568" s="16" t="str">
        <f t="shared" si="120"/>
        <v>Fiche info CDD_ Avenant 2A7</v>
      </c>
      <c r="B568" s="16" t="str">
        <f t="shared" si="121"/>
        <v>Fiche info CDD_ Avenant 2</v>
      </c>
      <c r="C568" s="27" t="s">
        <v>235</v>
      </c>
      <c r="D568" s="27">
        <v>7</v>
      </c>
      <c r="E568" s="16" t="s">
        <v>194</v>
      </c>
      <c r="F568" s="34" t="str">
        <f>IF('Fiche info CDD_ Avenant 2'!$K$13=0,"",'Fiche info CDD_ Avenant 2'!$K$13)</f>
        <v/>
      </c>
      <c r="G568" s="16">
        <f t="shared" si="118"/>
        <v>0</v>
      </c>
      <c r="BX568" s="16" t="str">
        <f t="shared" si="119"/>
        <v>Fiche info CDD_ Avenant 2A7</v>
      </c>
      <c r="BY568" s="449">
        <f>'Fiche info CDD_ Avenant 2'!$B$13</f>
        <v>0</v>
      </c>
      <c r="BZ568" s="449">
        <f>'Fiche info CDD_ Avenant 2'!$C$13</f>
        <v>0</v>
      </c>
      <c r="CA568" s="449">
        <f>'Fiche info CDD_ Avenant 2'!$D$13</f>
        <v>0</v>
      </c>
      <c r="CB568" s="449">
        <f>'Fiche info CDD_ Avenant 2'!$E$13</f>
        <v>0</v>
      </c>
      <c r="CC568" s="449">
        <f>'Fiche info CDD_ Avenant 2'!$F$13</f>
        <v>0</v>
      </c>
      <c r="CD568" s="449">
        <f>'Fiche info CDD_ Avenant 2'!$G$13</f>
        <v>0</v>
      </c>
      <c r="CE568" s="449">
        <f>'Fiche info CDD_ Avenant 2'!$H$13</f>
        <v>0</v>
      </c>
      <c r="CF568" s="449">
        <f>'Fiche info CDD_ Avenant 2'!$I$13</f>
        <v>0</v>
      </c>
      <c r="ED568" s="16" t="str">
        <f t="shared" si="122"/>
        <v>Fiche info CDD_ Avenant 2A</v>
      </c>
      <c r="EE568" s="16" t="str">
        <f t="shared" si="113"/>
        <v>Fiche info CDD_ Avenant 2</v>
      </c>
      <c r="EF568" s="16" t="str">
        <f t="shared" si="114"/>
        <v>A</v>
      </c>
      <c r="EG568" s="16">
        <f t="shared" si="115"/>
        <v>7</v>
      </c>
      <c r="EH568" s="16" t="str">
        <f t="shared" si="116"/>
        <v>Dimanche</v>
      </c>
      <c r="EI568" s="16" t="str">
        <f t="shared" si="117"/>
        <v/>
      </c>
    </row>
    <row r="569" spans="1:139" x14ac:dyDescent="0.2">
      <c r="A569" s="16" t="str">
        <f t="shared" si="120"/>
        <v>Fiche info CDD_ Avenant 2B1</v>
      </c>
      <c r="B569" s="16" t="str">
        <f t="shared" si="121"/>
        <v>Fiche info CDD_ Avenant 2</v>
      </c>
      <c r="C569" s="27" t="s">
        <v>236</v>
      </c>
      <c r="D569" s="27">
        <v>1</v>
      </c>
      <c r="E569" s="16" t="s">
        <v>17</v>
      </c>
      <c r="F569" s="34" t="str">
        <f>+IF('Fiche info CDD_ Avenant 2'!$V$7=0,"",'Fiche info CDD_ Avenant 2'!$V$7)</f>
        <v/>
      </c>
      <c r="G569" s="16">
        <f t="shared" si="118"/>
        <v>0</v>
      </c>
      <c r="BX569" s="16" t="str">
        <f t="shared" si="119"/>
        <v>Fiche info CDD_ Avenant 2B1</v>
      </c>
      <c r="BY569" s="449">
        <f>'Fiche info CDD_ Avenant 2'!$M$7</f>
        <v>0</v>
      </c>
      <c r="BZ569" s="449">
        <f>'Fiche info CDD_ Avenant 2'!$N$7</f>
        <v>0</v>
      </c>
      <c r="CA569" s="449">
        <f>'Fiche info CDD_ Avenant 2'!$O$7</f>
        <v>0</v>
      </c>
      <c r="CB569" s="449">
        <f>'Fiche info CDD_ Avenant 2'!$P$7</f>
        <v>0</v>
      </c>
      <c r="CC569" s="449">
        <f>'Fiche info CDD_ Avenant 2'!$Q$7</f>
        <v>0</v>
      </c>
      <c r="CD569" s="449">
        <f>'Fiche info CDD_ Avenant 2'!$R$7</f>
        <v>0</v>
      </c>
      <c r="CE569" s="449">
        <f>'Fiche info CDD_ Avenant 2'!$S$7</f>
        <v>0</v>
      </c>
      <c r="CF569" s="449">
        <f>'Fiche info CDD_ Avenant 2'!$T$7</f>
        <v>0</v>
      </c>
      <c r="ED569" s="16" t="str">
        <f t="shared" si="122"/>
        <v>Fiche info CDD_ Avenant 2B</v>
      </c>
      <c r="EE569" s="16" t="str">
        <f t="shared" si="113"/>
        <v>Fiche info CDD_ Avenant 2</v>
      </c>
      <c r="EF569" s="16" t="str">
        <f t="shared" si="114"/>
        <v>B</v>
      </c>
      <c r="EG569" s="16">
        <f t="shared" si="115"/>
        <v>1</v>
      </c>
      <c r="EH569" s="16" t="str">
        <f t="shared" si="116"/>
        <v>Lundi</v>
      </c>
      <c r="EI569" s="16" t="str">
        <f t="shared" si="117"/>
        <v/>
      </c>
    </row>
    <row r="570" spans="1:139" x14ac:dyDescent="0.2">
      <c r="A570" s="16" t="str">
        <f t="shared" si="120"/>
        <v>Fiche info CDD_ Avenant 2B2</v>
      </c>
      <c r="B570" s="16" t="str">
        <f t="shared" si="121"/>
        <v>Fiche info CDD_ Avenant 2</v>
      </c>
      <c r="C570" s="27" t="s">
        <v>236</v>
      </c>
      <c r="D570" s="27">
        <v>2</v>
      </c>
      <c r="E570" s="16" t="s">
        <v>18</v>
      </c>
      <c r="F570" s="34" t="str">
        <f>+IF('Fiche info CDD_ Avenant 2'!$V$8=0,"",'Fiche info CDD_ Avenant 2'!$V$8)</f>
        <v/>
      </c>
      <c r="G570" s="16">
        <f t="shared" si="118"/>
        <v>0</v>
      </c>
      <c r="BX570" s="16" t="str">
        <f t="shared" si="119"/>
        <v>Fiche info CDD_ Avenant 2B2</v>
      </c>
      <c r="BY570" s="449">
        <f>'Fiche info CDD_ Avenant 2'!$M$8</f>
        <v>0</v>
      </c>
      <c r="BZ570" s="449">
        <f>'Fiche info CDD_ Avenant 2'!$N$8</f>
        <v>0</v>
      </c>
      <c r="CA570" s="449">
        <f>'Fiche info CDD_ Avenant 2'!$O$8</f>
        <v>0</v>
      </c>
      <c r="CB570" s="449">
        <f>'Fiche info CDD_ Avenant 2'!$P$8</f>
        <v>0</v>
      </c>
      <c r="CC570" s="449">
        <f>'Fiche info CDD_ Avenant 2'!$Q$8</f>
        <v>0</v>
      </c>
      <c r="CD570" s="449">
        <f>'Fiche info CDD_ Avenant 2'!$R$8</f>
        <v>0</v>
      </c>
      <c r="CE570" s="449">
        <f>'Fiche info CDD_ Avenant 2'!$S$8</f>
        <v>0</v>
      </c>
      <c r="CF570" s="449">
        <f>'Fiche info CDD_ Avenant 2'!$T$8</f>
        <v>0</v>
      </c>
      <c r="ED570" s="16" t="str">
        <f t="shared" si="122"/>
        <v>Fiche info CDD_ Avenant 2B</v>
      </c>
      <c r="EE570" s="16" t="str">
        <f t="shared" si="113"/>
        <v>Fiche info CDD_ Avenant 2</v>
      </c>
      <c r="EF570" s="16" t="str">
        <f t="shared" si="114"/>
        <v>B</v>
      </c>
      <c r="EG570" s="16">
        <f t="shared" si="115"/>
        <v>2</v>
      </c>
      <c r="EH570" s="16" t="str">
        <f t="shared" si="116"/>
        <v>Mardi</v>
      </c>
      <c r="EI570" s="16" t="str">
        <f t="shared" si="117"/>
        <v/>
      </c>
    </row>
    <row r="571" spans="1:139" x14ac:dyDescent="0.2">
      <c r="A571" s="16" t="str">
        <f t="shared" si="120"/>
        <v>Fiche info CDD_ Avenant 2B3</v>
      </c>
      <c r="B571" s="16" t="str">
        <f t="shared" si="121"/>
        <v>Fiche info CDD_ Avenant 2</v>
      </c>
      <c r="C571" s="27" t="s">
        <v>236</v>
      </c>
      <c r="D571" s="27">
        <v>3</v>
      </c>
      <c r="E571" s="16" t="s">
        <v>19</v>
      </c>
      <c r="F571" s="34" t="str">
        <f>+IF('Fiche info CDD_ Avenant 2'!$V$9=0,"",'Fiche info CDD_ Avenant 2'!$V$9)</f>
        <v/>
      </c>
      <c r="G571" s="16">
        <f t="shared" si="118"/>
        <v>0</v>
      </c>
      <c r="BX571" s="16" t="str">
        <f t="shared" si="119"/>
        <v>Fiche info CDD_ Avenant 2B3</v>
      </c>
      <c r="BY571" s="449">
        <f>'Fiche info CDD_ Avenant 2'!$M$9</f>
        <v>0</v>
      </c>
      <c r="BZ571" s="449">
        <f>'Fiche info CDD_ Avenant 2'!$N$9</f>
        <v>0</v>
      </c>
      <c r="CA571" s="449">
        <f>'Fiche info CDD_ Avenant 2'!$O$9</f>
        <v>0</v>
      </c>
      <c r="CB571" s="449">
        <f>'Fiche info CDD_ Avenant 2'!$P$9</f>
        <v>0</v>
      </c>
      <c r="CC571" s="449">
        <f>'Fiche info CDD_ Avenant 2'!$Q$9</f>
        <v>0</v>
      </c>
      <c r="CD571" s="449">
        <f>'Fiche info CDD_ Avenant 2'!$R$9</f>
        <v>0</v>
      </c>
      <c r="CE571" s="449">
        <f>'Fiche info CDD_ Avenant 2'!$S$9</f>
        <v>0</v>
      </c>
      <c r="CF571" s="449">
        <f>'Fiche info CDD_ Avenant 2'!$T$9</f>
        <v>0</v>
      </c>
      <c r="ED571" s="16" t="str">
        <f t="shared" si="122"/>
        <v>Fiche info CDD_ Avenant 2B</v>
      </c>
      <c r="EE571" s="16" t="str">
        <f t="shared" si="113"/>
        <v>Fiche info CDD_ Avenant 2</v>
      </c>
      <c r="EF571" s="16" t="str">
        <f t="shared" si="114"/>
        <v>B</v>
      </c>
      <c r="EG571" s="16">
        <f t="shared" si="115"/>
        <v>3</v>
      </c>
      <c r="EH571" s="16" t="str">
        <f t="shared" si="116"/>
        <v>Mercredi</v>
      </c>
      <c r="EI571" s="16" t="str">
        <f t="shared" si="117"/>
        <v/>
      </c>
    </row>
    <row r="572" spans="1:139" x14ac:dyDescent="0.2">
      <c r="A572" s="16" t="str">
        <f t="shared" si="120"/>
        <v>Fiche info CDD_ Avenant 2B4</v>
      </c>
      <c r="B572" s="16" t="str">
        <f t="shared" si="121"/>
        <v>Fiche info CDD_ Avenant 2</v>
      </c>
      <c r="C572" s="27" t="s">
        <v>236</v>
      </c>
      <c r="D572" s="27">
        <v>4</v>
      </c>
      <c r="E572" s="16" t="s">
        <v>20</v>
      </c>
      <c r="F572" s="34" t="str">
        <f>+IF('Fiche info CDD_ Avenant 2'!$V$10=0,"",'Fiche info CDD_ Avenant 2'!$V$10)</f>
        <v/>
      </c>
      <c r="G572" s="16">
        <f t="shared" si="118"/>
        <v>0</v>
      </c>
      <c r="BX572" s="16" t="str">
        <f t="shared" si="119"/>
        <v>Fiche info CDD_ Avenant 2B4</v>
      </c>
      <c r="BY572" s="449">
        <f>'Fiche info CDD_ Avenant 2'!$M$10</f>
        <v>0</v>
      </c>
      <c r="BZ572" s="449">
        <f>'Fiche info CDD_ Avenant 2'!$N$10</f>
        <v>0</v>
      </c>
      <c r="CA572" s="449">
        <f>'Fiche info CDD_ Avenant 2'!$O$10</f>
        <v>0</v>
      </c>
      <c r="CB572" s="449">
        <f>'Fiche info CDD_ Avenant 2'!$P$10</f>
        <v>0</v>
      </c>
      <c r="CC572" s="449">
        <f>'Fiche info CDD_ Avenant 2'!$Q$10</f>
        <v>0</v>
      </c>
      <c r="CD572" s="449">
        <f>'Fiche info CDD_ Avenant 2'!$R$10</f>
        <v>0</v>
      </c>
      <c r="CE572" s="449">
        <f>'Fiche info CDD_ Avenant 2'!$S$10</f>
        <v>0</v>
      </c>
      <c r="CF572" s="449">
        <f>'Fiche info CDD_ Avenant 2'!$T$10</f>
        <v>0</v>
      </c>
      <c r="ED572" s="16" t="str">
        <f t="shared" si="122"/>
        <v>Fiche info CDD_ Avenant 2B</v>
      </c>
      <c r="EE572" s="16" t="str">
        <f t="shared" si="113"/>
        <v>Fiche info CDD_ Avenant 2</v>
      </c>
      <c r="EF572" s="16" t="str">
        <f t="shared" si="114"/>
        <v>B</v>
      </c>
      <c r="EG572" s="16">
        <f t="shared" si="115"/>
        <v>4</v>
      </c>
      <c r="EH572" s="16" t="str">
        <f t="shared" si="116"/>
        <v>Jeudi</v>
      </c>
      <c r="EI572" s="16" t="str">
        <f t="shared" si="117"/>
        <v/>
      </c>
    </row>
    <row r="573" spans="1:139" x14ac:dyDescent="0.2">
      <c r="A573" s="16" t="str">
        <f t="shared" si="120"/>
        <v>Fiche info CDD_ Avenant 2B5</v>
      </c>
      <c r="B573" s="16" t="str">
        <f t="shared" si="121"/>
        <v>Fiche info CDD_ Avenant 2</v>
      </c>
      <c r="C573" s="27" t="s">
        <v>236</v>
      </c>
      <c r="D573" s="27">
        <v>5</v>
      </c>
      <c r="E573" s="16" t="s">
        <v>21</v>
      </c>
      <c r="F573" s="34" t="str">
        <f>+IF('Fiche info CDD_ Avenant 2'!$V$11=0,"",'Fiche info CDD_ Avenant 2'!$V$11)</f>
        <v/>
      </c>
      <c r="G573" s="16">
        <f t="shared" si="118"/>
        <v>0</v>
      </c>
      <c r="BX573" s="16" t="str">
        <f t="shared" si="119"/>
        <v>Fiche info CDD_ Avenant 2B5</v>
      </c>
      <c r="BY573" s="449">
        <f>'Fiche info CDD_ Avenant 2'!$M$11</f>
        <v>0</v>
      </c>
      <c r="BZ573" s="449">
        <f>'Fiche info CDD_ Avenant 2'!$N$11</f>
        <v>0</v>
      </c>
      <c r="CA573" s="449">
        <f>'Fiche info CDD_ Avenant 2'!$O$11</f>
        <v>0</v>
      </c>
      <c r="CB573" s="449">
        <f>'Fiche info CDD_ Avenant 2'!$P$11</f>
        <v>0</v>
      </c>
      <c r="CC573" s="449">
        <f>'Fiche info CDD_ Avenant 2'!$Q$11</f>
        <v>0</v>
      </c>
      <c r="CD573" s="449">
        <f>'Fiche info CDD_ Avenant 2'!$R$11</f>
        <v>0</v>
      </c>
      <c r="CE573" s="449">
        <f>'Fiche info CDD_ Avenant 2'!$S$11</f>
        <v>0</v>
      </c>
      <c r="CF573" s="449">
        <f>'Fiche info CDD_ Avenant 2'!$T$11</f>
        <v>0</v>
      </c>
      <c r="ED573" s="16" t="str">
        <f t="shared" si="122"/>
        <v>Fiche info CDD_ Avenant 2B</v>
      </c>
      <c r="EE573" s="16" t="str">
        <f t="shared" si="113"/>
        <v>Fiche info CDD_ Avenant 2</v>
      </c>
      <c r="EF573" s="16" t="str">
        <f t="shared" si="114"/>
        <v>B</v>
      </c>
      <c r="EG573" s="16">
        <f t="shared" si="115"/>
        <v>5</v>
      </c>
      <c r="EH573" s="16" t="str">
        <f t="shared" si="116"/>
        <v>Vendredi</v>
      </c>
      <c r="EI573" s="16" t="str">
        <f t="shared" si="117"/>
        <v/>
      </c>
    </row>
    <row r="574" spans="1:139" x14ac:dyDescent="0.2">
      <c r="A574" s="16" t="str">
        <f t="shared" si="120"/>
        <v>Fiche info CDD_ Avenant 2B6</v>
      </c>
      <c r="B574" s="16" t="str">
        <f t="shared" si="121"/>
        <v>Fiche info CDD_ Avenant 2</v>
      </c>
      <c r="C574" s="27" t="s">
        <v>236</v>
      </c>
      <c r="D574" s="27">
        <v>6</v>
      </c>
      <c r="E574" s="16" t="s">
        <v>193</v>
      </c>
      <c r="F574" s="34" t="str">
        <f>+IF('Fiche info CDD_ Avenant 2'!$V$12=0,"",'Fiche info CDD_ Avenant 2'!$V$12)</f>
        <v/>
      </c>
      <c r="G574" s="16">
        <f t="shared" si="118"/>
        <v>0</v>
      </c>
      <c r="BX574" s="16" t="str">
        <f t="shared" si="119"/>
        <v>Fiche info CDD_ Avenant 2B6</v>
      </c>
      <c r="BY574" s="449">
        <f>'Fiche info CDD_ Avenant 2'!$M$12</f>
        <v>0</v>
      </c>
      <c r="BZ574" s="449">
        <f>'Fiche info CDD_ Avenant 2'!$N$12</f>
        <v>0</v>
      </c>
      <c r="CA574" s="449">
        <f>'Fiche info CDD_ Avenant 2'!$O$12</f>
        <v>0</v>
      </c>
      <c r="CB574" s="449">
        <f>'Fiche info CDD_ Avenant 2'!$P$12</f>
        <v>0</v>
      </c>
      <c r="CC574" s="449">
        <f>'Fiche info CDD_ Avenant 2'!$Q$12</f>
        <v>0</v>
      </c>
      <c r="CD574" s="449">
        <f>'Fiche info CDD_ Avenant 2'!$R$12</f>
        <v>0</v>
      </c>
      <c r="CE574" s="449">
        <f>'Fiche info CDD_ Avenant 2'!$S$12</f>
        <v>0</v>
      </c>
      <c r="CF574" s="449">
        <f>'Fiche info CDD_ Avenant 2'!$T$12</f>
        <v>0</v>
      </c>
      <c r="ED574" s="16" t="str">
        <f t="shared" si="122"/>
        <v>Fiche info CDD_ Avenant 2B</v>
      </c>
      <c r="EE574" s="16" t="str">
        <f t="shared" si="113"/>
        <v>Fiche info CDD_ Avenant 2</v>
      </c>
      <c r="EF574" s="16" t="str">
        <f t="shared" si="114"/>
        <v>B</v>
      </c>
      <c r="EG574" s="16">
        <f t="shared" si="115"/>
        <v>6</v>
      </c>
      <c r="EH574" s="16" t="str">
        <f t="shared" si="116"/>
        <v>Samedi</v>
      </c>
      <c r="EI574" s="16" t="str">
        <f t="shared" si="117"/>
        <v/>
      </c>
    </row>
    <row r="575" spans="1:139" x14ac:dyDescent="0.2">
      <c r="A575" s="16" t="str">
        <f t="shared" si="120"/>
        <v>Fiche info CDD_ Avenant 2B7</v>
      </c>
      <c r="B575" s="16" t="str">
        <f t="shared" si="121"/>
        <v>Fiche info CDD_ Avenant 2</v>
      </c>
      <c r="C575" s="27" t="s">
        <v>236</v>
      </c>
      <c r="D575" s="27">
        <v>7</v>
      </c>
      <c r="E575" s="16" t="s">
        <v>194</v>
      </c>
      <c r="F575" s="34" t="str">
        <f>+IF('Fiche info CDD_ Avenant 2'!$V$13=0,"",'Fiche info CDD_ Avenant 2'!$V$13)</f>
        <v/>
      </c>
      <c r="G575" s="16">
        <f t="shared" si="118"/>
        <v>0</v>
      </c>
      <c r="BX575" s="16" t="str">
        <f t="shared" si="119"/>
        <v>Fiche info CDD_ Avenant 2B7</v>
      </c>
      <c r="BY575" s="449">
        <f>'Fiche info CDD_ Avenant 2'!$M$13</f>
        <v>0</v>
      </c>
      <c r="BZ575" s="449">
        <f>'Fiche info CDD_ Avenant 2'!$N$13</f>
        <v>0</v>
      </c>
      <c r="CA575" s="449">
        <f>'Fiche info CDD_ Avenant 2'!$O$13</f>
        <v>0</v>
      </c>
      <c r="CB575" s="449">
        <f>'Fiche info CDD_ Avenant 2'!$P$13</f>
        <v>0</v>
      </c>
      <c r="CC575" s="449">
        <f>'Fiche info CDD_ Avenant 2'!$Q$13</f>
        <v>0</v>
      </c>
      <c r="CD575" s="449">
        <f>'Fiche info CDD_ Avenant 2'!$R$13</f>
        <v>0</v>
      </c>
      <c r="CE575" s="449">
        <f>'Fiche info CDD_ Avenant 2'!$S$13</f>
        <v>0</v>
      </c>
      <c r="CF575" s="449">
        <f>'Fiche info CDD_ Avenant 2'!$T$13</f>
        <v>0</v>
      </c>
      <c r="ED575" s="16" t="str">
        <f t="shared" si="122"/>
        <v>Fiche info CDD_ Avenant 2B</v>
      </c>
      <c r="EE575" s="16" t="str">
        <f t="shared" si="113"/>
        <v>Fiche info CDD_ Avenant 2</v>
      </c>
      <c r="EF575" s="16" t="str">
        <f t="shared" si="114"/>
        <v>B</v>
      </c>
      <c r="EG575" s="16">
        <f t="shared" si="115"/>
        <v>7</v>
      </c>
      <c r="EH575" s="16" t="str">
        <f t="shared" si="116"/>
        <v>Dimanche</v>
      </c>
      <c r="EI575" s="16" t="str">
        <f t="shared" si="117"/>
        <v/>
      </c>
    </row>
    <row r="576" spans="1:139" x14ac:dyDescent="0.2">
      <c r="A576" s="16" t="str">
        <f t="shared" si="120"/>
        <v>Fiche info CDD_ Avenant 2C1</v>
      </c>
      <c r="B576" s="16" t="str">
        <f t="shared" si="121"/>
        <v>Fiche info CDD_ Avenant 2</v>
      </c>
      <c r="C576" s="27" t="s">
        <v>241</v>
      </c>
      <c r="D576" s="27">
        <v>1</v>
      </c>
      <c r="E576" s="16" t="s">
        <v>17</v>
      </c>
      <c r="F576" s="34" t="str">
        <f>+IF('Fiche info CDD_ Avenant 2'!$AG$7=0,"",'Fiche info CDD_ Avenant 2'!$AG$7)</f>
        <v/>
      </c>
      <c r="G576" s="16">
        <f t="shared" si="118"/>
        <v>0</v>
      </c>
      <c r="BX576" s="16" t="str">
        <f t="shared" si="119"/>
        <v>Fiche info CDD_ Avenant 2C1</v>
      </c>
      <c r="BY576" s="449">
        <f>'Fiche info CDD_ Avenant 2'!$X$7</f>
        <v>0</v>
      </c>
      <c r="BZ576" s="449">
        <f>'Fiche info CDD_ Avenant 2'!$Y$7</f>
        <v>0</v>
      </c>
      <c r="CA576" s="449">
        <f>'Fiche info CDD_ Avenant 2'!$Z$7</f>
        <v>0</v>
      </c>
      <c r="CB576" s="449">
        <f>'Fiche info CDD_ Avenant 2'!$AA$7</f>
        <v>0</v>
      </c>
      <c r="CC576" s="449">
        <f>'Fiche info CDD_ Avenant 2'!$AB$7</f>
        <v>0</v>
      </c>
      <c r="CD576" s="449">
        <f>'Fiche info CDD_ Avenant 2'!$AC$7</f>
        <v>0</v>
      </c>
      <c r="CE576" s="449">
        <f>'Fiche info CDD_ Avenant 2'!$AD$7</f>
        <v>0</v>
      </c>
      <c r="CF576" s="449">
        <f>'Fiche info CDD_ Avenant 2'!$AE$7</f>
        <v>0</v>
      </c>
      <c r="ED576" s="16" t="str">
        <f t="shared" si="122"/>
        <v>Fiche info CDD_ Avenant 2C</v>
      </c>
      <c r="EE576" s="16" t="str">
        <f t="shared" si="113"/>
        <v>Fiche info CDD_ Avenant 2</v>
      </c>
      <c r="EF576" s="16" t="str">
        <f t="shared" si="114"/>
        <v>C</v>
      </c>
      <c r="EG576" s="16">
        <f t="shared" si="115"/>
        <v>1</v>
      </c>
      <c r="EH576" s="16" t="str">
        <f t="shared" si="116"/>
        <v>Lundi</v>
      </c>
      <c r="EI576" s="16" t="str">
        <f t="shared" si="117"/>
        <v/>
      </c>
    </row>
    <row r="577" spans="1:139" x14ac:dyDescent="0.2">
      <c r="A577" s="16" t="str">
        <f t="shared" si="120"/>
        <v>Fiche info CDD_ Avenant 2C2</v>
      </c>
      <c r="B577" s="16" t="str">
        <f t="shared" si="121"/>
        <v>Fiche info CDD_ Avenant 2</v>
      </c>
      <c r="C577" s="27" t="s">
        <v>241</v>
      </c>
      <c r="D577" s="27">
        <v>2</v>
      </c>
      <c r="E577" s="16" t="s">
        <v>18</v>
      </c>
      <c r="F577" s="34" t="str">
        <f>+IF('Fiche info CDD_ Avenant 2'!$AG$8=0,"",'Fiche info CDD_ Avenant 2'!$AG$8)</f>
        <v/>
      </c>
      <c r="G577" s="16">
        <f t="shared" si="118"/>
        <v>0</v>
      </c>
      <c r="BX577" s="16" t="str">
        <f t="shared" si="119"/>
        <v>Fiche info CDD_ Avenant 2C2</v>
      </c>
      <c r="BY577" s="449">
        <f>'Fiche info CDD_ Avenant 2'!$X$8</f>
        <v>0</v>
      </c>
      <c r="BZ577" s="449">
        <f>'Fiche info CDD_ Avenant 2'!$Y$8</f>
        <v>0</v>
      </c>
      <c r="CA577" s="449">
        <f>'Fiche info CDD_ Avenant 2'!$Z$8</f>
        <v>0</v>
      </c>
      <c r="CB577" s="449">
        <f>'Fiche info CDD_ Avenant 2'!$AA$8</f>
        <v>0</v>
      </c>
      <c r="CC577" s="449">
        <f>'Fiche info CDD_ Avenant 2'!$AB$8</f>
        <v>0</v>
      </c>
      <c r="CD577" s="449">
        <f>'Fiche info CDD_ Avenant 2'!$AC$8</f>
        <v>0</v>
      </c>
      <c r="CE577" s="449">
        <f>'Fiche info CDD_ Avenant 2'!$AD$8</f>
        <v>0</v>
      </c>
      <c r="CF577" s="449">
        <f>'Fiche info CDD_ Avenant 2'!$AE$8</f>
        <v>0</v>
      </c>
      <c r="ED577" s="16" t="str">
        <f t="shared" si="122"/>
        <v>Fiche info CDD_ Avenant 2C</v>
      </c>
      <c r="EE577" s="16" t="str">
        <f t="shared" ref="EE577:EE640" si="123">B577</f>
        <v>Fiche info CDD_ Avenant 2</v>
      </c>
      <c r="EF577" s="16" t="str">
        <f t="shared" ref="EF577:EF640" si="124">C577</f>
        <v>C</v>
      </c>
      <c r="EG577" s="16">
        <f t="shared" ref="EG577:EG640" si="125">D577</f>
        <v>2</v>
      </c>
      <c r="EH577" s="16" t="str">
        <f t="shared" ref="EH577:EH640" si="126">E577</f>
        <v>Mardi</v>
      </c>
      <c r="EI577" s="16" t="str">
        <f t="shared" ref="EI577:EI640" si="127">F577</f>
        <v/>
      </c>
    </row>
    <row r="578" spans="1:139" x14ac:dyDescent="0.2">
      <c r="A578" s="16" t="str">
        <f t="shared" si="120"/>
        <v>Fiche info CDD_ Avenant 2C3</v>
      </c>
      <c r="B578" s="16" t="str">
        <f t="shared" si="121"/>
        <v>Fiche info CDD_ Avenant 2</v>
      </c>
      <c r="C578" s="27" t="s">
        <v>241</v>
      </c>
      <c r="D578" s="27">
        <v>3</v>
      </c>
      <c r="E578" s="16" t="s">
        <v>19</v>
      </c>
      <c r="F578" s="34" t="str">
        <f>+IF('Fiche info CDD_ Avenant 2'!$AG$9=0,"",'Fiche info CDD_ Avenant 2'!$AG$9)</f>
        <v/>
      </c>
      <c r="G578" s="16">
        <f t="shared" ref="G578:G641" si="128">+IF(OR(F578=0,F578=""),0,1)</f>
        <v>0</v>
      </c>
      <c r="BX578" s="16" t="str">
        <f t="shared" ref="BX578:BX641" si="129">A578</f>
        <v>Fiche info CDD_ Avenant 2C3</v>
      </c>
      <c r="BY578" s="449">
        <f>'Fiche info CDD_ Avenant 2'!$X$9</f>
        <v>0</v>
      </c>
      <c r="BZ578" s="449">
        <f>'Fiche info CDD_ Avenant 2'!$Y$9</f>
        <v>0</v>
      </c>
      <c r="CA578" s="449">
        <f>'Fiche info CDD_ Avenant 2'!$Z$9</f>
        <v>0</v>
      </c>
      <c r="CB578" s="449">
        <f>'Fiche info CDD_ Avenant 2'!$AA$9</f>
        <v>0</v>
      </c>
      <c r="CC578" s="449">
        <f>'Fiche info CDD_ Avenant 2'!$AB$9</f>
        <v>0</v>
      </c>
      <c r="CD578" s="449">
        <f>'Fiche info CDD_ Avenant 2'!$AC$9</f>
        <v>0</v>
      </c>
      <c r="CE578" s="449">
        <f>'Fiche info CDD_ Avenant 2'!$AD$9</f>
        <v>0</v>
      </c>
      <c r="CF578" s="449">
        <f>'Fiche info CDD_ Avenant 2'!$AE$9</f>
        <v>0</v>
      </c>
      <c r="ED578" s="16" t="str">
        <f t="shared" si="122"/>
        <v>Fiche info CDD_ Avenant 2C</v>
      </c>
      <c r="EE578" s="16" t="str">
        <f t="shared" si="123"/>
        <v>Fiche info CDD_ Avenant 2</v>
      </c>
      <c r="EF578" s="16" t="str">
        <f t="shared" si="124"/>
        <v>C</v>
      </c>
      <c r="EG578" s="16">
        <f t="shared" si="125"/>
        <v>3</v>
      </c>
      <c r="EH578" s="16" t="str">
        <f t="shared" si="126"/>
        <v>Mercredi</v>
      </c>
      <c r="EI578" s="16" t="str">
        <f t="shared" si="127"/>
        <v/>
      </c>
    </row>
    <row r="579" spans="1:139" x14ac:dyDescent="0.2">
      <c r="A579" s="16" t="str">
        <f t="shared" si="120"/>
        <v>Fiche info CDD_ Avenant 2C4</v>
      </c>
      <c r="B579" s="16" t="str">
        <f t="shared" si="121"/>
        <v>Fiche info CDD_ Avenant 2</v>
      </c>
      <c r="C579" s="27" t="s">
        <v>241</v>
      </c>
      <c r="D579" s="27">
        <v>4</v>
      </c>
      <c r="E579" s="16" t="s">
        <v>20</v>
      </c>
      <c r="F579" s="34" t="str">
        <f>+IF('Fiche info CDD_ Avenant 2'!$AG$10=0,"",'Fiche info CDD_ Avenant 2'!$AG$10)</f>
        <v/>
      </c>
      <c r="G579" s="16">
        <f t="shared" si="128"/>
        <v>0</v>
      </c>
      <c r="BX579" s="16" t="str">
        <f t="shared" si="129"/>
        <v>Fiche info CDD_ Avenant 2C4</v>
      </c>
      <c r="BY579" s="449">
        <f>'Fiche info CDD_ Avenant 2'!$X$10</f>
        <v>0</v>
      </c>
      <c r="BZ579" s="449">
        <f>'Fiche info CDD_ Avenant 2'!$Y$10</f>
        <v>0</v>
      </c>
      <c r="CA579" s="449">
        <f>'Fiche info CDD_ Avenant 2'!$Z$10</f>
        <v>0</v>
      </c>
      <c r="CB579" s="449">
        <f>'Fiche info CDD_ Avenant 2'!$AA$10</f>
        <v>0</v>
      </c>
      <c r="CC579" s="449">
        <f>'Fiche info CDD_ Avenant 2'!$AB$10</f>
        <v>0</v>
      </c>
      <c r="CD579" s="449">
        <f>'Fiche info CDD_ Avenant 2'!$AC$10</f>
        <v>0</v>
      </c>
      <c r="CE579" s="449">
        <f>'Fiche info CDD_ Avenant 2'!$AD$10</f>
        <v>0</v>
      </c>
      <c r="CF579" s="449">
        <f>'Fiche info CDD_ Avenant 2'!$AE$10</f>
        <v>0</v>
      </c>
      <c r="ED579" s="16" t="str">
        <f t="shared" si="122"/>
        <v>Fiche info CDD_ Avenant 2C</v>
      </c>
      <c r="EE579" s="16" t="str">
        <f t="shared" si="123"/>
        <v>Fiche info CDD_ Avenant 2</v>
      </c>
      <c r="EF579" s="16" t="str">
        <f t="shared" si="124"/>
        <v>C</v>
      </c>
      <c r="EG579" s="16">
        <f t="shared" si="125"/>
        <v>4</v>
      </c>
      <c r="EH579" s="16" t="str">
        <f t="shared" si="126"/>
        <v>Jeudi</v>
      </c>
      <c r="EI579" s="16" t="str">
        <f t="shared" si="127"/>
        <v/>
      </c>
    </row>
    <row r="580" spans="1:139" x14ac:dyDescent="0.2">
      <c r="A580" s="16" t="str">
        <f t="shared" si="120"/>
        <v>Fiche info CDD_ Avenant 2C5</v>
      </c>
      <c r="B580" s="16" t="str">
        <f t="shared" si="121"/>
        <v>Fiche info CDD_ Avenant 2</v>
      </c>
      <c r="C580" s="27" t="s">
        <v>241</v>
      </c>
      <c r="D580" s="27">
        <v>5</v>
      </c>
      <c r="E580" s="16" t="s">
        <v>21</v>
      </c>
      <c r="F580" s="34" t="str">
        <f>+IF('Fiche info CDD_ Avenant 2'!$AG$11=0,"",'Fiche info CDD_ Avenant 2'!$AG$11)</f>
        <v/>
      </c>
      <c r="G580" s="16">
        <f t="shared" si="128"/>
        <v>0</v>
      </c>
      <c r="BX580" s="16" t="str">
        <f t="shared" si="129"/>
        <v>Fiche info CDD_ Avenant 2C5</v>
      </c>
      <c r="BY580" s="449">
        <f>'Fiche info CDD_ Avenant 2'!$X$11</f>
        <v>0</v>
      </c>
      <c r="BZ580" s="449">
        <f>'Fiche info CDD_ Avenant 2'!$Y$11</f>
        <v>0</v>
      </c>
      <c r="CA580" s="449">
        <f>'Fiche info CDD_ Avenant 2'!$Z$11</f>
        <v>0</v>
      </c>
      <c r="CB580" s="449">
        <f>'Fiche info CDD_ Avenant 2'!$AA$11</f>
        <v>0</v>
      </c>
      <c r="CC580" s="449">
        <f>'Fiche info CDD_ Avenant 2'!$AB$11</f>
        <v>0</v>
      </c>
      <c r="CD580" s="449">
        <f>'Fiche info CDD_ Avenant 2'!$AC$11</f>
        <v>0</v>
      </c>
      <c r="CE580" s="449">
        <f>'Fiche info CDD_ Avenant 2'!$AD$11</f>
        <v>0</v>
      </c>
      <c r="CF580" s="449">
        <f>'Fiche info CDD_ Avenant 2'!$AE$11</f>
        <v>0</v>
      </c>
      <c r="ED580" s="16" t="str">
        <f t="shared" si="122"/>
        <v>Fiche info CDD_ Avenant 2C</v>
      </c>
      <c r="EE580" s="16" t="str">
        <f t="shared" si="123"/>
        <v>Fiche info CDD_ Avenant 2</v>
      </c>
      <c r="EF580" s="16" t="str">
        <f t="shared" si="124"/>
        <v>C</v>
      </c>
      <c r="EG580" s="16">
        <f t="shared" si="125"/>
        <v>5</v>
      </c>
      <c r="EH580" s="16" t="str">
        <f t="shared" si="126"/>
        <v>Vendredi</v>
      </c>
      <c r="EI580" s="16" t="str">
        <f t="shared" si="127"/>
        <v/>
      </c>
    </row>
    <row r="581" spans="1:139" x14ac:dyDescent="0.2">
      <c r="A581" s="16" t="str">
        <f t="shared" si="120"/>
        <v>Fiche info CDD_ Avenant 2C6</v>
      </c>
      <c r="B581" s="16" t="str">
        <f t="shared" si="121"/>
        <v>Fiche info CDD_ Avenant 2</v>
      </c>
      <c r="C581" s="27" t="s">
        <v>241</v>
      </c>
      <c r="D581" s="27">
        <v>6</v>
      </c>
      <c r="E581" s="16" t="s">
        <v>193</v>
      </c>
      <c r="F581" s="34" t="str">
        <f>+IF('Fiche info CDD_ Avenant 2'!$AG$12=0,"",'Fiche info CDD_ Avenant 2'!$AG$12)</f>
        <v/>
      </c>
      <c r="G581" s="16">
        <f t="shared" si="128"/>
        <v>0</v>
      </c>
      <c r="BX581" s="16" t="str">
        <f t="shared" si="129"/>
        <v>Fiche info CDD_ Avenant 2C6</v>
      </c>
      <c r="BY581" s="449">
        <f>'Fiche info CDD_ Avenant 2'!$X$12</f>
        <v>0</v>
      </c>
      <c r="BZ581" s="449">
        <f>'Fiche info CDD_ Avenant 2'!$Y$12</f>
        <v>0</v>
      </c>
      <c r="CA581" s="449">
        <f>'Fiche info CDD_ Avenant 2'!$Z$12</f>
        <v>0</v>
      </c>
      <c r="CB581" s="449">
        <f>'Fiche info CDD_ Avenant 2'!$AA$12</f>
        <v>0</v>
      </c>
      <c r="CC581" s="449">
        <f>'Fiche info CDD_ Avenant 2'!$AB$12</f>
        <v>0</v>
      </c>
      <c r="CD581" s="449">
        <f>'Fiche info CDD_ Avenant 2'!$AC$12</f>
        <v>0</v>
      </c>
      <c r="CE581" s="449">
        <f>'Fiche info CDD_ Avenant 2'!$AD$12</f>
        <v>0</v>
      </c>
      <c r="CF581" s="449">
        <f>'Fiche info CDD_ Avenant 2'!$AE$12</f>
        <v>0</v>
      </c>
      <c r="ED581" s="16" t="str">
        <f t="shared" si="122"/>
        <v>Fiche info CDD_ Avenant 2C</v>
      </c>
      <c r="EE581" s="16" t="str">
        <f t="shared" si="123"/>
        <v>Fiche info CDD_ Avenant 2</v>
      </c>
      <c r="EF581" s="16" t="str">
        <f t="shared" si="124"/>
        <v>C</v>
      </c>
      <c r="EG581" s="16">
        <f t="shared" si="125"/>
        <v>6</v>
      </c>
      <c r="EH581" s="16" t="str">
        <f t="shared" si="126"/>
        <v>Samedi</v>
      </c>
      <c r="EI581" s="16" t="str">
        <f t="shared" si="127"/>
        <v/>
      </c>
    </row>
    <row r="582" spans="1:139" x14ac:dyDescent="0.2">
      <c r="A582" s="16" t="str">
        <f t="shared" si="120"/>
        <v>Fiche info CDD_ Avenant 2C7</v>
      </c>
      <c r="B582" s="16" t="str">
        <f t="shared" si="121"/>
        <v>Fiche info CDD_ Avenant 2</v>
      </c>
      <c r="C582" s="27" t="s">
        <v>241</v>
      </c>
      <c r="D582" s="27">
        <v>7</v>
      </c>
      <c r="E582" s="16" t="s">
        <v>194</v>
      </c>
      <c r="F582" s="34" t="str">
        <f>+IF('Fiche info CDD_ Avenant 2'!$AG$13=0,"",'Fiche info CDD_ Avenant 2'!$AG$13)</f>
        <v/>
      </c>
      <c r="G582" s="16">
        <f t="shared" si="128"/>
        <v>0</v>
      </c>
      <c r="BX582" s="16" t="str">
        <f t="shared" si="129"/>
        <v>Fiche info CDD_ Avenant 2C7</v>
      </c>
      <c r="BY582" s="449">
        <f>'Fiche info CDD_ Avenant 2'!$X$13</f>
        <v>0</v>
      </c>
      <c r="BZ582" s="449">
        <f>'Fiche info CDD_ Avenant 2'!$Y$13</f>
        <v>0</v>
      </c>
      <c r="CA582" s="449">
        <f>'Fiche info CDD_ Avenant 2'!$Z$13</f>
        <v>0</v>
      </c>
      <c r="CB582" s="449">
        <f>'Fiche info CDD_ Avenant 2'!$AA$13</f>
        <v>0</v>
      </c>
      <c r="CC582" s="449">
        <f>'Fiche info CDD_ Avenant 2'!$AB$13</f>
        <v>0</v>
      </c>
      <c r="CD582" s="449">
        <f>'Fiche info CDD_ Avenant 2'!$AC$13</f>
        <v>0</v>
      </c>
      <c r="CE582" s="449">
        <f>'Fiche info CDD_ Avenant 2'!$AD$13</f>
        <v>0</v>
      </c>
      <c r="CF582" s="449">
        <f>'Fiche info CDD_ Avenant 2'!$AE$13</f>
        <v>0</v>
      </c>
      <c r="ED582" s="16" t="str">
        <f t="shared" si="122"/>
        <v>Fiche info CDD_ Avenant 2C</v>
      </c>
      <c r="EE582" s="16" t="str">
        <f t="shared" si="123"/>
        <v>Fiche info CDD_ Avenant 2</v>
      </c>
      <c r="EF582" s="16" t="str">
        <f t="shared" si="124"/>
        <v>C</v>
      </c>
      <c r="EG582" s="16">
        <f t="shared" si="125"/>
        <v>7</v>
      </c>
      <c r="EH582" s="16" t="str">
        <f t="shared" si="126"/>
        <v>Dimanche</v>
      </c>
      <c r="EI582" s="16" t="str">
        <f t="shared" si="127"/>
        <v/>
      </c>
    </row>
    <row r="583" spans="1:139" x14ac:dyDescent="0.2">
      <c r="A583" s="16" t="str">
        <f t="shared" si="120"/>
        <v>Fiche info CDD_ Avenant 2D1</v>
      </c>
      <c r="B583" s="16" t="str">
        <f t="shared" si="121"/>
        <v>Fiche info CDD_ Avenant 2</v>
      </c>
      <c r="C583" s="27" t="s">
        <v>242</v>
      </c>
      <c r="D583" s="27">
        <v>1</v>
      </c>
      <c r="E583" s="16" t="s">
        <v>17</v>
      </c>
      <c r="F583" s="34" t="str">
        <f>+IF('Fiche info CDD_ Avenant 2'!$AR$7=0,"",'Fiche info CDD_ Avenant 2'!$AR$7)</f>
        <v/>
      </c>
      <c r="G583" s="16">
        <f t="shared" si="128"/>
        <v>0</v>
      </c>
      <c r="BX583" s="16" t="str">
        <f t="shared" si="129"/>
        <v>Fiche info CDD_ Avenant 2D1</v>
      </c>
      <c r="BY583" s="449">
        <f>'Fiche info CDD_ Avenant 2'!$AI$7</f>
        <v>0</v>
      </c>
      <c r="BZ583" s="449">
        <f>'Fiche info CDD_ Avenant 2'!$AJ$7</f>
        <v>0</v>
      </c>
      <c r="CA583" s="449">
        <f>'Fiche info CDD_ Avenant 2'!$AK$7</f>
        <v>0</v>
      </c>
      <c r="CB583" s="449">
        <f>'Fiche info CDD_ Avenant 2'!$AL$7</f>
        <v>0</v>
      </c>
      <c r="CC583" s="449">
        <f>'Fiche info CDD_ Avenant 2'!$AM$7</f>
        <v>0</v>
      </c>
      <c r="CD583" s="449">
        <f>'Fiche info CDD_ Avenant 2'!$AN$7</f>
        <v>0</v>
      </c>
      <c r="CE583" s="449">
        <f>'Fiche info CDD_ Avenant 2'!$AO$7</f>
        <v>0</v>
      </c>
      <c r="CF583" s="449">
        <f>'Fiche info CDD_ Avenant 2'!$AP$7</f>
        <v>0</v>
      </c>
      <c r="ED583" s="16" t="str">
        <f t="shared" si="122"/>
        <v>Fiche info CDD_ Avenant 2D</v>
      </c>
      <c r="EE583" s="16" t="str">
        <f t="shared" si="123"/>
        <v>Fiche info CDD_ Avenant 2</v>
      </c>
      <c r="EF583" s="16" t="str">
        <f t="shared" si="124"/>
        <v>D</v>
      </c>
      <c r="EG583" s="16">
        <f t="shared" si="125"/>
        <v>1</v>
      </c>
      <c r="EH583" s="16" t="str">
        <f t="shared" si="126"/>
        <v>Lundi</v>
      </c>
      <c r="EI583" s="16" t="str">
        <f t="shared" si="127"/>
        <v/>
      </c>
    </row>
    <row r="584" spans="1:139" x14ac:dyDescent="0.2">
      <c r="A584" s="16" t="str">
        <f t="shared" si="120"/>
        <v>Fiche info CDD_ Avenant 2D2</v>
      </c>
      <c r="B584" s="16" t="str">
        <f t="shared" si="121"/>
        <v>Fiche info CDD_ Avenant 2</v>
      </c>
      <c r="C584" s="27" t="s">
        <v>242</v>
      </c>
      <c r="D584" s="27">
        <v>2</v>
      </c>
      <c r="E584" s="16" t="s">
        <v>18</v>
      </c>
      <c r="F584" s="34" t="str">
        <f>IF(+'Fiche info CDD_ Avenant 2'!$AR$8=0,"",'Fiche info CDD_ Avenant 2'!$AR$8)</f>
        <v/>
      </c>
      <c r="G584" s="16">
        <f t="shared" si="128"/>
        <v>0</v>
      </c>
      <c r="BX584" s="16" t="str">
        <f t="shared" si="129"/>
        <v>Fiche info CDD_ Avenant 2D2</v>
      </c>
      <c r="BY584" s="449">
        <f>'Fiche info CDD_ Avenant 2'!$AI$8</f>
        <v>0</v>
      </c>
      <c r="BZ584" s="449">
        <f>'Fiche info CDD_ Avenant 2'!$AJ$8</f>
        <v>0</v>
      </c>
      <c r="CA584" s="449">
        <f>'Fiche info CDD_ Avenant 2'!$AK$8</f>
        <v>0</v>
      </c>
      <c r="CB584" s="449">
        <f>'Fiche info CDD_ Avenant 2'!$AL$8</f>
        <v>0</v>
      </c>
      <c r="CC584" s="449">
        <f>'Fiche info CDD_ Avenant 2'!$AM$8</f>
        <v>0</v>
      </c>
      <c r="CD584" s="449">
        <f>'Fiche info CDD_ Avenant 2'!$AN$8</f>
        <v>0</v>
      </c>
      <c r="CE584" s="449">
        <f>'Fiche info CDD_ Avenant 2'!$AO$8</f>
        <v>0</v>
      </c>
      <c r="CF584" s="449">
        <f>'Fiche info CDD_ Avenant 2'!$AP$8</f>
        <v>0</v>
      </c>
      <c r="ED584" s="16" t="str">
        <f t="shared" si="122"/>
        <v>Fiche info CDD_ Avenant 2D</v>
      </c>
      <c r="EE584" s="16" t="str">
        <f t="shared" si="123"/>
        <v>Fiche info CDD_ Avenant 2</v>
      </c>
      <c r="EF584" s="16" t="str">
        <f t="shared" si="124"/>
        <v>D</v>
      </c>
      <c r="EG584" s="16">
        <f t="shared" si="125"/>
        <v>2</v>
      </c>
      <c r="EH584" s="16" t="str">
        <f t="shared" si="126"/>
        <v>Mardi</v>
      </c>
      <c r="EI584" s="16" t="str">
        <f t="shared" si="127"/>
        <v/>
      </c>
    </row>
    <row r="585" spans="1:139" x14ac:dyDescent="0.2">
      <c r="A585" s="16" t="str">
        <f t="shared" si="120"/>
        <v>Fiche info CDD_ Avenant 2D3</v>
      </c>
      <c r="B585" s="16" t="str">
        <f t="shared" si="121"/>
        <v>Fiche info CDD_ Avenant 2</v>
      </c>
      <c r="C585" s="27" t="s">
        <v>242</v>
      </c>
      <c r="D585" s="27">
        <v>3</v>
      </c>
      <c r="E585" s="16" t="s">
        <v>19</v>
      </c>
      <c r="F585" s="34" t="str">
        <f>IF(+'Fiche info CDD_ Avenant 2'!$AR$9=0,"",'Fiche info CDD_ Avenant 2'!$AR$9)</f>
        <v/>
      </c>
      <c r="G585" s="16">
        <f t="shared" si="128"/>
        <v>0</v>
      </c>
      <c r="BX585" s="16" t="str">
        <f t="shared" si="129"/>
        <v>Fiche info CDD_ Avenant 2D3</v>
      </c>
      <c r="BY585" s="449">
        <f>'Fiche info CDD_ Avenant 2'!$AI$9</f>
        <v>0</v>
      </c>
      <c r="BZ585" s="449">
        <f>'Fiche info CDD_ Avenant 2'!$AJ$9</f>
        <v>0</v>
      </c>
      <c r="CA585" s="449">
        <f>'Fiche info CDD_ Avenant 2'!$AK$9</f>
        <v>0</v>
      </c>
      <c r="CB585" s="449">
        <f>'Fiche info CDD_ Avenant 2'!$AL$9</f>
        <v>0</v>
      </c>
      <c r="CC585" s="449">
        <f>'Fiche info CDD_ Avenant 2'!$AM$9</f>
        <v>0</v>
      </c>
      <c r="CD585" s="449">
        <f>'Fiche info CDD_ Avenant 2'!$AN$9</f>
        <v>0</v>
      </c>
      <c r="CE585" s="449">
        <f>'Fiche info CDD_ Avenant 2'!$AO$9</f>
        <v>0</v>
      </c>
      <c r="CF585" s="449">
        <f>'Fiche info CDD_ Avenant 2'!$AP$9</f>
        <v>0</v>
      </c>
      <c r="ED585" s="16" t="str">
        <f t="shared" si="122"/>
        <v>Fiche info CDD_ Avenant 2D</v>
      </c>
      <c r="EE585" s="16" t="str">
        <f t="shared" si="123"/>
        <v>Fiche info CDD_ Avenant 2</v>
      </c>
      <c r="EF585" s="16" t="str">
        <f t="shared" si="124"/>
        <v>D</v>
      </c>
      <c r="EG585" s="16">
        <f t="shared" si="125"/>
        <v>3</v>
      </c>
      <c r="EH585" s="16" t="str">
        <f t="shared" si="126"/>
        <v>Mercredi</v>
      </c>
      <c r="EI585" s="16" t="str">
        <f t="shared" si="127"/>
        <v/>
      </c>
    </row>
    <row r="586" spans="1:139" x14ac:dyDescent="0.2">
      <c r="A586" s="16" t="str">
        <f t="shared" si="120"/>
        <v>Fiche info CDD_ Avenant 2D4</v>
      </c>
      <c r="B586" s="16" t="str">
        <f t="shared" si="121"/>
        <v>Fiche info CDD_ Avenant 2</v>
      </c>
      <c r="C586" s="27" t="s">
        <v>242</v>
      </c>
      <c r="D586" s="27">
        <v>4</v>
      </c>
      <c r="E586" s="16" t="s">
        <v>20</v>
      </c>
      <c r="F586" s="34" t="str">
        <f>IF(+'Fiche info CDD_ Avenant 2'!$AR$10=0,"",'Fiche info CDD_ Avenant 2'!$AR$10)</f>
        <v/>
      </c>
      <c r="G586" s="16">
        <f t="shared" si="128"/>
        <v>0</v>
      </c>
      <c r="BX586" s="16" t="str">
        <f t="shared" si="129"/>
        <v>Fiche info CDD_ Avenant 2D4</v>
      </c>
      <c r="BY586" s="449">
        <f>'Fiche info CDD_ Avenant 2'!$AI$10</f>
        <v>0</v>
      </c>
      <c r="BZ586" s="449">
        <f>'Fiche info CDD_ Avenant 2'!$AJ$10</f>
        <v>0</v>
      </c>
      <c r="CA586" s="449">
        <f>'Fiche info CDD_ Avenant 2'!$AK$10</f>
        <v>0</v>
      </c>
      <c r="CB586" s="449">
        <f>'Fiche info CDD_ Avenant 2'!$AL$10</f>
        <v>0</v>
      </c>
      <c r="CC586" s="449">
        <f>'Fiche info CDD_ Avenant 2'!$AM$10</f>
        <v>0</v>
      </c>
      <c r="CD586" s="449">
        <f>'Fiche info CDD_ Avenant 2'!$AN$10</f>
        <v>0</v>
      </c>
      <c r="CE586" s="449">
        <f>'Fiche info CDD_ Avenant 2'!$AO$10</f>
        <v>0</v>
      </c>
      <c r="CF586" s="449">
        <f>'Fiche info CDD_ Avenant 2'!$AP$10</f>
        <v>0</v>
      </c>
      <c r="ED586" s="16" t="str">
        <f t="shared" si="122"/>
        <v>Fiche info CDD_ Avenant 2D</v>
      </c>
      <c r="EE586" s="16" t="str">
        <f t="shared" si="123"/>
        <v>Fiche info CDD_ Avenant 2</v>
      </c>
      <c r="EF586" s="16" t="str">
        <f t="shared" si="124"/>
        <v>D</v>
      </c>
      <c r="EG586" s="16">
        <f t="shared" si="125"/>
        <v>4</v>
      </c>
      <c r="EH586" s="16" t="str">
        <f t="shared" si="126"/>
        <v>Jeudi</v>
      </c>
      <c r="EI586" s="16" t="str">
        <f t="shared" si="127"/>
        <v/>
      </c>
    </row>
    <row r="587" spans="1:139" x14ac:dyDescent="0.2">
      <c r="A587" s="16" t="str">
        <f t="shared" si="120"/>
        <v>Fiche info CDD_ Avenant 2D5</v>
      </c>
      <c r="B587" s="16" t="str">
        <f t="shared" si="121"/>
        <v>Fiche info CDD_ Avenant 2</v>
      </c>
      <c r="C587" s="27" t="s">
        <v>242</v>
      </c>
      <c r="D587" s="27">
        <v>5</v>
      </c>
      <c r="E587" s="16" t="s">
        <v>21</v>
      </c>
      <c r="F587" s="34" t="str">
        <f>IF(+'Fiche info CDD_ Avenant 2'!$AR$11=0,"",'Fiche info CDD_ Avenant 2'!$AR$11)</f>
        <v/>
      </c>
      <c r="G587" s="16">
        <f t="shared" si="128"/>
        <v>0</v>
      </c>
      <c r="BX587" s="16" t="str">
        <f t="shared" si="129"/>
        <v>Fiche info CDD_ Avenant 2D5</v>
      </c>
      <c r="BY587" s="449">
        <f>'Fiche info CDD_ Avenant 2'!$AI$11</f>
        <v>0</v>
      </c>
      <c r="BZ587" s="449">
        <f>'Fiche info CDD_ Avenant 2'!$AJ$11</f>
        <v>0</v>
      </c>
      <c r="CA587" s="449">
        <f>'Fiche info CDD_ Avenant 2'!$AK$11</f>
        <v>0</v>
      </c>
      <c r="CB587" s="449">
        <f>'Fiche info CDD_ Avenant 2'!$AL$11</f>
        <v>0</v>
      </c>
      <c r="CC587" s="449">
        <f>'Fiche info CDD_ Avenant 2'!$AM$11</f>
        <v>0</v>
      </c>
      <c r="CD587" s="449">
        <f>'Fiche info CDD_ Avenant 2'!$AN$11</f>
        <v>0</v>
      </c>
      <c r="CE587" s="449">
        <f>'Fiche info CDD_ Avenant 2'!$AO$11</f>
        <v>0</v>
      </c>
      <c r="CF587" s="449">
        <f>'Fiche info CDD_ Avenant 2'!$AP$11</f>
        <v>0</v>
      </c>
      <c r="ED587" s="16" t="str">
        <f t="shared" si="122"/>
        <v>Fiche info CDD_ Avenant 2D</v>
      </c>
      <c r="EE587" s="16" t="str">
        <f t="shared" si="123"/>
        <v>Fiche info CDD_ Avenant 2</v>
      </c>
      <c r="EF587" s="16" t="str">
        <f t="shared" si="124"/>
        <v>D</v>
      </c>
      <c r="EG587" s="16">
        <f t="shared" si="125"/>
        <v>5</v>
      </c>
      <c r="EH587" s="16" t="str">
        <f t="shared" si="126"/>
        <v>Vendredi</v>
      </c>
      <c r="EI587" s="16" t="str">
        <f t="shared" si="127"/>
        <v/>
      </c>
    </row>
    <row r="588" spans="1:139" x14ac:dyDescent="0.2">
      <c r="A588" s="16" t="str">
        <f t="shared" si="120"/>
        <v>Fiche info CDD_ Avenant 2D6</v>
      </c>
      <c r="B588" s="16" t="str">
        <f t="shared" si="121"/>
        <v>Fiche info CDD_ Avenant 2</v>
      </c>
      <c r="C588" s="27" t="s">
        <v>242</v>
      </c>
      <c r="D588" s="27">
        <v>6</v>
      </c>
      <c r="E588" s="16" t="s">
        <v>193</v>
      </c>
      <c r="F588" s="34" t="str">
        <f>IF(+'Fiche info CDD_ Avenant 2'!$AR$12=0,"",'Fiche info CDD_ Avenant 2'!$AR$12)</f>
        <v/>
      </c>
      <c r="G588" s="16">
        <f t="shared" si="128"/>
        <v>0</v>
      </c>
      <c r="BX588" s="16" t="str">
        <f t="shared" si="129"/>
        <v>Fiche info CDD_ Avenant 2D6</v>
      </c>
      <c r="BY588" s="449">
        <f>'Fiche info CDD_ Avenant 2'!$AI$12</f>
        <v>0</v>
      </c>
      <c r="BZ588" s="449">
        <f>'Fiche info CDD_ Avenant 2'!$AJ$12</f>
        <v>0</v>
      </c>
      <c r="CA588" s="449">
        <f>'Fiche info CDD_ Avenant 2'!$AK$12</f>
        <v>0</v>
      </c>
      <c r="CB588" s="449">
        <f>'Fiche info CDD_ Avenant 2'!$AL$12</f>
        <v>0</v>
      </c>
      <c r="CC588" s="449">
        <f>'Fiche info CDD_ Avenant 2'!$AM$12</f>
        <v>0</v>
      </c>
      <c r="CD588" s="449">
        <f>'Fiche info CDD_ Avenant 2'!$AN$12</f>
        <v>0</v>
      </c>
      <c r="CE588" s="449">
        <f>'Fiche info CDD_ Avenant 2'!$AO$12</f>
        <v>0</v>
      </c>
      <c r="CF588" s="449">
        <f>'Fiche info CDD_ Avenant 2'!$AP$12</f>
        <v>0</v>
      </c>
      <c r="ED588" s="16" t="str">
        <f t="shared" si="122"/>
        <v>Fiche info CDD_ Avenant 2D</v>
      </c>
      <c r="EE588" s="16" t="str">
        <f t="shared" si="123"/>
        <v>Fiche info CDD_ Avenant 2</v>
      </c>
      <c r="EF588" s="16" t="str">
        <f t="shared" si="124"/>
        <v>D</v>
      </c>
      <c r="EG588" s="16">
        <f t="shared" si="125"/>
        <v>6</v>
      </c>
      <c r="EH588" s="16" t="str">
        <f t="shared" si="126"/>
        <v>Samedi</v>
      </c>
      <c r="EI588" s="16" t="str">
        <f t="shared" si="127"/>
        <v/>
      </c>
    </row>
    <row r="589" spans="1:139" x14ac:dyDescent="0.2">
      <c r="A589" s="16" t="str">
        <f t="shared" si="120"/>
        <v>Fiche info CDD_ Avenant 2D7</v>
      </c>
      <c r="B589" s="16" t="str">
        <f t="shared" si="121"/>
        <v>Fiche info CDD_ Avenant 2</v>
      </c>
      <c r="C589" s="27" t="s">
        <v>242</v>
      </c>
      <c r="D589" s="27">
        <v>7</v>
      </c>
      <c r="E589" s="16" t="s">
        <v>194</v>
      </c>
      <c r="F589" s="34" t="str">
        <f>IF(+'Fiche info CDD_ Avenant 2'!$AR$13=0,"",'Fiche info CDD_ Avenant 2'!$AR$13)</f>
        <v/>
      </c>
      <c r="G589" s="16">
        <f t="shared" si="128"/>
        <v>0</v>
      </c>
      <c r="BX589" s="16" t="str">
        <f t="shared" si="129"/>
        <v>Fiche info CDD_ Avenant 2D7</v>
      </c>
      <c r="BY589" s="449">
        <f>'Fiche info CDD_ Avenant 2'!$AI$13</f>
        <v>0</v>
      </c>
      <c r="BZ589" s="449">
        <f>'Fiche info CDD_ Avenant 2'!$AJ$13</f>
        <v>0</v>
      </c>
      <c r="CA589" s="449">
        <f>'Fiche info CDD_ Avenant 2'!$AK$13</f>
        <v>0</v>
      </c>
      <c r="CB589" s="449">
        <f>'Fiche info CDD_ Avenant 2'!$AL$13</f>
        <v>0</v>
      </c>
      <c r="CC589" s="449">
        <f>'Fiche info CDD_ Avenant 2'!$AM$13</f>
        <v>0</v>
      </c>
      <c r="CD589" s="449">
        <f>'Fiche info CDD_ Avenant 2'!$AN$13</f>
        <v>0</v>
      </c>
      <c r="CE589" s="449">
        <f>'Fiche info CDD_ Avenant 2'!$AO$13</f>
        <v>0</v>
      </c>
      <c r="CF589" s="449">
        <f>'Fiche info CDD_ Avenant 2'!$AP$13</f>
        <v>0</v>
      </c>
      <c r="ED589" s="16" t="str">
        <f t="shared" si="122"/>
        <v>Fiche info CDD_ Avenant 2D</v>
      </c>
      <c r="EE589" s="16" t="str">
        <f t="shared" si="123"/>
        <v>Fiche info CDD_ Avenant 2</v>
      </c>
      <c r="EF589" s="16" t="str">
        <f t="shared" si="124"/>
        <v>D</v>
      </c>
      <c r="EG589" s="16">
        <f t="shared" si="125"/>
        <v>7</v>
      </c>
      <c r="EH589" s="16" t="str">
        <f t="shared" si="126"/>
        <v>Dimanche</v>
      </c>
      <c r="EI589" s="16" t="str">
        <f t="shared" si="127"/>
        <v/>
      </c>
    </row>
    <row r="590" spans="1:139" x14ac:dyDescent="0.2">
      <c r="A590" s="16" t="str">
        <f t="shared" si="120"/>
        <v>Fiche info CDD_ Avenant 2E1</v>
      </c>
      <c r="B590" s="16" t="str">
        <f t="shared" si="121"/>
        <v>Fiche info CDD_ Avenant 2</v>
      </c>
      <c r="C590" s="27" t="s">
        <v>243</v>
      </c>
      <c r="D590" s="27">
        <v>1</v>
      </c>
      <c r="E590" s="16" t="s">
        <v>17</v>
      </c>
      <c r="F590" s="34" t="str">
        <f>IF(+'Fiche info CDD_ Avenant 2'!$BC$7=0,"",'Fiche info CDD_ Avenant 2'!$BC$7)</f>
        <v/>
      </c>
      <c r="G590" s="16">
        <f t="shared" si="128"/>
        <v>0</v>
      </c>
      <c r="BX590" s="16" t="str">
        <f t="shared" si="129"/>
        <v>Fiche info CDD_ Avenant 2E1</v>
      </c>
      <c r="BY590" s="449">
        <f>'Fiche info CDD_ Avenant 2'!$AT$7</f>
        <v>0</v>
      </c>
      <c r="BZ590" s="449">
        <f>'Fiche info CDD_ Avenant 2'!$AU$7</f>
        <v>0</v>
      </c>
      <c r="CA590" s="449">
        <f>'Fiche info CDD_ Avenant 2'!$AV$7</f>
        <v>0</v>
      </c>
      <c r="CB590" s="449">
        <f>'Fiche info CDD_ Avenant 2'!$AW$7</f>
        <v>0</v>
      </c>
      <c r="CC590" s="449">
        <f>'Fiche info CDD_ Avenant 2'!$AX$7</f>
        <v>0</v>
      </c>
      <c r="CD590" s="449">
        <f>'Fiche info CDD_ Avenant 2'!$AY$7</f>
        <v>0</v>
      </c>
      <c r="CE590" s="449">
        <f>'Fiche info CDD_ Avenant 2'!$AZ$7</f>
        <v>0</v>
      </c>
      <c r="CF590" s="449">
        <f>'Fiche info CDD_ Avenant 2'!$BA$7</f>
        <v>0</v>
      </c>
      <c r="ED590" s="16" t="str">
        <f t="shared" si="122"/>
        <v>Fiche info CDD_ Avenant 2E</v>
      </c>
      <c r="EE590" s="16" t="str">
        <f t="shared" si="123"/>
        <v>Fiche info CDD_ Avenant 2</v>
      </c>
      <c r="EF590" s="16" t="str">
        <f t="shared" si="124"/>
        <v>E</v>
      </c>
      <c r="EG590" s="16">
        <f t="shared" si="125"/>
        <v>1</v>
      </c>
      <c r="EH590" s="16" t="str">
        <f t="shared" si="126"/>
        <v>Lundi</v>
      </c>
      <c r="EI590" s="16" t="str">
        <f t="shared" si="127"/>
        <v/>
      </c>
    </row>
    <row r="591" spans="1:139" x14ac:dyDescent="0.2">
      <c r="A591" s="16" t="str">
        <f t="shared" si="120"/>
        <v>Fiche info CDD_ Avenant 2E2</v>
      </c>
      <c r="B591" s="16" t="str">
        <f t="shared" si="121"/>
        <v>Fiche info CDD_ Avenant 2</v>
      </c>
      <c r="C591" s="27" t="s">
        <v>243</v>
      </c>
      <c r="D591" s="27">
        <v>2</v>
      </c>
      <c r="E591" s="16" t="s">
        <v>18</v>
      </c>
      <c r="F591" s="34" t="str">
        <f>IF(+'Fiche info CDD_ Avenant 2'!$BC$8=0,"",'Fiche info CDD_ Avenant 2'!$BC$8)</f>
        <v/>
      </c>
      <c r="G591" s="16">
        <f t="shared" si="128"/>
        <v>0</v>
      </c>
      <c r="BX591" s="16" t="str">
        <f t="shared" si="129"/>
        <v>Fiche info CDD_ Avenant 2E2</v>
      </c>
      <c r="BY591" s="449">
        <f>'Fiche info CDD_ Avenant 2'!$AT$8</f>
        <v>0</v>
      </c>
      <c r="BZ591" s="449">
        <f>'Fiche info CDD_ Avenant 2'!$AU$8</f>
        <v>0</v>
      </c>
      <c r="CA591" s="449">
        <f>'Fiche info CDD_ Avenant 2'!$AV$8</f>
        <v>0</v>
      </c>
      <c r="CB591" s="449">
        <f>'Fiche info CDD_ Avenant 2'!$AW$8</f>
        <v>0</v>
      </c>
      <c r="CC591" s="449">
        <f>'Fiche info CDD_ Avenant 2'!$AX$8</f>
        <v>0</v>
      </c>
      <c r="CD591" s="449">
        <f>'Fiche info CDD_ Avenant 2'!$AY$8</f>
        <v>0</v>
      </c>
      <c r="CE591" s="449">
        <f>'Fiche info CDD_ Avenant 2'!$AZ$8</f>
        <v>0</v>
      </c>
      <c r="CF591" s="449">
        <f>'Fiche info CDD_ Avenant 2'!$BA$8</f>
        <v>0</v>
      </c>
      <c r="ED591" s="16" t="str">
        <f t="shared" si="122"/>
        <v>Fiche info CDD_ Avenant 2E</v>
      </c>
      <c r="EE591" s="16" t="str">
        <f t="shared" si="123"/>
        <v>Fiche info CDD_ Avenant 2</v>
      </c>
      <c r="EF591" s="16" t="str">
        <f t="shared" si="124"/>
        <v>E</v>
      </c>
      <c r="EG591" s="16">
        <f t="shared" si="125"/>
        <v>2</v>
      </c>
      <c r="EH591" s="16" t="str">
        <f t="shared" si="126"/>
        <v>Mardi</v>
      </c>
      <c r="EI591" s="16" t="str">
        <f t="shared" si="127"/>
        <v/>
      </c>
    </row>
    <row r="592" spans="1:139" x14ac:dyDescent="0.2">
      <c r="A592" s="16" t="str">
        <f t="shared" si="120"/>
        <v>Fiche info CDD_ Avenant 2E3</v>
      </c>
      <c r="B592" s="16" t="str">
        <f t="shared" si="121"/>
        <v>Fiche info CDD_ Avenant 2</v>
      </c>
      <c r="C592" s="27" t="s">
        <v>243</v>
      </c>
      <c r="D592" s="27">
        <v>3</v>
      </c>
      <c r="E592" s="16" t="s">
        <v>19</v>
      </c>
      <c r="F592" s="34" t="str">
        <f>IF(+'Fiche info CDD_ Avenant 2'!$BC$9=0,"",'Fiche info CDD_ Avenant 2'!$BC$9)</f>
        <v/>
      </c>
      <c r="G592" s="16">
        <f t="shared" si="128"/>
        <v>0</v>
      </c>
      <c r="BX592" s="16" t="str">
        <f t="shared" si="129"/>
        <v>Fiche info CDD_ Avenant 2E3</v>
      </c>
      <c r="BY592" s="449">
        <f>'Fiche info CDD_ Avenant 2'!$AT$9</f>
        <v>0</v>
      </c>
      <c r="BZ592" s="449">
        <f>'Fiche info CDD_ Avenant 2'!$AU$9</f>
        <v>0</v>
      </c>
      <c r="CA592" s="449">
        <f>'Fiche info CDD_ Avenant 2'!$AV$9</f>
        <v>0</v>
      </c>
      <c r="CB592" s="449">
        <f>'Fiche info CDD_ Avenant 2'!$AW$9</f>
        <v>0</v>
      </c>
      <c r="CC592" s="449">
        <f>'Fiche info CDD_ Avenant 2'!$AX$9</f>
        <v>0</v>
      </c>
      <c r="CD592" s="449">
        <f>'Fiche info CDD_ Avenant 2'!$AY$9</f>
        <v>0</v>
      </c>
      <c r="CE592" s="449">
        <f>'Fiche info CDD_ Avenant 2'!$AZ$9</f>
        <v>0</v>
      </c>
      <c r="CF592" s="449">
        <f>'Fiche info CDD_ Avenant 2'!$BA$9</f>
        <v>0</v>
      </c>
      <c r="ED592" s="16" t="str">
        <f t="shared" si="122"/>
        <v>Fiche info CDD_ Avenant 2E</v>
      </c>
      <c r="EE592" s="16" t="str">
        <f t="shared" si="123"/>
        <v>Fiche info CDD_ Avenant 2</v>
      </c>
      <c r="EF592" s="16" t="str">
        <f t="shared" si="124"/>
        <v>E</v>
      </c>
      <c r="EG592" s="16">
        <f t="shared" si="125"/>
        <v>3</v>
      </c>
      <c r="EH592" s="16" t="str">
        <f t="shared" si="126"/>
        <v>Mercredi</v>
      </c>
      <c r="EI592" s="16" t="str">
        <f t="shared" si="127"/>
        <v/>
      </c>
    </row>
    <row r="593" spans="1:139" x14ac:dyDescent="0.2">
      <c r="A593" s="16" t="str">
        <f t="shared" si="120"/>
        <v>Fiche info CDD_ Avenant 2E4</v>
      </c>
      <c r="B593" s="16" t="str">
        <f t="shared" si="121"/>
        <v>Fiche info CDD_ Avenant 2</v>
      </c>
      <c r="C593" s="27" t="s">
        <v>243</v>
      </c>
      <c r="D593" s="27">
        <v>4</v>
      </c>
      <c r="E593" s="16" t="s">
        <v>20</v>
      </c>
      <c r="F593" s="34" t="str">
        <f>IF(+'Fiche info CDD_ Avenant 2'!$BC$10=0,"",'Fiche info CDD_ Avenant 2'!$BC$10)</f>
        <v/>
      </c>
      <c r="G593" s="16">
        <f t="shared" si="128"/>
        <v>0</v>
      </c>
      <c r="BX593" s="16" t="str">
        <f t="shared" si="129"/>
        <v>Fiche info CDD_ Avenant 2E4</v>
      </c>
      <c r="BY593" s="449">
        <f>'Fiche info CDD_ Avenant 2'!$AT$10</f>
        <v>0</v>
      </c>
      <c r="BZ593" s="449">
        <f>'Fiche info CDD_ Avenant 2'!$AU$10</f>
        <v>0</v>
      </c>
      <c r="CA593" s="449">
        <f>'Fiche info CDD_ Avenant 2'!$AV$10</f>
        <v>0</v>
      </c>
      <c r="CB593" s="449">
        <f>'Fiche info CDD_ Avenant 2'!$AW$10</f>
        <v>0</v>
      </c>
      <c r="CC593" s="449">
        <f>'Fiche info CDD_ Avenant 2'!$AX$10</f>
        <v>0</v>
      </c>
      <c r="CD593" s="449">
        <f>'Fiche info CDD_ Avenant 2'!$AY$10</f>
        <v>0</v>
      </c>
      <c r="CE593" s="449">
        <f>'Fiche info CDD_ Avenant 2'!$AZ$10</f>
        <v>0</v>
      </c>
      <c r="CF593" s="449">
        <f>'Fiche info CDD_ Avenant 2'!$BA$10</f>
        <v>0</v>
      </c>
      <c r="ED593" s="16" t="str">
        <f t="shared" si="122"/>
        <v>Fiche info CDD_ Avenant 2E</v>
      </c>
      <c r="EE593" s="16" t="str">
        <f t="shared" si="123"/>
        <v>Fiche info CDD_ Avenant 2</v>
      </c>
      <c r="EF593" s="16" t="str">
        <f t="shared" si="124"/>
        <v>E</v>
      </c>
      <c r="EG593" s="16">
        <f t="shared" si="125"/>
        <v>4</v>
      </c>
      <c r="EH593" s="16" t="str">
        <f t="shared" si="126"/>
        <v>Jeudi</v>
      </c>
      <c r="EI593" s="16" t="str">
        <f t="shared" si="127"/>
        <v/>
      </c>
    </row>
    <row r="594" spans="1:139" x14ac:dyDescent="0.2">
      <c r="A594" s="16" t="str">
        <f t="shared" si="120"/>
        <v>Fiche info CDD_ Avenant 2E5</v>
      </c>
      <c r="B594" s="16" t="str">
        <f t="shared" si="121"/>
        <v>Fiche info CDD_ Avenant 2</v>
      </c>
      <c r="C594" s="27" t="s">
        <v>243</v>
      </c>
      <c r="D594" s="27">
        <v>5</v>
      </c>
      <c r="E594" s="16" t="s">
        <v>21</v>
      </c>
      <c r="F594" s="34" t="str">
        <f>IF(+'Fiche info CDD_ Avenant 2'!$BC$11=0,"",'Fiche info CDD_ Avenant 2'!$BC$11)</f>
        <v/>
      </c>
      <c r="G594" s="16">
        <f t="shared" si="128"/>
        <v>0</v>
      </c>
      <c r="BX594" s="16" t="str">
        <f t="shared" si="129"/>
        <v>Fiche info CDD_ Avenant 2E5</v>
      </c>
      <c r="BY594" s="449">
        <f>'Fiche info CDD_ Avenant 2'!$AT$11</f>
        <v>0</v>
      </c>
      <c r="BZ594" s="449">
        <f>'Fiche info CDD_ Avenant 2'!$AU$11</f>
        <v>0</v>
      </c>
      <c r="CA594" s="449">
        <f>'Fiche info CDD_ Avenant 2'!$AV$11</f>
        <v>0</v>
      </c>
      <c r="CB594" s="449">
        <f>'Fiche info CDD_ Avenant 2'!$AW$11</f>
        <v>0</v>
      </c>
      <c r="CC594" s="449">
        <f>'Fiche info CDD_ Avenant 2'!$AX$11</f>
        <v>0</v>
      </c>
      <c r="CD594" s="449">
        <f>'Fiche info CDD_ Avenant 2'!$AY$11</f>
        <v>0</v>
      </c>
      <c r="CE594" s="449">
        <f>'Fiche info CDD_ Avenant 2'!$AZ$11</f>
        <v>0</v>
      </c>
      <c r="CF594" s="449">
        <f>'Fiche info CDD_ Avenant 2'!$BA$11</f>
        <v>0</v>
      </c>
      <c r="ED594" s="16" t="str">
        <f t="shared" si="122"/>
        <v>Fiche info CDD_ Avenant 2E</v>
      </c>
      <c r="EE594" s="16" t="str">
        <f t="shared" si="123"/>
        <v>Fiche info CDD_ Avenant 2</v>
      </c>
      <c r="EF594" s="16" t="str">
        <f t="shared" si="124"/>
        <v>E</v>
      </c>
      <c r="EG594" s="16">
        <f t="shared" si="125"/>
        <v>5</v>
      </c>
      <c r="EH594" s="16" t="str">
        <f t="shared" si="126"/>
        <v>Vendredi</v>
      </c>
      <c r="EI594" s="16" t="str">
        <f t="shared" si="127"/>
        <v/>
      </c>
    </row>
    <row r="595" spans="1:139" x14ac:dyDescent="0.2">
      <c r="A595" s="16" t="str">
        <f t="shared" si="120"/>
        <v>Fiche info CDD_ Avenant 2E6</v>
      </c>
      <c r="B595" s="16" t="str">
        <f t="shared" si="121"/>
        <v>Fiche info CDD_ Avenant 2</v>
      </c>
      <c r="C595" s="27" t="s">
        <v>243</v>
      </c>
      <c r="D595" s="27">
        <v>6</v>
      </c>
      <c r="E595" s="16" t="s">
        <v>193</v>
      </c>
      <c r="F595" s="34" t="str">
        <f>IF(+'Fiche info CDD_ Avenant 2'!$BC$12=0,"",'Fiche info CDD_ Avenant 2'!$BC$12)</f>
        <v/>
      </c>
      <c r="G595" s="16">
        <f t="shared" si="128"/>
        <v>0</v>
      </c>
      <c r="BX595" s="16" t="str">
        <f t="shared" si="129"/>
        <v>Fiche info CDD_ Avenant 2E6</v>
      </c>
      <c r="BY595" s="449">
        <f>'Fiche info CDD_ Avenant 2'!$AT$12</f>
        <v>0</v>
      </c>
      <c r="BZ595" s="449">
        <f>'Fiche info CDD_ Avenant 2'!$AU$12</f>
        <v>0</v>
      </c>
      <c r="CA595" s="449">
        <f>'Fiche info CDD_ Avenant 2'!$AV$12</f>
        <v>0</v>
      </c>
      <c r="CB595" s="449">
        <f>'Fiche info CDD_ Avenant 2'!$AW$12</f>
        <v>0</v>
      </c>
      <c r="CC595" s="449">
        <f>'Fiche info CDD_ Avenant 2'!$AX$12</f>
        <v>0</v>
      </c>
      <c r="CD595" s="449">
        <f>'Fiche info CDD_ Avenant 2'!$AY$12</f>
        <v>0</v>
      </c>
      <c r="CE595" s="449">
        <f>'Fiche info CDD_ Avenant 2'!$AZ$12</f>
        <v>0</v>
      </c>
      <c r="CF595" s="449">
        <f>'Fiche info CDD_ Avenant 2'!$BA$12</f>
        <v>0</v>
      </c>
      <c r="ED595" s="16" t="str">
        <f t="shared" si="122"/>
        <v>Fiche info CDD_ Avenant 2E</v>
      </c>
      <c r="EE595" s="16" t="str">
        <f t="shared" si="123"/>
        <v>Fiche info CDD_ Avenant 2</v>
      </c>
      <c r="EF595" s="16" t="str">
        <f t="shared" si="124"/>
        <v>E</v>
      </c>
      <c r="EG595" s="16">
        <f t="shared" si="125"/>
        <v>6</v>
      </c>
      <c r="EH595" s="16" t="str">
        <f t="shared" si="126"/>
        <v>Samedi</v>
      </c>
      <c r="EI595" s="16" t="str">
        <f t="shared" si="127"/>
        <v/>
      </c>
    </row>
    <row r="596" spans="1:139" x14ac:dyDescent="0.2">
      <c r="A596" s="16" t="str">
        <f t="shared" si="120"/>
        <v>Fiche info CDD_ Avenant 2E7</v>
      </c>
      <c r="B596" s="16" t="str">
        <f t="shared" si="121"/>
        <v>Fiche info CDD_ Avenant 2</v>
      </c>
      <c r="C596" s="27" t="s">
        <v>243</v>
      </c>
      <c r="D596" s="27">
        <v>7</v>
      </c>
      <c r="E596" s="16" t="s">
        <v>194</v>
      </c>
      <c r="F596" s="34" t="str">
        <f>IF(+'Fiche info CDD_ Avenant 2'!$BC$13=0,"",'Fiche info CDD_ Avenant 2'!$BC$13)</f>
        <v/>
      </c>
      <c r="G596" s="16">
        <f t="shared" si="128"/>
        <v>0</v>
      </c>
      <c r="BX596" s="16" t="str">
        <f t="shared" si="129"/>
        <v>Fiche info CDD_ Avenant 2E7</v>
      </c>
      <c r="BY596" s="449">
        <f>'Fiche info CDD_ Avenant 2'!$AT$13</f>
        <v>0</v>
      </c>
      <c r="BZ596" s="449">
        <f>'Fiche info CDD_ Avenant 2'!$AU$13</f>
        <v>0</v>
      </c>
      <c r="CA596" s="449">
        <f>'Fiche info CDD_ Avenant 2'!$AV$13</f>
        <v>0</v>
      </c>
      <c r="CB596" s="449">
        <f>'Fiche info CDD_ Avenant 2'!$AW$13</f>
        <v>0</v>
      </c>
      <c r="CC596" s="449">
        <f>'Fiche info CDD_ Avenant 2'!$AX$13</f>
        <v>0</v>
      </c>
      <c r="CD596" s="449">
        <f>'Fiche info CDD_ Avenant 2'!$AY$13</f>
        <v>0</v>
      </c>
      <c r="CE596" s="449">
        <f>'Fiche info CDD_ Avenant 2'!$AZ$13</f>
        <v>0</v>
      </c>
      <c r="CF596" s="449">
        <f>'Fiche info CDD_ Avenant 2'!$BA$13</f>
        <v>0</v>
      </c>
      <c r="ED596" s="16" t="str">
        <f t="shared" si="122"/>
        <v>Fiche info CDD_ Avenant 2E</v>
      </c>
      <c r="EE596" s="16" t="str">
        <f t="shared" si="123"/>
        <v>Fiche info CDD_ Avenant 2</v>
      </c>
      <c r="EF596" s="16" t="str">
        <f t="shared" si="124"/>
        <v>E</v>
      </c>
      <c r="EG596" s="16">
        <f t="shared" si="125"/>
        <v>7</v>
      </c>
      <c r="EH596" s="16" t="str">
        <f t="shared" si="126"/>
        <v>Dimanche</v>
      </c>
      <c r="EI596" s="16" t="str">
        <f t="shared" si="127"/>
        <v/>
      </c>
    </row>
    <row r="597" spans="1:139" x14ac:dyDescent="0.2">
      <c r="A597" s="16" t="str">
        <f t="shared" si="120"/>
        <v>Fiche info CDD_ Avenant 2F1</v>
      </c>
      <c r="B597" s="16" t="str">
        <f t="shared" si="121"/>
        <v>Fiche info CDD_ Avenant 2</v>
      </c>
      <c r="C597" s="27" t="s">
        <v>244</v>
      </c>
      <c r="D597" s="27">
        <v>1</v>
      </c>
      <c r="E597" s="16" t="s">
        <v>17</v>
      </c>
      <c r="F597" s="34" t="str">
        <f>+IF('Fiche info CDD_ Avenant 2'!$BN$7=0,"",'Fiche info CDD_ Avenant 2'!$BN$7)</f>
        <v/>
      </c>
      <c r="G597" s="16">
        <f t="shared" si="128"/>
        <v>0</v>
      </c>
      <c r="BX597" s="16" t="str">
        <f t="shared" si="129"/>
        <v>Fiche info CDD_ Avenant 2F1</v>
      </c>
      <c r="BY597" s="449">
        <f>'Fiche info CDD_ Avenant 2'!$BE$7</f>
        <v>0</v>
      </c>
      <c r="BZ597" s="449">
        <f>'Fiche info CDD_ Avenant 2'!$BF$7</f>
        <v>0</v>
      </c>
      <c r="CA597" s="449">
        <f>'Fiche info CDD_ Avenant 2'!$BG$7</f>
        <v>0</v>
      </c>
      <c r="CB597" s="449">
        <f>'Fiche info CDD_ Avenant 2'!$BH$7</f>
        <v>0</v>
      </c>
      <c r="CC597" s="449">
        <f>'Fiche info CDD_ Avenant 2'!$BI$7</f>
        <v>0</v>
      </c>
      <c r="CD597" s="449">
        <f>'Fiche info CDD_ Avenant 2'!$BJ$7</f>
        <v>0</v>
      </c>
      <c r="CE597" s="449">
        <f>'Fiche info CDD_ Avenant 2'!$BK$7</f>
        <v>0</v>
      </c>
      <c r="CF597" s="449">
        <f>'Fiche info CDD_ Avenant 2'!$BL$7</f>
        <v>0</v>
      </c>
      <c r="ED597" s="16" t="str">
        <f t="shared" si="122"/>
        <v>Fiche info CDD_ Avenant 2F</v>
      </c>
      <c r="EE597" s="16" t="str">
        <f t="shared" si="123"/>
        <v>Fiche info CDD_ Avenant 2</v>
      </c>
      <c r="EF597" s="16" t="str">
        <f t="shared" si="124"/>
        <v>F</v>
      </c>
      <c r="EG597" s="16">
        <f t="shared" si="125"/>
        <v>1</v>
      </c>
      <c r="EH597" s="16" t="str">
        <f t="shared" si="126"/>
        <v>Lundi</v>
      </c>
      <c r="EI597" s="16" t="str">
        <f t="shared" si="127"/>
        <v/>
      </c>
    </row>
    <row r="598" spans="1:139" x14ac:dyDescent="0.2">
      <c r="A598" s="16" t="str">
        <f t="shared" si="120"/>
        <v>Fiche info CDD_ Avenant 2F2</v>
      </c>
      <c r="B598" s="16" t="str">
        <f t="shared" si="121"/>
        <v>Fiche info CDD_ Avenant 2</v>
      </c>
      <c r="C598" s="27" t="s">
        <v>244</v>
      </c>
      <c r="D598" s="27">
        <v>2</v>
      </c>
      <c r="E598" s="16" t="s">
        <v>18</v>
      </c>
      <c r="F598" s="34" t="str">
        <f>+IF('Fiche info CDD_ Avenant 2'!$BN$8=0,"",'Fiche info CDD_ Avenant 2'!$BN$8)</f>
        <v/>
      </c>
      <c r="G598" s="16">
        <f t="shared" si="128"/>
        <v>0</v>
      </c>
      <c r="BX598" s="16" t="str">
        <f t="shared" si="129"/>
        <v>Fiche info CDD_ Avenant 2F2</v>
      </c>
      <c r="BY598" s="449">
        <f>'Fiche info CDD_ Avenant 2'!$BE$8</f>
        <v>0</v>
      </c>
      <c r="BZ598" s="449">
        <f>'Fiche info CDD_ Avenant 2'!$BF$8</f>
        <v>0</v>
      </c>
      <c r="CA598" s="449">
        <f>'Fiche info CDD_ Avenant 2'!$BG$8</f>
        <v>0</v>
      </c>
      <c r="CB598" s="449">
        <f>'Fiche info CDD_ Avenant 2'!$BH$8</f>
        <v>0</v>
      </c>
      <c r="CC598" s="449">
        <f>'Fiche info CDD_ Avenant 2'!$BI$8</f>
        <v>0</v>
      </c>
      <c r="CD598" s="449">
        <f>'Fiche info CDD_ Avenant 2'!$BJ$8</f>
        <v>0</v>
      </c>
      <c r="CE598" s="449">
        <f>'Fiche info CDD_ Avenant 2'!$BK$8</f>
        <v>0</v>
      </c>
      <c r="CF598" s="449">
        <f>'Fiche info CDD_ Avenant 2'!$BL$8</f>
        <v>0</v>
      </c>
      <c r="ED598" s="16" t="str">
        <f t="shared" si="122"/>
        <v>Fiche info CDD_ Avenant 2F</v>
      </c>
      <c r="EE598" s="16" t="str">
        <f t="shared" si="123"/>
        <v>Fiche info CDD_ Avenant 2</v>
      </c>
      <c r="EF598" s="16" t="str">
        <f t="shared" si="124"/>
        <v>F</v>
      </c>
      <c r="EG598" s="16">
        <f t="shared" si="125"/>
        <v>2</v>
      </c>
      <c r="EH598" s="16" t="str">
        <f t="shared" si="126"/>
        <v>Mardi</v>
      </c>
      <c r="EI598" s="16" t="str">
        <f t="shared" si="127"/>
        <v/>
      </c>
    </row>
    <row r="599" spans="1:139" x14ac:dyDescent="0.2">
      <c r="A599" s="16" t="str">
        <f t="shared" si="120"/>
        <v>Fiche info CDD_ Avenant 2F3</v>
      </c>
      <c r="B599" s="16" t="str">
        <f t="shared" si="121"/>
        <v>Fiche info CDD_ Avenant 2</v>
      </c>
      <c r="C599" s="27" t="s">
        <v>244</v>
      </c>
      <c r="D599" s="27">
        <v>3</v>
      </c>
      <c r="E599" s="16" t="s">
        <v>19</v>
      </c>
      <c r="F599" s="34" t="str">
        <f>+IF('Fiche info CDD_ Avenant 2'!$BN$9=0,"",'Fiche info CDD_ Avenant 2'!$BN$9)</f>
        <v/>
      </c>
      <c r="G599" s="16">
        <f t="shared" si="128"/>
        <v>0</v>
      </c>
      <c r="BX599" s="16" t="str">
        <f t="shared" si="129"/>
        <v>Fiche info CDD_ Avenant 2F3</v>
      </c>
      <c r="BY599" s="449">
        <f>'Fiche info CDD_ Avenant 2'!$BE$9</f>
        <v>0</v>
      </c>
      <c r="BZ599" s="449">
        <f>'Fiche info CDD_ Avenant 2'!$BF$9</f>
        <v>0</v>
      </c>
      <c r="CA599" s="449">
        <f>'Fiche info CDD_ Avenant 2'!$BG$9</f>
        <v>0</v>
      </c>
      <c r="CB599" s="449">
        <f>'Fiche info CDD_ Avenant 2'!$BH$9</f>
        <v>0</v>
      </c>
      <c r="CC599" s="449">
        <f>'Fiche info CDD_ Avenant 2'!$BI$9</f>
        <v>0</v>
      </c>
      <c r="CD599" s="449">
        <f>'Fiche info CDD_ Avenant 2'!$BJ$9</f>
        <v>0</v>
      </c>
      <c r="CE599" s="449">
        <f>'Fiche info CDD_ Avenant 2'!$BK$9</f>
        <v>0</v>
      </c>
      <c r="CF599" s="449">
        <f>'Fiche info CDD_ Avenant 2'!$BL$9</f>
        <v>0</v>
      </c>
      <c r="ED599" s="16" t="str">
        <f t="shared" si="122"/>
        <v>Fiche info CDD_ Avenant 2F</v>
      </c>
      <c r="EE599" s="16" t="str">
        <f t="shared" si="123"/>
        <v>Fiche info CDD_ Avenant 2</v>
      </c>
      <c r="EF599" s="16" t="str">
        <f t="shared" si="124"/>
        <v>F</v>
      </c>
      <c r="EG599" s="16">
        <f t="shared" si="125"/>
        <v>3</v>
      </c>
      <c r="EH599" s="16" t="str">
        <f t="shared" si="126"/>
        <v>Mercredi</v>
      </c>
      <c r="EI599" s="16" t="str">
        <f t="shared" si="127"/>
        <v/>
      </c>
    </row>
    <row r="600" spans="1:139" x14ac:dyDescent="0.2">
      <c r="A600" s="16" t="str">
        <f t="shared" si="120"/>
        <v>Fiche info CDD_ Avenant 2F4</v>
      </c>
      <c r="B600" s="16" t="str">
        <f t="shared" si="121"/>
        <v>Fiche info CDD_ Avenant 2</v>
      </c>
      <c r="C600" s="27" t="s">
        <v>244</v>
      </c>
      <c r="D600" s="27">
        <v>4</v>
      </c>
      <c r="E600" s="16" t="s">
        <v>20</v>
      </c>
      <c r="F600" s="34" t="str">
        <f>+IF('Fiche info CDD_ Avenant 2'!$BN$10=0,"",'Fiche info CDD_ Avenant 2'!$BN$10)</f>
        <v/>
      </c>
      <c r="G600" s="16">
        <f t="shared" si="128"/>
        <v>0</v>
      </c>
      <c r="BX600" s="16" t="str">
        <f t="shared" si="129"/>
        <v>Fiche info CDD_ Avenant 2F4</v>
      </c>
      <c r="BY600" s="449">
        <f>'Fiche info CDD_ Avenant 2'!$BE$10</f>
        <v>0</v>
      </c>
      <c r="BZ600" s="449">
        <f>'Fiche info CDD_ Avenant 2'!$BF$10</f>
        <v>0</v>
      </c>
      <c r="CA600" s="449">
        <f>'Fiche info CDD_ Avenant 2'!$BG$10</f>
        <v>0</v>
      </c>
      <c r="CB600" s="449">
        <f>'Fiche info CDD_ Avenant 2'!$BH$10</f>
        <v>0</v>
      </c>
      <c r="CC600" s="449">
        <f>'Fiche info CDD_ Avenant 2'!$BI$10</f>
        <v>0</v>
      </c>
      <c r="CD600" s="449">
        <f>'Fiche info CDD_ Avenant 2'!$BJ$10</f>
        <v>0</v>
      </c>
      <c r="CE600" s="449">
        <f>'Fiche info CDD_ Avenant 2'!$BK$10</f>
        <v>0</v>
      </c>
      <c r="CF600" s="449">
        <f>'Fiche info CDD_ Avenant 2'!$BL$10</f>
        <v>0</v>
      </c>
      <c r="ED600" s="16" t="str">
        <f t="shared" si="122"/>
        <v>Fiche info CDD_ Avenant 2F</v>
      </c>
      <c r="EE600" s="16" t="str">
        <f t="shared" si="123"/>
        <v>Fiche info CDD_ Avenant 2</v>
      </c>
      <c r="EF600" s="16" t="str">
        <f t="shared" si="124"/>
        <v>F</v>
      </c>
      <c r="EG600" s="16">
        <f t="shared" si="125"/>
        <v>4</v>
      </c>
      <c r="EH600" s="16" t="str">
        <f t="shared" si="126"/>
        <v>Jeudi</v>
      </c>
      <c r="EI600" s="16" t="str">
        <f t="shared" si="127"/>
        <v/>
      </c>
    </row>
    <row r="601" spans="1:139" x14ac:dyDescent="0.2">
      <c r="A601" s="16" t="str">
        <f t="shared" si="120"/>
        <v>Fiche info CDD_ Avenant 2F5</v>
      </c>
      <c r="B601" s="16" t="str">
        <f t="shared" si="121"/>
        <v>Fiche info CDD_ Avenant 2</v>
      </c>
      <c r="C601" s="27" t="s">
        <v>244</v>
      </c>
      <c r="D601" s="27">
        <v>5</v>
      </c>
      <c r="E601" s="16" t="s">
        <v>21</v>
      </c>
      <c r="F601" s="34" t="str">
        <f>+IF('Fiche info CDD_ Avenant 2'!$BN$11=0,"",'Fiche info CDD_ Avenant 2'!$BN$11)</f>
        <v/>
      </c>
      <c r="G601" s="16">
        <f t="shared" si="128"/>
        <v>0</v>
      </c>
      <c r="BX601" s="16" t="str">
        <f t="shared" si="129"/>
        <v>Fiche info CDD_ Avenant 2F5</v>
      </c>
      <c r="BY601" s="449">
        <f>'Fiche info CDD_ Avenant 2'!$BE$11</f>
        <v>0</v>
      </c>
      <c r="BZ601" s="449">
        <f>'Fiche info CDD_ Avenant 2'!$BF$11</f>
        <v>0</v>
      </c>
      <c r="CA601" s="449">
        <f>'Fiche info CDD_ Avenant 2'!$BG$11</f>
        <v>0</v>
      </c>
      <c r="CB601" s="449">
        <f>'Fiche info CDD_ Avenant 2'!$BH$11</f>
        <v>0</v>
      </c>
      <c r="CC601" s="449">
        <f>'Fiche info CDD_ Avenant 2'!$BI$11</f>
        <v>0</v>
      </c>
      <c r="CD601" s="449">
        <f>'Fiche info CDD_ Avenant 2'!$BJ$11</f>
        <v>0</v>
      </c>
      <c r="CE601" s="449">
        <f>'Fiche info CDD_ Avenant 2'!$BK$11</f>
        <v>0</v>
      </c>
      <c r="CF601" s="449">
        <f>'Fiche info CDD_ Avenant 2'!$BL$11</f>
        <v>0</v>
      </c>
      <c r="ED601" s="16" t="str">
        <f t="shared" si="122"/>
        <v>Fiche info CDD_ Avenant 2F</v>
      </c>
      <c r="EE601" s="16" t="str">
        <f t="shared" si="123"/>
        <v>Fiche info CDD_ Avenant 2</v>
      </c>
      <c r="EF601" s="16" t="str">
        <f t="shared" si="124"/>
        <v>F</v>
      </c>
      <c r="EG601" s="16">
        <f t="shared" si="125"/>
        <v>5</v>
      </c>
      <c r="EH601" s="16" t="str">
        <f t="shared" si="126"/>
        <v>Vendredi</v>
      </c>
      <c r="EI601" s="16" t="str">
        <f t="shared" si="127"/>
        <v/>
      </c>
    </row>
    <row r="602" spans="1:139" x14ac:dyDescent="0.2">
      <c r="A602" s="16" t="str">
        <f t="shared" si="120"/>
        <v>Fiche info CDD_ Avenant 2F6</v>
      </c>
      <c r="B602" s="16" t="str">
        <f t="shared" si="121"/>
        <v>Fiche info CDD_ Avenant 2</v>
      </c>
      <c r="C602" s="27" t="s">
        <v>244</v>
      </c>
      <c r="D602" s="27">
        <v>6</v>
      </c>
      <c r="E602" s="16" t="s">
        <v>193</v>
      </c>
      <c r="F602" s="34" t="str">
        <f>+IF('Fiche info CDD_ Avenant 2'!$BN$12=0,"",'Fiche info CDD_ Avenant 2'!$BN$12)</f>
        <v/>
      </c>
      <c r="G602" s="16">
        <f t="shared" si="128"/>
        <v>0</v>
      </c>
      <c r="BX602" s="16" t="str">
        <f t="shared" si="129"/>
        <v>Fiche info CDD_ Avenant 2F6</v>
      </c>
      <c r="BY602" s="449">
        <f>'Fiche info CDD_ Avenant 2'!$BE$12</f>
        <v>0</v>
      </c>
      <c r="BZ602" s="449">
        <f>'Fiche info CDD_ Avenant 2'!$BF$12</f>
        <v>0</v>
      </c>
      <c r="CA602" s="449">
        <f>'Fiche info CDD_ Avenant 2'!$BG$12</f>
        <v>0</v>
      </c>
      <c r="CB602" s="449">
        <f>'Fiche info CDD_ Avenant 2'!$BH$12</f>
        <v>0</v>
      </c>
      <c r="CC602" s="449">
        <f>'Fiche info CDD_ Avenant 2'!$BI$12</f>
        <v>0</v>
      </c>
      <c r="CD602" s="449">
        <f>'Fiche info CDD_ Avenant 2'!$BJ$12</f>
        <v>0</v>
      </c>
      <c r="CE602" s="449">
        <f>'Fiche info CDD_ Avenant 2'!$BK$12</f>
        <v>0</v>
      </c>
      <c r="CF602" s="449">
        <f>'Fiche info CDD_ Avenant 2'!$BL$12</f>
        <v>0</v>
      </c>
      <c r="ED602" s="16" t="str">
        <f t="shared" si="122"/>
        <v>Fiche info CDD_ Avenant 2F</v>
      </c>
      <c r="EE602" s="16" t="str">
        <f t="shared" si="123"/>
        <v>Fiche info CDD_ Avenant 2</v>
      </c>
      <c r="EF602" s="16" t="str">
        <f t="shared" si="124"/>
        <v>F</v>
      </c>
      <c r="EG602" s="16">
        <f t="shared" si="125"/>
        <v>6</v>
      </c>
      <c r="EH602" s="16" t="str">
        <f t="shared" si="126"/>
        <v>Samedi</v>
      </c>
      <c r="EI602" s="16" t="str">
        <f t="shared" si="127"/>
        <v/>
      </c>
    </row>
    <row r="603" spans="1:139" x14ac:dyDescent="0.2">
      <c r="A603" s="16" t="str">
        <f t="shared" si="120"/>
        <v>Fiche info CDD_ Avenant 2F7</v>
      </c>
      <c r="B603" s="16" t="str">
        <f t="shared" si="121"/>
        <v>Fiche info CDD_ Avenant 2</v>
      </c>
      <c r="C603" s="27" t="s">
        <v>244</v>
      </c>
      <c r="D603" s="27">
        <v>7</v>
      </c>
      <c r="E603" s="16" t="s">
        <v>194</v>
      </c>
      <c r="F603" s="34" t="str">
        <f>+IF('Fiche info CDD_ Avenant 2'!$BN$13=0,"",'Fiche info CDD_ Avenant 2'!$BN$13)</f>
        <v/>
      </c>
      <c r="G603" s="16">
        <f t="shared" si="128"/>
        <v>0</v>
      </c>
      <c r="BX603" s="16" t="str">
        <f t="shared" si="129"/>
        <v>Fiche info CDD_ Avenant 2F7</v>
      </c>
      <c r="BY603" s="449">
        <f>'Fiche info CDD_ Avenant 2'!$BE$13</f>
        <v>0</v>
      </c>
      <c r="BZ603" s="449">
        <f>'Fiche info CDD_ Avenant 2'!$BF$13</f>
        <v>0</v>
      </c>
      <c r="CA603" s="449">
        <f>'Fiche info CDD_ Avenant 2'!$BG$13</f>
        <v>0</v>
      </c>
      <c r="CB603" s="449">
        <f>'Fiche info CDD_ Avenant 2'!$BH$13</f>
        <v>0</v>
      </c>
      <c r="CC603" s="449">
        <f>'Fiche info CDD_ Avenant 2'!$BI$13</f>
        <v>0</v>
      </c>
      <c r="CD603" s="449">
        <f>'Fiche info CDD_ Avenant 2'!$BJ$13</f>
        <v>0</v>
      </c>
      <c r="CE603" s="449">
        <f>'Fiche info CDD_ Avenant 2'!$BK$13</f>
        <v>0</v>
      </c>
      <c r="CF603" s="449">
        <f>'Fiche info CDD_ Avenant 2'!$BL$13</f>
        <v>0</v>
      </c>
      <c r="ED603" s="16" t="str">
        <f t="shared" si="122"/>
        <v>Fiche info CDD_ Avenant 2F</v>
      </c>
      <c r="EE603" s="16" t="str">
        <f t="shared" si="123"/>
        <v>Fiche info CDD_ Avenant 2</v>
      </c>
      <c r="EF603" s="16" t="str">
        <f t="shared" si="124"/>
        <v>F</v>
      </c>
      <c r="EG603" s="16">
        <f t="shared" si="125"/>
        <v>7</v>
      </c>
      <c r="EH603" s="16" t="str">
        <f t="shared" si="126"/>
        <v>Dimanche</v>
      </c>
      <c r="EI603" s="16" t="str">
        <f t="shared" si="127"/>
        <v/>
      </c>
    </row>
    <row r="604" spans="1:139" x14ac:dyDescent="0.2">
      <c r="A604" s="16" t="str">
        <f t="shared" si="120"/>
        <v>Fiche info CDD_ Avenant 2G1</v>
      </c>
      <c r="B604" s="16" t="str">
        <f t="shared" si="121"/>
        <v>Fiche info CDD_ Avenant 2</v>
      </c>
      <c r="C604" s="27" t="s">
        <v>245</v>
      </c>
      <c r="D604" s="27">
        <v>1</v>
      </c>
      <c r="E604" s="16" t="s">
        <v>17</v>
      </c>
      <c r="F604" s="34" t="str">
        <f>+IF('Fiche info CDD_ Avenant 2'!$BY$7=0,"",'Fiche info CDD_ Avenant 2'!$BY$7)</f>
        <v/>
      </c>
      <c r="G604" s="16">
        <f t="shared" si="128"/>
        <v>0</v>
      </c>
      <c r="BX604" s="16" t="str">
        <f t="shared" si="129"/>
        <v>Fiche info CDD_ Avenant 2G1</v>
      </c>
      <c r="BY604" s="449">
        <f>'Fiche info CDD_ Avenant 2'!$BP$7</f>
        <v>0</v>
      </c>
      <c r="BZ604" s="449">
        <f>'Fiche info CDD_ Avenant 2'!$BQ$7</f>
        <v>0</v>
      </c>
      <c r="CA604" s="449">
        <f>'Fiche info CDD_ Avenant 2'!$BR$7</f>
        <v>0</v>
      </c>
      <c r="CB604" s="449">
        <f>'Fiche info CDD_ Avenant 2'!$BS$7</f>
        <v>0</v>
      </c>
      <c r="CC604" s="449">
        <f>'Fiche info CDD_ Avenant 2'!$BT$7</f>
        <v>0</v>
      </c>
      <c r="CD604" s="449">
        <f>'Fiche info CDD_ Avenant 2'!$BU$7</f>
        <v>0</v>
      </c>
      <c r="CE604" s="449">
        <f>'Fiche info CDD_ Avenant 2'!$BV$7</f>
        <v>0</v>
      </c>
      <c r="CF604" s="449">
        <f>'Fiche info CDD_ Avenant 2'!$BW$7</f>
        <v>0</v>
      </c>
      <c r="ED604" s="16" t="str">
        <f t="shared" si="122"/>
        <v>Fiche info CDD_ Avenant 2G</v>
      </c>
      <c r="EE604" s="16" t="str">
        <f t="shared" si="123"/>
        <v>Fiche info CDD_ Avenant 2</v>
      </c>
      <c r="EF604" s="16" t="str">
        <f t="shared" si="124"/>
        <v>G</v>
      </c>
      <c r="EG604" s="16">
        <f t="shared" si="125"/>
        <v>1</v>
      </c>
      <c r="EH604" s="16" t="str">
        <f t="shared" si="126"/>
        <v>Lundi</v>
      </c>
      <c r="EI604" s="16" t="str">
        <f t="shared" si="127"/>
        <v/>
      </c>
    </row>
    <row r="605" spans="1:139" x14ac:dyDescent="0.2">
      <c r="A605" s="16" t="str">
        <f t="shared" si="120"/>
        <v>Fiche info CDD_ Avenant 2G2</v>
      </c>
      <c r="B605" s="16" t="str">
        <f t="shared" si="121"/>
        <v>Fiche info CDD_ Avenant 2</v>
      </c>
      <c r="C605" s="27" t="s">
        <v>245</v>
      </c>
      <c r="D605" s="27">
        <v>2</v>
      </c>
      <c r="E605" s="16" t="s">
        <v>18</v>
      </c>
      <c r="F605" s="34" t="str">
        <f>+IF('Fiche info CDD_ Avenant 2'!$BY$8=0,"",'Fiche info CDD_ Avenant 2'!$BY$8)</f>
        <v/>
      </c>
      <c r="G605" s="16">
        <f t="shared" si="128"/>
        <v>0</v>
      </c>
      <c r="BX605" s="16" t="str">
        <f t="shared" si="129"/>
        <v>Fiche info CDD_ Avenant 2G2</v>
      </c>
      <c r="BY605" s="449">
        <f>'Fiche info CDD_ Avenant 2'!$BP$8</f>
        <v>0</v>
      </c>
      <c r="BZ605" s="449">
        <f>'Fiche info CDD_ Avenant 2'!$BQ$8</f>
        <v>0</v>
      </c>
      <c r="CA605" s="449">
        <f>'Fiche info CDD_ Avenant 2'!$BR$8</f>
        <v>0</v>
      </c>
      <c r="CB605" s="449">
        <f>'Fiche info CDD_ Avenant 2'!$BS$8</f>
        <v>0</v>
      </c>
      <c r="CC605" s="449">
        <f>'Fiche info CDD_ Avenant 2'!$BT$8</f>
        <v>0</v>
      </c>
      <c r="CD605" s="449">
        <f>'Fiche info CDD_ Avenant 2'!$BU$8</f>
        <v>0</v>
      </c>
      <c r="CE605" s="449">
        <f>'Fiche info CDD_ Avenant 2'!$BV$8</f>
        <v>0</v>
      </c>
      <c r="CF605" s="449">
        <f>'Fiche info CDD_ Avenant 2'!$BW$8</f>
        <v>0</v>
      </c>
      <c r="ED605" s="16" t="str">
        <f t="shared" si="122"/>
        <v>Fiche info CDD_ Avenant 2G</v>
      </c>
      <c r="EE605" s="16" t="str">
        <f t="shared" si="123"/>
        <v>Fiche info CDD_ Avenant 2</v>
      </c>
      <c r="EF605" s="16" t="str">
        <f t="shared" si="124"/>
        <v>G</v>
      </c>
      <c r="EG605" s="16">
        <f t="shared" si="125"/>
        <v>2</v>
      </c>
      <c r="EH605" s="16" t="str">
        <f t="shared" si="126"/>
        <v>Mardi</v>
      </c>
      <c r="EI605" s="16" t="str">
        <f t="shared" si="127"/>
        <v/>
      </c>
    </row>
    <row r="606" spans="1:139" x14ac:dyDescent="0.2">
      <c r="A606" s="16" t="str">
        <f t="shared" si="120"/>
        <v>Fiche info CDD_ Avenant 2G3</v>
      </c>
      <c r="B606" s="16" t="str">
        <f t="shared" si="121"/>
        <v>Fiche info CDD_ Avenant 2</v>
      </c>
      <c r="C606" s="27" t="s">
        <v>245</v>
      </c>
      <c r="D606" s="27">
        <v>3</v>
      </c>
      <c r="E606" s="16" t="s">
        <v>19</v>
      </c>
      <c r="F606" s="34" t="str">
        <f>+IF('Fiche info CDD_ Avenant 2'!$BY$9=0,"",'Fiche info CDD_ Avenant 2'!$BY$9)</f>
        <v/>
      </c>
      <c r="G606" s="16">
        <f t="shared" si="128"/>
        <v>0</v>
      </c>
      <c r="BX606" s="16" t="str">
        <f t="shared" si="129"/>
        <v>Fiche info CDD_ Avenant 2G3</v>
      </c>
      <c r="BY606" s="449">
        <f>'Fiche info CDD_ Avenant 2'!$BP$9</f>
        <v>0</v>
      </c>
      <c r="BZ606" s="449">
        <f>'Fiche info CDD_ Avenant 2'!$BQ$9</f>
        <v>0</v>
      </c>
      <c r="CA606" s="449">
        <f>'Fiche info CDD_ Avenant 2'!$BR$9</f>
        <v>0</v>
      </c>
      <c r="CB606" s="449">
        <f>'Fiche info CDD_ Avenant 2'!$BS$9</f>
        <v>0</v>
      </c>
      <c r="CC606" s="449">
        <f>'Fiche info CDD_ Avenant 2'!$BT$9</f>
        <v>0</v>
      </c>
      <c r="CD606" s="449">
        <f>'Fiche info CDD_ Avenant 2'!$BU$9</f>
        <v>0</v>
      </c>
      <c r="CE606" s="449">
        <f>'Fiche info CDD_ Avenant 2'!$BV$9</f>
        <v>0</v>
      </c>
      <c r="CF606" s="449">
        <f>'Fiche info CDD_ Avenant 2'!$BW$9</f>
        <v>0</v>
      </c>
      <c r="ED606" s="16" t="str">
        <f t="shared" si="122"/>
        <v>Fiche info CDD_ Avenant 2G</v>
      </c>
      <c r="EE606" s="16" t="str">
        <f t="shared" si="123"/>
        <v>Fiche info CDD_ Avenant 2</v>
      </c>
      <c r="EF606" s="16" t="str">
        <f t="shared" si="124"/>
        <v>G</v>
      </c>
      <c r="EG606" s="16">
        <f t="shared" si="125"/>
        <v>3</v>
      </c>
      <c r="EH606" s="16" t="str">
        <f t="shared" si="126"/>
        <v>Mercredi</v>
      </c>
      <c r="EI606" s="16" t="str">
        <f t="shared" si="127"/>
        <v/>
      </c>
    </row>
    <row r="607" spans="1:139" x14ac:dyDescent="0.2">
      <c r="A607" s="16" t="str">
        <f t="shared" si="120"/>
        <v>Fiche info CDD_ Avenant 2G4</v>
      </c>
      <c r="B607" s="16" t="str">
        <f t="shared" si="121"/>
        <v>Fiche info CDD_ Avenant 2</v>
      </c>
      <c r="C607" s="27" t="s">
        <v>245</v>
      </c>
      <c r="D607" s="27">
        <v>4</v>
      </c>
      <c r="E607" s="16" t="s">
        <v>20</v>
      </c>
      <c r="F607" s="34" t="str">
        <f>+IF('Fiche info CDD_ Avenant 2'!$BY$10=0,"",'Fiche info CDD_ Avenant 2'!$BY$10)</f>
        <v/>
      </c>
      <c r="G607" s="16">
        <f t="shared" si="128"/>
        <v>0</v>
      </c>
      <c r="BX607" s="16" t="str">
        <f t="shared" si="129"/>
        <v>Fiche info CDD_ Avenant 2G4</v>
      </c>
      <c r="BY607" s="449">
        <f>'Fiche info CDD_ Avenant 2'!$BP$10</f>
        <v>0</v>
      </c>
      <c r="BZ607" s="449">
        <f>'Fiche info CDD_ Avenant 2'!$BQ$10</f>
        <v>0</v>
      </c>
      <c r="CA607" s="449">
        <f>'Fiche info CDD_ Avenant 2'!$BR$10</f>
        <v>0</v>
      </c>
      <c r="CB607" s="449">
        <f>'Fiche info CDD_ Avenant 2'!$BS$10</f>
        <v>0</v>
      </c>
      <c r="CC607" s="449">
        <f>'Fiche info CDD_ Avenant 2'!$BT$10</f>
        <v>0</v>
      </c>
      <c r="CD607" s="449">
        <f>'Fiche info CDD_ Avenant 2'!$BU$10</f>
        <v>0</v>
      </c>
      <c r="CE607" s="449">
        <f>'Fiche info CDD_ Avenant 2'!$BV$10</f>
        <v>0</v>
      </c>
      <c r="CF607" s="449">
        <f>'Fiche info CDD_ Avenant 2'!$BW$10</f>
        <v>0</v>
      </c>
      <c r="ED607" s="16" t="str">
        <f t="shared" si="122"/>
        <v>Fiche info CDD_ Avenant 2G</v>
      </c>
      <c r="EE607" s="16" t="str">
        <f t="shared" si="123"/>
        <v>Fiche info CDD_ Avenant 2</v>
      </c>
      <c r="EF607" s="16" t="str">
        <f t="shared" si="124"/>
        <v>G</v>
      </c>
      <c r="EG607" s="16">
        <f t="shared" si="125"/>
        <v>4</v>
      </c>
      <c r="EH607" s="16" t="str">
        <f t="shared" si="126"/>
        <v>Jeudi</v>
      </c>
      <c r="EI607" s="16" t="str">
        <f t="shared" si="127"/>
        <v/>
      </c>
    </row>
    <row r="608" spans="1:139" x14ac:dyDescent="0.2">
      <c r="A608" s="16" t="str">
        <f t="shared" si="120"/>
        <v>Fiche info CDD_ Avenant 2G5</v>
      </c>
      <c r="B608" s="16" t="str">
        <f t="shared" si="121"/>
        <v>Fiche info CDD_ Avenant 2</v>
      </c>
      <c r="C608" s="27" t="s">
        <v>245</v>
      </c>
      <c r="D608" s="27">
        <v>5</v>
      </c>
      <c r="E608" s="16" t="s">
        <v>21</v>
      </c>
      <c r="F608" s="34" t="str">
        <f>+IF('Fiche info CDD_ Avenant 2'!$BY$11=0,"",'Fiche info CDD_ Avenant 2'!$BY$11)</f>
        <v/>
      </c>
      <c r="G608" s="16">
        <f t="shared" si="128"/>
        <v>0</v>
      </c>
      <c r="BX608" s="16" t="str">
        <f t="shared" si="129"/>
        <v>Fiche info CDD_ Avenant 2G5</v>
      </c>
      <c r="BY608" s="449">
        <f>'Fiche info CDD_ Avenant 2'!$BP$11</f>
        <v>0</v>
      </c>
      <c r="BZ608" s="449">
        <f>'Fiche info CDD_ Avenant 2'!$BQ$11</f>
        <v>0</v>
      </c>
      <c r="CA608" s="449">
        <f>'Fiche info CDD_ Avenant 2'!$BR$11</f>
        <v>0</v>
      </c>
      <c r="CB608" s="449">
        <f>'Fiche info CDD_ Avenant 2'!$BS$11</f>
        <v>0</v>
      </c>
      <c r="CC608" s="449">
        <f>'Fiche info CDD_ Avenant 2'!$BT$11</f>
        <v>0</v>
      </c>
      <c r="CD608" s="449">
        <f>'Fiche info CDD_ Avenant 2'!$BU$11</f>
        <v>0</v>
      </c>
      <c r="CE608" s="449">
        <f>'Fiche info CDD_ Avenant 2'!$BV$11</f>
        <v>0</v>
      </c>
      <c r="CF608" s="449">
        <f>'Fiche info CDD_ Avenant 2'!$BW$11</f>
        <v>0</v>
      </c>
      <c r="ED608" s="16" t="str">
        <f t="shared" si="122"/>
        <v>Fiche info CDD_ Avenant 2G</v>
      </c>
      <c r="EE608" s="16" t="str">
        <f t="shared" si="123"/>
        <v>Fiche info CDD_ Avenant 2</v>
      </c>
      <c r="EF608" s="16" t="str">
        <f t="shared" si="124"/>
        <v>G</v>
      </c>
      <c r="EG608" s="16">
        <f t="shared" si="125"/>
        <v>5</v>
      </c>
      <c r="EH608" s="16" t="str">
        <f t="shared" si="126"/>
        <v>Vendredi</v>
      </c>
      <c r="EI608" s="16" t="str">
        <f t="shared" si="127"/>
        <v/>
      </c>
    </row>
    <row r="609" spans="1:139" x14ac:dyDescent="0.2">
      <c r="A609" s="16" t="str">
        <f t="shared" si="120"/>
        <v>Fiche info CDD_ Avenant 2G6</v>
      </c>
      <c r="B609" s="16" t="str">
        <f t="shared" si="121"/>
        <v>Fiche info CDD_ Avenant 2</v>
      </c>
      <c r="C609" s="27" t="s">
        <v>245</v>
      </c>
      <c r="D609" s="27">
        <v>6</v>
      </c>
      <c r="E609" s="16" t="s">
        <v>193</v>
      </c>
      <c r="F609" s="34" t="str">
        <f>+IF('Fiche info CDD_ Avenant 2'!$BY$12=0,"",'Fiche info CDD_ Avenant 2'!$BY$12)</f>
        <v/>
      </c>
      <c r="G609" s="16">
        <f t="shared" si="128"/>
        <v>0</v>
      </c>
      <c r="BX609" s="16" t="str">
        <f t="shared" si="129"/>
        <v>Fiche info CDD_ Avenant 2G6</v>
      </c>
      <c r="BY609" s="449">
        <f>'Fiche info CDD_ Avenant 2'!$BP$12</f>
        <v>0</v>
      </c>
      <c r="BZ609" s="449">
        <f>'Fiche info CDD_ Avenant 2'!$BQ$12</f>
        <v>0</v>
      </c>
      <c r="CA609" s="449">
        <f>'Fiche info CDD_ Avenant 2'!$BR$12</f>
        <v>0</v>
      </c>
      <c r="CB609" s="449">
        <f>'Fiche info CDD_ Avenant 2'!$BS$12</f>
        <v>0</v>
      </c>
      <c r="CC609" s="449">
        <f>'Fiche info CDD_ Avenant 2'!$BT$12</f>
        <v>0</v>
      </c>
      <c r="CD609" s="449">
        <f>'Fiche info CDD_ Avenant 2'!$BU$12</f>
        <v>0</v>
      </c>
      <c r="CE609" s="449">
        <f>'Fiche info CDD_ Avenant 2'!$BV$12</f>
        <v>0</v>
      </c>
      <c r="CF609" s="449">
        <f>'Fiche info CDD_ Avenant 2'!$BW$12</f>
        <v>0</v>
      </c>
      <c r="ED609" s="16" t="str">
        <f t="shared" si="122"/>
        <v>Fiche info CDD_ Avenant 2G</v>
      </c>
      <c r="EE609" s="16" t="str">
        <f t="shared" si="123"/>
        <v>Fiche info CDD_ Avenant 2</v>
      </c>
      <c r="EF609" s="16" t="str">
        <f t="shared" si="124"/>
        <v>G</v>
      </c>
      <c r="EG609" s="16">
        <f t="shared" si="125"/>
        <v>6</v>
      </c>
      <c r="EH609" s="16" t="str">
        <f t="shared" si="126"/>
        <v>Samedi</v>
      </c>
      <c r="EI609" s="16" t="str">
        <f t="shared" si="127"/>
        <v/>
      </c>
    </row>
    <row r="610" spans="1:139" x14ac:dyDescent="0.2">
      <c r="A610" s="16" t="str">
        <f t="shared" si="120"/>
        <v>Fiche info CDD_ Avenant 2G7</v>
      </c>
      <c r="B610" s="16" t="str">
        <f t="shared" si="121"/>
        <v>Fiche info CDD_ Avenant 2</v>
      </c>
      <c r="C610" s="27" t="s">
        <v>245</v>
      </c>
      <c r="D610" s="27">
        <v>7</v>
      </c>
      <c r="E610" s="16" t="s">
        <v>194</v>
      </c>
      <c r="F610" s="34" t="str">
        <f>+IF('Fiche info CDD_ Avenant 2'!$BY$13=0,"",'Fiche info CDD_ Avenant 2'!$BY$13)</f>
        <v/>
      </c>
      <c r="G610" s="16">
        <f t="shared" si="128"/>
        <v>0</v>
      </c>
      <c r="BX610" s="16" t="str">
        <f t="shared" si="129"/>
        <v>Fiche info CDD_ Avenant 2G7</v>
      </c>
      <c r="BY610" s="449">
        <f>'Fiche info CDD_ Avenant 2'!$BP$13</f>
        <v>0</v>
      </c>
      <c r="BZ610" s="449">
        <f>'Fiche info CDD_ Avenant 2'!$BQ$13</f>
        <v>0</v>
      </c>
      <c r="CA610" s="449">
        <f>'Fiche info CDD_ Avenant 2'!$BR$13</f>
        <v>0</v>
      </c>
      <c r="CB610" s="449">
        <f>'Fiche info CDD_ Avenant 2'!$BS$13</f>
        <v>0</v>
      </c>
      <c r="CC610" s="449">
        <f>'Fiche info CDD_ Avenant 2'!$BT$13</f>
        <v>0</v>
      </c>
      <c r="CD610" s="449">
        <f>'Fiche info CDD_ Avenant 2'!$BU$13</f>
        <v>0</v>
      </c>
      <c r="CE610" s="449">
        <f>'Fiche info CDD_ Avenant 2'!$BV$13</f>
        <v>0</v>
      </c>
      <c r="CF610" s="449">
        <f>'Fiche info CDD_ Avenant 2'!$BW$13</f>
        <v>0</v>
      </c>
      <c r="ED610" s="16" t="str">
        <f t="shared" si="122"/>
        <v>Fiche info CDD_ Avenant 2G</v>
      </c>
      <c r="EE610" s="16" t="str">
        <f t="shared" si="123"/>
        <v>Fiche info CDD_ Avenant 2</v>
      </c>
      <c r="EF610" s="16" t="str">
        <f t="shared" si="124"/>
        <v>G</v>
      </c>
      <c r="EG610" s="16">
        <f t="shared" si="125"/>
        <v>7</v>
      </c>
      <c r="EH610" s="16" t="str">
        <f t="shared" si="126"/>
        <v>Dimanche</v>
      </c>
      <c r="EI610" s="16" t="str">
        <f t="shared" si="127"/>
        <v/>
      </c>
    </row>
    <row r="611" spans="1:139" x14ac:dyDescent="0.2">
      <c r="A611" s="16" t="str">
        <f t="shared" si="120"/>
        <v>Fiche info CDD_ Avenant 2H1</v>
      </c>
      <c r="B611" s="16" t="str">
        <f t="shared" si="121"/>
        <v>Fiche info CDD_ Avenant 2</v>
      </c>
      <c r="C611" s="27" t="s">
        <v>246</v>
      </c>
      <c r="D611" s="27">
        <v>1</v>
      </c>
      <c r="E611" s="16" t="s">
        <v>17</v>
      </c>
      <c r="F611" s="34" t="str">
        <f>+IF('Fiche info CDD_ Avenant 2'!$CJ$7=0,"",'Fiche info CDD_ Avenant 2'!$CJ$7)</f>
        <v/>
      </c>
      <c r="G611" s="16">
        <f t="shared" si="128"/>
        <v>0</v>
      </c>
      <c r="BX611" s="16" t="str">
        <f t="shared" si="129"/>
        <v>Fiche info CDD_ Avenant 2H1</v>
      </c>
      <c r="BY611" s="449">
        <f>'Fiche info CDD_ Avenant 2'!$CA$7</f>
        <v>0</v>
      </c>
      <c r="BZ611" s="449">
        <f>'Fiche info CDD_ Avenant 2'!$CB$7</f>
        <v>0</v>
      </c>
      <c r="CA611" s="449">
        <f>'Fiche info CDD_ Avenant 2'!$CC$7</f>
        <v>0</v>
      </c>
      <c r="CB611" s="449">
        <f>'Fiche info CDD_ Avenant 2'!$CD$7</f>
        <v>0</v>
      </c>
      <c r="CC611" s="449">
        <f>'Fiche info CDD_ Avenant 2'!$CE$7</f>
        <v>0</v>
      </c>
      <c r="CD611" s="449">
        <f>'Fiche info CDD_ Avenant 2'!$CF$7</f>
        <v>0</v>
      </c>
      <c r="CE611" s="449">
        <f>'Fiche info CDD_ Avenant 2'!$CG$7</f>
        <v>0</v>
      </c>
      <c r="CF611" s="449">
        <f>'Fiche info CDD_ Avenant 2'!$CH$7</f>
        <v>0</v>
      </c>
      <c r="ED611" s="16" t="str">
        <f t="shared" si="122"/>
        <v>Fiche info CDD_ Avenant 2H</v>
      </c>
      <c r="EE611" s="16" t="str">
        <f t="shared" si="123"/>
        <v>Fiche info CDD_ Avenant 2</v>
      </c>
      <c r="EF611" s="16" t="str">
        <f t="shared" si="124"/>
        <v>H</v>
      </c>
      <c r="EG611" s="16">
        <f t="shared" si="125"/>
        <v>1</v>
      </c>
      <c r="EH611" s="16" t="str">
        <f t="shared" si="126"/>
        <v>Lundi</v>
      </c>
      <c r="EI611" s="16" t="str">
        <f t="shared" si="127"/>
        <v/>
      </c>
    </row>
    <row r="612" spans="1:139" x14ac:dyDescent="0.2">
      <c r="A612" s="16" t="str">
        <f t="shared" si="120"/>
        <v>Fiche info CDD_ Avenant 2H2</v>
      </c>
      <c r="B612" s="16" t="str">
        <f t="shared" si="121"/>
        <v>Fiche info CDD_ Avenant 2</v>
      </c>
      <c r="C612" s="27" t="s">
        <v>246</v>
      </c>
      <c r="D612" s="27">
        <v>2</v>
      </c>
      <c r="E612" s="16" t="s">
        <v>18</v>
      </c>
      <c r="F612" s="34" t="str">
        <f>+IF('Fiche info CDD_ Avenant 2'!$CJ$8=0,"",'Fiche info CDD_ Avenant 2'!$CJ$8)</f>
        <v/>
      </c>
      <c r="G612" s="16">
        <f t="shared" si="128"/>
        <v>0</v>
      </c>
      <c r="BX612" s="16" t="str">
        <f t="shared" si="129"/>
        <v>Fiche info CDD_ Avenant 2H2</v>
      </c>
      <c r="BY612" s="449">
        <f>'Fiche info CDD_ Avenant 2'!$CA$8</f>
        <v>0</v>
      </c>
      <c r="BZ612" s="449">
        <f>'Fiche info CDD_ Avenant 2'!$CB$8</f>
        <v>0</v>
      </c>
      <c r="CA612" s="449">
        <f>'Fiche info CDD_ Avenant 2'!$CC$8</f>
        <v>0</v>
      </c>
      <c r="CB612" s="449">
        <f>'Fiche info CDD_ Avenant 2'!$CD$8</f>
        <v>0</v>
      </c>
      <c r="CC612" s="449">
        <f>'Fiche info CDD_ Avenant 2'!$CE$8</f>
        <v>0</v>
      </c>
      <c r="CD612" s="449">
        <f>'Fiche info CDD_ Avenant 2'!$CF$8</f>
        <v>0</v>
      </c>
      <c r="CE612" s="449">
        <f>'Fiche info CDD_ Avenant 2'!$CG$8</f>
        <v>0</v>
      </c>
      <c r="CF612" s="449">
        <f>'Fiche info CDD_ Avenant 2'!$CH$8</f>
        <v>0</v>
      </c>
      <c r="ED612" s="16" t="str">
        <f t="shared" si="122"/>
        <v>Fiche info CDD_ Avenant 2H</v>
      </c>
      <c r="EE612" s="16" t="str">
        <f t="shared" si="123"/>
        <v>Fiche info CDD_ Avenant 2</v>
      </c>
      <c r="EF612" s="16" t="str">
        <f t="shared" si="124"/>
        <v>H</v>
      </c>
      <c r="EG612" s="16">
        <f t="shared" si="125"/>
        <v>2</v>
      </c>
      <c r="EH612" s="16" t="str">
        <f t="shared" si="126"/>
        <v>Mardi</v>
      </c>
      <c r="EI612" s="16" t="str">
        <f t="shared" si="127"/>
        <v/>
      </c>
    </row>
    <row r="613" spans="1:139" x14ac:dyDescent="0.2">
      <c r="A613" s="16" t="str">
        <f t="shared" si="120"/>
        <v>Fiche info CDD_ Avenant 2H3</v>
      </c>
      <c r="B613" s="16" t="str">
        <f t="shared" si="121"/>
        <v>Fiche info CDD_ Avenant 2</v>
      </c>
      <c r="C613" s="27" t="s">
        <v>246</v>
      </c>
      <c r="D613" s="27">
        <v>3</v>
      </c>
      <c r="E613" s="16" t="s">
        <v>19</v>
      </c>
      <c r="F613" s="34" t="str">
        <f>+IF('Fiche info CDD_ Avenant 2'!$CJ$9=0,"",'Fiche info CDD_ Avenant 2'!$CJ$9)</f>
        <v/>
      </c>
      <c r="G613" s="16">
        <f t="shared" si="128"/>
        <v>0</v>
      </c>
      <c r="BX613" s="16" t="str">
        <f t="shared" si="129"/>
        <v>Fiche info CDD_ Avenant 2H3</v>
      </c>
      <c r="BY613" s="449">
        <f>'Fiche info CDD_ Avenant 2'!$CA$9</f>
        <v>0</v>
      </c>
      <c r="BZ613" s="449">
        <f>'Fiche info CDD_ Avenant 2'!$CB$9</f>
        <v>0</v>
      </c>
      <c r="CA613" s="449">
        <f>'Fiche info CDD_ Avenant 2'!$CC$9</f>
        <v>0</v>
      </c>
      <c r="CB613" s="449">
        <f>'Fiche info CDD_ Avenant 2'!$CD$9</f>
        <v>0</v>
      </c>
      <c r="CC613" s="449">
        <f>'Fiche info CDD_ Avenant 2'!$CE$9</f>
        <v>0</v>
      </c>
      <c r="CD613" s="449">
        <f>'Fiche info CDD_ Avenant 2'!$CF$9</f>
        <v>0</v>
      </c>
      <c r="CE613" s="449">
        <f>'Fiche info CDD_ Avenant 2'!$CG$9</f>
        <v>0</v>
      </c>
      <c r="CF613" s="449">
        <f>'Fiche info CDD_ Avenant 2'!$CH$9</f>
        <v>0</v>
      </c>
      <c r="ED613" s="16" t="str">
        <f t="shared" si="122"/>
        <v>Fiche info CDD_ Avenant 2H</v>
      </c>
      <c r="EE613" s="16" t="str">
        <f t="shared" si="123"/>
        <v>Fiche info CDD_ Avenant 2</v>
      </c>
      <c r="EF613" s="16" t="str">
        <f t="shared" si="124"/>
        <v>H</v>
      </c>
      <c r="EG613" s="16">
        <f t="shared" si="125"/>
        <v>3</v>
      </c>
      <c r="EH613" s="16" t="str">
        <f t="shared" si="126"/>
        <v>Mercredi</v>
      </c>
      <c r="EI613" s="16" t="str">
        <f t="shared" si="127"/>
        <v/>
      </c>
    </row>
    <row r="614" spans="1:139" x14ac:dyDescent="0.2">
      <c r="A614" s="16" t="str">
        <f t="shared" si="120"/>
        <v>Fiche info CDD_ Avenant 2H4</v>
      </c>
      <c r="B614" s="16" t="str">
        <f t="shared" si="121"/>
        <v>Fiche info CDD_ Avenant 2</v>
      </c>
      <c r="C614" s="27" t="s">
        <v>246</v>
      </c>
      <c r="D614" s="27">
        <v>4</v>
      </c>
      <c r="E614" s="16" t="s">
        <v>20</v>
      </c>
      <c r="F614" s="34" t="str">
        <f>+IF('Fiche info CDD_ Avenant 2'!$CJ$10=0,"",'Fiche info CDD_ Avenant 2'!$CJ$10)</f>
        <v/>
      </c>
      <c r="G614" s="16">
        <f t="shared" si="128"/>
        <v>0</v>
      </c>
      <c r="BX614" s="16" t="str">
        <f t="shared" si="129"/>
        <v>Fiche info CDD_ Avenant 2H4</v>
      </c>
      <c r="BY614" s="449">
        <f>'Fiche info CDD_ Avenant 2'!$CA$10</f>
        <v>0</v>
      </c>
      <c r="BZ614" s="449">
        <f>'Fiche info CDD_ Avenant 2'!$CB$10</f>
        <v>0</v>
      </c>
      <c r="CA614" s="449">
        <f>'Fiche info CDD_ Avenant 2'!$CC$10</f>
        <v>0</v>
      </c>
      <c r="CB614" s="449">
        <f>'Fiche info CDD_ Avenant 2'!$CD$10</f>
        <v>0</v>
      </c>
      <c r="CC614" s="449">
        <f>'Fiche info CDD_ Avenant 2'!$CE$10</f>
        <v>0</v>
      </c>
      <c r="CD614" s="449">
        <f>'Fiche info CDD_ Avenant 2'!$CF$10</f>
        <v>0</v>
      </c>
      <c r="CE614" s="449">
        <f>'Fiche info CDD_ Avenant 2'!$CG$10</f>
        <v>0</v>
      </c>
      <c r="CF614" s="449">
        <f>'Fiche info CDD_ Avenant 2'!$CH$10</f>
        <v>0</v>
      </c>
      <c r="ED614" s="16" t="str">
        <f t="shared" si="122"/>
        <v>Fiche info CDD_ Avenant 2H</v>
      </c>
      <c r="EE614" s="16" t="str">
        <f t="shared" si="123"/>
        <v>Fiche info CDD_ Avenant 2</v>
      </c>
      <c r="EF614" s="16" t="str">
        <f t="shared" si="124"/>
        <v>H</v>
      </c>
      <c r="EG614" s="16">
        <f t="shared" si="125"/>
        <v>4</v>
      </c>
      <c r="EH614" s="16" t="str">
        <f t="shared" si="126"/>
        <v>Jeudi</v>
      </c>
      <c r="EI614" s="16" t="str">
        <f t="shared" si="127"/>
        <v/>
      </c>
    </row>
    <row r="615" spans="1:139" x14ac:dyDescent="0.2">
      <c r="A615" s="16" t="str">
        <f t="shared" si="120"/>
        <v>Fiche info CDD_ Avenant 2H5</v>
      </c>
      <c r="B615" s="16" t="str">
        <f t="shared" si="121"/>
        <v>Fiche info CDD_ Avenant 2</v>
      </c>
      <c r="C615" s="27" t="s">
        <v>246</v>
      </c>
      <c r="D615" s="27">
        <v>5</v>
      </c>
      <c r="E615" s="16" t="s">
        <v>21</v>
      </c>
      <c r="F615" s="34" t="str">
        <f>+IF('Fiche info CDD_ Avenant 2'!$CJ$11=0,"",'Fiche info CDD_ Avenant 2'!$CJ$11)</f>
        <v/>
      </c>
      <c r="G615" s="16">
        <f t="shared" si="128"/>
        <v>0</v>
      </c>
      <c r="BX615" s="16" t="str">
        <f t="shared" si="129"/>
        <v>Fiche info CDD_ Avenant 2H5</v>
      </c>
      <c r="BY615" s="449">
        <f>'Fiche info CDD_ Avenant 2'!$CA$11</f>
        <v>0</v>
      </c>
      <c r="BZ615" s="449">
        <f>'Fiche info CDD_ Avenant 2'!$CB$11</f>
        <v>0</v>
      </c>
      <c r="CA615" s="449">
        <f>'Fiche info CDD_ Avenant 2'!$CC$11</f>
        <v>0</v>
      </c>
      <c r="CB615" s="449">
        <f>'Fiche info CDD_ Avenant 2'!$CD$11</f>
        <v>0</v>
      </c>
      <c r="CC615" s="449">
        <f>'Fiche info CDD_ Avenant 2'!$CE$11</f>
        <v>0</v>
      </c>
      <c r="CD615" s="449">
        <f>'Fiche info CDD_ Avenant 2'!$CF$11</f>
        <v>0</v>
      </c>
      <c r="CE615" s="449">
        <f>'Fiche info CDD_ Avenant 2'!$CG$11</f>
        <v>0</v>
      </c>
      <c r="CF615" s="449">
        <f>'Fiche info CDD_ Avenant 2'!$CH$11</f>
        <v>0</v>
      </c>
      <c r="ED615" s="16" t="str">
        <f t="shared" si="122"/>
        <v>Fiche info CDD_ Avenant 2H</v>
      </c>
      <c r="EE615" s="16" t="str">
        <f t="shared" si="123"/>
        <v>Fiche info CDD_ Avenant 2</v>
      </c>
      <c r="EF615" s="16" t="str">
        <f t="shared" si="124"/>
        <v>H</v>
      </c>
      <c r="EG615" s="16">
        <f t="shared" si="125"/>
        <v>5</v>
      </c>
      <c r="EH615" s="16" t="str">
        <f t="shared" si="126"/>
        <v>Vendredi</v>
      </c>
      <c r="EI615" s="16" t="str">
        <f t="shared" si="127"/>
        <v/>
      </c>
    </row>
    <row r="616" spans="1:139" x14ac:dyDescent="0.2">
      <c r="A616" s="16" t="str">
        <f t="shared" si="120"/>
        <v>Fiche info CDD_ Avenant 2H6</v>
      </c>
      <c r="B616" s="16" t="str">
        <f t="shared" si="121"/>
        <v>Fiche info CDD_ Avenant 2</v>
      </c>
      <c r="C616" s="27" t="s">
        <v>246</v>
      </c>
      <c r="D616" s="27">
        <v>6</v>
      </c>
      <c r="E616" s="16" t="s">
        <v>193</v>
      </c>
      <c r="F616" s="34" t="str">
        <f>+IF('Fiche info CDD_ Avenant 2'!$CJ$12=0,"",'Fiche info CDD_ Avenant 2'!$CJ$12)</f>
        <v/>
      </c>
      <c r="G616" s="16">
        <f t="shared" si="128"/>
        <v>0</v>
      </c>
      <c r="BX616" s="16" t="str">
        <f t="shared" si="129"/>
        <v>Fiche info CDD_ Avenant 2H6</v>
      </c>
      <c r="BY616" s="449">
        <f>'Fiche info CDD_ Avenant 2'!$CA$12</f>
        <v>0</v>
      </c>
      <c r="BZ616" s="449">
        <f>'Fiche info CDD_ Avenant 2'!$CB$12</f>
        <v>0</v>
      </c>
      <c r="CA616" s="449">
        <f>'Fiche info CDD_ Avenant 2'!$CC$12</f>
        <v>0</v>
      </c>
      <c r="CB616" s="449">
        <f>'Fiche info CDD_ Avenant 2'!$CD$12</f>
        <v>0</v>
      </c>
      <c r="CC616" s="449">
        <f>'Fiche info CDD_ Avenant 2'!$CE$12</f>
        <v>0</v>
      </c>
      <c r="CD616" s="449">
        <f>'Fiche info CDD_ Avenant 2'!$CF$12</f>
        <v>0</v>
      </c>
      <c r="CE616" s="449">
        <f>'Fiche info CDD_ Avenant 2'!$CG$12</f>
        <v>0</v>
      </c>
      <c r="CF616" s="449">
        <f>'Fiche info CDD_ Avenant 2'!$CH$12</f>
        <v>0</v>
      </c>
      <c r="ED616" s="16" t="str">
        <f t="shared" si="122"/>
        <v>Fiche info CDD_ Avenant 2H</v>
      </c>
      <c r="EE616" s="16" t="str">
        <f t="shared" si="123"/>
        <v>Fiche info CDD_ Avenant 2</v>
      </c>
      <c r="EF616" s="16" t="str">
        <f t="shared" si="124"/>
        <v>H</v>
      </c>
      <c r="EG616" s="16">
        <f t="shared" si="125"/>
        <v>6</v>
      </c>
      <c r="EH616" s="16" t="str">
        <f t="shared" si="126"/>
        <v>Samedi</v>
      </c>
      <c r="EI616" s="16" t="str">
        <f t="shared" si="127"/>
        <v/>
      </c>
    </row>
    <row r="617" spans="1:139" x14ac:dyDescent="0.2">
      <c r="A617" s="16" t="str">
        <f t="shared" si="120"/>
        <v>Fiche info CDD_ Avenant 2H7</v>
      </c>
      <c r="B617" s="16" t="str">
        <f t="shared" si="121"/>
        <v>Fiche info CDD_ Avenant 2</v>
      </c>
      <c r="C617" s="27" t="s">
        <v>246</v>
      </c>
      <c r="D617" s="27">
        <v>7</v>
      </c>
      <c r="E617" s="16" t="s">
        <v>194</v>
      </c>
      <c r="F617" s="34" t="str">
        <f>+IF('Fiche info CDD_ Avenant 2'!$CJ$13=0,"",'Fiche info CDD_ Avenant 2'!$CJ$13)</f>
        <v/>
      </c>
      <c r="G617" s="16">
        <f t="shared" si="128"/>
        <v>0</v>
      </c>
      <c r="BX617" s="16" t="str">
        <f t="shared" si="129"/>
        <v>Fiche info CDD_ Avenant 2H7</v>
      </c>
      <c r="BY617" s="449">
        <f>'Fiche info CDD_ Avenant 2'!$CA$13</f>
        <v>0</v>
      </c>
      <c r="BZ617" s="449">
        <f>'Fiche info CDD_ Avenant 2'!$CB$13</f>
        <v>0</v>
      </c>
      <c r="CA617" s="449">
        <f>'Fiche info CDD_ Avenant 2'!$CC$13</f>
        <v>0</v>
      </c>
      <c r="CB617" s="449">
        <f>'Fiche info CDD_ Avenant 2'!$CD$13</f>
        <v>0</v>
      </c>
      <c r="CC617" s="449">
        <f>'Fiche info CDD_ Avenant 2'!$CE$13</f>
        <v>0</v>
      </c>
      <c r="CD617" s="449">
        <f>'Fiche info CDD_ Avenant 2'!$CF$13</f>
        <v>0</v>
      </c>
      <c r="CE617" s="449">
        <f>'Fiche info CDD_ Avenant 2'!$CG$13</f>
        <v>0</v>
      </c>
      <c r="CF617" s="449">
        <f>'Fiche info CDD_ Avenant 2'!$CH$13</f>
        <v>0</v>
      </c>
      <c r="ED617" s="16" t="str">
        <f t="shared" si="122"/>
        <v>Fiche info CDD_ Avenant 2H</v>
      </c>
      <c r="EE617" s="16" t="str">
        <f t="shared" si="123"/>
        <v>Fiche info CDD_ Avenant 2</v>
      </c>
      <c r="EF617" s="16" t="str">
        <f t="shared" si="124"/>
        <v>H</v>
      </c>
      <c r="EG617" s="16">
        <f t="shared" si="125"/>
        <v>7</v>
      </c>
      <c r="EH617" s="16" t="str">
        <f t="shared" si="126"/>
        <v>Dimanche</v>
      </c>
      <c r="EI617" s="16" t="str">
        <f t="shared" si="127"/>
        <v/>
      </c>
    </row>
    <row r="618" spans="1:139" x14ac:dyDescent="0.2">
      <c r="A618" s="16" t="str">
        <f t="shared" si="120"/>
        <v>Fiche info Avenant 6A1</v>
      </c>
      <c r="B618" s="16" t="str">
        <f>+$P$13</f>
        <v>Fiche info Avenant 6</v>
      </c>
      <c r="C618" s="27" t="s">
        <v>235</v>
      </c>
      <c r="D618" s="27">
        <v>1</v>
      </c>
      <c r="E618" s="16" t="s">
        <v>17</v>
      </c>
      <c r="F618" s="34" t="str">
        <f>IF('Fiche info Avenant 6'!$K$7=0,"",'Fiche info Avenant 6'!$K$7)</f>
        <v/>
      </c>
      <c r="G618" s="16">
        <f t="shared" si="128"/>
        <v>0</v>
      </c>
      <c r="BX618" s="16" t="str">
        <f t="shared" si="129"/>
        <v>Fiche info Avenant 6A1</v>
      </c>
      <c r="BY618" s="449">
        <f>'Fiche info Avenant 6'!$B$7</f>
        <v>0</v>
      </c>
      <c r="BZ618" s="449">
        <f>'Fiche info Avenant 6'!$C$7</f>
        <v>0</v>
      </c>
      <c r="CA618" s="449">
        <f>'Fiche info Avenant 6'!$D$7</f>
        <v>0</v>
      </c>
      <c r="CB618" s="449">
        <f>'Fiche info Avenant 6'!$E$7</f>
        <v>0</v>
      </c>
      <c r="CC618" s="449">
        <f>'Fiche info Avenant 6'!$F$7</f>
        <v>0</v>
      </c>
      <c r="CD618" s="449">
        <f>'Fiche info Avenant 6'!$G$7</f>
        <v>0</v>
      </c>
      <c r="CE618" s="449">
        <f>'Fiche info Avenant 6'!$H$7</f>
        <v>0</v>
      </c>
      <c r="CF618" s="449">
        <f>'Fiche info Avenant 6'!$I$7</f>
        <v>0</v>
      </c>
      <c r="ED618" s="16" t="str">
        <f t="shared" si="122"/>
        <v>Fiche info Avenant 6A</v>
      </c>
      <c r="EE618" s="16" t="str">
        <f t="shared" si="123"/>
        <v>Fiche info Avenant 6</v>
      </c>
      <c r="EF618" s="16" t="str">
        <f t="shared" si="124"/>
        <v>A</v>
      </c>
      <c r="EG618" s="16">
        <f t="shared" si="125"/>
        <v>1</v>
      </c>
      <c r="EH618" s="16" t="str">
        <f t="shared" si="126"/>
        <v>Lundi</v>
      </c>
      <c r="EI618" s="16" t="str">
        <f t="shared" si="127"/>
        <v/>
      </c>
    </row>
    <row r="619" spans="1:139" x14ac:dyDescent="0.2">
      <c r="A619" s="16" t="str">
        <f t="shared" ref="A619:A674" si="130">+B619&amp;C619&amp;D619</f>
        <v>Fiche info Avenant 6A2</v>
      </c>
      <c r="B619" s="16" t="str">
        <f t="shared" ref="B619:B673" si="131">+$P$13</f>
        <v>Fiche info Avenant 6</v>
      </c>
      <c r="C619" s="27" t="s">
        <v>235</v>
      </c>
      <c r="D619" s="27">
        <v>2</v>
      </c>
      <c r="E619" s="16" t="s">
        <v>18</v>
      </c>
      <c r="F619" s="34" t="str">
        <f>IF('Fiche info Avenant 6'!$K$8=0,"",'Fiche info Avenant 6'!$K$8)</f>
        <v/>
      </c>
      <c r="G619" s="16">
        <f t="shared" si="128"/>
        <v>0</v>
      </c>
      <c r="BX619" s="16" t="str">
        <f t="shared" si="129"/>
        <v>Fiche info Avenant 6A2</v>
      </c>
      <c r="BY619" s="449">
        <f>'Fiche info Avenant 6'!$B$8</f>
        <v>0</v>
      </c>
      <c r="BZ619" s="449">
        <f>'Fiche info Avenant 6'!$C$8</f>
        <v>0</v>
      </c>
      <c r="CA619" s="449">
        <f>'Fiche info Avenant 6'!$D$8</f>
        <v>0</v>
      </c>
      <c r="CB619" s="449">
        <f>'Fiche info Avenant 6'!$E$8</f>
        <v>0</v>
      </c>
      <c r="CC619" s="449">
        <f>'Fiche info Avenant 6'!$F$8</f>
        <v>0</v>
      </c>
      <c r="CD619" s="449">
        <f>'Fiche info Avenant 6'!$G$8</f>
        <v>0</v>
      </c>
      <c r="CE619" s="449">
        <f>'Fiche info Avenant 6'!$H$8</f>
        <v>0</v>
      </c>
      <c r="CF619" s="449">
        <f>'Fiche info Avenant 6'!$I$8</f>
        <v>0</v>
      </c>
      <c r="ED619" s="16" t="str">
        <f t="shared" si="122"/>
        <v>Fiche info Avenant 6A</v>
      </c>
      <c r="EE619" s="16" t="str">
        <f t="shared" si="123"/>
        <v>Fiche info Avenant 6</v>
      </c>
      <c r="EF619" s="16" t="str">
        <f t="shared" si="124"/>
        <v>A</v>
      </c>
      <c r="EG619" s="16">
        <f t="shared" si="125"/>
        <v>2</v>
      </c>
      <c r="EH619" s="16" t="str">
        <f t="shared" si="126"/>
        <v>Mardi</v>
      </c>
      <c r="EI619" s="16" t="str">
        <f t="shared" si="127"/>
        <v/>
      </c>
    </row>
    <row r="620" spans="1:139" x14ac:dyDescent="0.2">
      <c r="A620" s="16" t="str">
        <f t="shared" si="130"/>
        <v>Fiche info Avenant 6A3</v>
      </c>
      <c r="B620" s="16" t="str">
        <f t="shared" si="131"/>
        <v>Fiche info Avenant 6</v>
      </c>
      <c r="C620" s="27" t="s">
        <v>235</v>
      </c>
      <c r="D620" s="27">
        <v>3</v>
      </c>
      <c r="E620" s="16" t="s">
        <v>19</v>
      </c>
      <c r="F620" s="34" t="str">
        <f>IF('Fiche info Avenant 6'!$K$9=0,"",'Fiche info Avenant 6'!$K$9)</f>
        <v/>
      </c>
      <c r="G620" s="16">
        <f t="shared" si="128"/>
        <v>0</v>
      </c>
      <c r="BX620" s="16" t="str">
        <f t="shared" si="129"/>
        <v>Fiche info Avenant 6A3</v>
      </c>
      <c r="BY620" s="449">
        <f>'Fiche info Avenant 6'!$B$9</f>
        <v>0</v>
      </c>
      <c r="BZ620" s="449">
        <f>'Fiche info Avenant 6'!$C$9</f>
        <v>0</v>
      </c>
      <c r="CA620" s="449">
        <f>'Fiche info Avenant 6'!$D$9</f>
        <v>0</v>
      </c>
      <c r="CB620" s="449">
        <f>'Fiche info Avenant 6'!$E$9</f>
        <v>0</v>
      </c>
      <c r="CC620" s="449">
        <f>'Fiche info Avenant 6'!$F$9</f>
        <v>0</v>
      </c>
      <c r="CD620" s="449">
        <f>'Fiche info Avenant 6'!$G$9</f>
        <v>0</v>
      </c>
      <c r="CE620" s="449">
        <f>'Fiche info Avenant 6'!$H$9</f>
        <v>0</v>
      </c>
      <c r="CF620" s="449">
        <f>'Fiche info Avenant 6'!$I$9</f>
        <v>0</v>
      </c>
      <c r="ED620" s="16" t="str">
        <f t="shared" si="122"/>
        <v>Fiche info Avenant 6A</v>
      </c>
      <c r="EE620" s="16" t="str">
        <f t="shared" si="123"/>
        <v>Fiche info Avenant 6</v>
      </c>
      <c r="EF620" s="16" t="str">
        <f t="shared" si="124"/>
        <v>A</v>
      </c>
      <c r="EG620" s="16">
        <f t="shared" si="125"/>
        <v>3</v>
      </c>
      <c r="EH620" s="16" t="str">
        <f t="shared" si="126"/>
        <v>Mercredi</v>
      </c>
      <c r="EI620" s="16" t="str">
        <f t="shared" si="127"/>
        <v/>
      </c>
    </row>
    <row r="621" spans="1:139" x14ac:dyDescent="0.2">
      <c r="A621" s="16" t="str">
        <f t="shared" si="130"/>
        <v>Fiche info Avenant 6A4</v>
      </c>
      <c r="B621" s="16" t="str">
        <f t="shared" si="131"/>
        <v>Fiche info Avenant 6</v>
      </c>
      <c r="C621" s="27" t="s">
        <v>235</v>
      </c>
      <c r="D621" s="27">
        <v>4</v>
      </c>
      <c r="E621" s="16" t="s">
        <v>20</v>
      </c>
      <c r="F621" s="34" t="str">
        <f>IF('Fiche info Avenant 6'!$K$10=0,"",'Fiche info Avenant 6'!$K$10)</f>
        <v/>
      </c>
      <c r="G621" s="16">
        <f t="shared" si="128"/>
        <v>0</v>
      </c>
      <c r="BX621" s="16" t="str">
        <f t="shared" si="129"/>
        <v>Fiche info Avenant 6A4</v>
      </c>
      <c r="BY621" s="449">
        <f>'Fiche info Avenant 6'!$B$10</f>
        <v>0</v>
      </c>
      <c r="BZ621" s="449">
        <f>'Fiche info Avenant 6'!$C$10</f>
        <v>0</v>
      </c>
      <c r="CA621" s="449">
        <f>'Fiche info Avenant 6'!$D$10</f>
        <v>0</v>
      </c>
      <c r="CB621" s="449">
        <f>'Fiche info Avenant 6'!$E$10</f>
        <v>0</v>
      </c>
      <c r="CC621" s="449">
        <f>'Fiche info Avenant 6'!$F$10</f>
        <v>0</v>
      </c>
      <c r="CD621" s="449">
        <f>'Fiche info Avenant 6'!$G$10</f>
        <v>0</v>
      </c>
      <c r="CE621" s="449">
        <f>'Fiche info Avenant 6'!$H$10</f>
        <v>0</v>
      </c>
      <c r="CF621" s="449">
        <f>'Fiche info Avenant 6'!$I$10</f>
        <v>0</v>
      </c>
      <c r="ED621" s="16" t="str">
        <f t="shared" si="122"/>
        <v>Fiche info Avenant 6A</v>
      </c>
      <c r="EE621" s="16" t="str">
        <f t="shared" si="123"/>
        <v>Fiche info Avenant 6</v>
      </c>
      <c r="EF621" s="16" t="str">
        <f t="shared" si="124"/>
        <v>A</v>
      </c>
      <c r="EG621" s="16">
        <f t="shared" si="125"/>
        <v>4</v>
      </c>
      <c r="EH621" s="16" t="str">
        <f t="shared" si="126"/>
        <v>Jeudi</v>
      </c>
      <c r="EI621" s="16" t="str">
        <f t="shared" si="127"/>
        <v/>
      </c>
    </row>
    <row r="622" spans="1:139" x14ac:dyDescent="0.2">
      <c r="A622" s="16" t="str">
        <f t="shared" si="130"/>
        <v>Fiche info Avenant 6A5</v>
      </c>
      <c r="B622" s="16" t="str">
        <f t="shared" si="131"/>
        <v>Fiche info Avenant 6</v>
      </c>
      <c r="C622" s="27" t="s">
        <v>235</v>
      </c>
      <c r="D622" s="27">
        <v>5</v>
      </c>
      <c r="E622" s="16" t="s">
        <v>21</v>
      </c>
      <c r="F622" s="34" t="str">
        <f>IF('Fiche info Avenant 6'!$K$11=0,"",'Fiche info Avenant 6'!$K$11)</f>
        <v/>
      </c>
      <c r="G622" s="16">
        <f t="shared" si="128"/>
        <v>0</v>
      </c>
      <c r="BX622" s="16" t="str">
        <f t="shared" si="129"/>
        <v>Fiche info Avenant 6A5</v>
      </c>
      <c r="BY622" s="449">
        <f>'Fiche info Avenant 6'!$B$11</f>
        <v>0</v>
      </c>
      <c r="BZ622" s="449">
        <f>'Fiche info Avenant 6'!$C$11</f>
        <v>0</v>
      </c>
      <c r="CA622" s="449">
        <f>'Fiche info Avenant 6'!$D$11</f>
        <v>0</v>
      </c>
      <c r="CB622" s="449">
        <f>'Fiche info Avenant 6'!$E$11</f>
        <v>0</v>
      </c>
      <c r="CC622" s="449">
        <f>'Fiche info Avenant 6'!$F$11</f>
        <v>0</v>
      </c>
      <c r="CD622" s="449">
        <f>'Fiche info Avenant 6'!$G$11</f>
        <v>0</v>
      </c>
      <c r="CE622" s="449">
        <f>'Fiche info Avenant 6'!$H$11</f>
        <v>0</v>
      </c>
      <c r="CF622" s="449">
        <f>'Fiche info Avenant 6'!$I$11</f>
        <v>0</v>
      </c>
      <c r="ED622" s="16" t="str">
        <f t="shared" si="122"/>
        <v>Fiche info Avenant 6A</v>
      </c>
      <c r="EE622" s="16" t="str">
        <f t="shared" si="123"/>
        <v>Fiche info Avenant 6</v>
      </c>
      <c r="EF622" s="16" t="str">
        <f t="shared" si="124"/>
        <v>A</v>
      </c>
      <c r="EG622" s="16">
        <f t="shared" si="125"/>
        <v>5</v>
      </c>
      <c r="EH622" s="16" t="str">
        <f t="shared" si="126"/>
        <v>Vendredi</v>
      </c>
      <c r="EI622" s="16" t="str">
        <f t="shared" si="127"/>
        <v/>
      </c>
    </row>
    <row r="623" spans="1:139" x14ac:dyDescent="0.2">
      <c r="A623" s="16" t="str">
        <f t="shared" si="130"/>
        <v>Fiche info Avenant 6A6</v>
      </c>
      <c r="B623" s="16" t="str">
        <f t="shared" si="131"/>
        <v>Fiche info Avenant 6</v>
      </c>
      <c r="C623" s="27" t="s">
        <v>235</v>
      </c>
      <c r="D623" s="27">
        <v>6</v>
      </c>
      <c r="E623" s="16" t="s">
        <v>193</v>
      </c>
      <c r="F623" s="34" t="str">
        <f>IF('Fiche info Avenant 6'!$K$12=0,"",'Fiche info Avenant 6'!$K$12)</f>
        <v/>
      </c>
      <c r="G623" s="16">
        <f t="shared" si="128"/>
        <v>0</v>
      </c>
      <c r="BX623" s="16" t="str">
        <f t="shared" si="129"/>
        <v>Fiche info Avenant 6A6</v>
      </c>
      <c r="BY623" s="449">
        <f>'Fiche info Avenant 6'!$B$12</f>
        <v>0</v>
      </c>
      <c r="BZ623" s="449">
        <f>'Fiche info Avenant 6'!$C$12</f>
        <v>0</v>
      </c>
      <c r="CA623" s="449">
        <f>'Fiche info Avenant 6'!$D$12</f>
        <v>0</v>
      </c>
      <c r="CB623" s="449">
        <f>'Fiche info Avenant 6'!$E$12</f>
        <v>0</v>
      </c>
      <c r="CC623" s="449">
        <f>'Fiche info Avenant 6'!$F$12</f>
        <v>0</v>
      </c>
      <c r="CD623" s="449">
        <f>'Fiche info Avenant 6'!$G$12</f>
        <v>0</v>
      </c>
      <c r="CE623" s="449">
        <f>'Fiche info Avenant 6'!$H$12</f>
        <v>0</v>
      </c>
      <c r="CF623" s="449">
        <f>'Fiche info Avenant 6'!$I$12</f>
        <v>0</v>
      </c>
      <c r="ED623" s="16" t="str">
        <f t="shared" si="122"/>
        <v>Fiche info Avenant 6A</v>
      </c>
      <c r="EE623" s="16" t="str">
        <f t="shared" si="123"/>
        <v>Fiche info Avenant 6</v>
      </c>
      <c r="EF623" s="16" t="str">
        <f t="shared" si="124"/>
        <v>A</v>
      </c>
      <c r="EG623" s="16">
        <f t="shared" si="125"/>
        <v>6</v>
      </c>
      <c r="EH623" s="16" t="str">
        <f t="shared" si="126"/>
        <v>Samedi</v>
      </c>
      <c r="EI623" s="16" t="str">
        <f t="shared" si="127"/>
        <v/>
      </c>
    </row>
    <row r="624" spans="1:139" x14ac:dyDescent="0.2">
      <c r="A624" s="16" t="str">
        <f t="shared" si="130"/>
        <v>Fiche info Avenant 6A7</v>
      </c>
      <c r="B624" s="16" t="str">
        <f t="shared" si="131"/>
        <v>Fiche info Avenant 6</v>
      </c>
      <c r="C624" s="27" t="s">
        <v>235</v>
      </c>
      <c r="D624" s="27">
        <v>7</v>
      </c>
      <c r="E624" s="16" t="s">
        <v>194</v>
      </c>
      <c r="F624" s="34" t="str">
        <f>IF('Fiche info Avenant 6'!$K$13=0,"",'Fiche info Avenant 6'!$K$13)</f>
        <v/>
      </c>
      <c r="G624" s="16">
        <f t="shared" si="128"/>
        <v>0</v>
      </c>
      <c r="BX624" s="16" t="str">
        <f t="shared" si="129"/>
        <v>Fiche info Avenant 6A7</v>
      </c>
      <c r="BY624" s="449">
        <f>'Fiche info Avenant 6'!$B$13</f>
        <v>0</v>
      </c>
      <c r="BZ624" s="449">
        <f>'Fiche info Avenant 6'!$C$13</f>
        <v>0</v>
      </c>
      <c r="CA624" s="449">
        <f>'Fiche info Avenant 6'!$D$13</f>
        <v>0</v>
      </c>
      <c r="CB624" s="449">
        <f>'Fiche info Avenant 6'!$E$13</f>
        <v>0</v>
      </c>
      <c r="CC624" s="449">
        <f>'Fiche info Avenant 6'!$F$13</f>
        <v>0</v>
      </c>
      <c r="CD624" s="449">
        <f>'Fiche info Avenant 6'!$G$13</f>
        <v>0</v>
      </c>
      <c r="CE624" s="449">
        <f>'Fiche info Avenant 6'!$H$13</f>
        <v>0</v>
      </c>
      <c r="CF624" s="449">
        <f>'Fiche info Avenant 6'!$I$13</f>
        <v>0</v>
      </c>
      <c r="ED624" s="16" t="str">
        <f t="shared" si="122"/>
        <v>Fiche info Avenant 6A</v>
      </c>
      <c r="EE624" s="16" t="str">
        <f t="shared" si="123"/>
        <v>Fiche info Avenant 6</v>
      </c>
      <c r="EF624" s="16" t="str">
        <f t="shared" si="124"/>
        <v>A</v>
      </c>
      <c r="EG624" s="16">
        <f t="shared" si="125"/>
        <v>7</v>
      </c>
      <c r="EH624" s="16" t="str">
        <f t="shared" si="126"/>
        <v>Dimanche</v>
      </c>
      <c r="EI624" s="16" t="str">
        <f t="shared" si="127"/>
        <v/>
      </c>
    </row>
    <row r="625" spans="1:139" x14ac:dyDescent="0.2">
      <c r="A625" s="16" t="str">
        <f t="shared" si="130"/>
        <v>Fiche info Avenant 6B1</v>
      </c>
      <c r="B625" s="16" t="str">
        <f t="shared" si="131"/>
        <v>Fiche info Avenant 6</v>
      </c>
      <c r="C625" s="27" t="s">
        <v>236</v>
      </c>
      <c r="D625" s="27">
        <v>1</v>
      </c>
      <c r="E625" s="16" t="s">
        <v>17</v>
      </c>
      <c r="F625" s="34" t="str">
        <f>+IF('Fiche info Avenant 6'!$V$7=0,"",'Fiche info Avenant 6'!$V$7)</f>
        <v/>
      </c>
      <c r="G625" s="16">
        <f t="shared" si="128"/>
        <v>0</v>
      </c>
      <c r="BX625" s="16" t="str">
        <f t="shared" si="129"/>
        <v>Fiche info Avenant 6B1</v>
      </c>
      <c r="BY625" s="449">
        <f>'Fiche info Avenant 6'!$M$7</f>
        <v>0</v>
      </c>
      <c r="BZ625" s="449">
        <f>'Fiche info Avenant 6'!$N$7</f>
        <v>0</v>
      </c>
      <c r="CA625" s="449">
        <f>'Fiche info Avenant 6'!$O$7</f>
        <v>0</v>
      </c>
      <c r="CB625" s="449">
        <f>'Fiche info Avenant 6'!$P$7</f>
        <v>0</v>
      </c>
      <c r="CC625" s="449">
        <f>'Fiche info Avenant 6'!$Q$7</f>
        <v>0</v>
      </c>
      <c r="CD625" s="449">
        <f>'Fiche info Avenant 6'!$R$7</f>
        <v>0</v>
      </c>
      <c r="CE625" s="449">
        <f>'Fiche info Avenant 6'!$S$7</f>
        <v>0</v>
      </c>
      <c r="CF625" s="449">
        <f>'Fiche info Avenant 6'!$T$7</f>
        <v>0</v>
      </c>
      <c r="ED625" s="16" t="str">
        <f t="shared" si="122"/>
        <v>Fiche info Avenant 6B</v>
      </c>
      <c r="EE625" s="16" t="str">
        <f t="shared" si="123"/>
        <v>Fiche info Avenant 6</v>
      </c>
      <c r="EF625" s="16" t="str">
        <f t="shared" si="124"/>
        <v>B</v>
      </c>
      <c r="EG625" s="16">
        <f t="shared" si="125"/>
        <v>1</v>
      </c>
      <c r="EH625" s="16" t="str">
        <f t="shared" si="126"/>
        <v>Lundi</v>
      </c>
      <c r="EI625" s="16" t="str">
        <f t="shared" si="127"/>
        <v/>
      </c>
    </row>
    <row r="626" spans="1:139" x14ac:dyDescent="0.2">
      <c r="A626" s="16" t="str">
        <f t="shared" si="130"/>
        <v>Fiche info Avenant 6B2</v>
      </c>
      <c r="B626" s="16" t="str">
        <f t="shared" si="131"/>
        <v>Fiche info Avenant 6</v>
      </c>
      <c r="C626" s="27" t="s">
        <v>236</v>
      </c>
      <c r="D626" s="27">
        <v>2</v>
      </c>
      <c r="E626" s="16" t="s">
        <v>18</v>
      </c>
      <c r="F626" s="34" t="str">
        <f>+IF('Fiche info Avenant 6'!$V$8=0,"",'Fiche info Avenant 6'!$V$8)</f>
        <v/>
      </c>
      <c r="G626" s="16">
        <f t="shared" si="128"/>
        <v>0</v>
      </c>
      <c r="BX626" s="16" t="str">
        <f t="shared" si="129"/>
        <v>Fiche info Avenant 6B2</v>
      </c>
      <c r="BY626" s="449">
        <f>'Fiche info Avenant 6'!$M$8</f>
        <v>0</v>
      </c>
      <c r="BZ626" s="449">
        <f>'Fiche info Avenant 6'!$N$8</f>
        <v>0</v>
      </c>
      <c r="CA626" s="449">
        <f>'Fiche info Avenant 6'!$O$8</f>
        <v>0</v>
      </c>
      <c r="CB626" s="449">
        <f>'Fiche info Avenant 6'!$P$8</f>
        <v>0</v>
      </c>
      <c r="CC626" s="449">
        <f>'Fiche info Avenant 6'!$Q$8</f>
        <v>0</v>
      </c>
      <c r="CD626" s="449">
        <f>'Fiche info Avenant 6'!$R$8</f>
        <v>0</v>
      </c>
      <c r="CE626" s="449">
        <f>'Fiche info Avenant 6'!$S$8</f>
        <v>0</v>
      </c>
      <c r="CF626" s="449">
        <f>'Fiche info Avenant 6'!$T$8</f>
        <v>0</v>
      </c>
      <c r="ED626" s="16" t="str">
        <f t="shared" si="122"/>
        <v>Fiche info Avenant 6B</v>
      </c>
      <c r="EE626" s="16" t="str">
        <f t="shared" si="123"/>
        <v>Fiche info Avenant 6</v>
      </c>
      <c r="EF626" s="16" t="str">
        <f t="shared" si="124"/>
        <v>B</v>
      </c>
      <c r="EG626" s="16">
        <f t="shared" si="125"/>
        <v>2</v>
      </c>
      <c r="EH626" s="16" t="str">
        <f t="shared" si="126"/>
        <v>Mardi</v>
      </c>
      <c r="EI626" s="16" t="str">
        <f t="shared" si="127"/>
        <v/>
      </c>
    </row>
    <row r="627" spans="1:139" x14ac:dyDescent="0.2">
      <c r="A627" s="16" t="str">
        <f t="shared" si="130"/>
        <v>Fiche info Avenant 6B3</v>
      </c>
      <c r="B627" s="16" t="str">
        <f t="shared" si="131"/>
        <v>Fiche info Avenant 6</v>
      </c>
      <c r="C627" s="27" t="s">
        <v>236</v>
      </c>
      <c r="D627" s="27">
        <v>3</v>
      </c>
      <c r="E627" s="16" t="s">
        <v>19</v>
      </c>
      <c r="F627" s="34" t="str">
        <f>+IF('Fiche info Avenant 6'!$V$9=0,"",'Fiche info Avenant 6'!$V$9)</f>
        <v/>
      </c>
      <c r="G627" s="16">
        <f t="shared" si="128"/>
        <v>0</v>
      </c>
      <c r="BX627" s="16" t="str">
        <f t="shared" si="129"/>
        <v>Fiche info Avenant 6B3</v>
      </c>
      <c r="BY627" s="449">
        <f>'Fiche info Avenant 6'!$M$9</f>
        <v>0</v>
      </c>
      <c r="BZ627" s="449">
        <f>'Fiche info Avenant 6'!$N$9</f>
        <v>0</v>
      </c>
      <c r="CA627" s="449">
        <f>'Fiche info Avenant 6'!$O$9</f>
        <v>0</v>
      </c>
      <c r="CB627" s="449">
        <f>'Fiche info Avenant 6'!$P$9</f>
        <v>0</v>
      </c>
      <c r="CC627" s="449">
        <f>'Fiche info Avenant 6'!$Q$9</f>
        <v>0</v>
      </c>
      <c r="CD627" s="449">
        <f>'Fiche info Avenant 6'!$R$9</f>
        <v>0</v>
      </c>
      <c r="CE627" s="449">
        <f>'Fiche info Avenant 6'!$S$9</f>
        <v>0</v>
      </c>
      <c r="CF627" s="449">
        <f>'Fiche info Avenant 6'!$T$9</f>
        <v>0</v>
      </c>
      <c r="ED627" s="16" t="str">
        <f t="shared" ref="ED627:ED690" si="132">+EE627&amp;EF627</f>
        <v>Fiche info Avenant 6B</v>
      </c>
      <c r="EE627" s="16" t="str">
        <f t="shared" si="123"/>
        <v>Fiche info Avenant 6</v>
      </c>
      <c r="EF627" s="16" t="str">
        <f t="shared" si="124"/>
        <v>B</v>
      </c>
      <c r="EG627" s="16">
        <f t="shared" si="125"/>
        <v>3</v>
      </c>
      <c r="EH627" s="16" t="str">
        <f t="shared" si="126"/>
        <v>Mercredi</v>
      </c>
      <c r="EI627" s="16" t="str">
        <f t="shared" si="127"/>
        <v/>
      </c>
    </row>
    <row r="628" spans="1:139" x14ac:dyDescent="0.2">
      <c r="A628" s="16" t="str">
        <f t="shared" si="130"/>
        <v>Fiche info Avenant 6B4</v>
      </c>
      <c r="B628" s="16" t="str">
        <f t="shared" si="131"/>
        <v>Fiche info Avenant 6</v>
      </c>
      <c r="C628" s="27" t="s">
        <v>236</v>
      </c>
      <c r="D628" s="27">
        <v>4</v>
      </c>
      <c r="E628" s="16" t="s">
        <v>20</v>
      </c>
      <c r="F628" s="34" t="str">
        <f>+IF('Fiche info Avenant 6'!$V$10=0,"",'Fiche info Avenant 6'!$V$10)</f>
        <v/>
      </c>
      <c r="G628" s="16">
        <f t="shared" si="128"/>
        <v>0</v>
      </c>
      <c r="BX628" s="16" t="str">
        <f t="shared" si="129"/>
        <v>Fiche info Avenant 6B4</v>
      </c>
      <c r="BY628" s="449">
        <f>'Fiche info Avenant 6'!$M$10</f>
        <v>0</v>
      </c>
      <c r="BZ628" s="449">
        <f>'Fiche info Avenant 6'!$N$10</f>
        <v>0</v>
      </c>
      <c r="CA628" s="449">
        <f>'Fiche info Avenant 6'!$O$10</f>
        <v>0</v>
      </c>
      <c r="CB628" s="449">
        <f>'Fiche info Avenant 6'!$P$10</f>
        <v>0</v>
      </c>
      <c r="CC628" s="449">
        <f>'Fiche info Avenant 6'!$Q$10</f>
        <v>0</v>
      </c>
      <c r="CD628" s="449">
        <f>'Fiche info Avenant 6'!$R$10</f>
        <v>0</v>
      </c>
      <c r="CE628" s="449">
        <f>'Fiche info Avenant 6'!$S$10</f>
        <v>0</v>
      </c>
      <c r="CF628" s="449">
        <f>'Fiche info Avenant 6'!$T$10</f>
        <v>0</v>
      </c>
      <c r="ED628" s="16" t="str">
        <f t="shared" si="132"/>
        <v>Fiche info Avenant 6B</v>
      </c>
      <c r="EE628" s="16" t="str">
        <f t="shared" si="123"/>
        <v>Fiche info Avenant 6</v>
      </c>
      <c r="EF628" s="16" t="str">
        <f t="shared" si="124"/>
        <v>B</v>
      </c>
      <c r="EG628" s="16">
        <f t="shared" si="125"/>
        <v>4</v>
      </c>
      <c r="EH628" s="16" t="str">
        <f t="shared" si="126"/>
        <v>Jeudi</v>
      </c>
      <c r="EI628" s="16" t="str">
        <f t="shared" si="127"/>
        <v/>
      </c>
    </row>
    <row r="629" spans="1:139" x14ac:dyDescent="0.2">
      <c r="A629" s="16" t="str">
        <f t="shared" si="130"/>
        <v>Fiche info Avenant 6B5</v>
      </c>
      <c r="B629" s="16" t="str">
        <f t="shared" si="131"/>
        <v>Fiche info Avenant 6</v>
      </c>
      <c r="C629" s="27" t="s">
        <v>236</v>
      </c>
      <c r="D629" s="27">
        <v>5</v>
      </c>
      <c r="E629" s="16" t="s">
        <v>21</v>
      </c>
      <c r="F629" s="34" t="str">
        <f>+IF('Fiche info Avenant 6'!$V$11=0,"",'Fiche info Avenant 6'!$V$11)</f>
        <v/>
      </c>
      <c r="G629" s="16">
        <f t="shared" si="128"/>
        <v>0</v>
      </c>
      <c r="BX629" s="16" t="str">
        <f t="shared" si="129"/>
        <v>Fiche info Avenant 6B5</v>
      </c>
      <c r="BY629" s="449">
        <f>'Fiche info Avenant 6'!$M$11</f>
        <v>0</v>
      </c>
      <c r="BZ629" s="449">
        <f>'Fiche info Avenant 6'!$N$11</f>
        <v>0</v>
      </c>
      <c r="CA629" s="449">
        <f>'Fiche info Avenant 6'!$O$11</f>
        <v>0</v>
      </c>
      <c r="CB629" s="449">
        <f>'Fiche info Avenant 6'!$P$11</f>
        <v>0</v>
      </c>
      <c r="CC629" s="449">
        <f>'Fiche info Avenant 6'!$Q$11</f>
        <v>0</v>
      </c>
      <c r="CD629" s="449">
        <f>'Fiche info Avenant 6'!$R$11</f>
        <v>0</v>
      </c>
      <c r="CE629" s="449">
        <f>'Fiche info Avenant 6'!$S$11</f>
        <v>0</v>
      </c>
      <c r="CF629" s="449">
        <f>'Fiche info Avenant 6'!$T$11</f>
        <v>0</v>
      </c>
      <c r="ED629" s="16" t="str">
        <f t="shared" si="132"/>
        <v>Fiche info Avenant 6B</v>
      </c>
      <c r="EE629" s="16" t="str">
        <f t="shared" si="123"/>
        <v>Fiche info Avenant 6</v>
      </c>
      <c r="EF629" s="16" t="str">
        <f t="shared" si="124"/>
        <v>B</v>
      </c>
      <c r="EG629" s="16">
        <f t="shared" si="125"/>
        <v>5</v>
      </c>
      <c r="EH629" s="16" t="str">
        <f t="shared" si="126"/>
        <v>Vendredi</v>
      </c>
      <c r="EI629" s="16" t="str">
        <f t="shared" si="127"/>
        <v/>
      </c>
    </row>
    <row r="630" spans="1:139" x14ac:dyDescent="0.2">
      <c r="A630" s="16" t="str">
        <f t="shared" si="130"/>
        <v>Fiche info Avenant 6B6</v>
      </c>
      <c r="B630" s="16" t="str">
        <f t="shared" si="131"/>
        <v>Fiche info Avenant 6</v>
      </c>
      <c r="C630" s="27" t="s">
        <v>236</v>
      </c>
      <c r="D630" s="27">
        <v>6</v>
      </c>
      <c r="E630" s="16" t="s">
        <v>193</v>
      </c>
      <c r="F630" s="34" t="str">
        <f>+IF('Fiche info Avenant 6'!$V$12=0,"",'Fiche info Avenant 6'!$V$12)</f>
        <v/>
      </c>
      <c r="G630" s="16">
        <f t="shared" si="128"/>
        <v>0</v>
      </c>
      <c r="BX630" s="16" t="str">
        <f t="shared" si="129"/>
        <v>Fiche info Avenant 6B6</v>
      </c>
      <c r="BY630" s="449">
        <f>'Fiche info Avenant 6'!$M$12</f>
        <v>0</v>
      </c>
      <c r="BZ630" s="449">
        <f>'Fiche info Avenant 6'!$N$12</f>
        <v>0</v>
      </c>
      <c r="CA630" s="449">
        <f>'Fiche info Avenant 6'!$O$12</f>
        <v>0</v>
      </c>
      <c r="CB630" s="449">
        <f>'Fiche info Avenant 6'!$P$12</f>
        <v>0</v>
      </c>
      <c r="CC630" s="449">
        <f>'Fiche info Avenant 6'!$Q$12</f>
        <v>0</v>
      </c>
      <c r="CD630" s="449">
        <f>'Fiche info Avenant 6'!$R$12</f>
        <v>0</v>
      </c>
      <c r="CE630" s="449">
        <f>'Fiche info Avenant 6'!$S$12</f>
        <v>0</v>
      </c>
      <c r="CF630" s="449">
        <f>'Fiche info Avenant 6'!$T$12</f>
        <v>0</v>
      </c>
      <c r="ED630" s="16" t="str">
        <f t="shared" si="132"/>
        <v>Fiche info Avenant 6B</v>
      </c>
      <c r="EE630" s="16" t="str">
        <f t="shared" si="123"/>
        <v>Fiche info Avenant 6</v>
      </c>
      <c r="EF630" s="16" t="str">
        <f t="shared" si="124"/>
        <v>B</v>
      </c>
      <c r="EG630" s="16">
        <f t="shared" si="125"/>
        <v>6</v>
      </c>
      <c r="EH630" s="16" t="str">
        <f t="shared" si="126"/>
        <v>Samedi</v>
      </c>
      <c r="EI630" s="16" t="str">
        <f t="shared" si="127"/>
        <v/>
      </c>
    </row>
    <row r="631" spans="1:139" x14ac:dyDescent="0.2">
      <c r="A631" s="16" t="str">
        <f t="shared" si="130"/>
        <v>Fiche info Avenant 6B7</v>
      </c>
      <c r="B631" s="16" t="str">
        <f t="shared" si="131"/>
        <v>Fiche info Avenant 6</v>
      </c>
      <c r="C631" s="27" t="s">
        <v>236</v>
      </c>
      <c r="D631" s="27">
        <v>7</v>
      </c>
      <c r="E631" s="16" t="s">
        <v>194</v>
      </c>
      <c r="F631" s="34" t="str">
        <f>+IF('Fiche info Avenant 6'!$V$13=0,"",'Fiche info Avenant 6'!$V$13)</f>
        <v/>
      </c>
      <c r="G631" s="16">
        <f t="shared" si="128"/>
        <v>0</v>
      </c>
      <c r="BX631" s="16" t="str">
        <f t="shared" si="129"/>
        <v>Fiche info Avenant 6B7</v>
      </c>
      <c r="BY631" s="449">
        <f>'Fiche info Avenant 6'!$M$13</f>
        <v>0</v>
      </c>
      <c r="BZ631" s="449">
        <f>'Fiche info Avenant 6'!$N$13</f>
        <v>0</v>
      </c>
      <c r="CA631" s="449">
        <f>'Fiche info Avenant 6'!$O$13</f>
        <v>0</v>
      </c>
      <c r="CB631" s="449">
        <f>'Fiche info Avenant 6'!$P$13</f>
        <v>0</v>
      </c>
      <c r="CC631" s="449">
        <f>'Fiche info Avenant 6'!$Q$13</f>
        <v>0</v>
      </c>
      <c r="CD631" s="449">
        <f>'Fiche info Avenant 6'!$R$13</f>
        <v>0</v>
      </c>
      <c r="CE631" s="449">
        <f>'Fiche info Avenant 6'!$S$13</f>
        <v>0</v>
      </c>
      <c r="CF631" s="449">
        <f>'Fiche info Avenant 6'!$T$13</f>
        <v>0</v>
      </c>
      <c r="ED631" s="16" t="str">
        <f t="shared" si="132"/>
        <v>Fiche info Avenant 6B</v>
      </c>
      <c r="EE631" s="16" t="str">
        <f t="shared" si="123"/>
        <v>Fiche info Avenant 6</v>
      </c>
      <c r="EF631" s="16" t="str">
        <f t="shared" si="124"/>
        <v>B</v>
      </c>
      <c r="EG631" s="16">
        <f t="shared" si="125"/>
        <v>7</v>
      </c>
      <c r="EH631" s="16" t="str">
        <f t="shared" si="126"/>
        <v>Dimanche</v>
      </c>
      <c r="EI631" s="16" t="str">
        <f t="shared" si="127"/>
        <v/>
      </c>
    </row>
    <row r="632" spans="1:139" x14ac:dyDescent="0.2">
      <c r="A632" s="16" t="str">
        <f t="shared" si="130"/>
        <v>Fiche info Avenant 6C1</v>
      </c>
      <c r="B632" s="16" t="str">
        <f t="shared" si="131"/>
        <v>Fiche info Avenant 6</v>
      </c>
      <c r="C632" s="27" t="s">
        <v>241</v>
      </c>
      <c r="D632" s="27">
        <v>1</v>
      </c>
      <c r="E632" s="16" t="s">
        <v>17</v>
      </c>
      <c r="F632" s="34" t="str">
        <f>+IF('Fiche info Avenant 6'!$AG$7=0,"",'Fiche info Avenant 6'!$AG$7)</f>
        <v/>
      </c>
      <c r="G632" s="16">
        <f t="shared" si="128"/>
        <v>0</v>
      </c>
      <c r="BX632" s="16" t="str">
        <f t="shared" si="129"/>
        <v>Fiche info Avenant 6C1</v>
      </c>
      <c r="BY632" s="449">
        <f>'Fiche info Avenant 6'!$X$7</f>
        <v>0</v>
      </c>
      <c r="BZ632" s="449">
        <f>'Fiche info Avenant 6'!$Y$7</f>
        <v>0</v>
      </c>
      <c r="CA632" s="449">
        <f>'Fiche info Avenant 6'!$Z$7</f>
        <v>0</v>
      </c>
      <c r="CB632" s="449">
        <f>'Fiche info Avenant 6'!$AA$7</f>
        <v>0</v>
      </c>
      <c r="CC632" s="449">
        <f>'Fiche info Avenant 6'!$AB$7</f>
        <v>0</v>
      </c>
      <c r="CD632" s="449">
        <f>'Fiche info Avenant 6'!$AC$7</f>
        <v>0</v>
      </c>
      <c r="CE632" s="449">
        <f>'Fiche info Avenant 6'!$AD$7</f>
        <v>0</v>
      </c>
      <c r="CF632" s="449">
        <f>'Fiche info Avenant 6'!$AE$7</f>
        <v>0</v>
      </c>
      <c r="ED632" s="16" t="str">
        <f t="shared" si="132"/>
        <v>Fiche info Avenant 6C</v>
      </c>
      <c r="EE632" s="16" t="str">
        <f t="shared" si="123"/>
        <v>Fiche info Avenant 6</v>
      </c>
      <c r="EF632" s="16" t="str">
        <f t="shared" si="124"/>
        <v>C</v>
      </c>
      <c r="EG632" s="16">
        <f t="shared" si="125"/>
        <v>1</v>
      </c>
      <c r="EH632" s="16" t="str">
        <f t="shared" si="126"/>
        <v>Lundi</v>
      </c>
      <c r="EI632" s="16" t="str">
        <f t="shared" si="127"/>
        <v/>
      </c>
    </row>
    <row r="633" spans="1:139" x14ac:dyDescent="0.2">
      <c r="A633" s="16" t="str">
        <f t="shared" si="130"/>
        <v>Fiche info Avenant 6C2</v>
      </c>
      <c r="B633" s="16" t="str">
        <f t="shared" si="131"/>
        <v>Fiche info Avenant 6</v>
      </c>
      <c r="C633" s="27" t="s">
        <v>241</v>
      </c>
      <c r="D633" s="27">
        <v>2</v>
      </c>
      <c r="E633" s="16" t="s">
        <v>18</v>
      </c>
      <c r="F633" s="34" t="str">
        <f>+IF('Fiche info Avenant 6'!$AG$8=0,"",'Fiche info Avenant 6'!$AG$8)</f>
        <v/>
      </c>
      <c r="G633" s="16">
        <f t="shared" si="128"/>
        <v>0</v>
      </c>
      <c r="BX633" s="16" t="str">
        <f t="shared" si="129"/>
        <v>Fiche info Avenant 6C2</v>
      </c>
      <c r="BY633" s="449">
        <f>'Fiche info Avenant 6'!$X$8</f>
        <v>0</v>
      </c>
      <c r="BZ633" s="449">
        <f>'Fiche info Avenant 6'!$Y$8</f>
        <v>0</v>
      </c>
      <c r="CA633" s="449">
        <f>'Fiche info Avenant 6'!$Z$8</f>
        <v>0</v>
      </c>
      <c r="CB633" s="449">
        <f>'Fiche info Avenant 6'!$AA$8</f>
        <v>0</v>
      </c>
      <c r="CC633" s="449">
        <f>'Fiche info Avenant 6'!$AB$8</f>
        <v>0</v>
      </c>
      <c r="CD633" s="449">
        <f>'Fiche info Avenant 6'!$AC$8</f>
        <v>0</v>
      </c>
      <c r="CE633" s="449">
        <f>'Fiche info Avenant 6'!$AD$8</f>
        <v>0</v>
      </c>
      <c r="CF633" s="449">
        <f>'Fiche info Avenant 6'!$AE$8</f>
        <v>0</v>
      </c>
      <c r="ED633" s="16" t="str">
        <f t="shared" si="132"/>
        <v>Fiche info Avenant 6C</v>
      </c>
      <c r="EE633" s="16" t="str">
        <f t="shared" si="123"/>
        <v>Fiche info Avenant 6</v>
      </c>
      <c r="EF633" s="16" t="str">
        <f t="shared" si="124"/>
        <v>C</v>
      </c>
      <c r="EG633" s="16">
        <f t="shared" si="125"/>
        <v>2</v>
      </c>
      <c r="EH633" s="16" t="str">
        <f t="shared" si="126"/>
        <v>Mardi</v>
      </c>
      <c r="EI633" s="16" t="str">
        <f t="shared" si="127"/>
        <v/>
      </c>
    </row>
    <row r="634" spans="1:139" x14ac:dyDescent="0.2">
      <c r="A634" s="16" t="str">
        <f t="shared" si="130"/>
        <v>Fiche info Avenant 6C3</v>
      </c>
      <c r="B634" s="16" t="str">
        <f t="shared" si="131"/>
        <v>Fiche info Avenant 6</v>
      </c>
      <c r="C634" s="27" t="s">
        <v>241</v>
      </c>
      <c r="D634" s="27">
        <v>3</v>
      </c>
      <c r="E634" s="16" t="s">
        <v>19</v>
      </c>
      <c r="F634" s="34" t="str">
        <f>+IF('Fiche info Avenant 6'!$AG$9=0,"",'Fiche info Avenant 6'!$AG$9)</f>
        <v/>
      </c>
      <c r="G634" s="16">
        <f t="shared" si="128"/>
        <v>0</v>
      </c>
      <c r="BX634" s="16" t="str">
        <f t="shared" si="129"/>
        <v>Fiche info Avenant 6C3</v>
      </c>
      <c r="BY634" s="449">
        <f>'Fiche info Avenant 6'!$X$9</f>
        <v>0</v>
      </c>
      <c r="BZ634" s="449">
        <f>'Fiche info Avenant 6'!$Y$9</f>
        <v>0</v>
      </c>
      <c r="CA634" s="449">
        <f>'Fiche info Avenant 6'!$Z$9</f>
        <v>0</v>
      </c>
      <c r="CB634" s="449">
        <f>'Fiche info Avenant 6'!$AA$9</f>
        <v>0</v>
      </c>
      <c r="CC634" s="449">
        <f>'Fiche info Avenant 6'!$AB$9</f>
        <v>0</v>
      </c>
      <c r="CD634" s="449">
        <f>'Fiche info Avenant 6'!$AC$9</f>
        <v>0</v>
      </c>
      <c r="CE634" s="449">
        <f>'Fiche info Avenant 6'!$AD$9</f>
        <v>0</v>
      </c>
      <c r="CF634" s="449">
        <f>'Fiche info Avenant 6'!$AE$9</f>
        <v>0</v>
      </c>
      <c r="ED634" s="16" t="str">
        <f t="shared" si="132"/>
        <v>Fiche info Avenant 6C</v>
      </c>
      <c r="EE634" s="16" t="str">
        <f t="shared" si="123"/>
        <v>Fiche info Avenant 6</v>
      </c>
      <c r="EF634" s="16" t="str">
        <f t="shared" si="124"/>
        <v>C</v>
      </c>
      <c r="EG634" s="16">
        <f t="shared" si="125"/>
        <v>3</v>
      </c>
      <c r="EH634" s="16" t="str">
        <f t="shared" si="126"/>
        <v>Mercredi</v>
      </c>
      <c r="EI634" s="16" t="str">
        <f t="shared" si="127"/>
        <v/>
      </c>
    </row>
    <row r="635" spans="1:139" x14ac:dyDescent="0.2">
      <c r="A635" s="16" t="str">
        <f t="shared" si="130"/>
        <v>Fiche info Avenant 6C4</v>
      </c>
      <c r="B635" s="16" t="str">
        <f t="shared" si="131"/>
        <v>Fiche info Avenant 6</v>
      </c>
      <c r="C635" s="27" t="s">
        <v>241</v>
      </c>
      <c r="D635" s="27">
        <v>4</v>
      </c>
      <c r="E635" s="16" t="s">
        <v>20</v>
      </c>
      <c r="F635" s="34" t="str">
        <f>+IF('Fiche info Avenant 6'!$AG$10=0,"",'Fiche info Avenant 6'!$AG$10)</f>
        <v/>
      </c>
      <c r="G635" s="16">
        <f t="shared" si="128"/>
        <v>0</v>
      </c>
      <c r="BX635" s="16" t="str">
        <f t="shared" si="129"/>
        <v>Fiche info Avenant 6C4</v>
      </c>
      <c r="BY635" s="449">
        <f>'Fiche info Avenant 6'!$X$10</f>
        <v>0</v>
      </c>
      <c r="BZ635" s="449">
        <f>'Fiche info Avenant 6'!$Y$10</f>
        <v>0</v>
      </c>
      <c r="CA635" s="449">
        <f>'Fiche info Avenant 6'!$Z$10</f>
        <v>0</v>
      </c>
      <c r="CB635" s="449">
        <f>'Fiche info Avenant 6'!$AA$10</f>
        <v>0</v>
      </c>
      <c r="CC635" s="449">
        <f>'Fiche info Avenant 6'!$AB$10</f>
        <v>0</v>
      </c>
      <c r="CD635" s="449">
        <f>'Fiche info Avenant 6'!$AC$10</f>
        <v>0</v>
      </c>
      <c r="CE635" s="449">
        <f>'Fiche info Avenant 6'!$AD$10</f>
        <v>0</v>
      </c>
      <c r="CF635" s="449">
        <f>'Fiche info Avenant 6'!$AE$10</f>
        <v>0</v>
      </c>
      <c r="ED635" s="16" t="str">
        <f t="shared" si="132"/>
        <v>Fiche info Avenant 6C</v>
      </c>
      <c r="EE635" s="16" t="str">
        <f t="shared" si="123"/>
        <v>Fiche info Avenant 6</v>
      </c>
      <c r="EF635" s="16" t="str">
        <f t="shared" si="124"/>
        <v>C</v>
      </c>
      <c r="EG635" s="16">
        <f t="shared" si="125"/>
        <v>4</v>
      </c>
      <c r="EH635" s="16" t="str">
        <f t="shared" si="126"/>
        <v>Jeudi</v>
      </c>
      <c r="EI635" s="16" t="str">
        <f t="shared" si="127"/>
        <v/>
      </c>
    </row>
    <row r="636" spans="1:139" x14ac:dyDescent="0.2">
      <c r="A636" s="16" t="str">
        <f t="shared" si="130"/>
        <v>Fiche info Avenant 6C5</v>
      </c>
      <c r="B636" s="16" t="str">
        <f t="shared" si="131"/>
        <v>Fiche info Avenant 6</v>
      </c>
      <c r="C636" s="27" t="s">
        <v>241</v>
      </c>
      <c r="D636" s="27">
        <v>5</v>
      </c>
      <c r="E636" s="16" t="s">
        <v>21</v>
      </c>
      <c r="F636" s="34" t="str">
        <f>+IF('Fiche info Avenant 6'!$AG$11=0,"",'Fiche info Avenant 6'!$AG$11)</f>
        <v/>
      </c>
      <c r="G636" s="16">
        <f t="shared" si="128"/>
        <v>0</v>
      </c>
      <c r="BX636" s="16" t="str">
        <f t="shared" si="129"/>
        <v>Fiche info Avenant 6C5</v>
      </c>
      <c r="BY636" s="449">
        <f>'Fiche info Avenant 6'!$X$11</f>
        <v>0</v>
      </c>
      <c r="BZ636" s="449">
        <f>'Fiche info Avenant 6'!$Y$11</f>
        <v>0</v>
      </c>
      <c r="CA636" s="449">
        <f>'Fiche info Avenant 6'!$Z$11</f>
        <v>0</v>
      </c>
      <c r="CB636" s="449">
        <f>'Fiche info Avenant 6'!$AA$11</f>
        <v>0</v>
      </c>
      <c r="CC636" s="449">
        <f>'Fiche info Avenant 6'!$AB$11</f>
        <v>0</v>
      </c>
      <c r="CD636" s="449">
        <f>'Fiche info Avenant 6'!$AC$11</f>
        <v>0</v>
      </c>
      <c r="CE636" s="449">
        <f>'Fiche info Avenant 6'!$AD$11</f>
        <v>0</v>
      </c>
      <c r="CF636" s="449">
        <f>'Fiche info Avenant 6'!$AE$11</f>
        <v>0</v>
      </c>
      <c r="ED636" s="16" t="str">
        <f t="shared" si="132"/>
        <v>Fiche info Avenant 6C</v>
      </c>
      <c r="EE636" s="16" t="str">
        <f t="shared" si="123"/>
        <v>Fiche info Avenant 6</v>
      </c>
      <c r="EF636" s="16" t="str">
        <f t="shared" si="124"/>
        <v>C</v>
      </c>
      <c r="EG636" s="16">
        <f t="shared" si="125"/>
        <v>5</v>
      </c>
      <c r="EH636" s="16" t="str">
        <f t="shared" si="126"/>
        <v>Vendredi</v>
      </c>
      <c r="EI636" s="16" t="str">
        <f t="shared" si="127"/>
        <v/>
      </c>
    </row>
    <row r="637" spans="1:139" x14ac:dyDescent="0.2">
      <c r="A637" s="16" t="str">
        <f t="shared" si="130"/>
        <v>Fiche info Avenant 6C6</v>
      </c>
      <c r="B637" s="16" t="str">
        <f t="shared" si="131"/>
        <v>Fiche info Avenant 6</v>
      </c>
      <c r="C637" s="27" t="s">
        <v>241</v>
      </c>
      <c r="D637" s="27">
        <v>6</v>
      </c>
      <c r="E637" s="16" t="s">
        <v>193</v>
      </c>
      <c r="F637" s="34" t="str">
        <f>+IF('Fiche info Avenant 6'!$AG$12=0,"",'Fiche info Avenant 6'!$AG$12)</f>
        <v/>
      </c>
      <c r="G637" s="16">
        <f t="shared" si="128"/>
        <v>0</v>
      </c>
      <c r="BX637" s="16" t="str">
        <f t="shared" si="129"/>
        <v>Fiche info Avenant 6C6</v>
      </c>
      <c r="BY637" s="449">
        <f>'Fiche info Avenant 6'!$X$12</f>
        <v>0</v>
      </c>
      <c r="BZ637" s="449">
        <f>'Fiche info Avenant 6'!$Y$12</f>
        <v>0</v>
      </c>
      <c r="CA637" s="449">
        <f>'Fiche info Avenant 6'!$Z$12</f>
        <v>0</v>
      </c>
      <c r="CB637" s="449">
        <f>'Fiche info Avenant 6'!$AA$12</f>
        <v>0</v>
      </c>
      <c r="CC637" s="449">
        <f>'Fiche info Avenant 6'!$AB$12</f>
        <v>0</v>
      </c>
      <c r="CD637" s="449">
        <f>'Fiche info Avenant 6'!$AC$12</f>
        <v>0</v>
      </c>
      <c r="CE637" s="449">
        <f>'Fiche info Avenant 6'!$AD$12</f>
        <v>0</v>
      </c>
      <c r="CF637" s="449">
        <f>'Fiche info Avenant 6'!$AE$12</f>
        <v>0</v>
      </c>
      <c r="ED637" s="16" t="str">
        <f t="shared" si="132"/>
        <v>Fiche info Avenant 6C</v>
      </c>
      <c r="EE637" s="16" t="str">
        <f t="shared" si="123"/>
        <v>Fiche info Avenant 6</v>
      </c>
      <c r="EF637" s="16" t="str">
        <f t="shared" si="124"/>
        <v>C</v>
      </c>
      <c r="EG637" s="16">
        <f t="shared" si="125"/>
        <v>6</v>
      </c>
      <c r="EH637" s="16" t="str">
        <f t="shared" si="126"/>
        <v>Samedi</v>
      </c>
      <c r="EI637" s="16" t="str">
        <f t="shared" si="127"/>
        <v/>
      </c>
    </row>
    <row r="638" spans="1:139" x14ac:dyDescent="0.2">
      <c r="A638" s="16" t="str">
        <f t="shared" si="130"/>
        <v>Fiche info Avenant 6C7</v>
      </c>
      <c r="B638" s="16" t="str">
        <f t="shared" si="131"/>
        <v>Fiche info Avenant 6</v>
      </c>
      <c r="C638" s="27" t="s">
        <v>241</v>
      </c>
      <c r="D638" s="27">
        <v>7</v>
      </c>
      <c r="E638" s="16" t="s">
        <v>194</v>
      </c>
      <c r="F638" s="34" t="str">
        <f>+IF('Fiche info Avenant 6'!$AG$13=0,"",'Fiche info Avenant 6'!$AG$13)</f>
        <v/>
      </c>
      <c r="G638" s="16">
        <f t="shared" si="128"/>
        <v>0</v>
      </c>
      <c r="BX638" s="16" t="str">
        <f t="shared" si="129"/>
        <v>Fiche info Avenant 6C7</v>
      </c>
      <c r="BY638" s="449">
        <f>'Fiche info Avenant 6'!$X$13</f>
        <v>0</v>
      </c>
      <c r="BZ638" s="449">
        <f>'Fiche info Avenant 6'!$Y$13</f>
        <v>0</v>
      </c>
      <c r="CA638" s="449">
        <f>'Fiche info Avenant 6'!$Z$13</f>
        <v>0</v>
      </c>
      <c r="CB638" s="449">
        <f>'Fiche info Avenant 6'!$AA$13</f>
        <v>0</v>
      </c>
      <c r="CC638" s="449">
        <f>'Fiche info Avenant 6'!$AB$13</f>
        <v>0</v>
      </c>
      <c r="CD638" s="449">
        <f>'Fiche info Avenant 6'!$AC$13</f>
        <v>0</v>
      </c>
      <c r="CE638" s="449">
        <f>'Fiche info Avenant 6'!$AD$13</f>
        <v>0</v>
      </c>
      <c r="CF638" s="449">
        <f>'Fiche info Avenant 6'!$AE$13</f>
        <v>0</v>
      </c>
      <c r="ED638" s="16" t="str">
        <f t="shared" si="132"/>
        <v>Fiche info Avenant 6C</v>
      </c>
      <c r="EE638" s="16" t="str">
        <f t="shared" si="123"/>
        <v>Fiche info Avenant 6</v>
      </c>
      <c r="EF638" s="16" t="str">
        <f t="shared" si="124"/>
        <v>C</v>
      </c>
      <c r="EG638" s="16">
        <f t="shared" si="125"/>
        <v>7</v>
      </c>
      <c r="EH638" s="16" t="str">
        <f t="shared" si="126"/>
        <v>Dimanche</v>
      </c>
      <c r="EI638" s="16" t="str">
        <f t="shared" si="127"/>
        <v/>
      </c>
    </row>
    <row r="639" spans="1:139" x14ac:dyDescent="0.2">
      <c r="A639" s="16" t="str">
        <f t="shared" si="130"/>
        <v>Fiche info Avenant 6D1</v>
      </c>
      <c r="B639" s="16" t="str">
        <f t="shared" si="131"/>
        <v>Fiche info Avenant 6</v>
      </c>
      <c r="C639" s="27" t="s">
        <v>242</v>
      </c>
      <c r="D639" s="27">
        <v>1</v>
      </c>
      <c r="E639" s="16" t="s">
        <v>17</v>
      </c>
      <c r="F639" s="34" t="str">
        <f>+IF('Fiche info Avenant 6'!$AR$7=0,"",'Fiche info Avenant 6'!$AR$7)</f>
        <v/>
      </c>
      <c r="G639" s="16">
        <f t="shared" si="128"/>
        <v>0</v>
      </c>
      <c r="BX639" s="16" t="str">
        <f t="shared" si="129"/>
        <v>Fiche info Avenant 6D1</v>
      </c>
      <c r="BY639" s="449">
        <f>'Fiche info Avenant 6'!$AI$7</f>
        <v>0</v>
      </c>
      <c r="BZ639" s="449">
        <f>'Fiche info Avenant 6'!$AJ$7</f>
        <v>0</v>
      </c>
      <c r="CA639" s="449">
        <f>'Fiche info Avenant 6'!$AK$7</f>
        <v>0</v>
      </c>
      <c r="CB639" s="449">
        <f>'Fiche info Avenant 6'!$AL$7</f>
        <v>0</v>
      </c>
      <c r="CC639" s="449">
        <f>'Fiche info Avenant 6'!$AM$7</f>
        <v>0</v>
      </c>
      <c r="CD639" s="449">
        <f>'Fiche info Avenant 6'!$AN$7</f>
        <v>0</v>
      </c>
      <c r="CE639" s="449">
        <f>'Fiche info Avenant 6'!$AO$7</f>
        <v>0</v>
      </c>
      <c r="CF639" s="449">
        <f>'Fiche info Avenant 6'!$AP$7</f>
        <v>0</v>
      </c>
      <c r="ED639" s="16" t="str">
        <f t="shared" si="132"/>
        <v>Fiche info Avenant 6D</v>
      </c>
      <c r="EE639" s="16" t="str">
        <f t="shared" si="123"/>
        <v>Fiche info Avenant 6</v>
      </c>
      <c r="EF639" s="16" t="str">
        <f t="shared" si="124"/>
        <v>D</v>
      </c>
      <c r="EG639" s="16">
        <f t="shared" si="125"/>
        <v>1</v>
      </c>
      <c r="EH639" s="16" t="str">
        <f t="shared" si="126"/>
        <v>Lundi</v>
      </c>
      <c r="EI639" s="16" t="str">
        <f t="shared" si="127"/>
        <v/>
      </c>
    </row>
    <row r="640" spans="1:139" x14ac:dyDescent="0.2">
      <c r="A640" s="16" t="str">
        <f t="shared" si="130"/>
        <v>Fiche info Avenant 6D2</v>
      </c>
      <c r="B640" s="16" t="str">
        <f t="shared" si="131"/>
        <v>Fiche info Avenant 6</v>
      </c>
      <c r="C640" s="27" t="s">
        <v>242</v>
      </c>
      <c r="D640" s="27">
        <v>2</v>
      </c>
      <c r="E640" s="16" t="s">
        <v>18</v>
      </c>
      <c r="F640" s="34" t="str">
        <f>IF(+'Fiche info Avenant 6'!$AR$8=0,"",'Fiche info Avenant 6'!$AR$8)</f>
        <v/>
      </c>
      <c r="G640" s="16">
        <f t="shared" si="128"/>
        <v>0</v>
      </c>
      <c r="BX640" s="16" t="str">
        <f t="shared" si="129"/>
        <v>Fiche info Avenant 6D2</v>
      </c>
      <c r="BY640" s="449">
        <f>'Fiche info Avenant 6'!$AI$8</f>
        <v>0</v>
      </c>
      <c r="BZ640" s="449">
        <f>'Fiche info Avenant 6'!$AJ$8</f>
        <v>0</v>
      </c>
      <c r="CA640" s="449">
        <f>'Fiche info Avenant 6'!$AK$8</f>
        <v>0</v>
      </c>
      <c r="CB640" s="449">
        <f>'Fiche info Avenant 6'!$AL$8</f>
        <v>0</v>
      </c>
      <c r="CC640" s="449">
        <f>'Fiche info Avenant 6'!$AM$8</f>
        <v>0</v>
      </c>
      <c r="CD640" s="449">
        <f>'Fiche info Avenant 6'!$AN$8</f>
        <v>0</v>
      </c>
      <c r="CE640" s="449">
        <f>'Fiche info Avenant 6'!$AO$8</f>
        <v>0</v>
      </c>
      <c r="CF640" s="449">
        <f>'Fiche info Avenant 6'!$AP$8</f>
        <v>0</v>
      </c>
      <c r="ED640" s="16" t="str">
        <f t="shared" si="132"/>
        <v>Fiche info Avenant 6D</v>
      </c>
      <c r="EE640" s="16" t="str">
        <f t="shared" si="123"/>
        <v>Fiche info Avenant 6</v>
      </c>
      <c r="EF640" s="16" t="str">
        <f t="shared" si="124"/>
        <v>D</v>
      </c>
      <c r="EG640" s="16">
        <f t="shared" si="125"/>
        <v>2</v>
      </c>
      <c r="EH640" s="16" t="str">
        <f t="shared" si="126"/>
        <v>Mardi</v>
      </c>
      <c r="EI640" s="16" t="str">
        <f t="shared" si="127"/>
        <v/>
      </c>
    </row>
    <row r="641" spans="1:139" x14ac:dyDescent="0.2">
      <c r="A641" s="16" t="str">
        <f t="shared" si="130"/>
        <v>Fiche info Avenant 6D3</v>
      </c>
      <c r="B641" s="16" t="str">
        <f t="shared" si="131"/>
        <v>Fiche info Avenant 6</v>
      </c>
      <c r="C641" s="27" t="s">
        <v>242</v>
      </c>
      <c r="D641" s="27">
        <v>3</v>
      </c>
      <c r="E641" s="16" t="s">
        <v>19</v>
      </c>
      <c r="F641" s="34" t="str">
        <f>IF(+'Fiche info Avenant 6'!$AR$9=0,"",'Fiche info Avenant 6'!$AR$9)</f>
        <v/>
      </c>
      <c r="G641" s="16">
        <f t="shared" si="128"/>
        <v>0</v>
      </c>
      <c r="BX641" s="16" t="str">
        <f t="shared" si="129"/>
        <v>Fiche info Avenant 6D3</v>
      </c>
      <c r="BY641" s="449">
        <f>'Fiche info Avenant 6'!$AI$9</f>
        <v>0</v>
      </c>
      <c r="BZ641" s="449">
        <f>'Fiche info Avenant 6'!$AJ$9</f>
        <v>0</v>
      </c>
      <c r="CA641" s="449">
        <f>'Fiche info Avenant 6'!$AK$9</f>
        <v>0</v>
      </c>
      <c r="CB641" s="449">
        <f>'Fiche info Avenant 6'!$AL$9</f>
        <v>0</v>
      </c>
      <c r="CC641" s="449">
        <f>'Fiche info Avenant 6'!$AM$9</f>
        <v>0</v>
      </c>
      <c r="CD641" s="449">
        <f>'Fiche info Avenant 6'!$AN$9</f>
        <v>0</v>
      </c>
      <c r="CE641" s="449">
        <f>'Fiche info Avenant 6'!$AO$9</f>
        <v>0</v>
      </c>
      <c r="CF641" s="449">
        <f>'Fiche info Avenant 6'!$AP$9</f>
        <v>0</v>
      </c>
      <c r="ED641" s="16" t="str">
        <f t="shared" si="132"/>
        <v>Fiche info Avenant 6D</v>
      </c>
      <c r="EE641" s="16" t="str">
        <f t="shared" ref="EE641:EE704" si="133">B641</f>
        <v>Fiche info Avenant 6</v>
      </c>
      <c r="EF641" s="16" t="str">
        <f t="shared" ref="EF641:EF704" si="134">C641</f>
        <v>D</v>
      </c>
      <c r="EG641" s="16">
        <f t="shared" ref="EG641:EG704" si="135">D641</f>
        <v>3</v>
      </c>
      <c r="EH641" s="16" t="str">
        <f t="shared" ref="EH641:EH704" si="136">E641</f>
        <v>Mercredi</v>
      </c>
      <c r="EI641" s="16" t="str">
        <f t="shared" ref="EI641:EI704" si="137">F641</f>
        <v/>
      </c>
    </row>
    <row r="642" spans="1:139" x14ac:dyDescent="0.2">
      <c r="A642" s="16" t="str">
        <f t="shared" si="130"/>
        <v>Fiche info Avenant 6D4</v>
      </c>
      <c r="B642" s="16" t="str">
        <f t="shared" si="131"/>
        <v>Fiche info Avenant 6</v>
      </c>
      <c r="C642" s="27" t="s">
        <v>242</v>
      </c>
      <c r="D642" s="27">
        <v>4</v>
      </c>
      <c r="E642" s="16" t="s">
        <v>20</v>
      </c>
      <c r="F642" s="34" t="str">
        <f>IF(+'Fiche info Avenant 6'!$AR$10=0,"",'Fiche info Avenant 6'!$AR$10)</f>
        <v/>
      </c>
      <c r="G642" s="16">
        <f t="shared" ref="G642:G705" si="138">+IF(OR(F642=0,F642=""),0,1)</f>
        <v>0</v>
      </c>
      <c r="BX642" s="16" t="str">
        <f t="shared" ref="BX642:BX705" si="139">A642</f>
        <v>Fiche info Avenant 6D4</v>
      </c>
      <c r="BY642" s="449">
        <f>'Fiche info Avenant 6'!$AI$10</f>
        <v>0</v>
      </c>
      <c r="BZ642" s="449">
        <f>'Fiche info Avenant 6'!$AJ$10</f>
        <v>0</v>
      </c>
      <c r="CA642" s="449">
        <f>'Fiche info Avenant 6'!$AK$10</f>
        <v>0</v>
      </c>
      <c r="CB642" s="449">
        <f>'Fiche info Avenant 6'!$AL$10</f>
        <v>0</v>
      </c>
      <c r="CC642" s="449">
        <f>'Fiche info Avenant 6'!$AM$10</f>
        <v>0</v>
      </c>
      <c r="CD642" s="449">
        <f>'Fiche info Avenant 6'!$AN$10</f>
        <v>0</v>
      </c>
      <c r="CE642" s="449">
        <f>'Fiche info Avenant 6'!$AO$10</f>
        <v>0</v>
      </c>
      <c r="CF642" s="449">
        <f>'Fiche info Avenant 6'!$AP$10</f>
        <v>0</v>
      </c>
      <c r="ED642" s="16" t="str">
        <f t="shared" si="132"/>
        <v>Fiche info Avenant 6D</v>
      </c>
      <c r="EE642" s="16" t="str">
        <f t="shared" si="133"/>
        <v>Fiche info Avenant 6</v>
      </c>
      <c r="EF642" s="16" t="str">
        <f t="shared" si="134"/>
        <v>D</v>
      </c>
      <c r="EG642" s="16">
        <f t="shared" si="135"/>
        <v>4</v>
      </c>
      <c r="EH642" s="16" t="str">
        <f t="shared" si="136"/>
        <v>Jeudi</v>
      </c>
      <c r="EI642" s="16" t="str">
        <f t="shared" si="137"/>
        <v/>
      </c>
    </row>
    <row r="643" spans="1:139" x14ac:dyDescent="0.2">
      <c r="A643" s="16" t="str">
        <f t="shared" si="130"/>
        <v>Fiche info Avenant 6D5</v>
      </c>
      <c r="B643" s="16" t="str">
        <f t="shared" si="131"/>
        <v>Fiche info Avenant 6</v>
      </c>
      <c r="C643" s="27" t="s">
        <v>242</v>
      </c>
      <c r="D643" s="27">
        <v>5</v>
      </c>
      <c r="E643" s="16" t="s">
        <v>21</v>
      </c>
      <c r="F643" s="34" t="str">
        <f>IF(+'Fiche info Avenant 6'!$AR$11=0,"",'Fiche info Avenant 6'!$AR$11)</f>
        <v/>
      </c>
      <c r="G643" s="16">
        <f t="shared" si="138"/>
        <v>0</v>
      </c>
      <c r="BX643" s="16" t="str">
        <f t="shared" si="139"/>
        <v>Fiche info Avenant 6D5</v>
      </c>
      <c r="BY643" s="449">
        <f>'Fiche info Avenant 6'!$AI$11</f>
        <v>0</v>
      </c>
      <c r="BZ643" s="449">
        <f>'Fiche info Avenant 6'!$AJ$11</f>
        <v>0</v>
      </c>
      <c r="CA643" s="449">
        <f>'Fiche info Avenant 6'!$AK$11</f>
        <v>0</v>
      </c>
      <c r="CB643" s="449">
        <f>'Fiche info Avenant 6'!$AL$11</f>
        <v>0</v>
      </c>
      <c r="CC643" s="449">
        <f>'Fiche info Avenant 6'!$AM$11</f>
        <v>0</v>
      </c>
      <c r="CD643" s="449">
        <f>'Fiche info Avenant 6'!$AN$11</f>
        <v>0</v>
      </c>
      <c r="CE643" s="449">
        <f>'Fiche info Avenant 6'!$AO$11</f>
        <v>0</v>
      </c>
      <c r="CF643" s="449">
        <f>'Fiche info Avenant 6'!$AP$11</f>
        <v>0</v>
      </c>
      <c r="ED643" s="16" t="str">
        <f t="shared" si="132"/>
        <v>Fiche info Avenant 6D</v>
      </c>
      <c r="EE643" s="16" t="str">
        <f t="shared" si="133"/>
        <v>Fiche info Avenant 6</v>
      </c>
      <c r="EF643" s="16" t="str">
        <f t="shared" si="134"/>
        <v>D</v>
      </c>
      <c r="EG643" s="16">
        <f t="shared" si="135"/>
        <v>5</v>
      </c>
      <c r="EH643" s="16" t="str">
        <f t="shared" si="136"/>
        <v>Vendredi</v>
      </c>
      <c r="EI643" s="16" t="str">
        <f t="shared" si="137"/>
        <v/>
      </c>
    </row>
    <row r="644" spans="1:139" x14ac:dyDescent="0.2">
      <c r="A644" s="16" t="str">
        <f t="shared" si="130"/>
        <v>Fiche info Avenant 6D6</v>
      </c>
      <c r="B644" s="16" t="str">
        <f t="shared" si="131"/>
        <v>Fiche info Avenant 6</v>
      </c>
      <c r="C644" s="27" t="s">
        <v>242</v>
      </c>
      <c r="D644" s="27">
        <v>6</v>
      </c>
      <c r="E644" s="16" t="s">
        <v>193</v>
      </c>
      <c r="F644" s="34" t="str">
        <f>IF(+'Fiche info Avenant 6'!$AR$12=0,"",'Fiche info Avenant 6'!$AR$12)</f>
        <v/>
      </c>
      <c r="G644" s="16">
        <f t="shared" si="138"/>
        <v>0</v>
      </c>
      <c r="BX644" s="16" t="str">
        <f t="shared" si="139"/>
        <v>Fiche info Avenant 6D6</v>
      </c>
      <c r="BY644" s="449">
        <f>'Fiche info Avenant 6'!$AI$12</f>
        <v>0</v>
      </c>
      <c r="BZ644" s="449">
        <f>'Fiche info Avenant 6'!$AJ$12</f>
        <v>0</v>
      </c>
      <c r="CA644" s="449">
        <f>'Fiche info Avenant 6'!$AK$12</f>
        <v>0</v>
      </c>
      <c r="CB644" s="449">
        <f>'Fiche info Avenant 6'!$AL$12</f>
        <v>0</v>
      </c>
      <c r="CC644" s="449">
        <f>'Fiche info Avenant 6'!$AM$12</f>
        <v>0</v>
      </c>
      <c r="CD644" s="449">
        <f>'Fiche info Avenant 6'!$AN$12</f>
        <v>0</v>
      </c>
      <c r="CE644" s="449">
        <f>'Fiche info Avenant 6'!$AO$12</f>
        <v>0</v>
      </c>
      <c r="CF644" s="449">
        <f>'Fiche info Avenant 6'!$AP$12</f>
        <v>0</v>
      </c>
      <c r="ED644" s="16" t="str">
        <f t="shared" si="132"/>
        <v>Fiche info Avenant 6D</v>
      </c>
      <c r="EE644" s="16" t="str">
        <f t="shared" si="133"/>
        <v>Fiche info Avenant 6</v>
      </c>
      <c r="EF644" s="16" t="str">
        <f t="shared" si="134"/>
        <v>D</v>
      </c>
      <c r="EG644" s="16">
        <f t="shared" si="135"/>
        <v>6</v>
      </c>
      <c r="EH644" s="16" t="str">
        <f t="shared" si="136"/>
        <v>Samedi</v>
      </c>
      <c r="EI644" s="16" t="str">
        <f t="shared" si="137"/>
        <v/>
      </c>
    </row>
    <row r="645" spans="1:139" x14ac:dyDescent="0.2">
      <c r="A645" s="16" t="str">
        <f t="shared" si="130"/>
        <v>Fiche info Avenant 6D7</v>
      </c>
      <c r="B645" s="16" t="str">
        <f t="shared" si="131"/>
        <v>Fiche info Avenant 6</v>
      </c>
      <c r="C645" s="27" t="s">
        <v>242</v>
      </c>
      <c r="D645" s="27">
        <v>7</v>
      </c>
      <c r="E645" s="16" t="s">
        <v>194</v>
      </c>
      <c r="F645" s="34" t="str">
        <f>IF(+'Fiche info Avenant 6'!$AR$13=0,"",'Fiche info Avenant 6'!$AR$13)</f>
        <v/>
      </c>
      <c r="G645" s="16">
        <f t="shared" si="138"/>
        <v>0</v>
      </c>
      <c r="BX645" s="16" t="str">
        <f t="shared" si="139"/>
        <v>Fiche info Avenant 6D7</v>
      </c>
      <c r="BY645" s="449">
        <f>'Fiche info Avenant 6'!$AI$13</f>
        <v>0</v>
      </c>
      <c r="BZ645" s="449">
        <f>'Fiche info Avenant 6'!$AJ$13</f>
        <v>0</v>
      </c>
      <c r="CA645" s="449">
        <f>'Fiche info Avenant 6'!$AK$13</f>
        <v>0</v>
      </c>
      <c r="CB645" s="449">
        <f>'Fiche info Avenant 6'!$AL$13</f>
        <v>0</v>
      </c>
      <c r="CC645" s="449">
        <f>'Fiche info Avenant 6'!$AM$13</f>
        <v>0</v>
      </c>
      <c r="CD645" s="449">
        <f>'Fiche info Avenant 6'!$AN$13</f>
        <v>0</v>
      </c>
      <c r="CE645" s="449">
        <f>'Fiche info Avenant 6'!$AO$13</f>
        <v>0</v>
      </c>
      <c r="CF645" s="449">
        <f>'Fiche info Avenant 6'!$AP$13</f>
        <v>0</v>
      </c>
      <c r="ED645" s="16" t="str">
        <f t="shared" si="132"/>
        <v>Fiche info Avenant 6D</v>
      </c>
      <c r="EE645" s="16" t="str">
        <f t="shared" si="133"/>
        <v>Fiche info Avenant 6</v>
      </c>
      <c r="EF645" s="16" t="str">
        <f t="shared" si="134"/>
        <v>D</v>
      </c>
      <c r="EG645" s="16">
        <f t="shared" si="135"/>
        <v>7</v>
      </c>
      <c r="EH645" s="16" t="str">
        <f t="shared" si="136"/>
        <v>Dimanche</v>
      </c>
      <c r="EI645" s="16" t="str">
        <f t="shared" si="137"/>
        <v/>
      </c>
    </row>
    <row r="646" spans="1:139" x14ac:dyDescent="0.2">
      <c r="A646" s="16" t="str">
        <f t="shared" si="130"/>
        <v>Fiche info Avenant 6E1</v>
      </c>
      <c r="B646" s="16" t="str">
        <f t="shared" si="131"/>
        <v>Fiche info Avenant 6</v>
      </c>
      <c r="C646" s="27" t="s">
        <v>243</v>
      </c>
      <c r="D646" s="27">
        <v>1</v>
      </c>
      <c r="E646" s="16" t="s">
        <v>17</v>
      </c>
      <c r="F646" s="34" t="str">
        <f>IF(+'Fiche info Avenant 6'!$BC$7=0,"",'Fiche info Avenant 6'!$BC$7)</f>
        <v/>
      </c>
      <c r="G646" s="16">
        <f t="shared" si="138"/>
        <v>0</v>
      </c>
      <c r="BX646" s="16" t="str">
        <f t="shared" si="139"/>
        <v>Fiche info Avenant 6E1</v>
      </c>
      <c r="BY646" s="449">
        <f>'Fiche info Avenant 6'!$AT$7</f>
        <v>0</v>
      </c>
      <c r="BZ646" s="449">
        <f>'Fiche info Avenant 6'!$AU$7</f>
        <v>0</v>
      </c>
      <c r="CA646" s="449">
        <f>'Fiche info Avenant 6'!$AV$7</f>
        <v>0</v>
      </c>
      <c r="CB646" s="449">
        <f>'Fiche info Avenant 6'!$AW$7</f>
        <v>0</v>
      </c>
      <c r="CC646" s="449">
        <f>'Fiche info Avenant 6'!$AX$7</f>
        <v>0</v>
      </c>
      <c r="CD646" s="449">
        <f>'Fiche info Avenant 6'!$AY$7</f>
        <v>0</v>
      </c>
      <c r="CE646" s="449">
        <f>'Fiche info Avenant 6'!$AZ$7</f>
        <v>0</v>
      </c>
      <c r="CF646" s="449">
        <f>'Fiche info Avenant 6'!$BA$7</f>
        <v>0</v>
      </c>
      <c r="ED646" s="16" t="str">
        <f t="shared" si="132"/>
        <v>Fiche info Avenant 6E</v>
      </c>
      <c r="EE646" s="16" t="str">
        <f t="shared" si="133"/>
        <v>Fiche info Avenant 6</v>
      </c>
      <c r="EF646" s="16" t="str">
        <f t="shared" si="134"/>
        <v>E</v>
      </c>
      <c r="EG646" s="16">
        <f t="shared" si="135"/>
        <v>1</v>
      </c>
      <c r="EH646" s="16" t="str">
        <f t="shared" si="136"/>
        <v>Lundi</v>
      </c>
      <c r="EI646" s="16" t="str">
        <f t="shared" si="137"/>
        <v/>
      </c>
    </row>
    <row r="647" spans="1:139" x14ac:dyDescent="0.2">
      <c r="A647" s="16" t="str">
        <f t="shared" si="130"/>
        <v>Fiche info Avenant 6E2</v>
      </c>
      <c r="B647" s="16" t="str">
        <f t="shared" si="131"/>
        <v>Fiche info Avenant 6</v>
      </c>
      <c r="C647" s="27" t="s">
        <v>243</v>
      </c>
      <c r="D647" s="27">
        <v>2</v>
      </c>
      <c r="E647" s="16" t="s">
        <v>18</v>
      </c>
      <c r="F647" s="34" t="str">
        <f>IF(+'Fiche info Avenant 6'!$BC$8=0,"",'Fiche info Avenant 6'!$BC$8)</f>
        <v/>
      </c>
      <c r="G647" s="16">
        <f t="shared" si="138"/>
        <v>0</v>
      </c>
      <c r="BX647" s="16" t="str">
        <f t="shared" si="139"/>
        <v>Fiche info Avenant 6E2</v>
      </c>
      <c r="BY647" s="449">
        <f>'Fiche info Avenant 6'!$AT$8</f>
        <v>0</v>
      </c>
      <c r="BZ647" s="449">
        <f>'Fiche info Avenant 6'!$AU$8</f>
        <v>0</v>
      </c>
      <c r="CA647" s="449">
        <f>'Fiche info Avenant 6'!$AV$8</f>
        <v>0</v>
      </c>
      <c r="CB647" s="449">
        <f>'Fiche info Avenant 6'!$AW$8</f>
        <v>0</v>
      </c>
      <c r="CC647" s="449">
        <f>'Fiche info Avenant 6'!$AX$8</f>
        <v>0</v>
      </c>
      <c r="CD647" s="449">
        <f>'Fiche info Avenant 6'!$AY$8</f>
        <v>0</v>
      </c>
      <c r="CE647" s="449">
        <f>'Fiche info Avenant 6'!$AZ$8</f>
        <v>0</v>
      </c>
      <c r="CF647" s="449">
        <f>'Fiche info Avenant 6'!$BA$8</f>
        <v>0</v>
      </c>
      <c r="ED647" s="16" t="str">
        <f t="shared" si="132"/>
        <v>Fiche info Avenant 6E</v>
      </c>
      <c r="EE647" s="16" t="str">
        <f t="shared" si="133"/>
        <v>Fiche info Avenant 6</v>
      </c>
      <c r="EF647" s="16" t="str">
        <f t="shared" si="134"/>
        <v>E</v>
      </c>
      <c r="EG647" s="16">
        <f t="shared" si="135"/>
        <v>2</v>
      </c>
      <c r="EH647" s="16" t="str">
        <f t="shared" si="136"/>
        <v>Mardi</v>
      </c>
      <c r="EI647" s="16" t="str">
        <f t="shared" si="137"/>
        <v/>
      </c>
    </row>
    <row r="648" spans="1:139" x14ac:dyDescent="0.2">
      <c r="A648" s="16" t="str">
        <f t="shared" si="130"/>
        <v>Fiche info Avenant 6E3</v>
      </c>
      <c r="B648" s="16" t="str">
        <f t="shared" si="131"/>
        <v>Fiche info Avenant 6</v>
      </c>
      <c r="C648" s="27" t="s">
        <v>243</v>
      </c>
      <c r="D648" s="27">
        <v>3</v>
      </c>
      <c r="E648" s="16" t="s">
        <v>19</v>
      </c>
      <c r="F648" s="34" t="str">
        <f>IF(+'Fiche info Avenant 6'!$BC$9=0,"",'Fiche info Avenant 6'!$BC$9)</f>
        <v/>
      </c>
      <c r="G648" s="16">
        <f t="shared" si="138"/>
        <v>0</v>
      </c>
      <c r="BX648" s="16" t="str">
        <f t="shared" si="139"/>
        <v>Fiche info Avenant 6E3</v>
      </c>
      <c r="BY648" s="449">
        <f>'Fiche info Avenant 6'!$AT$9</f>
        <v>0</v>
      </c>
      <c r="BZ648" s="449">
        <f>'Fiche info Avenant 6'!$AU$9</f>
        <v>0</v>
      </c>
      <c r="CA648" s="449">
        <f>'Fiche info Avenant 6'!$AV$9</f>
        <v>0</v>
      </c>
      <c r="CB648" s="449">
        <f>'Fiche info Avenant 6'!$AW$9</f>
        <v>0</v>
      </c>
      <c r="CC648" s="449">
        <f>'Fiche info Avenant 6'!$AX$9</f>
        <v>0</v>
      </c>
      <c r="CD648" s="449">
        <f>'Fiche info Avenant 6'!$AY$9</f>
        <v>0</v>
      </c>
      <c r="CE648" s="449">
        <f>'Fiche info Avenant 6'!$AZ$9</f>
        <v>0</v>
      </c>
      <c r="CF648" s="449">
        <f>'Fiche info Avenant 6'!$BA$9</f>
        <v>0</v>
      </c>
      <c r="ED648" s="16" t="str">
        <f t="shared" si="132"/>
        <v>Fiche info Avenant 6E</v>
      </c>
      <c r="EE648" s="16" t="str">
        <f t="shared" si="133"/>
        <v>Fiche info Avenant 6</v>
      </c>
      <c r="EF648" s="16" t="str">
        <f t="shared" si="134"/>
        <v>E</v>
      </c>
      <c r="EG648" s="16">
        <f t="shared" si="135"/>
        <v>3</v>
      </c>
      <c r="EH648" s="16" t="str">
        <f t="shared" si="136"/>
        <v>Mercredi</v>
      </c>
      <c r="EI648" s="16" t="str">
        <f t="shared" si="137"/>
        <v/>
      </c>
    </row>
    <row r="649" spans="1:139" x14ac:dyDescent="0.2">
      <c r="A649" s="16" t="str">
        <f t="shared" si="130"/>
        <v>Fiche info Avenant 6E4</v>
      </c>
      <c r="B649" s="16" t="str">
        <f t="shared" si="131"/>
        <v>Fiche info Avenant 6</v>
      </c>
      <c r="C649" s="27" t="s">
        <v>243</v>
      </c>
      <c r="D649" s="27">
        <v>4</v>
      </c>
      <c r="E649" s="16" t="s">
        <v>20</v>
      </c>
      <c r="F649" s="34" t="str">
        <f>IF(+'Fiche info Avenant 6'!$BC$10=0,"",'Fiche info Avenant 6'!$BC$10)</f>
        <v/>
      </c>
      <c r="G649" s="16">
        <f t="shared" si="138"/>
        <v>0</v>
      </c>
      <c r="BX649" s="16" t="str">
        <f t="shared" si="139"/>
        <v>Fiche info Avenant 6E4</v>
      </c>
      <c r="BY649" s="449">
        <f>'Fiche info Avenant 6'!$AT$10</f>
        <v>0</v>
      </c>
      <c r="BZ649" s="449">
        <f>'Fiche info Avenant 6'!$AU$10</f>
        <v>0</v>
      </c>
      <c r="CA649" s="449">
        <f>'Fiche info Avenant 6'!$AV$10</f>
        <v>0</v>
      </c>
      <c r="CB649" s="449">
        <f>'Fiche info Avenant 6'!$AW$10</f>
        <v>0</v>
      </c>
      <c r="CC649" s="449">
        <f>'Fiche info Avenant 6'!$AX$10</f>
        <v>0</v>
      </c>
      <c r="CD649" s="449">
        <f>'Fiche info Avenant 6'!$AY$10</f>
        <v>0</v>
      </c>
      <c r="CE649" s="449">
        <f>'Fiche info Avenant 6'!$AZ$10</f>
        <v>0</v>
      </c>
      <c r="CF649" s="449">
        <f>'Fiche info Avenant 6'!$BA$10</f>
        <v>0</v>
      </c>
      <c r="ED649" s="16" t="str">
        <f t="shared" si="132"/>
        <v>Fiche info Avenant 6E</v>
      </c>
      <c r="EE649" s="16" t="str">
        <f t="shared" si="133"/>
        <v>Fiche info Avenant 6</v>
      </c>
      <c r="EF649" s="16" t="str">
        <f t="shared" si="134"/>
        <v>E</v>
      </c>
      <c r="EG649" s="16">
        <f t="shared" si="135"/>
        <v>4</v>
      </c>
      <c r="EH649" s="16" t="str">
        <f t="shared" si="136"/>
        <v>Jeudi</v>
      </c>
      <c r="EI649" s="16" t="str">
        <f t="shared" si="137"/>
        <v/>
      </c>
    </row>
    <row r="650" spans="1:139" x14ac:dyDescent="0.2">
      <c r="A650" s="16" t="str">
        <f t="shared" si="130"/>
        <v>Fiche info Avenant 6E5</v>
      </c>
      <c r="B650" s="16" t="str">
        <f t="shared" si="131"/>
        <v>Fiche info Avenant 6</v>
      </c>
      <c r="C650" s="27" t="s">
        <v>243</v>
      </c>
      <c r="D650" s="27">
        <v>5</v>
      </c>
      <c r="E650" s="16" t="s">
        <v>21</v>
      </c>
      <c r="F650" s="34" t="str">
        <f>IF(+'Fiche info Avenant 6'!$BC$11=0,"",'Fiche info Avenant 6'!$BC$11)</f>
        <v/>
      </c>
      <c r="G650" s="16">
        <f t="shared" si="138"/>
        <v>0</v>
      </c>
      <c r="BX650" s="16" t="str">
        <f t="shared" si="139"/>
        <v>Fiche info Avenant 6E5</v>
      </c>
      <c r="BY650" s="449">
        <f>'Fiche info Avenant 6'!$AT$11</f>
        <v>0</v>
      </c>
      <c r="BZ650" s="449">
        <f>'Fiche info Avenant 6'!$AU$11</f>
        <v>0</v>
      </c>
      <c r="CA650" s="449">
        <f>'Fiche info Avenant 6'!$AV$11</f>
        <v>0</v>
      </c>
      <c r="CB650" s="449">
        <f>'Fiche info Avenant 6'!$AW$11</f>
        <v>0</v>
      </c>
      <c r="CC650" s="449">
        <f>'Fiche info Avenant 6'!$AX$11</f>
        <v>0</v>
      </c>
      <c r="CD650" s="449">
        <f>'Fiche info Avenant 6'!$AY$11</f>
        <v>0</v>
      </c>
      <c r="CE650" s="449">
        <f>'Fiche info Avenant 6'!$AZ$11</f>
        <v>0</v>
      </c>
      <c r="CF650" s="449">
        <f>'Fiche info Avenant 6'!$BA$11</f>
        <v>0</v>
      </c>
      <c r="ED650" s="16" t="str">
        <f t="shared" si="132"/>
        <v>Fiche info Avenant 6E</v>
      </c>
      <c r="EE650" s="16" t="str">
        <f t="shared" si="133"/>
        <v>Fiche info Avenant 6</v>
      </c>
      <c r="EF650" s="16" t="str">
        <f t="shared" si="134"/>
        <v>E</v>
      </c>
      <c r="EG650" s="16">
        <f t="shared" si="135"/>
        <v>5</v>
      </c>
      <c r="EH650" s="16" t="str">
        <f t="shared" si="136"/>
        <v>Vendredi</v>
      </c>
      <c r="EI650" s="16" t="str">
        <f t="shared" si="137"/>
        <v/>
      </c>
    </row>
    <row r="651" spans="1:139" x14ac:dyDescent="0.2">
      <c r="A651" s="16" t="str">
        <f t="shared" si="130"/>
        <v>Fiche info Avenant 6E6</v>
      </c>
      <c r="B651" s="16" t="str">
        <f t="shared" si="131"/>
        <v>Fiche info Avenant 6</v>
      </c>
      <c r="C651" s="27" t="s">
        <v>243</v>
      </c>
      <c r="D651" s="27">
        <v>6</v>
      </c>
      <c r="E651" s="16" t="s">
        <v>193</v>
      </c>
      <c r="F651" s="34" t="str">
        <f>IF(+'Fiche info Avenant 6'!$BC$12=0,"",'Fiche info Avenant 6'!$BC$12)</f>
        <v/>
      </c>
      <c r="G651" s="16">
        <f t="shared" si="138"/>
        <v>0</v>
      </c>
      <c r="BX651" s="16" t="str">
        <f t="shared" si="139"/>
        <v>Fiche info Avenant 6E6</v>
      </c>
      <c r="BY651" s="449">
        <f>'Fiche info Avenant 6'!$AT$12</f>
        <v>0</v>
      </c>
      <c r="BZ651" s="449">
        <f>'Fiche info Avenant 6'!$AU$12</f>
        <v>0</v>
      </c>
      <c r="CA651" s="449">
        <f>'Fiche info Avenant 6'!$AV$12</f>
        <v>0</v>
      </c>
      <c r="CB651" s="449">
        <f>'Fiche info Avenant 6'!$AW$12</f>
        <v>0</v>
      </c>
      <c r="CC651" s="449">
        <f>'Fiche info Avenant 6'!$AX$12</f>
        <v>0</v>
      </c>
      <c r="CD651" s="449">
        <f>'Fiche info Avenant 6'!$AY$12</f>
        <v>0</v>
      </c>
      <c r="CE651" s="449">
        <f>'Fiche info Avenant 6'!$AZ$12</f>
        <v>0</v>
      </c>
      <c r="CF651" s="449">
        <f>'Fiche info Avenant 6'!$BA$12</f>
        <v>0</v>
      </c>
      <c r="ED651" s="16" t="str">
        <f t="shared" si="132"/>
        <v>Fiche info Avenant 6E</v>
      </c>
      <c r="EE651" s="16" t="str">
        <f t="shared" si="133"/>
        <v>Fiche info Avenant 6</v>
      </c>
      <c r="EF651" s="16" t="str">
        <f t="shared" si="134"/>
        <v>E</v>
      </c>
      <c r="EG651" s="16">
        <f t="shared" si="135"/>
        <v>6</v>
      </c>
      <c r="EH651" s="16" t="str">
        <f t="shared" si="136"/>
        <v>Samedi</v>
      </c>
      <c r="EI651" s="16" t="str">
        <f t="shared" si="137"/>
        <v/>
      </c>
    </row>
    <row r="652" spans="1:139" x14ac:dyDescent="0.2">
      <c r="A652" s="16" t="str">
        <f t="shared" si="130"/>
        <v>Fiche info Avenant 6E7</v>
      </c>
      <c r="B652" s="16" t="str">
        <f t="shared" si="131"/>
        <v>Fiche info Avenant 6</v>
      </c>
      <c r="C652" s="27" t="s">
        <v>243</v>
      </c>
      <c r="D652" s="27">
        <v>7</v>
      </c>
      <c r="E652" s="16" t="s">
        <v>194</v>
      </c>
      <c r="F652" s="34" t="str">
        <f>IF(+'Fiche info Avenant 6'!$BC$13=0,"",'Fiche info Avenant 6'!$BC$13)</f>
        <v/>
      </c>
      <c r="G652" s="16">
        <f t="shared" si="138"/>
        <v>0</v>
      </c>
      <c r="BX652" s="16" t="str">
        <f t="shared" si="139"/>
        <v>Fiche info Avenant 6E7</v>
      </c>
      <c r="BY652" s="449">
        <f>'Fiche info Avenant 6'!$AT$13</f>
        <v>0</v>
      </c>
      <c r="BZ652" s="449">
        <f>'Fiche info Avenant 6'!$AU$13</f>
        <v>0</v>
      </c>
      <c r="CA652" s="449">
        <f>'Fiche info Avenant 6'!$AV$13</f>
        <v>0</v>
      </c>
      <c r="CB652" s="449">
        <f>'Fiche info Avenant 6'!$AW$13</f>
        <v>0</v>
      </c>
      <c r="CC652" s="449">
        <f>'Fiche info Avenant 6'!$AX$13</f>
        <v>0</v>
      </c>
      <c r="CD652" s="449">
        <f>'Fiche info Avenant 6'!$AY$13</f>
        <v>0</v>
      </c>
      <c r="CE652" s="449">
        <f>'Fiche info Avenant 6'!$AZ$13</f>
        <v>0</v>
      </c>
      <c r="CF652" s="449">
        <f>'Fiche info Avenant 6'!$BA$13</f>
        <v>0</v>
      </c>
      <c r="ED652" s="16" t="str">
        <f t="shared" si="132"/>
        <v>Fiche info Avenant 6E</v>
      </c>
      <c r="EE652" s="16" t="str">
        <f t="shared" si="133"/>
        <v>Fiche info Avenant 6</v>
      </c>
      <c r="EF652" s="16" t="str">
        <f t="shared" si="134"/>
        <v>E</v>
      </c>
      <c r="EG652" s="16">
        <f t="shared" si="135"/>
        <v>7</v>
      </c>
      <c r="EH652" s="16" t="str">
        <f t="shared" si="136"/>
        <v>Dimanche</v>
      </c>
      <c r="EI652" s="16" t="str">
        <f t="shared" si="137"/>
        <v/>
      </c>
    </row>
    <row r="653" spans="1:139" x14ac:dyDescent="0.2">
      <c r="A653" s="16" t="str">
        <f t="shared" si="130"/>
        <v>Fiche info Avenant 6F1</v>
      </c>
      <c r="B653" s="16" t="str">
        <f t="shared" si="131"/>
        <v>Fiche info Avenant 6</v>
      </c>
      <c r="C653" s="27" t="s">
        <v>244</v>
      </c>
      <c r="D653" s="27">
        <v>1</v>
      </c>
      <c r="E653" s="16" t="s">
        <v>17</v>
      </c>
      <c r="F653" s="34" t="str">
        <f>+IF('Fiche info Avenant 6'!$BN$7=0,"",'Fiche info Avenant 6'!$BN$7)</f>
        <v/>
      </c>
      <c r="G653" s="16">
        <f t="shared" si="138"/>
        <v>0</v>
      </c>
      <c r="BX653" s="16" t="str">
        <f t="shared" si="139"/>
        <v>Fiche info Avenant 6F1</v>
      </c>
      <c r="BY653" s="449">
        <f>'Fiche info Avenant 6'!$BE$7</f>
        <v>0</v>
      </c>
      <c r="BZ653" s="449">
        <f>'Fiche info Avenant 6'!$BF$7</f>
        <v>0</v>
      </c>
      <c r="CA653" s="449">
        <f>'Fiche info Avenant 6'!$BG$7</f>
        <v>0</v>
      </c>
      <c r="CB653" s="449">
        <f>'Fiche info Avenant 6'!$BH$7</f>
        <v>0</v>
      </c>
      <c r="CC653" s="449">
        <f>'Fiche info Avenant 6'!$BI$7</f>
        <v>0</v>
      </c>
      <c r="CD653" s="449">
        <f>'Fiche info Avenant 6'!$BJ$7</f>
        <v>0</v>
      </c>
      <c r="CE653" s="449">
        <f>'Fiche info Avenant 6'!$BK$7</f>
        <v>0</v>
      </c>
      <c r="CF653" s="449">
        <f>'Fiche info Avenant 6'!$BL$7</f>
        <v>0</v>
      </c>
      <c r="ED653" s="16" t="str">
        <f t="shared" si="132"/>
        <v>Fiche info Avenant 6F</v>
      </c>
      <c r="EE653" s="16" t="str">
        <f t="shared" si="133"/>
        <v>Fiche info Avenant 6</v>
      </c>
      <c r="EF653" s="16" t="str">
        <f t="shared" si="134"/>
        <v>F</v>
      </c>
      <c r="EG653" s="16">
        <f t="shared" si="135"/>
        <v>1</v>
      </c>
      <c r="EH653" s="16" t="str">
        <f t="shared" si="136"/>
        <v>Lundi</v>
      </c>
      <c r="EI653" s="16" t="str">
        <f t="shared" si="137"/>
        <v/>
      </c>
    </row>
    <row r="654" spans="1:139" x14ac:dyDescent="0.2">
      <c r="A654" s="16" t="str">
        <f t="shared" si="130"/>
        <v>Fiche info Avenant 6F2</v>
      </c>
      <c r="B654" s="16" t="str">
        <f t="shared" si="131"/>
        <v>Fiche info Avenant 6</v>
      </c>
      <c r="C654" s="27" t="s">
        <v>244</v>
      </c>
      <c r="D654" s="27">
        <v>2</v>
      </c>
      <c r="E654" s="16" t="s">
        <v>18</v>
      </c>
      <c r="F654" s="34" t="str">
        <f>+IF('Fiche info Avenant 6'!$BN$8=0,"",'Fiche info Avenant 6'!$BN$8)</f>
        <v/>
      </c>
      <c r="G654" s="16">
        <f t="shared" si="138"/>
        <v>0</v>
      </c>
      <c r="BX654" s="16" t="str">
        <f t="shared" si="139"/>
        <v>Fiche info Avenant 6F2</v>
      </c>
      <c r="BY654" s="449">
        <f>'Fiche info Avenant 6'!$BE$8</f>
        <v>0</v>
      </c>
      <c r="BZ654" s="449">
        <f>'Fiche info Avenant 6'!$BF$8</f>
        <v>0</v>
      </c>
      <c r="CA654" s="449">
        <f>'Fiche info Avenant 6'!$BG$8</f>
        <v>0</v>
      </c>
      <c r="CB654" s="449">
        <f>'Fiche info Avenant 6'!$BH$8</f>
        <v>0</v>
      </c>
      <c r="CC654" s="449">
        <f>'Fiche info Avenant 6'!$BI$8</f>
        <v>0</v>
      </c>
      <c r="CD654" s="449">
        <f>'Fiche info Avenant 6'!$BJ$8</f>
        <v>0</v>
      </c>
      <c r="CE654" s="449">
        <f>'Fiche info Avenant 6'!$BK$8</f>
        <v>0</v>
      </c>
      <c r="CF654" s="449">
        <f>'Fiche info Avenant 6'!$BL$8</f>
        <v>0</v>
      </c>
      <c r="ED654" s="16" t="str">
        <f t="shared" si="132"/>
        <v>Fiche info Avenant 6F</v>
      </c>
      <c r="EE654" s="16" t="str">
        <f t="shared" si="133"/>
        <v>Fiche info Avenant 6</v>
      </c>
      <c r="EF654" s="16" t="str">
        <f t="shared" si="134"/>
        <v>F</v>
      </c>
      <c r="EG654" s="16">
        <f t="shared" si="135"/>
        <v>2</v>
      </c>
      <c r="EH654" s="16" t="str">
        <f t="shared" si="136"/>
        <v>Mardi</v>
      </c>
      <c r="EI654" s="16" t="str">
        <f t="shared" si="137"/>
        <v/>
      </c>
    </row>
    <row r="655" spans="1:139" x14ac:dyDescent="0.2">
      <c r="A655" s="16" t="str">
        <f t="shared" si="130"/>
        <v>Fiche info Avenant 6F3</v>
      </c>
      <c r="B655" s="16" t="str">
        <f t="shared" si="131"/>
        <v>Fiche info Avenant 6</v>
      </c>
      <c r="C655" s="27" t="s">
        <v>244</v>
      </c>
      <c r="D655" s="27">
        <v>3</v>
      </c>
      <c r="E655" s="16" t="s">
        <v>19</v>
      </c>
      <c r="F655" s="34" t="str">
        <f>+IF('Fiche info Avenant 6'!$BN$9=0,"",'Fiche info Avenant 6'!$BN$9)</f>
        <v/>
      </c>
      <c r="G655" s="16">
        <f t="shared" si="138"/>
        <v>0</v>
      </c>
      <c r="BX655" s="16" t="str">
        <f t="shared" si="139"/>
        <v>Fiche info Avenant 6F3</v>
      </c>
      <c r="BY655" s="449">
        <f>'Fiche info Avenant 6'!$BE$9</f>
        <v>0</v>
      </c>
      <c r="BZ655" s="449">
        <f>'Fiche info Avenant 6'!$BF$9</f>
        <v>0</v>
      </c>
      <c r="CA655" s="449">
        <f>'Fiche info Avenant 6'!$BG$9</f>
        <v>0</v>
      </c>
      <c r="CB655" s="449">
        <f>'Fiche info Avenant 6'!$BH$9</f>
        <v>0</v>
      </c>
      <c r="CC655" s="449">
        <f>'Fiche info Avenant 6'!$BI$9</f>
        <v>0</v>
      </c>
      <c r="CD655" s="449">
        <f>'Fiche info Avenant 6'!$BJ$9</f>
        <v>0</v>
      </c>
      <c r="CE655" s="449">
        <f>'Fiche info Avenant 6'!$BK$9</f>
        <v>0</v>
      </c>
      <c r="CF655" s="449">
        <f>'Fiche info Avenant 6'!$BL$9</f>
        <v>0</v>
      </c>
      <c r="ED655" s="16" t="str">
        <f t="shared" si="132"/>
        <v>Fiche info Avenant 6F</v>
      </c>
      <c r="EE655" s="16" t="str">
        <f t="shared" si="133"/>
        <v>Fiche info Avenant 6</v>
      </c>
      <c r="EF655" s="16" t="str">
        <f t="shared" si="134"/>
        <v>F</v>
      </c>
      <c r="EG655" s="16">
        <f t="shared" si="135"/>
        <v>3</v>
      </c>
      <c r="EH655" s="16" t="str">
        <f t="shared" si="136"/>
        <v>Mercredi</v>
      </c>
      <c r="EI655" s="16" t="str">
        <f t="shared" si="137"/>
        <v/>
      </c>
    </row>
    <row r="656" spans="1:139" x14ac:dyDescent="0.2">
      <c r="A656" s="16" t="str">
        <f t="shared" si="130"/>
        <v>Fiche info Avenant 6F4</v>
      </c>
      <c r="B656" s="16" t="str">
        <f t="shared" si="131"/>
        <v>Fiche info Avenant 6</v>
      </c>
      <c r="C656" s="27" t="s">
        <v>244</v>
      </c>
      <c r="D656" s="27">
        <v>4</v>
      </c>
      <c r="E656" s="16" t="s">
        <v>20</v>
      </c>
      <c r="F656" s="34" t="str">
        <f>+IF('Fiche info Avenant 6'!$BN$10=0,"",'Fiche info Avenant 6'!$BN$10)</f>
        <v/>
      </c>
      <c r="G656" s="16">
        <f t="shared" si="138"/>
        <v>0</v>
      </c>
      <c r="BX656" s="16" t="str">
        <f t="shared" si="139"/>
        <v>Fiche info Avenant 6F4</v>
      </c>
      <c r="BY656" s="449">
        <f>'Fiche info Avenant 6'!$BE$10</f>
        <v>0</v>
      </c>
      <c r="BZ656" s="449">
        <f>'Fiche info Avenant 6'!$BF$10</f>
        <v>0</v>
      </c>
      <c r="CA656" s="449">
        <f>'Fiche info Avenant 6'!$BG$10</f>
        <v>0</v>
      </c>
      <c r="CB656" s="449">
        <f>'Fiche info Avenant 6'!$BH$10</f>
        <v>0</v>
      </c>
      <c r="CC656" s="449">
        <f>'Fiche info Avenant 6'!$BI$10</f>
        <v>0</v>
      </c>
      <c r="CD656" s="449">
        <f>'Fiche info Avenant 6'!$BJ$10</f>
        <v>0</v>
      </c>
      <c r="CE656" s="449">
        <f>'Fiche info Avenant 6'!$BK$10</f>
        <v>0</v>
      </c>
      <c r="CF656" s="449">
        <f>'Fiche info Avenant 6'!$BL$10</f>
        <v>0</v>
      </c>
      <c r="ED656" s="16" t="str">
        <f t="shared" si="132"/>
        <v>Fiche info Avenant 6F</v>
      </c>
      <c r="EE656" s="16" t="str">
        <f t="shared" si="133"/>
        <v>Fiche info Avenant 6</v>
      </c>
      <c r="EF656" s="16" t="str">
        <f t="shared" si="134"/>
        <v>F</v>
      </c>
      <c r="EG656" s="16">
        <f t="shared" si="135"/>
        <v>4</v>
      </c>
      <c r="EH656" s="16" t="str">
        <f t="shared" si="136"/>
        <v>Jeudi</v>
      </c>
      <c r="EI656" s="16" t="str">
        <f t="shared" si="137"/>
        <v/>
      </c>
    </row>
    <row r="657" spans="1:139" x14ac:dyDescent="0.2">
      <c r="A657" s="16" t="str">
        <f t="shared" si="130"/>
        <v>Fiche info Avenant 6F5</v>
      </c>
      <c r="B657" s="16" t="str">
        <f t="shared" si="131"/>
        <v>Fiche info Avenant 6</v>
      </c>
      <c r="C657" s="27" t="s">
        <v>244</v>
      </c>
      <c r="D657" s="27">
        <v>5</v>
      </c>
      <c r="E657" s="16" t="s">
        <v>21</v>
      </c>
      <c r="F657" s="34" t="str">
        <f>+IF('Fiche info Avenant 6'!$BN$11=0,"",'Fiche info Avenant 6'!$BN$11)</f>
        <v/>
      </c>
      <c r="G657" s="16">
        <f t="shared" si="138"/>
        <v>0</v>
      </c>
      <c r="BX657" s="16" t="str">
        <f t="shared" si="139"/>
        <v>Fiche info Avenant 6F5</v>
      </c>
      <c r="BY657" s="449">
        <f>'Fiche info Avenant 6'!$BE$11</f>
        <v>0</v>
      </c>
      <c r="BZ657" s="449">
        <f>'Fiche info Avenant 6'!$BF$11</f>
        <v>0</v>
      </c>
      <c r="CA657" s="449">
        <f>'Fiche info Avenant 6'!$BG$11</f>
        <v>0</v>
      </c>
      <c r="CB657" s="449">
        <f>'Fiche info Avenant 6'!$BH$11</f>
        <v>0</v>
      </c>
      <c r="CC657" s="449">
        <f>'Fiche info Avenant 6'!$BI$11</f>
        <v>0</v>
      </c>
      <c r="CD657" s="449">
        <f>'Fiche info Avenant 6'!$BJ$11</f>
        <v>0</v>
      </c>
      <c r="CE657" s="449">
        <f>'Fiche info Avenant 6'!$BK$11</f>
        <v>0</v>
      </c>
      <c r="CF657" s="449">
        <f>'Fiche info Avenant 6'!$BL$11</f>
        <v>0</v>
      </c>
      <c r="ED657" s="16" t="str">
        <f t="shared" si="132"/>
        <v>Fiche info Avenant 6F</v>
      </c>
      <c r="EE657" s="16" t="str">
        <f t="shared" si="133"/>
        <v>Fiche info Avenant 6</v>
      </c>
      <c r="EF657" s="16" t="str">
        <f t="shared" si="134"/>
        <v>F</v>
      </c>
      <c r="EG657" s="16">
        <f t="shared" si="135"/>
        <v>5</v>
      </c>
      <c r="EH657" s="16" t="str">
        <f t="shared" si="136"/>
        <v>Vendredi</v>
      </c>
      <c r="EI657" s="16" t="str">
        <f t="shared" si="137"/>
        <v/>
      </c>
    </row>
    <row r="658" spans="1:139" x14ac:dyDescent="0.2">
      <c r="A658" s="16" t="str">
        <f t="shared" si="130"/>
        <v>Fiche info Avenant 6F6</v>
      </c>
      <c r="B658" s="16" t="str">
        <f t="shared" si="131"/>
        <v>Fiche info Avenant 6</v>
      </c>
      <c r="C658" s="27" t="s">
        <v>244</v>
      </c>
      <c r="D658" s="27">
        <v>6</v>
      </c>
      <c r="E658" s="16" t="s">
        <v>193</v>
      </c>
      <c r="F658" s="34" t="str">
        <f>+IF('Fiche info Avenant 6'!$BN$12=0,"",'Fiche info Avenant 6'!$BN$12)</f>
        <v/>
      </c>
      <c r="G658" s="16">
        <f t="shared" si="138"/>
        <v>0</v>
      </c>
      <c r="BX658" s="16" t="str">
        <f t="shared" si="139"/>
        <v>Fiche info Avenant 6F6</v>
      </c>
      <c r="BY658" s="449">
        <f>'Fiche info Avenant 6'!$BE$12</f>
        <v>0</v>
      </c>
      <c r="BZ658" s="449">
        <f>'Fiche info Avenant 6'!$BF$12</f>
        <v>0</v>
      </c>
      <c r="CA658" s="449">
        <f>'Fiche info Avenant 6'!$BG$12</f>
        <v>0</v>
      </c>
      <c r="CB658" s="449">
        <f>'Fiche info Avenant 6'!$BH$12</f>
        <v>0</v>
      </c>
      <c r="CC658" s="449">
        <f>'Fiche info Avenant 6'!$BI$12</f>
        <v>0</v>
      </c>
      <c r="CD658" s="449">
        <f>'Fiche info Avenant 6'!$BJ$12</f>
        <v>0</v>
      </c>
      <c r="CE658" s="449">
        <f>'Fiche info Avenant 6'!$BK$12</f>
        <v>0</v>
      </c>
      <c r="CF658" s="449">
        <f>'Fiche info Avenant 6'!$BL$12</f>
        <v>0</v>
      </c>
      <c r="ED658" s="16" t="str">
        <f t="shared" si="132"/>
        <v>Fiche info Avenant 6F</v>
      </c>
      <c r="EE658" s="16" t="str">
        <f t="shared" si="133"/>
        <v>Fiche info Avenant 6</v>
      </c>
      <c r="EF658" s="16" t="str">
        <f t="shared" si="134"/>
        <v>F</v>
      </c>
      <c r="EG658" s="16">
        <f t="shared" si="135"/>
        <v>6</v>
      </c>
      <c r="EH658" s="16" t="str">
        <f t="shared" si="136"/>
        <v>Samedi</v>
      </c>
      <c r="EI658" s="16" t="str">
        <f t="shared" si="137"/>
        <v/>
      </c>
    </row>
    <row r="659" spans="1:139" x14ac:dyDescent="0.2">
      <c r="A659" s="16" t="str">
        <f t="shared" si="130"/>
        <v>Fiche info Avenant 6F7</v>
      </c>
      <c r="B659" s="16" t="str">
        <f t="shared" si="131"/>
        <v>Fiche info Avenant 6</v>
      </c>
      <c r="C659" s="27" t="s">
        <v>244</v>
      </c>
      <c r="D659" s="27">
        <v>7</v>
      </c>
      <c r="E659" s="16" t="s">
        <v>194</v>
      </c>
      <c r="F659" s="34" t="str">
        <f>+IF('Fiche info Avenant 6'!$BN$13=0,"",'Fiche info Avenant 6'!$BN$13)</f>
        <v/>
      </c>
      <c r="G659" s="16">
        <f t="shared" si="138"/>
        <v>0</v>
      </c>
      <c r="BX659" s="16" t="str">
        <f t="shared" si="139"/>
        <v>Fiche info Avenant 6F7</v>
      </c>
      <c r="BY659" s="449">
        <f>'Fiche info Avenant 6'!$BE$13</f>
        <v>0</v>
      </c>
      <c r="BZ659" s="449">
        <f>'Fiche info Avenant 6'!$BF$13</f>
        <v>0</v>
      </c>
      <c r="CA659" s="449">
        <f>'Fiche info Avenant 6'!$BG$13</f>
        <v>0</v>
      </c>
      <c r="CB659" s="449">
        <f>'Fiche info Avenant 6'!$BH$13</f>
        <v>0</v>
      </c>
      <c r="CC659" s="449">
        <f>'Fiche info Avenant 6'!$BI$13</f>
        <v>0</v>
      </c>
      <c r="CD659" s="449">
        <f>'Fiche info Avenant 6'!$BJ$13</f>
        <v>0</v>
      </c>
      <c r="CE659" s="449">
        <f>'Fiche info Avenant 6'!$BK$13</f>
        <v>0</v>
      </c>
      <c r="CF659" s="449">
        <f>'Fiche info Avenant 6'!$BL$13</f>
        <v>0</v>
      </c>
      <c r="ED659" s="16" t="str">
        <f t="shared" si="132"/>
        <v>Fiche info Avenant 6F</v>
      </c>
      <c r="EE659" s="16" t="str">
        <f t="shared" si="133"/>
        <v>Fiche info Avenant 6</v>
      </c>
      <c r="EF659" s="16" t="str">
        <f t="shared" si="134"/>
        <v>F</v>
      </c>
      <c r="EG659" s="16">
        <f t="shared" si="135"/>
        <v>7</v>
      </c>
      <c r="EH659" s="16" t="str">
        <f t="shared" si="136"/>
        <v>Dimanche</v>
      </c>
      <c r="EI659" s="16" t="str">
        <f t="shared" si="137"/>
        <v/>
      </c>
    </row>
    <row r="660" spans="1:139" x14ac:dyDescent="0.2">
      <c r="A660" s="16" t="str">
        <f t="shared" si="130"/>
        <v>Fiche info Avenant 6G1</v>
      </c>
      <c r="B660" s="16" t="str">
        <f t="shared" si="131"/>
        <v>Fiche info Avenant 6</v>
      </c>
      <c r="C660" s="27" t="s">
        <v>245</v>
      </c>
      <c r="D660" s="27">
        <v>1</v>
      </c>
      <c r="E660" s="16" t="s">
        <v>17</v>
      </c>
      <c r="F660" s="34" t="str">
        <f>+IF('Fiche info Avenant 6'!$BY$7=0,"",'Fiche info Avenant 6'!$BY$7)</f>
        <v/>
      </c>
      <c r="G660" s="16">
        <f t="shared" si="138"/>
        <v>0</v>
      </c>
      <c r="BX660" s="16" t="str">
        <f t="shared" si="139"/>
        <v>Fiche info Avenant 6G1</v>
      </c>
      <c r="BY660" s="449">
        <f>'Fiche info Avenant 6'!$BP$7</f>
        <v>0</v>
      </c>
      <c r="BZ660" s="449">
        <f>'Fiche info Avenant 6'!$BQ$7</f>
        <v>0</v>
      </c>
      <c r="CA660" s="449">
        <f>'Fiche info Avenant 6'!$BR$7</f>
        <v>0</v>
      </c>
      <c r="CB660" s="449">
        <f>'Fiche info Avenant 6'!$BS$7</f>
        <v>0</v>
      </c>
      <c r="CC660" s="449">
        <f>'Fiche info Avenant 6'!$BT$7</f>
        <v>0</v>
      </c>
      <c r="CD660" s="449">
        <f>'Fiche info Avenant 6'!$BU$7</f>
        <v>0</v>
      </c>
      <c r="CE660" s="449">
        <f>'Fiche info Avenant 6'!$BV$7</f>
        <v>0</v>
      </c>
      <c r="CF660" s="449">
        <f>'Fiche info Avenant 6'!$BW$7</f>
        <v>0</v>
      </c>
      <c r="ED660" s="16" t="str">
        <f t="shared" si="132"/>
        <v>Fiche info Avenant 6G</v>
      </c>
      <c r="EE660" s="16" t="str">
        <f t="shared" si="133"/>
        <v>Fiche info Avenant 6</v>
      </c>
      <c r="EF660" s="16" t="str">
        <f t="shared" si="134"/>
        <v>G</v>
      </c>
      <c r="EG660" s="16">
        <f t="shared" si="135"/>
        <v>1</v>
      </c>
      <c r="EH660" s="16" t="str">
        <f t="shared" si="136"/>
        <v>Lundi</v>
      </c>
      <c r="EI660" s="16" t="str">
        <f t="shared" si="137"/>
        <v/>
      </c>
    </row>
    <row r="661" spans="1:139" x14ac:dyDescent="0.2">
      <c r="A661" s="16" t="str">
        <f t="shared" si="130"/>
        <v>Fiche info Avenant 6G2</v>
      </c>
      <c r="B661" s="16" t="str">
        <f t="shared" si="131"/>
        <v>Fiche info Avenant 6</v>
      </c>
      <c r="C661" s="27" t="s">
        <v>245</v>
      </c>
      <c r="D661" s="27">
        <v>2</v>
      </c>
      <c r="E661" s="16" t="s">
        <v>18</v>
      </c>
      <c r="F661" s="34" t="str">
        <f>+IF('Fiche info Avenant 6'!$BY$8=0,"",'Fiche info Avenant 6'!$BY$8)</f>
        <v/>
      </c>
      <c r="G661" s="16">
        <f t="shared" si="138"/>
        <v>0</v>
      </c>
      <c r="BX661" s="16" t="str">
        <f t="shared" si="139"/>
        <v>Fiche info Avenant 6G2</v>
      </c>
      <c r="BY661" s="449">
        <f>'Fiche info Avenant 6'!$BP$8</f>
        <v>0</v>
      </c>
      <c r="BZ661" s="449">
        <f>'Fiche info Avenant 6'!$BQ$8</f>
        <v>0</v>
      </c>
      <c r="CA661" s="449">
        <f>'Fiche info Avenant 6'!$BR$8</f>
        <v>0</v>
      </c>
      <c r="CB661" s="449">
        <f>'Fiche info Avenant 6'!$BS$8</f>
        <v>0</v>
      </c>
      <c r="CC661" s="449">
        <f>'Fiche info Avenant 6'!$BT$8</f>
        <v>0</v>
      </c>
      <c r="CD661" s="449">
        <f>'Fiche info Avenant 6'!$BU$8</f>
        <v>0</v>
      </c>
      <c r="CE661" s="449">
        <f>'Fiche info Avenant 6'!$BV$8</f>
        <v>0</v>
      </c>
      <c r="CF661" s="449">
        <f>'Fiche info Avenant 6'!$BW$8</f>
        <v>0</v>
      </c>
      <c r="ED661" s="16" t="str">
        <f t="shared" si="132"/>
        <v>Fiche info Avenant 6G</v>
      </c>
      <c r="EE661" s="16" t="str">
        <f t="shared" si="133"/>
        <v>Fiche info Avenant 6</v>
      </c>
      <c r="EF661" s="16" t="str">
        <f t="shared" si="134"/>
        <v>G</v>
      </c>
      <c r="EG661" s="16">
        <f t="shared" si="135"/>
        <v>2</v>
      </c>
      <c r="EH661" s="16" t="str">
        <f t="shared" si="136"/>
        <v>Mardi</v>
      </c>
      <c r="EI661" s="16" t="str">
        <f t="shared" si="137"/>
        <v/>
      </c>
    </row>
    <row r="662" spans="1:139" x14ac:dyDescent="0.2">
      <c r="A662" s="16" t="str">
        <f t="shared" si="130"/>
        <v>Fiche info Avenant 6G3</v>
      </c>
      <c r="B662" s="16" t="str">
        <f t="shared" si="131"/>
        <v>Fiche info Avenant 6</v>
      </c>
      <c r="C662" s="27" t="s">
        <v>245</v>
      </c>
      <c r="D662" s="27">
        <v>3</v>
      </c>
      <c r="E662" s="16" t="s">
        <v>19</v>
      </c>
      <c r="F662" s="34" t="str">
        <f>+IF('Fiche info Avenant 6'!$BY$9=0,"",'Fiche info Avenant 6'!$BY$9)</f>
        <v/>
      </c>
      <c r="G662" s="16">
        <f t="shared" si="138"/>
        <v>0</v>
      </c>
      <c r="BX662" s="16" t="str">
        <f t="shared" si="139"/>
        <v>Fiche info Avenant 6G3</v>
      </c>
      <c r="BY662" s="449">
        <f>'Fiche info Avenant 6'!$BP$9</f>
        <v>0</v>
      </c>
      <c r="BZ662" s="449">
        <f>'Fiche info Avenant 6'!$BQ$9</f>
        <v>0</v>
      </c>
      <c r="CA662" s="449">
        <f>'Fiche info Avenant 6'!$BR$9</f>
        <v>0</v>
      </c>
      <c r="CB662" s="449">
        <f>'Fiche info Avenant 6'!$BS$9</f>
        <v>0</v>
      </c>
      <c r="CC662" s="449">
        <f>'Fiche info Avenant 6'!$BT$9</f>
        <v>0</v>
      </c>
      <c r="CD662" s="449">
        <f>'Fiche info Avenant 6'!$BU$9</f>
        <v>0</v>
      </c>
      <c r="CE662" s="449">
        <f>'Fiche info Avenant 6'!$BV$9</f>
        <v>0</v>
      </c>
      <c r="CF662" s="449">
        <f>'Fiche info Avenant 6'!$BW$9</f>
        <v>0</v>
      </c>
      <c r="ED662" s="16" t="str">
        <f t="shared" si="132"/>
        <v>Fiche info Avenant 6G</v>
      </c>
      <c r="EE662" s="16" t="str">
        <f t="shared" si="133"/>
        <v>Fiche info Avenant 6</v>
      </c>
      <c r="EF662" s="16" t="str">
        <f t="shared" si="134"/>
        <v>G</v>
      </c>
      <c r="EG662" s="16">
        <f t="shared" si="135"/>
        <v>3</v>
      </c>
      <c r="EH662" s="16" t="str">
        <f t="shared" si="136"/>
        <v>Mercredi</v>
      </c>
      <c r="EI662" s="16" t="str">
        <f t="shared" si="137"/>
        <v/>
      </c>
    </row>
    <row r="663" spans="1:139" x14ac:dyDescent="0.2">
      <c r="A663" s="16" t="str">
        <f t="shared" si="130"/>
        <v>Fiche info Avenant 6G4</v>
      </c>
      <c r="B663" s="16" t="str">
        <f t="shared" si="131"/>
        <v>Fiche info Avenant 6</v>
      </c>
      <c r="C663" s="27" t="s">
        <v>245</v>
      </c>
      <c r="D663" s="27">
        <v>4</v>
      </c>
      <c r="E663" s="16" t="s">
        <v>20</v>
      </c>
      <c r="F663" s="34" t="str">
        <f>+IF('Fiche info Avenant 6'!$BY$10=0,"",'Fiche info Avenant 6'!$BY$10)</f>
        <v/>
      </c>
      <c r="G663" s="16">
        <f t="shared" si="138"/>
        <v>0</v>
      </c>
      <c r="BX663" s="16" t="str">
        <f t="shared" si="139"/>
        <v>Fiche info Avenant 6G4</v>
      </c>
      <c r="BY663" s="449">
        <f>'Fiche info Avenant 6'!$BP$10</f>
        <v>0</v>
      </c>
      <c r="BZ663" s="449">
        <f>'Fiche info Avenant 6'!$BQ$10</f>
        <v>0</v>
      </c>
      <c r="CA663" s="449">
        <f>'Fiche info Avenant 6'!$BR$10</f>
        <v>0</v>
      </c>
      <c r="CB663" s="449">
        <f>'Fiche info Avenant 6'!$BS$10</f>
        <v>0</v>
      </c>
      <c r="CC663" s="449">
        <f>'Fiche info Avenant 6'!$BT$10</f>
        <v>0</v>
      </c>
      <c r="CD663" s="449">
        <f>'Fiche info Avenant 6'!$BU$10</f>
        <v>0</v>
      </c>
      <c r="CE663" s="449">
        <f>'Fiche info Avenant 6'!$BV$10</f>
        <v>0</v>
      </c>
      <c r="CF663" s="449">
        <f>'Fiche info Avenant 6'!$BW$10</f>
        <v>0</v>
      </c>
      <c r="ED663" s="16" t="str">
        <f t="shared" si="132"/>
        <v>Fiche info Avenant 6G</v>
      </c>
      <c r="EE663" s="16" t="str">
        <f t="shared" si="133"/>
        <v>Fiche info Avenant 6</v>
      </c>
      <c r="EF663" s="16" t="str">
        <f t="shared" si="134"/>
        <v>G</v>
      </c>
      <c r="EG663" s="16">
        <f t="shared" si="135"/>
        <v>4</v>
      </c>
      <c r="EH663" s="16" t="str">
        <f t="shared" si="136"/>
        <v>Jeudi</v>
      </c>
      <c r="EI663" s="16" t="str">
        <f t="shared" si="137"/>
        <v/>
      </c>
    </row>
    <row r="664" spans="1:139" x14ac:dyDescent="0.2">
      <c r="A664" s="16" t="str">
        <f t="shared" si="130"/>
        <v>Fiche info Avenant 6G5</v>
      </c>
      <c r="B664" s="16" t="str">
        <f t="shared" si="131"/>
        <v>Fiche info Avenant 6</v>
      </c>
      <c r="C664" s="27" t="s">
        <v>245</v>
      </c>
      <c r="D664" s="27">
        <v>5</v>
      </c>
      <c r="E664" s="16" t="s">
        <v>21</v>
      </c>
      <c r="F664" s="34" t="str">
        <f>+IF('Fiche info Avenant 6'!$BY$11=0,"",'Fiche info Avenant 6'!$BY$11)</f>
        <v/>
      </c>
      <c r="G664" s="16">
        <f t="shared" si="138"/>
        <v>0</v>
      </c>
      <c r="BX664" s="16" t="str">
        <f t="shared" si="139"/>
        <v>Fiche info Avenant 6G5</v>
      </c>
      <c r="BY664" s="449">
        <f>'Fiche info Avenant 6'!$BP$11</f>
        <v>0</v>
      </c>
      <c r="BZ664" s="449">
        <f>'Fiche info Avenant 6'!$BQ$11</f>
        <v>0</v>
      </c>
      <c r="CA664" s="449">
        <f>'Fiche info Avenant 6'!$BR$11</f>
        <v>0</v>
      </c>
      <c r="CB664" s="449">
        <f>'Fiche info Avenant 6'!$BS$11</f>
        <v>0</v>
      </c>
      <c r="CC664" s="449">
        <f>'Fiche info Avenant 6'!$BT$11</f>
        <v>0</v>
      </c>
      <c r="CD664" s="449">
        <f>'Fiche info Avenant 6'!$BU$11</f>
        <v>0</v>
      </c>
      <c r="CE664" s="449">
        <f>'Fiche info Avenant 6'!$BV$11</f>
        <v>0</v>
      </c>
      <c r="CF664" s="449">
        <f>'Fiche info Avenant 6'!$BW$11</f>
        <v>0</v>
      </c>
      <c r="ED664" s="16" t="str">
        <f t="shared" si="132"/>
        <v>Fiche info Avenant 6G</v>
      </c>
      <c r="EE664" s="16" t="str">
        <f t="shared" si="133"/>
        <v>Fiche info Avenant 6</v>
      </c>
      <c r="EF664" s="16" t="str">
        <f t="shared" si="134"/>
        <v>G</v>
      </c>
      <c r="EG664" s="16">
        <f t="shared" si="135"/>
        <v>5</v>
      </c>
      <c r="EH664" s="16" t="str">
        <f t="shared" si="136"/>
        <v>Vendredi</v>
      </c>
      <c r="EI664" s="16" t="str">
        <f t="shared" si="137"/>
        <v/>
      </c>
    </row>
    <row r="665" spans="1:139" x14ac:dyDescent="0.2">
      <c r="A665" s="16" t="str">
        <f t="shared" si="130"/>
        <v>Fiche info Avenant 6G6</v>
      </c>
      <c r="B665" s="16" t="str">
        <f t="shared" si="131"/>
        <v>Fiche info Avenant 6</v>
      </c>
      <c r="C665" s="27" t="s">
        <v>245</v>
      </c>
      <c r="D665" s="27">
        <v>6</v>
      </c>
      <c r="E665" s="16" t="s">
        <v>193</v>
      </c>
      <c r="F665" s="34" t="str">
        <f>+IF('Fiche info Avenant 6'!$BY$12=0,"",'Fiche info Avenant 6'!$BY$12)</f>
        <v/>
      </c>
      <c r="G665" s="16">
        <f t="shared" si="138"/>
        <v>0</v>
      </c>
      <c r="BX665" s="16" t="str">
        <f t="shared" si="139"/>
        <v>Fiche info Avenant 6G6</v>
      </c>
      <c r="BY665" s="449">
        <f>'Fiche info Avenant 6'!$BP$12</f>
        <v>0</v>
      </c>
      <c r="BZ665" s="449">
        <f>'Fiche info Avenant 6'!$BQ$12</f>
        <v>0</v>
      </c>
      <c r="CA665" s="449">
        <f>'Fiche info Avenant 6'!$BR$12</f>
        <v>0</v>
      </c>
      <c r="CB665" s="449">
        <f>'Fiche info Avenant 6'!$BS$12</f>
        <v>0</v>
      </c>
      <c r="CC665" s="449">
        <f>'Fiche info Avenant 6'!$BT$12</f>
        <v>0</v>
      </c>
      <c r="CD665" s="449">
        <f>'Fiche info Avenant 6'!$BU$12</f>
        <v>0</v>
      </c>
      <c r="CE665" s="449">
        <f>'Fiche info Avenant 6'!$BV$12</f>
        <v>0</v>
      </c>
      <c r="CF665" s="449">
        <f>'Fiche info Avenant 6'!$BW$12</f>
        <v>0</v>
      </c>
      <c r="ED665" s="16" t="str">
        <f t="shared" si="132"/>
        <v>Fiche info Avenant 6G</v>
      </c>
      <c r="EE665" s="16" t="str">
        <f t="shared" si="133"/>
        <v>Fiche info Avenant 6</v>
      </c>
      <c r="EF665" s="16" t="str">
        <f t="shared" si="134"/>
        <v>G</v>
      </c>
      <c r="EG665" s="16">
        <f t="shared" si="135"/>
        <v>6</v>
      </c>
      <c r="EH665" s="16" t="str">
        <f t="shared" si="136"/>
        <v>Samedi</v>
      </c>
      <c r="EI665" s="16" t="str">
        <f t="shared" si="137"/>
        <v/>
      </c>
    </row>
    <row r="666" spans="1:139" x14ac:dyDescent="0.2">
      <c r="A666" s="16" t="str">
        <f t="shared" si="130"/>
        <v>Fiche info Avenant 6G7</v>
      </c>
      <c r="B666" s="16" t="str">
        <f t="shared" si="131"/>
        <v>Fiche info Avenant 6</v>
      </c>
      <c r="C666" s="27" t="s">
        <v>245</v>
      </c>
      <c r="D666" s="27">
        <v>7</v>
      </c>
      <c r="E666" s="16" t="s">
        <v>194</v>
      </c>
      <c r="F666" s="34" t="str">
        <f>+IF('Fiche info Avenant 6'!$BY$13=0,"",'Fiche info Avenant 6'!$BY$13)</f>
        <v/>
      </c>
      <c r="G666" s="16">
        <f t="shared" si="138"/>
        <v>0</v>
      </c>
      <c r="BX666" s="16" t="str">
        <f t="shared" si="139"/>
        <v>Fiche info Avenant 6G7</v>
      </c>
      <c r="BY666" s="449">
        <f>'Fiche info Avenant 6'!$BP$13</f>
        <v>0</v>
      </c>
      <c r="BZ666" s="449">
        <f>'Fiche info Avenant 6'!$BQ$13</f>
        <v>0</v>
      </c>
      <c r="CA666" s="449">
        <f>'Fiche info Avenant 6'!$BR$13</f>
        <v>0</v>
      </c>
      <c r="CB666" s="449">
        <f>'Fiche info Avenant 6'!$BS$13</f>
        <v>0</v>
      </c>
      <c r="CC666" s="449">
        <f>'Fiche info Avenant 6'!$BT$13</f>
        <v>0</v>
      </c>
      <c r="CD666" s="449">
        <f>'Fiche info Avenant 6'!$BU$13</f>
        <v>0</v>
      </c>
      <c r="CE666" s="449">
        <f>'Fiche info Avenant 6'!$BV$13</f>
        <v>0</v>
      </c>
      <c r="CF666" s="449">
        <f>'Fiche info Avenant 6'!$BW$13</f>
        <v>0</v>
      </c>
      <c r="ED666" s="16" t="str">
        <f t="shared" si="132"/>
        <v>Fiche info Avenant 6G</v>
      </c>
      <c r="EE666" s="16" t="str">
        <f t="shared" si="133"/>
        <v>Fiche info Avenant 6</v>
      </c>
      <c r="EF666" s="16" t="str">
        <f t="shared" si="134"/>
        <v>G</v>
      </c>
      <c r="EG666" s="16">
        <f t="shared" si="135"/>
        <v>7</v>
      </c>
      <c r="EH666" s="16" t="str">
        <f t="shared" si="136"/>
        <v>Dimanche</v>
      </c>
      <c r="EI666" s="16" t="str">
        <f t="shared" si="137"/>
        <v/>
      </c>
    </row>
    <row r="667" spans="1:139" x14ac:dyDescent="0.2">
      <c r="A667" s="16" t="str">
        <f t="shared" si="130"/>
        <v>Fiche info Avenant 6H1</v>
      </c>
      <c r="B667" s="16" t="str">
        <f t="shared" si="131"/>
        <v>Fiche info Avenant 6</v>
      </c>
      <c r="C667" s="27" t="s">
        <v>246</v>
      </c>
      <c r="D667" s="27">
        <v>1</v>
      </c>
      <c r="E667" s="16" t="s">
        <v>17</v>
      </c>
      <c r="F667" s="34" t="str">
        <f>+IF('Fiche info Avenant 6'!$CJ$7=0,"",'Fiche info Avenant 6'!$CJ$7)</f>
        <v/>
      </c>
      <c r="G667" s="16">
        <f t="shared" si="138"/>
        <v>0</v>
      </c>
      <c r="BX667" s="16" t="str">
        <f t="shared" si="139"/>
        <v>Fiche info Avenant 6H1</v>
      </c>
      <c r="BY667" s="449">
        <f>'Fiche info Avenant 6'!$CA$7</f>
        <v>0</v>
      </c>
      <c r="BZ667" s="449">
        <f>'Fiche info Avenant 6'!$CB$7</f>
        <v>0</v>
      </c>
      <c r="CA667" s="449">
        <f>'Fiche info Avenant 6'!$CC$7</f>
        <v>0</v>
      </c>
      <c r="CB667" s="449">
        <f>'Fiche info Avenant 6'!$CD$7</f>
        <v>0</v>
      </c>
      <c r="CC667" s="449">
        <f>'Fiche info Avenant 6'!$CE$7</f>
        <v>0</v>
      </c>
      <c r="CD667" s="449">
        <f>'Fiche info Avenant 6'!$CF$7</f>
        <v>0</v>
      </c>
      <c r="CE667" s="449">
        <f>'Fiche info Avenant 6'!$CG$7</f>
        <v>0</v>
      </c>
      <c r="CF667" s="449">
        <f>'Fiche info Avenant 6'!$CH$7</f>
        <v>0</v>
      </c>
      <c r="ED667" s="16" t="str">
        <f t="shared" si="132"/>
        <v>Fiche info Avenant 6H</v>
      </c>
      <c r="EE667" s="16" t="str">
        <f t="shared" si="133"/>
        <v>Fiche info Avenant 6</v>
      </c>
      <c r="EF667" s="16" t="str">
        <f t="shared" si="134"/>
        <v>H</v>
      </c>
      <c r="EG667" s="16">
        <f t="shared" si="135"/>
        <v>1</v>
      </c>
      <c r="EH667" s="16" t="str">
        <f t="shared" si="136"/>
        <v>Lundi</v>
      </c>
      <c r="EI667" s="16" t="str">
        <f t="shared" si="137"/>
        <v/>
      </c>
    </row>
    <row r="668" spans="1:139" x14ac:dyDescent="0.2">
      <c r="A668" s="16" t="str">
        <f t="shared" si="130"/>
        <v>Fiche info Avenant 6H2</v>
      </c>
      <c r="B668" s="16" t="str">
        <f t="shared" si="131"/>
        <v>Fiche info Avenant 6</v>
      </c>
      <c r="C668" s="27" t="s">
        <v>246</v>
      </c>
      <c r="D668" s="27">
        <v>2</v>
      </c>
      <c r="E668" s="16" t="s">
        <v>18</v>
      </c>
      <c r="F668" s="34" t="str">
        <f>+IF('Fiche info Avenant 6'!$CJ$8=0,"",'Fiche info Avenant 6'!$CJ$8)</f>
        <v/>
      </c>
      <c r="G668" s="16">
        <f t="shared" si="138"/>
        <v>0</v>
      </c>
      <c r="BX668" s="16" t="str">
        <f t="shared" si="139"/>
        <v>Fiche info Avenant 6H2</v>
      </c>
      <c r="BY668" s="449">
        <f>'Fiche info Avenant 6'!$CA$8</f>
        <v>0</v>
      </c>
      <c r="BZ668" s="449">
        <f>'Fiche info Avenant 6'!$CB$8</f>
        <v>0</v>
      </c>
      <c r="CA668" s="449">
        <f>'Fiche info Avenant 6'!$CC$8</f>
        <v>0</v>
      </c>
      <c r="CB668" s="449">
        <f>'Fiche info Avenant 6'!$CD$8</f>
        <v>0</v>
      </c>
      <c r="CC668" s="449">
        <f>'Fiche info Avenant 6'!$CE$8</f>
        <v>0</v>
      </c>
      <c r="CD668" s="449">
        <f>'Fiche info Avenant 6'!$CF$8</f>
        <v>0</v>
      </c>
      <c r="CE668" s="449">
        <f>'Fiche info Avenant 6'!$CG$8</f>
        <v>0</v>
      </c>
      <c r="CF668" s="449">
        <f>'Fiche info Avenant 6'!$CH$8</f>
        <v>0</v>
      </c>
      <c r="ED668" s="16" t="str">
        <f t="shared" si="132"/>
        <v>Fiche info Avenant 6H</v>
      </c>
      <c r="EE668" s="16" t="str">
        <f t="shared" si="133"/>
        <v>Fiche info Avenant 6</v>
      </c>
      <c r="EF668" s="16" t="str">
        <f t="shared" si="134"/>
        <v>H</v>
      </c>
      <c r="EG668" s="16">
        <f t="shared" si="135"/>
        <v>2</v>
      </c>
      <c r="EH668" s="16" t="str">
        <f t="shared" si="136"/>
        <v>Mardi</v>
      </c>
      <c r="EI668" s="16" t="str">
        <f t="shared" si="137"/>
        <v/>
      </c>
    </row>
    <row r="669" spans="1:139" x14ac:dyDescent="0.2">
      <c r="A669" s="16" t="str">
        <f t="shared" si="130"/>
        <v>Fiche info Avenant 6H3</v>
      </c>
      <c r="B669" s="16" t="str">
        <f t="shared" si="131"/>
        <v>Fiche info Avenant 6</v>
      </c>
      <c r="C669" s="27" t="s">
        <v>246</v>
      </c>
      <c r="D669" s="27">
        <v>3</v>
      </c>
      <c r="E669" s="16" t="s">
        <v>19</v>
      </c>
      <c r="F669" s="34" t="str">
        <f>+IF('Fiche info Avenant 6'!$CJ$9=0,"",'Fiche info Avenant 6'!$CJ$9)</f>
        <v/>
      </c>
      <c r="G669" s="16">
        <f t="shared" si="138"/>
        <v>0</v>
      </c>
      <c r="BX669" s="16" t="str">
        <f t="shared" si="139"/>
        <v>Fiche info Avenant 6H3</v>
      </c>
      <c r="BY669" s="449">
        <f>'Fiche info Avenant 6'!$CA$9</f>
        <v>0</v>
      </c>
      <c r="BZ669" s="449">
        <f>'Fiche info Avenant 6'!$CB$9</f>
        <v>0</v>
      </c>
      <c r="CA669" s="449">
        <f>'Fiche info Avenant 6'!$CC$9</f>
        <v>0</v>
      </c>
      <c r="CB669" s="449">
        <f>'Fiche info Avenant 6'!$CD$9</f>
        <v>0</v>
      </c>
      <c r="CC669" s="449">
        <f>'Fiche info Avenant 6'!$CE$9</f>
        <v>0</v>
      </c>
      <c r="CD669" s="449">
        <f>'Fiche info Avenant 6'!$CF$9</f>
        <v>0</v>
      </c>
      <c r="CE669" s="449">
        <f>'Fiche info Avenant 6'!$CG$9</f>
        <v>0</v>
      </c>
      <c r="CF669" s="449">
        <f>'Fiche info Avenant 6'!$CH$9</f>
        <v>0</v>
      </c>
      <c r="ED669" s="16" t="str">
        <f t="shared" si="132"/>
        <v>Fiche info Avenant 6H</v>
      </c>
      <c r="EE669" s="16" t="str">
        <f t="shared" si="133"/>
        <v>Fiche info Avenant 6</v>
      </c>
      <c r="EF669" s="16" t="str">
        <f t="shared" si="134"/>
        <v>H</v>
      </c>
      <c r="EG669" s="16">
        <f t="shared" si="135"/>
        <v>3</v>
      </c>
      <c r="EH669" s="16" t="str">
        <f t="shared" si="136"/>
        <v>Mercredi</v>
      </c>
      <c r="EI669" s="16" t="str">
        <f t="shared" si="137"/>
        <v/>
      </c>
    </row>
    <row r="670" spans="1:139" x14ac:dyDescent="0.2">
      <c r="A670" s="16" t="str">
        <f t="shared" si="130"/>
        <v>Fiche info Avenant 6H4</v>
      </c>
      <c r="B670" s="16" t="str">
        <f t="shared" si="131"/>
        <v>Fiche info Avenant 6</v>
      </c>
      <c r="C670" s="27" t="s">
        <v>246</v>
      </c>
      <c r="D670" s="27">
        <v>4</v>
      </c>
      <c r="E670" s="16" t="s">
        <v>20</v>
      </c>
      <c r="F670" s="34" t="str">
        <f>+IF('Fiche info Avenant 6'!$CJ$10=0,"",'Fiche info Avenant 6'!$CJ$10)</f>
        <v/>
      </c>
      <c r="G670" s="16">
        <f t="shared" si="138"/>
        <v>0</v>
      </c>
      <c r="BX670" s="16" t="str">
        <f t="shared" si="139"/>
        <v>Fiche info Avenant 6H4</v>
      </c>
      <c r="BY670" s="449">
        <f>'Fiche info Avenant 6'!$CA$10</f>
        <v>0</v>
      </c>
      <c r="BZ670" s="449">
        <f>'Fiche info Avenant 6'!$CB$10</f>
        <v>0</v>
      </c>
      <c r="CA670" s="449">
        <f>'Fiche info Avenant 6'!$CC$10</f>
        <v>0</v>
      </c>
      <c r="CB670" s="449">
        <f>'Fiche info Avenant 6'!$CD$10</f>
        <v>0</v>
      </c>
      <c r="CC670" s="449">
        <f>'Fiche info Avenant 6'!$CE$10</f>
        <v>0</v>
      </c>
      <c r="CD670" s="449">
        <f>'Fiche info Avenant 6'!$CF$10</f>
        <v>0</v>
      </c>
      <c r="CE670" s="449">
        <f>'Fiche info Avenant 6'!$CG$10</f>
        <v>0</v>
      </c>
      <c r="CF670" s="449">
        <f>'Fiche info Avenant 6'!$CH$10</f>
        <v>0</v>
      </c>
      <c r="ED670" s="16" t="str">
        <f t="shared" si="132"/>
        <v>Fiche info Avenant 6H</v>
      </c>
      <c r="EE670" s="16" t="str">
        <f t="shared" si="133"/>
        <v>Fiche info Avenant 6</v>
      </c>
      <c r="EF670" s="16" t="str">
        <f t="shared" si="134"/>
        <v>H</v>
      </c>
      <c r="EG670" s="16">
        <f t="shared" si="135"/>
        <v>4</v>
      </c>
      <c r="EH670" s="16" t="str">
        <f t="shared" si="136"/>
        <v>Jeudi</v>
      </c>
      <c r="EI670" s="16" t="str">
        <f t="shared" si="137"/>
        <v/>
      </c>
    </row>
    <row r="671" spans="1:139" x14ac:dyDescent="0.2">
      <c r="A671" s="16" t="str">
        <f t="shared" si="130"/>
        <v>Fiche info Avenant 6H5</v>
      </c>
      <c r="B671" s="16" t="str">
        <f t="shared" si="131"/>
        <v>Fiche info Avenant 6</v>
      </c>
      <c r="C671" s="27" t="s">
        <v>246</v>
      </c>
      <c r="D671" s="27">
        <v>5</v>
      </c>
      <c r="E671" s="16" t="s">
        <v>21</v>
      </c>
      <c r="F671" s="34" t="str">
        <f>+IF('Fiche info Avenant 6'!$CJ$11=0,"",'Fiche info Avenant 6'!$CJ$11)</f>
        <v/>
      </c>
      <c r="G671" s="16">
        <f t="shared" si="138"/>
        <v>0</v>
      </c>
      <c r="BX671" s="16" t="str">
        <f t="shared" si="139"/>
        <v>Fiche info Avenant 6H5</v>
      </c>
      <c r="BY671" s="449">
        <f>'Fiche info Avenant 6'!$CA$11</f>
        <v>0</v>
      </c>
      <c r="BZ671" s="449">
        <f>'Fiche info Avenant 6'!$CB$11</f>
        <v>0</v>
      </c>
      <c r="CA671" s="449">
        <f>'Fiche info Avenant 6'!$CC$11</f>
        <v>0</v>
      </c>
      <c r="CB671" s="449">
        <f>'Fiche info Avenant 6'!$CD$11</f>
        <v>0</v>
      </c>
      <c r="CC671" s="449">
        <f>'Fiche info Avenant 6'!$CE$11</f>
        <v>0</v>
      </c>
      <c r="CD671" s="449">
        <f>'Fiche info Avenant 6'!$CF$11</f>
        <v>0</v>
      </c>
      <c r="CE671" s="449">
        <f>'Fiche info Avenant 6'!$CG$11</f>
        <v>0</v>
      </c>
      <c r="CF671" s="449">
        <f>'Fiche info Avenant 6'!$CH$11</f>
        <v>0</v>
      </c>
      <c r="ED671" s="16" t="str">
        <f t="shared" si="132"/>
        <v>Fiche info Avenant 6H</v>
      </c>
      <c r="EE671" s="16" t="str">
        <f t="shared" si="133"/>
        <v>Fiche info Avenant 6</v>
      </c>
      <c r="EF671" s="16" t="str">
        <f t="shared" si="134"/>
        <v>H</v>
      </c>
      <c r="EG671" s="16">
        <f t="shared" si="135"/>
        <v>5</v>
      </c>
      <c r="EH671" s="16" t="str">
        <f t="shared" si="136"/>
        <v>Vendredi</v>
      </c>
      <c r="EI671" s="16" t="str">
        <f t="shared" si="137"/>
        <v/>
      </c>
    </row>
    <row r="672" spans="1:139" x14ac:dyDescent="0.2">
      <c r="A672" s="16" t="str">
        <f t="shared" si="130"/>
        <v>Fiche info Avenant 6H6</v>
      </c>
      <c r="B672" s="16" t="str">
        <f t="shared" si="131"/>
        <v>Fiche info Avenant 6</v>
      </c>
      <c r="C672" s="27" t="s">
        <v>246</v>
      </c>
      <c r="D672" s="27">
        <v>6</v>
      </c>
      <c r="E672" s="16" t="s">
        <v>193</v>
      </c>
      <c r="F672" s="34" t="str">
        <f>+IF('Fiche info Avenant 6'!$CJ$12=0,"",'Fiche info Avenant 6'!$CJ$12)</f>
        <v/>
      </c>
      <c r="G672" s="16">
        <f t="shared" si="138"/>
        <v>0</v>
      </c>
      <c r="BX672" s="16" t="str">
        <f t="shared" si="139"/>
        <v>Fiche info Avenant 6H6</v>
      </c>
      <c r="BY672" s="449">
        <f>'Fiche info Avenant 6'!$CA$12</f>
        <v>0</v>
      </c>
      <c r="BZ672" s="449">
        <f>'Fiche info Avenant 6'!$CB$12</f>
        <v>0</v>
      </c>
      <c r="CA672" s="449">
        <f>'Fiche info Avenant 6'!$CC$12</f>
        <v>0</v>
      </c>
      <c r="CB672" s="449">
        <f>'Fiche info Avenant 6'!$CD$12</f>
        <v>0</v>
      </c>
      <c r="CC672" s="449">
        <f>'Fiche info Avenant 6'!$CE$12</f>
        <v>0</v>
      </c>
      <c r="CD672" s="449">
        <f>'Fiche info Avenant 6'!$CF$12</f>
        <v>0</v>
      </c>
      <c r="CE672" s="449">
        <f>'Fiche info Avenant 6'!$CG$12</f>
        <v>0</v>
      </c>
      <c r="CF672" s="449">
        <f>'Fiche info Avenant 6'!$CH$12</f>
        <v>0</v>
      </c>
      <c r="ED672" s="16" t="str">
        <f t="shared" si="132"/>
        <v>Fiche info Avenant 6H</v>
      </c>
      <c r="EE672" s="16" t="str">
        <f t="shared" si="133"/>
        <v>Fiche info Avenant 6</v>
      </c>
      <c r="EF672" s="16" t="str">
        <f t="shared" si="134"/>
        <v>H</v>
      </c>
      <c r="EG672" s="16">
        <f t="shared" si="135"/>
        <v>6</v>
      </c>
      <c r="EH672" s="16" t="str">
        <f t="shared" si="136"/>
        <v>Samedi</v>
      </c>
      <c r="EI672" s="16" t="str">
        <f t="shared" si="137"/>
        <v/>
      </c>
    </row>
    <row r="673" spans="1:139" x14ac:dyDescent="0.2">
      <c r="A673" s="16" t="str">
        <f t="shared" si="130"/>
        <v>Fiche info Avenant 6H7</v>
      </c>
      <c r="B673" s="16" t="str">
        <f t="shared" si="131"/>
        <v>Fiche info Avenant 6</v>
      </c>
      <c r="C673" s="27" t="s">
        <v>246</v>
      </c>
      <c r="D673" s="27">
        <v>7</v>
      </c>
      <c r="E673" s="16" t="s">
        <v>194</v>
      </c>
      <c r="F673" s="34" t="str">
        <f>+IF('Fiche info'!$CJ$13=0,"",'Fiche info'!$CJ$13)</f>
        <v/>
      </c>
      <c r="G673" s="16">
        <f t="shared" si="138"/>
        <v>0</v>
      </c>
      <c r="BX673" s="16" t="str">
        <f t="shared" si="139"/>
        <v>Fiche info Avenant 6H7</v>
      </c>
      <c r="BY673" s="449">
        <f>'Fiche info Avenant 6'!$CA$13</f>
        <v>0</v>
      </c>
      <c r="BZ673" s="449">
        <f>'Fiche info Avenant 6'!$CB$13</f>
        <v>0</v>
      </c>
      <c r="CA673" s="449">
        <f>'Fiche info Avenant 6'!$CC$13</f>
        <v>0</v>
      </c>
      <c r="CB673" s="449">
        <f>'Fiche info Avenant 6'!$CD$13</f>
        <v>0</v>
      </c>
      <c r="CC673" s="449">
        <f>'Fiche info Avenant 6'!$CE$13</f>
        <v>0</v>
      </c>
      <c r="CD673" s="449">
        <f>'Fiche info Avenant 6'!$CF$13</f>
        <v>0</v>
      </c>
      <c r="CE673" s="449">
        <f>'Fiche info Avenant 6'!$CG$13</f>
        <v>0</v>
      </c>
      <c r="CF673" s="449">
        <f>'Fiche info Avenant 6'!$CH$13</f>
        <v>0</v>
      </c>
      <c r="ED673" s="16" t="str">
        <f t="shared" si="132"/>
        <v>Fiche info Avenant 6H</v>
      </c>
      <c r="EE673" s="16" t="str">
        <f t="shared" si="133"/>
        <v>Fiche info Avenant 6</v>
      </c>
      <c r="EF673" s="16" t="str">
        <f t="shared" si="134"/>
        <v>H</v>
      </c>
      <c r="EG673" s="16">
        <f t="shared" si="135"/>
        <v>7</v>
      </c>
      <c r="EH673" s="16" t="str">
        <f t="shared" si="136"/>
        <v>Dimanche</v>
      </c>
      <c r="EI673" s="16" t="str">
        <f t="shared" si="137"/>
        <v/>
      </c>
    </row>
    <row r="674" spans="1:139" x14ac:dyDescent="0.2">
      <c r="A674" s="16" t="str">
        <f t="shared" si="130"/>
        <v>Fiche info Avenant 7A1</v>
      </c>
      <c r="B674" s="16" t="str">
        <f>+$P$14</f>
        <v>Fiche info Avenant 7</v>
      </c>
      <c r="C674" s="27" t="s">
        <v>235</v>
      </c>
      <c r="D674" s="27">
        <v>1</v>
      </c>
      <c r="E674" s="16" t="s">
        <v>17</v>
      </c>
      <c r="F674" s="34" t="str">
        <f>IF('Fiche info Avenant 7'!$K$7=0,"",'Fiche info Avenant 7'!$K$7)</f>
        <v/>
      </c>
      <c r="G674" s="16">
        <f t="shared" si="138"/>
        <v>0</v>
      </c>
      <c r="BX674" s="16" t="str">
        <f t="shared" si="139"/>
        <v>Fiche info Avenant 7A1</v>
      </c>
      <c r="BY674" s="449">
        <f>'Fiche info Avenant 7'!$B$7</f>
        <v>0</v>
      </c>
      <c r="BZ674" s="449">
        <f>'Fiche info Avenant 7'!$C$7</f>
        <v>0</v>
      </c>
      <c r="CA674" s="449">
        <f>'Fiche info Avenant 7'!$D$7</f>
        <v>0</v>
      </c>
      <c r="CB674" s="449">
        <f>'Fiche info Avenant 7'!$E$7</f>
        <v>0</v>
      </c>
      <c r="CC674" s="449">
        <f>'Fiche info Avenant 7'!$F$7</f>
        <v>0</v>
      </c>
      <c r="CD674" s="449">
        <f>'Fiche info Avenant 7'!$G$7</f>
        <v>0</v>
      </c>
      <c r="CE674" s="449">
        <f>'Fiche info Avenant 7'!$H$7</f>
        <v>0</v>
      </c>
      <c r="CF674" s="449">
        <f>'Fiche info Avenant 7'!$I$7</f>
        <v>0</v>
      </c>
      <c r="ED674" s="16" t="str">
        <f t="shared" si="132"/>
        <v>Fiche info Avenant 7A</v>
      </c>
      <c r="EE674" s="16" t="str">
        <f t="shared" si="133"/>
        <v>Fiche info Avenant 7</v>
      </c>
      <c r="EF674" s="16" t="str">
        <f t="shared" si="134"/>
        <v>A</v>
      </c>
      <c r="EG674" s="16">
        <f t="shared" si="135"/>
        <v>1</v>
      </c>
      <c r="EH674" s="16" t="str">
        <f t="shared" si="136"/>
        <v>Lundi</v>
      </c>
      <c r="EI674" s="16" t="str">
        <f t="shared" si="137"/>
        <v/>
      </c>
    </row>
    <row r="675" spans="1:139" x14ac:dyDescent="0.2">
      <c r="A675" s="16" t="str">
        <f t="shared" ref="A675:A730" si="140">+B675&amp;C675&amp;D675</f>
        <v>Fiche info Avenant 7A2</v>
      </c>
      <c r="B675" s="16" t="str">
        <f t="shared" ref="B675:B729" si="141">+$P$14</f>
        <v>Fiche info Avenant 7</v>
      </c>
      <c r="C675" s="27" t="s">
        <v>235</v>
      </c>
      <c r="D675" s="27">
        <v>2</v>
      </c>
      <c r="E675" s="16" t="s">
        <v>18</v>
      </c>
      <c r="F675" s="34" t="str">
        <f>IF('Fiche info Avenant 7'!$K$8=0,"",'Fiche info Avenant 7'!$K$8)</f>
        <v/>
      </c>
      <c r="G675" s="16">
        <f t="shared" si="138"/>
        <v>0</v>
      </c>
      <c r="BX675" s="16" t="str">
        <f t="shared" si="139"/>
        <v>Fiche info Avenant 7A2</v>
      </c>
      <c r="BY675" s="449">
        <f>'Fiche info Avenant 7'!$B$8</f>
        <v>0</v>
      </c>
      <c r="BZ675" s="449">
        <f>'Fiche info Avenant 7'!$C$8</f>
        <v>0</v>
      </c>
      <c r="CA675" s="449">
        <f>'Fiche info Avenant 7'!$D$8</f>
        <v>0</v>
      </c>
      <c r="CB675" s="449">
        <f>'Fiche info Avenant 7'!$E$8</f>
        <v>0</v>
      </c>
      <c r="CC675" s="449">
        <f>'Fiche info Avenant 7'!$F$8</f>
        <v>0</v>
      </c>
      <c r="CD675" s="449">
        <f>'Fiche info Avenant 7'!$G$8</f>
        <v>0</v>
      </c>
      <c r="CE675" s="449">
        <f>'Fiche info Avenant 7'!$H$8</f>
        <v>0</v>
      </c>
      <c r="CF675" s="449">
        <f>'Fiche info Avenant 7'!$I$8</f>
        <v>0</v>
      </c>
      <c r="ED675" s="16" t="str">
        <f t="shared" si="132"/>
        <v>Fiche info Avenant 7A</v>
      </c>
      <c r="EE675" s="16" t="str">
        <f t="shared" si="133"/>
        <v>Fiche info Avenant 7</v>
      </c>
      <c r="EF675" s="16" t="str">
        <f t="shared" si="134"/>
        <v>A</v>
      </c>
      <c r="EG675" s="16">
        <f t="shared" si="135"/>
        <v>2</v>
      </c>
      <c r="EH675" s="16" t="str">
        <f t="shared" si="136"/>
        <v>Mardi</v>
      </c>
      <c r="EI675" s="16" t="str">
        <f t="shared" si="137"/>
        <v/>
      </c>
    </row>
    <row r="676" spans="1:139" x14ac:dyDescent="0.2">
      <c r="A676" s="16" t="str">
        <f t="shared" si="140"/>
        <v>Fiche info Avenant 7A3</v>
      </c>
      <c r="B676" s="16" t="str">
        <f t="shared" si="141"/>
        <v>Fiche info Avenant 7</v>
      </c>
      <c r="C676" s="27" t="s">
        <v>235</v>
      </c>
      <c r="D676" s="27">
        <v>3</v>
      </c>
      <c r="E676" s="16" t="s">
        <v>19</v>
      </c>
      <c r="F676" s="34" t="str">
        <f>IF('Fiche info Avenant 7'!$K$9=0,"",'Fiche info Avenant 7'!$K$9)</f>
        <v/>
      </c>
      <c r="G676" s="16">
        <f t="shared" si="138"/>
        <v>0</v>
      </c>
      <c r="BX676" s="16" t="str">
        <f t="shared" si="139"/>
        <v>Fiche info Avenant 7A3</v>
      </c>
      <c r="BY676" s="449">
        <f>'Fiche info Avenant 7'!$B$9</f>
        <v>0</v>
      </c>
      <c r="BZ676" s="449">
        <f>'Fiche info Avenant 7'!$C$9</f>
        <v>0</v>
      </c>
      <c r="CA676" s="449">
        <f>'Fiche info Avenant 7'!$D$9</f>
        <v>0</v>
      </c>
      <c r="CB676" s="449">
        <f>'Fiche info Avenant 7'!$E$9</f>
        <v>0</v>
      </c>
      <c r="CC676" s="449">
        <f>'Fiche info Avenant 7'!$F$9</f>
        <v>0</v>
      </c>
      <c r="CD676" s="449">
        <f>'Fiche info Avenant 7'!$G$9</f>
        <v>0</v>
      </c>
      <c r="CE676" s="449">
        <f>'Fiche info Avenant 7'!$H$9</f>
        <v>0</v>
      </c>
      <c r="CF676" s="449">
        <f>'Fiche info Avenant 7'!$I$9</f>
        <v>0</v>
      </c>
      <c r="ED676" s="16" t="str">
        <f t="shared" si="132"/>
        <v>Fiche info Avenant 7A</v>
      </c>
      <c r="EE676" s="16" t="str">
        <f t="shared" si="133"/>
        <v>Fiche info Avenant 7</v>
      </c>
      <c r="EF676" s="16" t="str">
        <f t="shared" si="134"/>
        <v>A</v>
      </c>
      <c r="EG676" s="16">
        <f t="shared" si="135"/>
        <v>3</v>
      </c>
      <c r="EH676" s="16" t="str">
        <f t="shared" si="136"/>
        <v>Mercredi</v>
      </c>
      <c r="EI676" s="16" t="str">
        <f t="shared" si="137"/>
        <v/>
      </c>
    </row>
    <row r="677" spans="1:139" x14ac:dyDescent="0.2">
      <c r="A677" s="16" t="str">
        <f t="shared" si="140"/>
        <v>Fiche info Avenant 7A4</v>
      </c>
      <c r="B677" s="16" t="str">
        <f t="shared" si="141"/>
        <v>Fiche info Avenant 7</v>
      </c>
      <c r="C677" s="27" t="s">
        <v>235</v>
      </c>
      <c r="D677" s="27">
        <v>4</v>
      </c>
      <c r="E677" s="16" t="s">
        <v>20</v>
      </c>
      <c r="F677" s="34" t="str">
        <f>IF('Fiche info Avenant 7'!$K$10=0,"",'Fiche info Avenant 7'!$K$10)</f>
        <v/>
      </c>
      <c r="G677" s="16">
        <f t="shared" si="138"/>
        <v>0</v>
      </c>
      <c r="BX677" s="16" t="str">
        <f t="shared" si="139"/>
        <v>Fiche info Avenant 7A4</v>
      </c>
      <c r="BY677" s="449">
        <f>'Fiche info Avenant 7'!$B$10</f>
        <v>0</v>
      </c>
      <c r="BZ677" s="449">
        <f>'Fiche info Avenant 7'!$C$10</f>
        <v>0</v>
      </c>
      <c r="CA677" s="449">
        <f>'Fiche info Avenant 7'!$D$10</f>
        <v>0</v>
      </c>
      <c r="CB677" s="449">
        <f>'Fiche info Avenant 7'!$E$10</f>
        <v>0</v>
      </c>
      <c r="CC677" s="449">
        <f>'Fiche info Avenant 7'!$F$10</f>
        <v>0</v>
      </c>
      <c r="CD677" s="449">
        <f>'Fiche info Avenant 7'!$G$10</f>
        <v>0</v>
      </c>
      <c r="CE677" s="449">
        <f>'Fiche info Avenant 7'!$H$10</f>
        <v>0</v>
      </c>
      <c r="CF677" s="449">
        <f>'Fiche info Avenant 7'!$I$10</f>
        <v>0</v>
      </c>
      <c r="ED677" s="16" t="str">
        <f t="shared" si="132"/>
        <v>Fiche info Avenant 7A</v>
      </c>
      <c r="EE677" s="16" t="str">
        <f t="shared" si="133"/>
        <v>Fiche info Avenant 7</v>
      </c>
      <c r="EF677" s="16" t="str">
        <f t="shared" si="134"/>
        <v>A</v>
      </c>
      <c r="EG677" s="16">
        <f t="shared" si="135"/>
        <v>4</v>
      </c>
      <c r="EH677" s="16" t="str">
        <f t="shared" si="136"/>
        <v>Jeudi</v>
      </c>
      <c r="EI677" s="16" t="str">
        <f t="shared" si="137"/>
        <v/>
      </c>
    </row>
    <row r="678" spans="1:139" x14ac:dyDescent="0.2">
      <c r="A678" s="16" t="str">
        <f t="shared" si="140"/>
        <v>Fiche info Avenant 7A5</v>
      </c>
      <c r="B678" s="16" t="str">
        <f t="shared" si="141"/>
        <v>Fiche info Avenant 7</v>
      </c>
      <c r="C678" s="27" t="s">
        <v>235</v>
      </c>
      <c r="D678" s="27">
        <v>5</v>
      </c>
      <c r="E678" s="16" t="s">
        <v>21</v>
      </c>
      <c r="F678" s="34" t="str">
        <f>IF('Fiche info Avenant 7'!$K$11=0,"",'Fiche info Avenant 7'!$K$11)</f>
        <v/>
      </c>
      <c r="G678" s="16">
        <f t="shared" si="138"/>
        <v>0</v>
      </c>
      <c r="BX678" s="16" t="str">
        <f t="shared" si="139"/>
        <v>Fiche info Avenant 7A5</v>
      </c>
      <c r="BY678" s="449">
        <f>'Fiche info Avenant 7'!$B$11</f>
        <v>0</v>
      </c>
      <c r="BZ678" s="449">
        <f>'Fiche info Avenant 7'!$C$11</f>
        <v>0</v>
      </c>
      <c r="CA678" s="449">
        <f>'Fiche info Avenant 7'!$D$11</f>
        <v>0</v>
      </c>
      <c r="CB678" s="449">
        <f>'Fiche info Avenant 7'!$E$11</f>
        <v>0</v>
      </c>
      <c r="CC678" s="449">
        <f>'Fiche info Avenant 7'!$F$11</f>
        <v>0</v>
      </c>
      <c r="CD678" s="449">
        <f>'Fiche info Avenant 7'!$G$11</f>
        <v>0</v>
      </c>
      <c r="CE678" s="449">
        <f>'Fiche info Avenant 7'!$H$11</f>
        <v>0</v>
      </c>
      <c r="CF678" s="449">
        <f>'Fiche info Avenant 7'!$I$11</f>
        <v>0</v>
      </c>
      <c r="ED678" s="16" t="str">
        <f t="shared" si="132"/>
        <v>Fiche info Avenant 7A</v>
      </c>
      <c r="EE678" s="16" t="str">
        <f t="shared" si="133"/>
        <v>Fiche info Avenant 7</v>
      </c>
      <c r="EF678" s="16" t="str">
        <f t="shared" si="134"/>
        <v>A</v>
      </c>
      <c r="EG678" s="16">
        <f t="shared" si="135"/>
        <v>5</v>
      </c>
      <c r="EH678" s="16" t="str">
        <f t="shared" si="136"/>
        <v>Vendredi</v>
      </c>
      <c r="EI678" s="16" t="str">
        <f t="shared" si="137"/>
        <v/>
      </c>
    </row>
    <row r="679" spans="1:139" x14ac:dyDescent="0.2">
      <c r="A679" s="16" t="str">
        <f t="shared" si="140"/>
        <v>Fiche info Avenant 7A6</v>
      </c>
      <c r="B679" s="16" t="str">
        <f t="shared" si="141"/>
        <v>Fiche info Avenant 7</v>
      </c>
      <c r="C679" s="27" t="s">
        <v>235</v>
      </c>
      <c r="D679" s="27">
        <v>6</v>
      </c>
      <c r="E679" s="16" t="s">
        <v>193</v>
      </c>
      <c r="F679" s="34" t="str">
        <f>IF('Fiche info Avenant 7'!$K$12=0,"",'Fiche info Avenant 7'!$K$12)</f>
        <v/>
      </c>
      <c r="G679" s="16">
        <f t="shared" si="138"/>
        <v>0</v>
      </c>
      <c r="BX679" s="16" t="str">
        <f t="shared" si="139"/>
        <v>Fiche info Avenant 7A6</v>
      </c>
      <c r="BY679" s="449">
        <f>'Fiche info Avenant 7'!$B$12</f>
        <v>0</v>
      </c>
      <c r="BZ679" s="449">
        <f>'Fiche info Avenant 7'!$C$12</f>
        <v>0</v>
      </c>
      <c r="CA679" s="449">
        <f>'Fiche info Avenant 7'!$D$12</f>
        <v>0</v>
      </c>
      <c r="CB679" s="449">
        <f>'Fiche info Avenant 7'!$E$12</f>
        <v>0</v>
      </c>
      <c r="CC679" s="449">
        <f>'Fiche info Avenant 7'!$F$12</f>
        <v>0</v>
      </c>
      <c r="CD679" s="449">
        <f>'Fiche info Avenant 7'!$G$12</f>
        <v>0</v>
      </c>
      <c r="CE679" s="449">
        <f>'Fiche info Avenant 7'!$H$12</f>
        <v>0</v>
      </c>
      <c r="CF679" s="449">
        <f>'Fiche info Avenant 7'!$I$12</f>
        <v>0</v>
      </c>
      <c r="ED679" s="16" t="str">
        <f t="shared" si="132"/>
        <v>Fiche info Avenant 7A</v>
      </c>
      <c r="EE679" s="16" t="str">
        <f t="shared" si="133"/>
        <v>Fiche info Avenant 7</v>
      </c>
      <c r="EF679" s="16" t="str">
        <f t="shared" si="134"/>
        <v>A</v>
      </c>
      <c r="EG679" s="16">
        <f t="shared" si="135"/>
        <v>6</v>
      </c>
      <c r="EH679" s="16" t="str">
        <f t="shared" si="136"/>
        <v>Samedi</v>
      </c>
      <c r="EI679" s="16" t="str">
        <f t="shared" si="137"/>
        <v/>
      </c>
    </row>
    <row r="680" spans="1:139" x14ac:dyDescent="0.2">
      <c r="A680" s="16" t="str">
        <f t="shared" si="140"/>
        <v>Fiche info Avenant 7A7</v>
      </c>
      <c r="B680" s="16" t="str">
        <f t="shared" si="141"/>
        <v>Fiche info Avenant 7</v>
      </c>
      <c r="C680" s="27" t="s">
        <v>235</v>
      </c>
      <c r="D680" s="27">
        <v>7</v>
      </c>
      <c r="E680" s="16" t="s">
        <v>194</v>
      </c>
      <c r="F680" s="34" t="str">
        <f>IF('Fiche info Avenant 7'!$K$13=0,"",'Fiche info Avenant 7'!$K$13)</f>
        <v/>
      </c>
      <c r="G680" s="16">
        <f t="shared" si="138"/>
        <v>0</v>
      </c>
      <c r="BX680" s="16" t="str">
        <f t="shared" si="139"/>
        <v>Fiche info Avenant 7A7</v>
      </c>
      <c r="BY680" s="449">
        <f>'Fiche info Avenant 7'!$B$13</f>
        <v>0</v>
      </c>
      <c r="BZ680" s="449">
        <f>'Fiche info Avenant 7'!$C$13</f>
        <v>0</v>
      </c>
      <c r="CA680" s="449">
        <f>'Fiche info Avenant 7'!$D$13</f>
        <v>0</v>
      </c>
      <c r="CB680" s="449">
        <f>'Fiche info Avenant 7'!$E$13</f>
        <v>0</v>
      </c>
      <c r="CC680" s="449">
        <f>'Fiche info Avenant 7'!$F$13</f>
        <v>0</v>
      </c>
      <c r="CD680" s="449">
        <f>'Fiche info Avenant 7'!$G$13</f>
        <v>0</v>
      </c>
      <c r="CE680" s="449">
        <f>'Fiche info Avenant 7'!$H$13</f>
        <v>0</v>
      </c>
      <c r="CF680" s="449">
        <f>'Fiche info Avenant 7'!$I$13</f>
        <v>0</v>
      </c>
      <c r="ED680" s="16" t="str">
        <f t="shared" si="132"/>
        <v>Fiche info Avenant 7A</v>
      </c>
      <c r="EE680" s="16" t="str">
        <f t="shared" si="133"/>
        <v>Fiche info Avenant 7</v>
      </c>
      <c r="EF680" s="16" t="str">
        <f t="shared" si="134"/>
        <v>A</v>
      </c>
      <c r="EG680" s="16">
        <f t="shared" si="135"/>
        <v>7</v>
      </c>
      <c r="EH680" s="16" t="str">
        <f t="shared" si="136"/>
        <v>Dimanche</v>
      </c>
      <c r="EI680" s="16" t="str">
        <f t="shared" si="137"/>
        <v/>
      </c>
    </row>
    <row r="681" spans="1:139" x14ac:dyDescent="0.2">
      <c r="A681" s="16" t="str">
        <f t="shared" si="140"/>
        <v>Fiche info Avenant 7B1</v>
      </c>
      <c r="B681" s="16" t="str">
        <f t="shared" si="141"/>
        <v>Fiche info Avenant 7</v>
      </c>
      <c r="C681" s="27" t="s">
        <v>236</v>
      </c>
      <c r="D681" s="27">
        <v>1</v>
      </c>
      <c r="E681" s="16" t="s">
        <v>17</v>
      </c>
      <c r="F681" s="34" t="str">
        <f>+IF('Fiche info Avenant 7'!$V$7=0,"",'Fiche info Avenant 7'!$V$7)</f>
        <v/>
      </c>
      <c r="G681" s="16">
        <f t="shared" si="138"/>
        <v>0</v>
      </c>
      <c r="BX681" s="16" t="str">
        <f t="shared" si="139"/>
        <v>Fiche info Avenant 7B1</v>
      </c>
      <c r="BY681" s="449">
        <f>'Fiche info Avenant 7'!$M$7</f>
        <v>0</v>
      </c>
      <c r="BZ681" s="449">
        <f>'Fiche info Avenant 7'!$N$7</f>
        <v>0</v>
      </c>
      <c r="CA681" s="449">
        <f>'Fiche info Avenant 7'!$O$7</f>
        <v>0</v>
      </c>
      <c r="CB681" s="449">
        <f>'Fiche info Avenant 7'!$P$7</f>
        <v>0</v>
      </c>
      <c r="CC681" s="449">
        <f>'Fiche info Avenant 7'!$Q$7</f>
        <v>0</v>
      </c>
      <c r="CD681" s="449">
        <f>'Fiche info Avenant 7'!$R$7</f>
        <v>0</v>
      </c>
      <c r="CE681" s="449">
        <f>'Fiche info Avenant 7'!$S$7</f>
        <v>0</v>
      </c>
      <c r="CF681" s="449">
        <f>'Fiche info Avenant 7'!$T$7</f>
        <v>0</v>
      </c>
      <c r="ED681" s="16" t="str">
        <f t="shared" si="132"/>
        <v>Fiche info Avenant 7B</v>
      </c>
      <c r="EE681" s="16" t="str">
        <f t="shared" si="133"/>
        <v>Fiche info Avenant 7</v>
      </c>
      <c r="EF681" s="16" t="str">
        <f t="shared" si="134"/>
        <v>B</v>
      </c>
      <c r="EG681" s="16">
        <f t="shared" si="135"/>
        <v>1</v>
      </c>
      <c r="EH681" s="16" t="str">
        <f t="shared" si="136"/>
        <v>Lundi</v>
      </c>
      <c r="EI681" s="16" t="str">
        <f t="shared" si="137"/>
        <v/>
      </c>
    </row>
    <row r="682" spans="1:139" x14ac:dyDescent="0.2">
      <c r="A682" s="16" t="str">
        <f t="shared" si="140"/>
        <v>Fiche info Avenant 7B2</v>
      </c>
      <c r="B682" s="16" t="str">
        <f t="shared" si="141"/>
        <v>Fiche info Avenant 7</v>
      </c>
      <c r="C682" s="27" t="s">
        <v>236</v>
      </c>
      <c r="D682" s="27">
        <v>2</v>
      </c>
      <c r="E682" s="16" t="s">
        <v>18</v>
      </c>
      <c r="F682" s="34" t="str">
        <f>+IF('Fiche info Avenant 7'!$V$8=0,"",'Fiche info Avenant 7'!$V$8)</f>
        <v/>
      </c>
      <c r="G682" s="16">
        <f t="shared" si="138"/>
        <v>0</v>
      </c>
      <c r="BX682" s="16" t="str">
        <f t="shared" si="139"/>
        <v>Fiche info Avenant 7B2</v>
      </c>
      <c r="BY682" s="449">
        <f>'Fiche info Avenant 7'!$M$8</f>
        <v>0</v>
      </c>
      <c r="BZ682" s="449">
        <f>'Fiche info Avenant 7'!$N$8</f>
        <v>0</v>
      </c>
      <c r="CA682" s="449">
        <f>'Fiche info Avenant 7'!$O$8</f>
        <v>0</v>
      </c>
      <c r="CB682" s="449">
        <f>'Fiche info Avenant 7'!$P$8</f>
        <v>0</v>
      </c>
      <c r="CC682" s="449">
        <f>'Fiche info Avenant 7'!$Q$8</f>
        <v>0</v>
      </c>
      <c r="CD682" s="449">
        <f>'Fiche info Avenant 7'!$R$8</f>
        <v>0</v>
      </c>
      <c r="CE682" s="449">
        <f>'Fiche info Avenant 7'!$S$8</f>
        <v>0</v>
      </c>
      <c r="CF682" s="449">
        <f>'Fiche info Avenant 7'!$T$8</f>
        <v>0</v>
      </c>
      <c r="ED682" s="16" t="str">
        <f t="shared" si="132"/>
        <v>Fiche info Avenant 7B</v>
      </c>
      <c r="EE682" s="16" t="str">
        <f t="shared" si="133"/>
        <v>Fiche info Avenant 7</v>
      </c>
      <c r="EF682" s="16" t="str">
        <f t="shared" si="134"/>
        <v>B</v>
      </c>
      <c r="EG682" s="16">
        <f t="shared" si="135"/>
        <v>2</v>
      </c>
      <c r="EH682" s="16" t="str">
        <f t="shared" si="136"/>
        <v>Mardi</v>
      </c>
      <c r="EI682" s="16" t="str">
        <f t="shared" si="137"/>
        <v/>
      </c>
    </row>
    <row r="683" spans="1:139" x14ac:dyDescent="0.2">
      <c r="A683" s="16" t="str">
        <f t="shared" si="140"/>
        <v>Fiche info Avenant 7B3</v>
      </c>
      <c r="B683" s="16" t="str">
        <f t="shared" si="141"/>
        <v>Fiche info Avenant 7</v>
      </c>
      <c r="C683" s="27" t="s">
        <v>236</v>
      </c>
      <c r="D683" s="27">
        <v>3</v>
      </c>
      <c r="E683" s="16" t="s">
        <v>19</v>
      </c>
      <c r="F683" s="34" t="str">
        <f>+IF('Fiche info Avenant 7'!$V$9=0,"",'Fiche info Avenant 7'!$V$9)</f>
        <v/>
      </c>
      <c r="G683" s="16">
        <f t="shared" si="138"/>
        <v>0</v>
      </c>
      <c r="BX683" s="16" t="str">
        <f t="shared" si="139"/>
        <v>Fiche info Avenant 7B3</v>
      </c>
      <c r="BY683" s="449">
        <f>'Fiche info Avenant 7'!$M$9</f>
        <v>0</v>
      </c>
      <c r="BZ683" s="449">
        <f>'Fiche info Avenant 7'!$N$9</f>
        <v>0</v>
      </c>
      <c r="CA683" s="449">
        <f>'Fiche info Avenant 7'!$O$9</f>
        <v>0</v>
      </c>
      <c r="CB683" s="449">
        <f>'Fiche info Avenant 7'!$P$9</f>
        <v>0</v>
      </c>
      <c r="CC683" s="449">
        <f>'Fiche info Avenant 7'!$Q$9</f>
        <v>0</v>
      </c>
      <c r="CD683" s="449">
        <f>'Fiche info Avenant 7'!$R$9</f>
        <v>0</v>
      </c>
      <c r="CE683" s="449">
        <f>'Fiche info Avenant 7'!$S$9</f>
        <v>0</v>
      </c>
      <c r="CF683" s="449">
        <f>'Fiche info Avenant 7'!$T$9</f>
        <v>0</v>
      </c>
      <c r="ED683" s="16" t="str">
        <f t="shared" si="132"/>
        <v>Fiche info Avenant 7B</v>
      </c>
      <c r="EE683" s="16" t="str">
        <f t="shared" si="133"/>
        <v>Fiche info Avenant 7</v>
      </c>
      <c r="EF683" s="16" t="str">
        <f t="shared" si="134"/>
        <v>B</v>
      </c>
      <c r="EG683" s="16">
        <f t="shared" si="135"/>
        <v>3</v>
      </c>
      <c r="EH683" s="16" t="str">
        <f t="shared" si="136"/>
        <v>Mercredi</v>
      </c>
      <c r="EI683" s="16" t="str">
        <f t="shared" si="137"/>
        <v/>
      </c>
    </row>
    <row r="684" spans="1:139" x14ac:dyDescent="0.2">
      <c r="A684" s="16" t="str">
        <f t="shared" si="140"/>
        <v>Fiche info Avenant 7B4</v>
      </c>
      <c r="B684" s="16" t="str">
        <f t="shared" si="141"/>
        <v>Fiche info Avenant 7</v>
      </c>
      <c r="C684" s="27" t="s">
        <v>236</v>
      </c>
      <c r="D684" s="27">
        <v>4</v>
      </c>
      <c r="E684" s="16" t="s">
        <v>20</v>
      </c>
      <c r="F684" s="34" t="str">
        <f>+IF('Fiche info Avenant 7'!$V$10=0,"",'Fiche info Avenant 7'!$V$10)</f>
        <v/>
      </c>
      <c r="G684" s="16">
        <f t="shared" si="138"/>
        <v>0</v>
      </c>
      <c r="BX684" s="16" t="str">
        <f t="shared" si="139"/>
        <v>Fiche info Avenant 7B4</v>
      </c>
      <c r="BY684" s="449">
        <f>'Fiche info Avenant 7'!$M$10</f>
        <v>0</v>
      </c>
      <c r="BZ684" s="449">
        <f>'Fiche info Avenant 7'!$N$10</f>
        <v>0</v>
      </c>
      <c r="CA684" s="449">
        <f>'Fiche info Avenant 7'!$O$10</f>
        <v>0</v>
      </c>
      <c r="CB684" s="449">
        <f>'Fiche info Avenant 7'!$P$10</f>
        <v>0</v>
      </c>
      <c r="CC684" s="449">
        <f>'Fiche info Avenant 7'!$Q$10</f>
        <v>0</v>
      </c>
      <c r="CD684" s="449">
        <f>'Fiche info Avenant 7'!$R$10</f>
        <v>0</v>
      </c>
      <c r="CE684" s="449">
        <f>'Fiche info Avenant 7'!$S$10</f>
        <v>0</v>
      </c>
      <c r="CF684" s="449">
        <f>'Fiche info Avenant 7'!$T$10</f>
        <v>0</v>
      </c>
      <c r="ED684" s="16" t="str">
        <f t="shared" si="132"/>
        <v>Fiche info Avenant 7B</v>
      </c>
      <c r="EE684" s="16" t="str">
        <f t="shared" si="133"/>
        <v>Fiche info Avenant 7</v>
      </c>
      <c r="EF684" s="16" t="str">
        <f t="shared" si="134"/>
        <v>B</v>
      </c>
      <c r="EG684" s="16">
        <f t="shared" si="135"/>
        <v>4</v>
      </c>
      <c r="EH684" s="16" t="str">
        <f t="shared" si="136"/>
        <v>Jeudi</v>
      </c>
      <c r="EI684" s="16" t="str">
        <f t="shared" si="137"/>
        <v/>
      </c>
    </row>
    <row r="685" spans="1:139" x14ac:dyDescent="0.2">
      <c r="A685" s="16" t="str">
        <f t="shared" si="140"/>
        <v>Fiche info Avenant 7B5</v>
      </c>
      <c r="B685" s="16" t="str">
        <f t="shared" si="141"/>
        <v>Fiche info Avenant 7</v>
      </c>
      <c r="C685" s="27" t="s">
        <v>236</v>
      </c>
      <c r="D685" s="27">
        <v>5</v>
      </c>
      <c r="E685" s="16" t="s">
        <v>21</v>
      </c>
      <c r="F685" s="34" t="str">
        <f>+IF('Fiche info Avenant 7'!$V$11=0,"",'Fiche info Avenant 7'!$V$11)</f>
        <v/>
      </c>
      <c r="G685" s="16">
        <f t="shared" si="138"/>
        <v>0</v>
      </c>
      <c r="BX685" s="16" t="str">
        <f t="shared" si="139"/>
        <v>Fiche info Avenant 7B5</v>
      </c>
      <c r="BY685" s="449">
        <f>'Fiche info Avenant 7'!$M$11</f>
        <v>0</v>
      </c>
      <c r="BZ685" s="449">
        <f>'Fiche info Avenant 7'!$N$11</f>
        <v>0</v>
      </c>
      <c r="CA685" s="449">
        <f>'Fiche info Avenant 7'!$O$11</f>
        <v>0</v>
      </c>
      <c r="CB685" s="449">
        <f>'Fiche info Avenant 7'!$P$11</f>
        <v>0</v>
      </c>
      <c r="CC685" s="449">
        <f>'Fiche info Avenant 7'!$Q$11</f>
        <v>0</v>
      </c>
      <c r="CD685" s="449">
        <f>'Fiche info Avenant 7'!$R$11</f>
        <v>0</v>
      </c>
      <c r="CE685" s="449">
        <f>'Fiche info Avenant 7'!$S$11</f>
        <v>0</v>
      </c>
      <c r="CF685" s="449">
        <f>'Fiche info Avenant 7'!$T$11</f>
        <v>0</v>
      </c>
      <c r="ED685" s="16" t="str">
        <f t="shared" si="132"/>
        <v>Fiche info Avenant 7B</v>
      </c>
      <c r="EE685" s="16" t="str">
        <f t="shared" si="133"/>
        <v>Fiche info Avenant 7</v>
      </c>
      <c r="EF685" s="16" t="str">
        <f t="shared" si="134"/>
        <v>B</v>
      </c>
      <c r="EG685" s="16">
        <f t="shared" si="135"/>
        <v>5</v>
      </c>
      <c r="EH685" s="16" t="str">
        <f t="shared" si="136"/>
        <v>Vendredi</v>
      </c>
      <c r="EI685" s="16" t="str">
        <f t="shared" si="137"/>
        <v/>
      </c>
    </row>
    <row r="686" spans="1:139" x14ac:dyDescent="0.2">
      <c r="A686" s="16" t="str">
        <f t="shared" si="140"/>
        <v>Fiche info Avenant 7B6</v>
      </c>
      <c r="B686" s="16" t="str">
        <f t="shared" si="141"/>
        <v>Fiche info Avenant 7</v>
      </c>
      <c r="C686" s="27" t="s">
        <v>236</v>
      </c>
      <c r="D686" s="27">
        <v>6</v>
      </c>
      <c r="E686" s="16" t="s">
        <v>193</v>
      </c>
      <c r="F686" s="34" t="str">
        <f>+IF('Fiche info Avenant 7'!$V$12=0,"",'Fiche info Avenant 7'!$V$12)</f>
        <v/>
      </c>
      <c r="G686" s="16">
        <f t="shared" si="138"/>
        <v>0</v>
      </c>
      <c r="BX686" s="16" t="str">
        <f t="shared" si="139"/>
        <v>Fiche info Avenant 7B6</v>
      </c>
      <c r="BY686" s="449">
        <f>'Fiche info Avenant 7'!$M$12</f>
        <v>0</v>
      </c>
      <c r="BZ686" s="449">
        <f>'Fiche info Avenant 7'!$N$12</f>
        <v>0</v>
      </c>
      <c r="CA686" s="449">
        <f>'Fiche info Avenant 7'!$O$12</f>
        <v>0</v>
      </c>
      <c r="CB686" s="449">
        <f>'Fiche info Avenant 7'!$P$12</f>
        <v>0</v>
      </c>
      <c r="CC686" s="449">
        <f>'Fiche info Avenant 7'!$Q$12</f>
        <v>0</v>
      </c>
      <c r="CD686" s="449">
        <f>'Fiche info Avenant 7'!$R$12</f>
        <v>0</v>
      </c>
      <c r="CE686" s="449">
        <f>'Fiche info Avenant 7'!$S$12</f>
        <v>0</v>
      </c>
      <c r="CF686" s="449">
        <f>'Fiche info Avenant 7'!$T$12</f>
        <v>0</v>
      </c>
      <c r="ED686" s="16" t="str">
        <f t="shared" si="132"/>
        <v>Fiche info Avenant 7B</v>
      </c>
      <c r="EE686" s="16" t="str">
        <f t="shared" si="133"/>
        <v>Fiche info Avenant 7</v>
      </c>
      <c r="EF686" s="16" t="str">
        <f t="shared" si="134"/>
        <v>B</v>
      </c>
      <c r="EG686" s="16">
        <f t="shared" si="135"/>
        <v>6</v>
      </c>
      <c r="EH686" s="16" t="str">
        <f t="shared" si="136"/>
        <v>Samedi</v>
      </c>
      <c r="EI686" s="16" t="str">
        <f t="shared" si="137"/>
        <v/>
      </c>
    </row>
    <row r="687" spans="1:139" x14ac:dyDescent="0.2">
      <c r="A687" s="16" t="str">
        <f t="shared" si="140"/>
        <v>Fiche info Avenant 7B7</v>
      </c>
      <c r="B687" s="16" t="str">
        <f t="shared" si="141"/>
        <v>Fiche info Avenant 7</v>
      </c>
      <c r="C687" s="27" t="s">
        <v>236</v>
      </c>
      <c r="D687" s="27">
        <v>7</v>
      </c>
      <c r="E687" s="16" t="s">
        <v>194</v>
      </c>
      <c r="F687" s="34" t="str">
        <f>+IF('Fiche info Avenant 7'!$V$13=0,"",'Fiche info Avenant 7'!$V$13)</f>
        <v/>
      </c>
      <c r="G687" s="16">
        <f t="shared" si="138"/>
        <v>0</v>
      </c>
      <c r="BX687" s="16" t="str">
        <f t="shared" si="139"/>
        <v>Fiche info Avenant 7B7</v>
      </c>
      <c r="BY687" s="449">
        <f>'Fiche info Avenant 7'!$M$13</f>
        <v>0</v>
      </c>
      <c r="BZ687" s="449">
        <f>'Fiche info Avenant 7'!$N$13</f>
        <v>0</v>
      </c>
      <c r="CA687" s="449">
        <f>'Fiche info Avenant 7'!$O$13</f>
        <v>0</v>
      </c>
      <c r="CB687" s="449">
        <f>'Fiche info Avenant 7'!$P$13</f>
        <v>0</v>
      </c>
      <c r="CC687" s="449">
        <f>'Fiche info Avenant 7'!$Q$13</f>
        <v>0</v>
      </c>
      <c r="CD687" s="449">
        <f>'Fiche info Avenant 7'!$R$13</f>
        <v>0</v>
      </c>
      <c r="CE687" s="449">
        <f>'Fiche info Avenant 7'!$S$13</f>
        <v>0</v>
      </c>
      <c r="CF687" s="449">
        <f>'Fiche info Avenant 7'!$T$13</f>
        <v>0</v>
      </c>
      <c r="ED687" s="16" t="str">
        <f t="shared" si="132"/>
        <v>Fiche info Avenant 7B</v>
      </c>
      <c r="EE687" s="16" t="str">
        <f t="shared" si="133"/>
        <v>Fiche info Avenant 7</v>
      </c>
      <c r="EF687" s="16" t="str">
        <f t="shared" si="134"/>
        <v>B</v>
      </c>
      <c r="EG687" s="16">
        <f t="shared" si="135"/>
        <v>7</v>
      </c>
      <c r="EH687" s="16" t="str">
        <f t="shared" si="136"/>
        <v>Dimanche</v>
      </c>
      <c r="EI687" s="16" t="str">
        <f t="shared" si="137"/>
        <v/>
      </c>
    </row>
    <row r="688" spans="1:139" x14ac:dyDescent="0.2">
      <c r="A688" s="16" t="str">
        <f t="shared" si="140"/>
        <v>Fiche info Avenant 7C1</v>
      </c>
      <c r="B688" s="16" t="str">
        <f t="shared" si="141"/>
        <v>Fiche info Avenant 7</v>
      </c>
      <c r="C688" s="27" t="s">
        <v>241</v>
      </c>
      <c r="D688" s="27">
        <v>1</v>
      </c>
      <c r="E688" s="16" t="s">
        <v>17</v>
      </c>
      <c r="F688" s="34" t="str">
        <f>+IF('Fiche info Avenant 7'!$AG$7=0,"",'Fiche info Avenant 7'!$AG$7)</f>
        <v/>
      </c>
      <c r="G688" s="16">
        <f t="shared" si="138"/>
        <v>0</v>
      </c>
      <c r="BX688" s="16" t="str">
        <f t="shared" si="139"/>
        <v>Fiche info Avenant 7C1</v>
      </c>
      <c r="BY688" s="449">
        <f>'Fiche info Avenant 7'!$X$7</f>
        <v>0</v>
      </c>
      <c r="BZ688" s="449">
        <f>'Fiche info Avenant 7'!$Y$7</f>
        <v>0</v>
      </c>
      <c r="CA688" s="449">
        <f>'Fiche info Avenant 7'!$Z$7</f>
        <v>0</v>
      </c>
      <c r="CB688" s="449">
        <f>'Fiche info Avenant 7'!$AA$7</f>
        <v>0</v>
      </c>
      <c r="CC688" s="449">
        <f>'Fiche info Avenant 7'!$AB$7</f>
        <v>0</v>
      </c>
      <c r="CD688" s="449">
        <f>'Fiche info Avenant 7'!$AC$7</f>
        <v>0</v>
      </c>
      <c r="CE688" s="449">
        <f>'Fiche info Avenant 7'!$AD$7</f>
        <v>0</v>
      </c>
      <c r="CF688" s="449">
        <f>'Fiche info Avenant 7'!$AE$7</f>
        <v>0</v>
      </c>
      <c r="ED688" s="16" t="str">
        <f t="shared" si="132"/>
        <v>Fiche info Avenant 7C</v>
      </c>
      <c r="EE688" s="16" t="str">
        <f t="shared" si="133"/>
        <v>Fiche info Avenant 7</v>
      </c>
      <c r="EF688" s="16" t="str">
        <f t="shared" si="134"/>
        <v>C</v>
      </c>
      <c r="EG688" s="16">
        <f t="shared" si="135"/>
        <v>1</v>
      </c>
      <c r="EH688" s="16" t="str">
        <f t="shared" si="136"/>
        <v>Lundi</v>
      </c>
      <c r="EI688" s="16" t="str">
        <f t="shared" si="137"/>
        <v/>
      </c>
    </row>
    <row r="689" spans="1:139" x14ac:dyDescent="0.2">
      <c r="A689" s="16" t="str">
        <f t="shared" si="140"/>
        <v>Fiche info Avenant 7C2</v>
      </c>
      <c r="B689" s="16" t="str">
        <f t="shared" si="141"/>
        <v>Fiche info Avenant 7</v>
      </c>
      <c r="C689" s="27" t="s">
        <v>241</v>
      </c>
      <c r="D689" s="27">
        <v>2</v>
      </c>
      <c r="E689" s="16" t="s">
        <v>18</v>
      </c>
      <c r="F689" s="34" t="str">
        <f>+IF('Fiche info Avenant 7'!$AG$8=0,"",'Fiche info Avenant 7'!$AG$8)</f>
        <v/>
      </c>
      <c r="G689" s="16">
        <f t="shared" si="138"/>
        <v>0</v>
      </c>
      <c r="BX689" s="16" t="str">
        <f t="shared" si="139"/>
        <v>Fiche info Avenant 7C2</v>
      </c>
      <c r="BY689" s="449">
        <f>'Fiche info Avenant 7'!$X$8</f>
        <v>0</v>
      </c>
      <c r="BZ689" s="449">
        <f>'Fiche info Avenant 7'!$Y$8</f>
        <v>0</v>
      </c>
      <c r="CA689" s="449">
        <f>'Fiche info Avenant 7'!$Z$8</f>
        <v>0</v>
      </c>
      <c r="CB689" s="449">
        <f>'Fiche info Avenant 7'!$AA$8</f>
        <v>0</v>
      </c>
      <c r="CC689" s="449">
        <f>'Fiche info Avenant 7'!$AB$8</f>
        <v>0</v>
      </c>
      <c r="CD689" s="449">
        <f>'Fiche info Avenant 7'!$AC$8</f>
        <v>0</v>
      </c>
      <c r="CE689" s="449">
        <f>'Fiche info Avenant 7'!$AD$8</f>
        <v>0</v>
      </c>
      <c r="CF689" s="449">
        <f>'Fiche info Avenant 7'!$AE$8</f>
        <v>0</v>
      </c>
      <c r="ED689" s="16" t="str">
        <f t="shared" si="132"/>
        <v>Fiche info Avenant 7C</v>
      </c>
      <c r="EE689" s="16" t="str">
        <f t="shared" si="133"/>
        <v>Fiche info Avenant 7</v>
      </c>
      <c r="EF689" s="16" t="str">
        <f t="shared" si="134"/>
        <v>C</v>
      </c>
      <c r="EG689" s="16">
        <f t="shared" si="135"/>
        <v>2</v>
      </c>
      <c r="EH689" s="16" t="str">
        <f t="shared" si="136"/>
        <v>Mardi</v>
      </c>
      <c r="EI689" s="16" t="str">
        <f t="shared" si="137"/>
        <v/>
      </c>
    </row>
    <row r="690" spans="1:139" x14ac:dyDescent="0.2">
      <c r="A690" s="16" t="str">
        <f t="shared" si="140"/>
        <v>Fiche info Avenant 7C3</v>
      </c>
      <c r="B690" s="16" t="str">
        <f t="shared" si="141"/>
        <v>Fiche info Avenant 7</v>
      </c>
      <c r="C690" s="27" t="s">
        <v>241</v>
      </c>
      <c r="D690" s="27">
        <v>3</v>
      </c>
      <c r="E690" s="16" t="s">
        <v>19</v>
      </c>
      <c r="F690" s="34" t="str">
        <f>+IF('Fiche info Avenant 7'!$AG$9=0,"",'Fiche info Avenant 7'!$AG$9)</f>
        <v/>
      </c>
      <c r="G690" s="16">
        <f t="shared" si="138"/>
        <v>0</v>
      </c>
      <c r="BX690" s="16" t="str">
        <f t="shared" si="139"/>
        <v>Fiche info Avenant 7C3</v>
      </c>
      <c r="BY690" s="449">
        <f>'Fiche info Avenant 7'!$X$9</f>
        <v>0</v>
      </c>
      <c r="BZ690" s="449">
        <f>'Fiche info Avenant 7'!$Y$9</f>
        <v>0</v>
      </c>
      <c r="CA690" s="449">
        <f>'Fiche info Avenant 7'!$Z$9</f>
        <v>0</v>
      </c>
      <c r="CB690" s="449">
        <f>'Fiche info Avenant 7'!$AA$9</f>
        <v>0</v>
      </c>
      <c r="CC690" s="449">
        <f>'Fiche info Avenant 7'!$AB$9</f>
        <v>0</v>
      </c>
      <c r="CD690" s="449">
        <f>'Fiche info Avenant 7'!$AC$9</f>
        <v>0</v>
      </c>
      <c r="CE690" s="449">
        <f>'Fiche info Avenant 7'!$AD$9</f>
        <v>0</v>
      </c>
      <c r="CF690" s="449">
        <f>'Fiche info Avenant 7'!$AE$9</f>
        <v>0</v>
      </c>
      <c r="ED690" s="16" t="str">
        <f t="shared" si="132"/>
        <v>Fiche info Avenant 7C</v>
      </c>
      <c r="EE690" s="16" t="str">
        <f t="shared" si="133"/>
        <v>Fiche info Avenant 7</v>
      </c>
      <c r="EF690" s="16" t="str">
        <f t="shared" si="134"/>
        <v>C</v>
      </c>
      <c r="EG690" s="16">
        <f t="shared" si="135"/>
        <v>3</v>
      </c>
      <c r="EH690" s="16" t="str">
        <f t="shared" si="136"/>
        <v>Mercredi</v>
      </c>
      <c r="EI690" s="16" t="str">
        <f t="shared" si="137"/>
        <v/>
      </c>
    </row>
    <row r="691" spans="1:139" x14ac:dyDescent="0.2">
      <c r="A691" s="16" t="str">
        <f t="shared" si="140"/>
        <v>Fiche info Avenant 7C4</v>
      </c>
      <c r="B691" s="16" t="str">
        <f t="shared" si="141"/>
        <v>Fiche info Avenant 7</v>
      </c>
      <c r="C691" s="27" t="s">
        <v>241</v>
      </c>
      <c r="D691" s="27">
        <v>4</v>
      </c>
      <c r="E691" s="16" t="s">
        <v>20</v>
      </c>
      <c r="F691" s="34" t="str">
        <f>+IF('Fiche info Avenant 7'!$AG$10=0,"",'Fiche info Avenant 7'!$AG$10)</f>
        <v/>
      </c>
      <c r="G691" s="16">
        <f t="shared" si="138"/>
        <v>0</v>
      </c>
      <c r="BX691" s="16" t="str">
        <f t="shared" si="139"/>
        <v>Fiche info Avenant 7C4</v>
      </c>
      <c r="BY691" s="449">
        <f>'Fiche info Avenant 7'!$X$10</f>
        <v>0</v>
      </c>
      <c r="BZ691" s="449">
        <f>'Fiche info Avenant 7'!$Y$10</f>
        <v>0</v>
      </c>
      <c r="CA691" s="449">
        <f>'Fiche info Avenant 7'!$Z$10</f>
        <v>0</v>
      </c>
      <c r="CB691" s="449">
        <f>'Fiche info Avenant 7'!$AA$10</f>
        <v>0</v>
      </c>
      <c r="CC691" s="449">
        <f>'Fiche info Avenant 7'!$AB$10</f>
        <v>0</v>
      </c>
      <c r="CD691" s="449">
        <f>'Fiche info Avenant 7'!$AC$10</f>
        <v>0</v>
      </c>
      <c r="CE691" s="449">
        <f>'Fiche info Avenant 7'!$AD$10</f>
        <v>0</v>
      </c>
      <c r="CF691" s="449">
        <f>'Fiche info Avenant 7'!$AE$10</f>
        <v>0</v>
      </c>
      <c r="ED691" s="16" t="str">
        <f t="shared" ref="ED691:ED754" si="142">+EE691&amp;EF691</f>
        <v>Fiche info Avenant 7C</v>
      </c>
      <c r="EE691" s="16" t="str">
        <f t="shared" si="133"/>
        <v>Fiche info Avenant 7</v>
      </c>
      <c r="EF691" s="16" t="str">
        <f t="shared" si="134"/>
        <v>C</v>
      </c>
      <c r="EG691" s="16">
        <f t="shared" si="135"/>
        <v>4</v>
      </c>
      <c r="EH691" s="16" t="str">
        <f t="shared" si="136"/>
        <v>Jeudi</v>
      </c>
      <c r="EI691" s="16" t="str">
        <f t="shared" si="137"/>
        <v/>
      </c>
    </row>
    <row r="692" spans="1:139" x14ac:dyDescent="0.2">
      <c r="A692" s="16" t="str">
        <f t="shared" si="140"/>
        <v>Fiche info Avenant 7C5</v>
      </c>
      <c r="B692" s="16" t="str">
        <f t="shared" si="141"/>
        <v>Fiche info Avenant 7</v>
      </c>
      <c r="C692" s="27" t="s">
        <v>241</v>
      </c>
      <c r="D692" s="27">
        <v>5</v>
      </c>
      <c r="E692" s="16" t="s">
        <v>21</v>
      </c>
      <c r="F692" s="34" t="str">
        <f>+IF('Fiche info Avenant 7'!$AG$11=0,"",'Fiche info Avenant 7'!$AG$11)</f>
        <v/>
      </c>
      <c r="G692" s="16">
        <f t="shared" si="138"/>
        <v>0</v>
      </c>
      <c r="BX692" s="16" t="str">
        <f t="shared" si="139"/>
        <v>Fiche info Avenant 7C5</v>
      </c>
      <c r="BY692" s="449">
        <f>'Fiche info Avenant 7'!$X$11</f>
        <v>0</v>
      </c>
      <c r="BZ692" s="449">
        <f>'Fiche info Avenant 7'!$Y$11</f>
        <v>0</v>
      </c>
      <c r="CA692" s="449">
        <f>'Fiche info Avenant 7'!$Z$11</f>
        <v>0</v>
      </c>
      <c r="CB692" s="449">
        <f>'Fiche info Avenant 7'!$AA$11</f>
        <v>0</v>
      </c>
      <c r="CC692" s="449">
        <f>'Fiche info Avenant 7'!$AB$11</f>
        <v>0</v>
      </c>
      <c r="CD692" s="449">
        <f>'Fiche info Avenant 7'!$AC$11</f>
        <v>0</v>
      </c>
      <c r="CE692" s="449">
        <f>'Fiche info Avenant 7'!$AD$11</f>
        <v>0</v>
      </c>
      <c r="CF692" s="449">
        <f>'Fiche info Avenant 7'!$AE$11</f>
        <v>0</v>
      </c>
      <c r="ED692" s="16" t="str">
        <f t="shared" si="142"/>
        <v>Fiche info Avenant 7C</v>
      </c>
      <c r="EE692" s="16" t="str">
        <f t="shared" si="133"/>
        <v>Fiche info Avenant 7</v>
      </c>
      <c r="EF692" s="16" t="str">
        <f t="shared" si="134"/>
        <v>C</v>
      </c>
      <c r="EG692" s="16">
        <f t="shared" si="135"/>
        <v>5</v>
      </c>
      <c r="EH692" s="16" t="str">
        <f t="shared" si="136"/>
        <v>Vendredi</v>
      </c>
      <c r="EI692" s="16" t="str">
        <f t="shared" si="137"/>
        <v/>
      </c>
    </row>
    <row r="693" spans="1:139" x14ac:dyDescent="0.2">
      <c r="A693" s="16" t="str">
        <f t="shared" si="140"/>
        <v>Fiche info Avenant 7C6</v>
      </c>
      <c r="B693" s="16" t="str">
        <f t="shared" si="141"/>
        <v>Fiche info Avenant 7</v>
      </c>
      <c r="C693" s="27" t="s">
        <v>241</v>
      </c>
      <c r="D693" s="27">
        <v>6</v>
      </c>
      <c r="E693" s="16" t="s">
        <v>193</v>
      </c>
      <c r="F693" s="34" t="str">
        <f>+IF('Fiche info Avenant 7'!$AG$12=0,"",'Fiche info Avenant 7'!$AG$12)</f>
        <v/>
      </c>
      <c r="G693" s="16">
        <f t="shared" si="138"/>
        <v>0</v>
      </c>
      <c r="BX693" s="16" t="str">
        <f t="shared" si="139"/>
        <v>Fiche info Avenant 7C6</v>
      </c>
      <c r="BY693" s="449">
        <f>'Fiche info Avenant 7'!$X$12</f>
        <v>0</v>
      </c>
      <c r="BZ693" s="449">
        <f>'Fiche info Avenant 7'!$Y$12</f>
        <v>0</v>
      </c>
      <c r="CA693" s="449">
        <f>'Fiche info Avenant 7'!$Z$12</f>
        <v>0</v>
      </c>
      <c r="CB693" s="449">
        <f>'Fiche info Avenant 7'!$AA$12</f>
        <v>0</v>
      </c>
      <c r="CC693" s="449">
        <f>'Fiche info Avenant 7'!$AB$12</f>
        <v>0</v>
      </c>
      <c r="CD693" s="449">
        <f>'Fiche info Avenant 7'!$AC$12</f>
        <v>0</v>
      </c>
      <c r="CE693" s="449">
        <f>'Fiche info Avenant 7'!$AD$12</f>
        <v>0</v>
      </c>
      <c r="CF693" s="449">
        <f>'Fiche info Avenant 7'!$AE$12</f>
        <v>0</v>
      </c>
      <c r="ED693" s="16" t="str">
        <f t="shared" si="142"/>
        <v>Fiche info Avenant 7C</v>
      </c>
      <c r="EE693" s="16" t="str">
        <f t="shared" si="133"/>
        <v>Fiche info Avenant 7</v>
      </c>
      <c r="EF693" s="16" t="str">
        <f t="shared" si="134"/>
        <v>C</v>
      </c>
      <c r="EG693" s="16">
        <f t="shared" si="135"/>
        <v>6</v>
      </c>
      <c r="EH693" s="16" t="str">
        <f t="shared" si="136"/>
        <v>Samedi</v>
      </c>
      <c r="EI693" s="16" t="str">
        <f t="shared" si="137"/>
        <v/>
      </c>
    </row>
    <row r="694" spans="1:139" x14ac:dyDescent="0.2">
      <c r="A694" s="16" t="str">
        <f t="shared" si="140"/>
        <v>Fiche info Avenant 7C7</v>
      </c>
      <c r="B694" s="16" t="str">
        <f t="shared" si="141"/>
        <v>Fiche info Avenant 7</v>
      </c>
      <c r="C694" s="27" t="s">
        <v>241</v>
      </c>
      <c r="D694" s="27">
        <v>7</v>
      </c>
      <c r="E694" s="16" t="s">
        <v>194</v>
      </c>
      <c r="F694" s="34" t="str">
        <f>+IF('Fiche info Avenant 7'!$AG$13=0,"",'Fiche info Avenant 7'!$AG$13)</f>
        <v/>
      </c>
      <c r="G694" s="16">
        <f t="shared" si="138"/>
        <v>0</v>
      </c>
      <c r="BX694" s="16" t="str">
        <f t="shared" si="139"/>
        <v>Fiche info Avenant 7C7</v>
      </c>
      <c r="BY694" s="449">
        <f>'Fiche info Avenant 7'!$X$13</f>
        <v>0</v>
      </c>
      <c r="BZ694" s="449">
        <f>'Fiche info Avenant 7'!$Y$13</f>
        <v>0</v>
      </c>
      <c r="CA694" s="449">
        <f>'Fiche info Avenant 7'!$Z$13</f>
        <v>0</v>
      </c>
      <c r="CB694" s="449">
        <f>'Fiche info Avenant 7'!$AA$13</f>
        <v>0</v>
      </c>
      <c r="CC694" s="449">
        <f>'Fiche info Avenant 7'!$AB$13</f>
        <v>0</v>
      </c>
      <c r="CD694" s="449">
        <f>'Fiche info Avenant 7'!$AC$13</f>
        <v>0</v>
      </c>
      <c r="CE694" s="449">
        <f>'Fiche info Avenant 7'!$AD$13</f>
        <v>0</v>
      </c>
      <c r="CF694" s="449">
        <f>'Fiche info Avenant 7'!$AE$13</f>
        <v>0</v>
      </c>
      <c r="ED694" s="16" t="str">
        <f t="shared" si="142"/>
        <v>Fiche info Avenant 7C</v>
      </c>
      <c r="EE694" s="16" t="str">
        <f t="shared" si="133"/>
        <v>Fiche info Avenant 7</v>
      </c>
      <c r="EF694" s="16" t="str">
        <f t="shared" si="134"/>
        <v>C</v>
      </c>
      <c r="EG694" s="16">
        <f t="shared" si="135"/>
        <v>7</v>
      </c>
      <c r="EH694" s="16" t="str">
        <f t="shared" si="136"/>
        <v>Dimanche</v>
      </c>
      <c r="EI694" s="16" t="str">
        <f t="shared" si="137"/>
        <v/>
      </c>
    </row>
    <row r="695" spans="1:139" x14ac:dyDescent="0.2">
      <c r="A695" s="16" t="str">
        <f t="shared" si="140"/>
        <v>Fiche info Avenant 7D1</v>
      </c>
      <c r="B695" s="16" t="str">
        <f t="shared" si="141"/>
        <v>Fiche info Avenant 7</v>
      </c>
      <c r="C695" s="27" t="s">
        <v>242</v>
      </c>
      <c r="D695" s="27">
        <v>1</v>
      </c>
      <c r="E695" s="16" t="s">
        <v>17</v>
      </c>
      <c r="F695" s="34" t="str">
        <f>+IF('Fiche info Avenant 7'!$AR$7=0,"",'Fiche info Avenant 7'!$AR$7)</f>
        <v/>
      </c>
      <c r="G695" s="16">
        <f t="shared" si="138"/>
        <v>0</v>
      </c>
      <c r="BX695" s="16" t="str">
        <f t="shared" si="139"/>
        <v>Fiche info Avenant 7D1</v>
      </c>
      <c r="BY695" s="449">
        <f>'Fiche info Avenant 7'!$AI$7</f>
        <v>0</v>
      </c>
      <c r="BZ695" s="449">
        <f>'Fiche info Avenant 7'!$AJ$7</f>
        <v>0</v>
      </c>
      <c r="CA695" s="449">
        <f>'Fiche info Avenant 7'!$AK$7</f>
        <v>0</v>
      </c>
      <c r="CB695" s="449">
        <f>'Fiche info Avenant 7'!$AL$7</f>
        <v>0</v>
      </c>
      <c r="CC695" s="449">
        <f>'Fiche info Avenant 7'!$AM$7</f>
        <v>0</v>
      </c>
      <c r="CD695" s="449">
        <f>'Fiche info Avenant 7'!$AN$7</f>
        <v>0</v>
      </c>
      <c r="CE695" s="449">
        <f>'Fiche info Avenant 7'!$AO$7</f>
        <v>0</v>
      </c>
      <c r="CF695" s="449">
        <f>'Fiche info Avenant 7'!$AP$7</f>
        <v>0</v>
      </c>
      <c r="ED695" s="16" t="str">
        <f t="shared" si="142"/>
        <v>Fiche info Avenant 7D</v>
      </c>
      <c r="EE695" s="16" t="str">
        <f t="shared" si="133"/>
        <v>Fiche info Avenant 7</v>
      </c>
      <c r="EF695" s="16" t="str">
        <f t="shared" si="134"/>
        <v>D</v>
      </c>
      <c r="EG695" s="16">
        <f t="shared" si="135"/>
        <v>1</v>
      </c>
      <c r="EH695" s="16" t="str">
        <f t="shared" si="136"/>
        <v>Lundi</v>
      </c>
      <c r="EI695" s="16" t="str">
        <f t="shared" si="137"/>
        <v/>
      </c>
    </row>
    <row r="696" spans="1:139" x14ac:dyDescent="0.2">
      <c r="A696" s="16" t="str">
        <f t="shared" si="140"/>
        <v>Fiche info Avenant 7D2</v>
      </c>
      <c r="B696" s="16" t="str">
        <f t="shared" si="141"/>
        <v>Fiche info Avenant 7</v>
      </c>
      <c r="C696" s="27" t="s">
        <v>242</v>
      </c>
      <c r="D696" s="27">
        <v>2</v>
      </c>
      <c r="E696" s="16" t="s">
        <v>18</v>
      </c>
      <c r="F696" s="34" t="str">
        <f>IF(+'Fiche info Avenant 7'!$AR$8=0,"",'Fiche info Avenant 7'!$AR$8)</f>
        <v/>
      </c>
      <c r="G696" s="16">
        <f t="shared" si="138"/>
        <v>0</v>
      </c>
      <c r="BX696" s="16" t="str">
        <f t="shared" si="139"/>
        <v>Fiche info Avenant 7D2</v>
      </c>
      <c r="BY696" s="449">
        <f>'Fiche info Avenant 7'!$AI$8</f>
        <v>0</v>
      </c>
      <c r="BZ696" s="449">
        <f>'Fiche info Avenant 7'!$AJ$8</f>
        <v>0</v>
      </c>
      <c r="CA696" s="449">
        <f>'Fiche info Avenant 7'!$AK$8</f>
        <v>0</v>
      </c>
      <c r="CB696" s="449">
        <f>'Fiche info Avenant 7'!$AL$8</f>
        <v>0</v>
      </c>
      <c r="CC696" s="449">
        <f>'Fiche info Avenant 7'!$AM$8</f>
        <v>0</v>
      </c>
      <c r="CD696" s="449">
        <f>'Fiche info Avenant 7'!$AN$8</f>
        <v>0</v>
      </c>
      <c r="CE696" s="449">
        <f>'Fiche info Avenant 7'!$AO$8</f>
        <v>0</v>
      </c>
      <c r="CF696" s="449">
        <f>'Fiche info Avenant 7'!$AP$8</f>
        <v>0</v>
      </c>
      <c r="ED696" s="16" t="str">
        <f t="shared" si="142"/>
        <v>Fiche info Avenant 7D</v>
      </c>
      <c r="EE696" s="16" t="str">
        <f t="shared" si="133"/>
        <v>Fiche info Avenant 7</v>
      </c>
      <c r="EF696" s="16" t="str">
        <f t="shared" si="134"/>
        <v>D</v>
      </c>
      <c r="EG696" s="16">
        <f t="shared" si="135"/>
        <v>2</v>
      </c>
      <c r="EH696" s="16" t="str">
        <f t="shared" si="136"/>
        <v>Mardi</v>
      </c>
      <c r="EI696" s="16" t="str">
        <f t="shared" si="137"/>
        <v/>
      </c>
    </row>
    <row r="697" spans="1:139" x14ac:dyDescent="0.2">
      <c r="A697" s="16" t="str">
        <f t="shared" si="140"/>
        <v>Fiche info Avenant 7D3</v>
      </c>
      <c r="B697" s="16" t="str">
        <f t="shared" si="141"/>
        <v>Fiche info Avenant 7</v>
      </c>
      <c r="C697" s="27" t="s">
        <v>242</v>
      </c>
      <c r="D697" s="27">
        <v>3</v>
      </c>
      <c r="E697" s="16" t="s">
        <v>19</v>
      </c>
      <c r="F697" s="34" t="str">
        <f>IF(+'Fiche info Avenant 7'!$AR$9=0,"",'Fiche info Avenant 7'!$AR$9)</f>
        <v/>
      </c>
      <c r="G697" s="16">
        <f t="shared" si="138"/>
        <v>0</v>
      </c>
      <c r="BX697" s="16" t="str">
        <f t="shared" si="139"/>
        <v>Fiche info Avenant 7D3</v>
      </c>
      <c r="BY697" s="449">
        <f>'Fiche info Avenant 7'!$AI$9</f>
        <v>0</v>
      </c>
      <c r="BZ697" s="449">
        <f>'Fiche info Avenant 7'!$AJ$9</f>
        <v>0</v>
      </c>
      <c r="CA697" s="449">
        <f>'Fiche info Avenant 7'!$AK$9</f>
        <v>0</v>
      </c>
      <c r="CB697" s="449">
        <f>'Fiche info Avenant 7'!$AL$9</f>
        <v>0</v>
      </c>
      <c r="CC697" s="449">
        <f>'Fiche info Avenant 7'!$AM$9</f>
        <v>0</v>
      </c>
      <c r="CD697" s="449">
        <f>'Fiche info Avenant 7'!$AN$9</f>
        <v>0</v>
      </c>
      <c r="CE697" s="449">
        <f>'Fiche info Avenant 7'!$AO$9</f>
        <v>0</v>
      </c>
      <c r="CF697" s="449">
        <f>'Fiche info Avenant 7'!$AP$9</f>
        <v>0</v>
      </c>
      <c r="ED697" s="16" t="str">
        <f t="shared" si="142"/>
        <v>Fiche info Avenant 7D</v>
      </c>
      <c r="EE697" s="16" t="str">
        <f t="shared" si="133"/>
        <v>Fiche info Avenant 7</v>
      </c>
      <c r="EF697" s="16" t="str">
        <f t="shared" si="134"/>
        <v>D</v>
      </c>
      <c r="EG697" s="16">
        <f t="shared" si="135"/>
        <v>3</v>
      </c>
      <c r="EH697" s="16" t="str">
        <f t="shared" si="136"/>
        <v>Mercredi</v>
      </c>
      <c r="EI697" s="16" t="str">
        <f t="shared" si="137"/>
        <v/>
      </c>
    </row>
    <row r="698" spans="1:139" x14ac:dyDescent="0.2">
      <c r="A698" s="16" t="str">
        <f t="shared" si="140"/>
        <v>Fiche info Avenant 7D4</v>
      </c>
      <c r="B698" s="16" t="str">
        <f t="shared" si="141"/>
        <v>Fiche info Avenant 7</v>
      </c>
      <c r="C698" s="27" t="s">
        <v>242</v>
      </c>
      <c r="D698" s="27">
        <v>4</v>
      </c>
      <c r="E698" s="16" t="s">
        <v>20</v>
      </c>
      <c r="F698" s="34" t="str">
        <f>IF(+'Fiche info Avenant 7'!$AR$10=0,"",'Fiche info Avenant 7'!$AR$10)</f>
        <v/>
      </c>
      <c r="G698" s="16">
        <f t="shared" si="138"/>
        <v>0</v>
      </c>
      <c r="BX698" s="16" t="str">
        <f t="shared" si="139"/>
        <v>Fiche info Avenant 7D4</v>
      </c>
      <c r="BY698" s="449">
        <f>'Fiche info Avenant 7'!$AI$10</f>
        <v>0</v>
      </c>
      <c r="BZ698" s="449">
        <f>'Fiche info Avenant 7'!$AJ$10</f>
        <v>0</v>
      </c>
      <c r="CA698" s="449">
        <f>'Fiche info Avenant 7'!$AK$10</f>
        <v>0</v>
      </c>
      <c r="CB698" s="449">
        <f>'Fiche info Avenant 7'!$AL$10</f>
        <v>0</v>
      </c>
      <c r="CC698" s="449">
        <f>'Fiche info Avenant 7'!$AM$10</f>
        <v>0</v>
      </c>
      <c r="CD698" s="449">
        <f>'Fiche info Avenant 7'!$AN$10</f>
        <v>0</v>
      </c>
      <c r="CE698" s="449">
        <f>'Fiche info Avenant 7'!$AO$10</f>
        <v>0</v>
      </c>
      <c r="CF698" s="449">
        <f>'Fiche info Avenant 7'!$AP$10</f>
        <v>0</v>
      </c>
      <c r="ED698" s="16" t="str">
        <f t="shared" si="142"/>
        <v>Fiche info Avenant 7D</v>
      </c>
      <c r="EE698" s="16" t="str">
        <f t="shared" si="133"/>
        <v>Fiche info Avenant 7</v>
      </c>
      <c r="EF698" s="16" t="str">
        <f t="shared" si="134"/>
        <v>D</v>
      </c>
      <c r="EG698" s="16">
        <f t="shared" si="135"/>
        <v>4</v>
      </c>
      <c r="EH698" s="16" t="str">
        <f t="shared" si="136"/>
        <v>Jeudi</v>
      </c>
      <c r="EI698" s="16" t="str">
        <f t="shared" si="137"/>
        <v/>
      </c>
    </row>
    <row r="699" spans="1:139" x14ac:dyDescent="0.2">
      <c r="A699" s="16" t="str">
        <f t="shared" si="140"/>
        <v>Fiche info Avenant 7D5</v>
      </c>
      <c r="B699" s="16" t="str">
        <f t="shared" si="141"/>
        <v>Fiche info Avenant 7</v>
      </c>
      <c r="C699" s="27" t="s">
        <v>242</v>
      </c>
      <c r="D699" s="27">
        <v>5</v>
      </c>
      <c r="E699" s="16" t="s">
        <v>21</v>
      </c>
      <c r="F699" s="34" t="str">
        <f>IF(+'Fiche info Avenant 7'!$AR$11=0,"",'Fiche info Avenant 7'!$AR$11)</f>
        <v/>
      </c>
      <c r="G699" s="16">
        <f t="shared" si="138"/>
        <v>0</v>
      </c>
      <c r="BX699" s="16" t="str">
        <f t="shared" si="139"/>
        <v>Fiche info Avenant 7D5</v>
      </c>
      <c r="BY699" s="449">
        <f>'Fiche info Avenant 7'!$AI$11</f>
        <v>0</v>
      </c>
      <c r="BZ699" s="449">
        <f>'Fiche info Avenant 7'!$AJ$11</f>
        <v>0</v>
      </c>
      <c r="CA699" s="449">
        <f>'Fiche info Avenant 7'!$AK$11</f>
        <v>0</v>
      </c>
      <c r="CB699" s="449">
        <f>'Fiche info Avenant 7'!$AL$11</f>
        <v>0</v>
      </c>
      <c r="CC699" s="449">
        <f>'Fiche info Avenant 7'!$AM$11</f>
        <v>0</v>
      </c>
      <c r="CD699" s="449">
        <f>'Fiche info Avenant 7'!$AN$11</f>
        <v>0</v>
      </c>
      <c r="CE699" s="449">
        <f>'Fiche info Avenant 7'!$AO$11</f>
        <v>0</v>
      </c>
      <c r="CF699" s="449">
        <f>'Fiche info Avenant 7'!$AP$11</f>
        <v>0</v>
      </c>
      <c r="ED699" s="16" t="str">
        <f t="shared" si="142"/>
        <v>Fiche info Avenant 7D</v>
      </c>
      <c r="EE699" s="16" t="str">
        <f t="shared" si="133"/>
        <v>Fiche info Avenant 7</v>
      </c>
      <c r="EF699" s="16" t="str">
        <f t="shared" si="134"/>
        <v>D</v>
      </c>
      <c r="EG699" s="16">
        <f t="shared" si="135"/>
        <v>5</v>
      </c>
      <c r="EH699" s="16" t="str">
        <f t="shared" si="136"/>
        <v>Vendredi</v>
      </c>
      <c r="EI699" s="16" t="str">
        <f t="shared" si="137"/>
        <v/>
      </c>
    </row>
    <row r="700" spans="1:139" x14ac:dyDescent="0.2">
      <c r="A700" s="16" t="str">
        <f t="shared" si="140"/>
        <v>Fiche info Avenant 7D6</v>
      </c>
      <c r="B700" s="16" t="str">
        <f t="shared" si="141"/>
        <v>Fiche info Avenant 7</v>
      </c>
      <c r="C700" s="27" t="s">
        <v>242</v>
      </c>
      <c r="D700" s="27">
        <v>6</v>
      </c>
      <c r="E700" s="16" t="s">
        <v>193</v>
      </c>
      <c r="F700" s="34" t="str">
        <f>IF(+'Fiche info Avenant 7'!$AR$12=0,"",'Fiche info Avenant 7'!$AR$12)</f>
        <v/>
      </c>
      <c r="G700" s="16">
        <f t="shared" si="138"/>
        <v>0</v>
      </c>
      <c r="BX700" s="16" t="str">
        <f t="shared" si="139"/>
        <v>Fiche info Avenant 7D6</v>
      </c>
      <c r="BY700" s="449">
        <f>'Fiche info Avenant 7'!$AI$12</f>
        <v>0</v>
      </c>
      <c r="BZ700" s="449">
        <f>'Fiche info Avenant 7'!$AJ$12</f>
        <v>0</v>
      </c>
      <c r="CA700" s="449">
        <f>'Fiche info Avenant 7'!$AK$12</f>
        <v>0</v>
      </c>
      <c r="CB700" s="449">
        <f>'Fiche info Avenant 7'!$AL$12</f>
        <v>0</v>
      </c>
      <c r="CC700" s="449">
        <f>'Fiche info Avenant 7'!$AM$12</f>
        <v>0</v>
      </c>
      <c r="CD700" s="449">
        <f>'Fiche info Avenant 7'!$AN$12</f>
        <v>0</v>
      </c>
      <c r="CE700" s="449">
        <f>'Fiche info Avenant 7'!$AO$12</f>
        <v>0</v>
      </c>
      <c r="CF700" s="449">
        <f>'Fiche info Avenant 7'!$AP$12</f>
        <v>0</v>
      </c>
      <c r="ED700" s="16" t="str">
        <f t="shared" si="142"/>
        <v>Fiche info Avenant 7D</v>
      </c>
      <c r="EE700" s="16" t="str">
        <f t="shared" si="133"/>
        <v>Fiche info Avenant 7</v>
      </c>
      <c r="EF700" s="16" t="str">
        <f t="shared" si="134"/>
        <v>D</v>
      </c>
      <c r="EG700" s="16">
        <f t="shared" si="135"/>
        <v>6</v>
      </c>
      <c r="EH700" s="16" t="str">
        <f t="shared" si="136"/>
        <v>Samedi</v>
      </c>
      <c r="EI700" s="16" t="str">
        <f t="shared" si="137"/>
        <v/>
      </c>
    </row>
    <row r="701" spans="1:139" x14ac:dyDescent="0.2">
      <c r="A701" s="16" t="str">
        <f t="shared" si="140"/>
        <v>Fiche info Avenant 7D7</v>
      </c>
      <c r="B701" s="16" t="str">
        <f t="shared" si="141"/>
        <v>Fiche info Avenant 7</v>
      </c>
      <c r="C701" s="27" t="s">
        <v>242</v>
      </c>
      <c r="D701" s="27">
        <v>7</v>
      </c>
      <c r="E701" s="16" t="s">
        <v>194</v>
      </c>
      <c r="F701" s="34" t="str">
        <f>IF(+'Fiche info Avenant 7'!$AR$13=0,"",'Fiche info Avenant 7'!$AR$13)</f>
        <v/>
      </c>
      <c r="G701" s="16">
        <f t="shared" si="138"/>
        <v>0</v>
      </c>
      <c r="BX701" s="16" t="str">
        <f t="shared" si="139"/>
        <v>Fiche info Avenant 7D7</v>
      </c>
      <c r="BY701" s="449">
        <f>'Fiche info Avenant 7'!$AI$13</f>
        <v>0</v>
      </c>
      <c r="BZ701" s="449">
        <f>'Fiche info Avenant 7'!$AJ$13</f>
        <v>0</v>
      </c>
      <c r="CA701" s="449">
        <f>'Fiche info Avenant 7'!$AK$13</f>
        <v>0</v>
      </c>
      <c r="CB701" s="449">
        <f>'Fiche info Avenant 7'!$AL$13</f>
        <v>0</v>
      </c>
      <c r="CC701" s="449">
        <f>'Fiche info Avenant 7'!$AM$13</f>
        <v>0</v>
      </c>
      <c r="CD701" s="449">
        <f>'Fiche info Avenant 7'!$AN$13</f>
        <v>0</v>
      </c>
      <c r="CE701" s="449">
        <f>'Fiche info Avenant 7'!$AO$13</f>
        <v>0</v>
      </c>
      <c r="CF701" s="449">
        <f>'Fiche info Avenant 7'!$AP$13</f>
        <v>0</v>
      </c>
      <c r="ED701" s="16" t="str">
        <f t="shared" si="142"/>
        <v>Fiche info Avenant 7D</v>
      </c>
      <c r="EE701" s="16" t="str">
        <f t="shared" si="133"/>
        <v>Fiche info Avenant 7</v>
      </c>
      <c r="EF701" s="16" t="str">
        <f t="shared" si="134"/>
        <v>D</v>
      </c>
      <c r="EG701" s="16">
        <f t="shared" si="135"/>
        <v>7</v>
      </c>
      <c r="EH701" s="16" t="str">
        <f t="shared" si="136"/>
        <v>Dimanche</v>
      </c>
      <c r="EI701" s="16" t="str">
        <f t="shared" si="137"/>
        <v/>
      </c>
    </row>
    <row r="702" spans="1:139" x14ac:dyDescent="0.2">
      <c r="A702" s="16" t="str">
        <f t="shared" si="140"/>
        <v>Fiche info Avenant 7E1</v>
      </c>
      <c r="B702" s="16" t="str">
        <f t="shared" si="141"/>
        <v>Fiche info Avenant 7</v>
      </c>
      <c r="C702" s="27" t="s">
        <v>243</v>
      </c>
      <c r="D702" s="27">
        <v>1</v>
      </c>
      <c r="E702" s="16" t="s">
        <v>17</v>
      </c>
      <c r="F702" s="34" t="str">
        <f>IF(+'Fiche info Avenant 7'!$BC$7=0,"",'Fiche info Avenant 7'!$BC$7)</f>
        <v/>
      </c>
      <c r="G702" s="16">
        <f t="shared" si="138"/>
        <v>0</v>
      </c>
      <c r="BX702" s="16" t="str">
        <f t="shared" si="139"/>
        <v>Fiche info Avenant 7E1</v>
      </c>
      <c r="BY702" s="449">
        <f>'Fiche info Avenant 7'!$AT$7</f>
        <v>0</v>
      </c>
      <c r="BZ702" s="449">
        <f>'Fiche info Avenant 7'!$AU$7</f>
        <v>0</v>
      </c>
      <c r="CA702" s="449">
        <f>'Fiche info Avenant 7'!$AV$7</f>
        <v>0</v>
      </c>
      <c r="CB702" s="449">
        <f>'Fiche info Avenant 7'!$AW$7</f>
        <v>0</v>
      </c>
      <c r="CC702" s="449">
        <f>'Fiche info Avenant 7'!$AX$7</f>
        <v>0</v>
      </c>
      <c r="CD702" s="449">
        <f>'Fiche info Avenant 7'!$AY$7</f>
        <v>0</v>
      </c>
      <c r="CE702" s="449">
        <f>'Fiche info Avenant 7'!$AZ$7</f>
        <v>0</v>
      </c>
      <c r="CF702" s="449">
        <f>'Fiche info Avenant 7'!$BA$7</f>
        <v>0</v>
      </c>
      <c r="ED702" s="16" t="str">
        <f t="shared" si="142"/>
        <v>Fiche info Avenant 7E</v>
      </c>
      <c r="EE702" s="16" t="str">
        <f t="shared" si="133"/>
        <v>Fiche info Avenant 7</v>
      </c>
      <c r="EF702" s="16" t="str">
        <f t="shared" si="134"/>
        <v>E</v>
      </c>
      <c r="EG702" s="16">
        <f t="shared" si="135"/>
        <v>1</v>
      </c>
      <c r="EH702" s="16" t="str">
        <f t="shared" si="136"/>
        <v>Lundi</v>
      </c>
      <c r="EI702" s="16" t="str">
        <f t="shared" si="137"/>
        <v/>
      </c>
    </row>
    <row r="703" spans="1:139" x14ac:dyDescent="0.2">
      <c r="A703" s="16" t="str">
        <f t="shared" si="140"/>
        <v>Fiche info Avenant 7E2</v>
      </c>
      <c r="B703" s="16" t="str">
        <f t="shared" si="141"/>
        <v>Fiche info Avenant 7</v>
      </c>
      <c r="C703" s="27" t="s">
        <v>243</v>
      </c>
      <c r="D703" s="27">
        <v>2</v>
      </c>
      <c r="E703" s="16" t="s">
        <v>18</v>
      </c>
      <c r="F703" s="34" t="str">
        <f>IF(+'Fiche info Avenant 7'!$BC$8=0,"",'Fiche info Avenant 7'!$BC$8)</f>
        <v/>
      </c>
      <c r="G703" s="16">
        <f t="shared" si="138"/>
        <v>0</v>
      </c>
      <c r="BX703" s="16" t="str">
        <f t="shared" si="139"/>
        <v>Fiche info Avenant 7E2</v>
      </c>
      <c r="BY703" s="449">
        <f>'Fiche info Avenant 7'!$AT$8</f>
        <v>0</v>
      </c>
      <c r="BZ703" s="449">
        <f>'Fiche info Avenant 7'!$AU$8</f>
        <v>0</v>
      </c>
      <c r="CA703" s="449">
        <f>'Fiche info Avenant 7'!$AV$8</f>
        <v>0</v>
      </c>
      <c r="CB703" s="449">
        <f>'Fiche info Avenant 7'!$AW$8</f>
        <v>0</v>
      </c>
      <c r="CC703" s="449">
        <f>'Fiche info Avenant 7'!$AX$8</f>
        <v>0</v>
      </c>
      <c r="CD703" s="449">
        <f>'Fiche info Avenant 7'!$AY$8</f>
        <v>0</v>
      </c>
      <c r="CE703" s="449">
        <f>'Fiche info Avenant 7'!$AZ$8</f>
        <v>0</v>
      </c>
      <c r="CF703" s="449">
        <f>'Fiche info Avenant 7'!$BA$8</f>
        <v>0</v>
      </c>
      <c r="ED703" s="16" t="str">
        <f t="shared" si="142"/>
        <v>Fiche info Avenant 7E</v>
      </c>
      <c r="EE703" s="16" t="str">
        <f t="shared" si="133"/>
        <v>Fiche info Avenant 7</v>
      </c>
      <c r="EF703" s="16" t="str">
        <f t="shared" si="134"/>
        <v>E</v>
      </c>
      <c r="EG703" s="16">
        <f t="shared" si="135"/>
        <v>2</v>
      </c>
      <c r="EH703" s="16" t="str">
        <f t="shared" si="136"/>
        <v>Mardi</v>
      </c>
      <c r="EI703" s="16" t="str">
        <f t="shared" si="137"/>
        <v/>
      </c>
    </row>
    <row r="704" spans="1:139" x14ac:dyDescent="0.2">
      <c r="A704" s="16" t="str">
        <f t="shared" si="140"/>
        <v>Fiche info Avenant 7E3</v>
      </c>
      <c r="B704" s="16" t="str">
        <f t="shared" si="141"/>
        <v>Fiche info Avenant 7</v>
      </c>
      <c r="C704" s="27" t="s">
        <v>243</v>
      </c>
      <c r="D704" s="27">
        <v>3</v>
      </c>
      <c r="E704" s="16" t="s">
        <v>19</v>
      </c>
      <c r="F704" s="34" t="str">
        <f>IF(+'Fiche info Avenant 7'!$BC$9=0,"",'Fiche info Avenant 7'!$BC$9)</f>
        <v/>
      </c>
      <c r="G704" s="16">
        <f t="shared" si="138"/>
        <v>0</v>
      </c>
      <c r="BX704" s="16" t="str">
        <f t="shared" si="139"/>
        <v>Fiche info Avenant 7E3</v>
      </c>
      <c r="BY704" s="449">
        <f>'Fiche info Avenant 7'!$AT$9</f>
        <v>0</v>
      </c>
      <c r="BZ704" s="449">
        <f>'Fiche info Avenant 7'!$AU$9</f>
        <v>0</v>
      </c>
      <c r="CA704" s="449">
        <f>'Fiche info Avenant 7'!$AV$9</f>
        <v>0</v>
      </c>
      <c r="CB704" s="449">
        <f>'Fiche info Avenant 7'!$AW$9</f>
        <v>0</v>
      </c>
      <c r="CC704" s="449">
        <f>'Fiche info Avenant 7'!$AX$9</f>
        <v>0</v>
      </c>
      <c r="CD704" s="449">
        <f>'Fiche info Avenant 7'!$AY$9</f>
        <v>0</v>
      </c>
      <c r="CE704" s="449">
        <f>'Fiche info Avenant 7'!$AZ$9</f>
        <v>0</v>
      </c>
      <c r="CF704" s="449">
        <f>'Fiche info Avenant 7'!$BA$9</f>
        <v>0</v>
      </c>
      <c r="ED704" s="16" t="str">
        <f t="shared" si="142"/>
        <v>Fiche info Avenant 7E</v>
      </c>
      <c r="EE704" s="16" t="str">
        <f t="shared" si="133"/>
        <v>Fiche info Avenant 7</v>
      </c>
      <c r="EF704" s="16" t="str">
        <f t="shared" si="134"/>
        <v>E</v>
      </c>
      <c r="EG704" s="16">
        <f t="shared" si="135"/>
        <v>3</v>
      </c>
      <c r="EH704" s="16" t="str">
        <f t="shared" si="136"/>
        <v>Mercredi</v>
      </c>
      <c r="EI704" s="16" t="str">
        <f t="shared" si="137"/>
        <v/>
      </c>
    </row>
    <row r="705" spans="1:139" x14ac:dyDescent="0.2">
      <c r="A705" s="16" t="str">
        <f t="shared" si="140"/>
        <v>Fiche info Avenant 7E4</v>
      </c>
      <c r="B705" s="16" t="str">
        <f t="shared" si="141"/>
        <v>Fiche info Avenant 7</v>
      </c>
      <c r="C705" s="27" t="s">
        <v>243</v>
      </c>
      <c r="D705" s="27">
        <v>4</v>
      </c>
      <c r="E705" s="16" t="s">
        <v>20</v>
      </c>
      <c r="F705" s="34" t="str">
        <f>IF(+'Fiche info Avenant 7'!$BC$10=0,"",'Fiche info Avenant 7'!$BC$10)</f>
        <v/>
      </c>
      <c r="G705" s="16">
        <f t="shared" si="138"/>
        <v>0</v>
      </c>
      <c r="BX705" s="16" t="str">
        <f t="shared" si="139"/>
        <v>Fiche info Avenant 7E4</v>
      </c>
      <c r="BY705" s="449">
        <f>'Fiche info Avenant 7'!$AT$10</f>
        <v>0</v>
      </c>
      <c r="BZ705" s="449">
        <f>'Fiche info Avenant 7'!$AU$10</f>
        <v>0</v>
      </c>
      <c r="CA705" s="449">
        <f>'Fiche info Avenant 7'!$AV$10</f>
        <v>0</v>
      </c>
      <c r="CB705" s="449">
        <f>'Fiche info Avenant 7'!$AW$10</f>
        <v>0</v>
      </c>
      <c r="CC705" s="449">
        <f>'Fiche info Avenant 7'!$AX$10</f>
        <v>0</v>
      </c>
      <c r="CD705" s="449">
        <f>'Fiche info Avenant 7'!$AY$10</f>
        <v>0</v>
      </c>
      <c r="CE705" s="449">
        <f>'Fiche info Avenant 7'!$AZ$10</f>
        <v>0</v>
      </c>
      <c r="CF705" s="449">
        <f>'Fiche info Avenant 7'!$BA$10</f>
        <v>0</v>
      </c>
      <c r="ED705" s="16" t="str">
        <f t="shared" si="142"/>
        <v>Fiche info Avenant 7E</v>
      </c>
      <c r="EE705" s="16" t="str">
        <f t="shared" ref="EE705:EE768" si="143">B705</f>
        <v>Fiche info Avenant 7</v>
      </c>
      <c r="EF705" s="16" t="str">
        <f t="shared" ref="EF705:EF768" si="144">C705</f>
        <v>E</v>
      </c>
      <c r="EG705" s="16">
        <f t="shared" ref="EG705:EG768" si="145">D705</f>
        <v>4</v>
      </c>
      <c r="EH705" s="16" t="str">
        <f t="shared" ref="EH705:EH768" si="146">E705</f>
        <v>Jeudi</v>
      </c>
      <c r="EI705" s="16" t="str">
        <f t="shared" ref="EI705:EI768" si="147">F705</f>
        <v/>
      </c>
    </row>
    <row r="706" spans="1:139" x14ac:dyDescent="0.2">
      <c r="A706" s="16" t="str">
        <f t="shared" si="140"/>
        <v>Fiche info Avenant 7E5</v>
      </c>
      <c r="B706" s="16" t="str">
        <f t="shared" si="141"/>
        <v>Fiche info Avenant 7</v>
      </c>
      <c r="C706" s="27" t="s">
        <v>243</v>
      </c>
      <c r="D706" s="27">
        <v>5</v>
      </c>
      <c r="E706" s="16" t="s">
        <v>21</v>
      </c>
      <c r="F706" s="34" t="str">
        <f>IF(+'Fiche info Avenant 7'!$BC$11=0,"",'Fiche info Avenant 7'!$BC$11)</f>
        <v/>
      </c>
      <c r="G706" s="16">
        <f t="shared" ref="G706:G769" si="148">+IF(OR(F706=0,F706=""),0,1)</f>
        <v>0</v>
      </c>
      <c r="BX706" s="16" t="str">
        <f t="shared" ref="BX706:BX769" si="149">A706</f>
        <v>Fiche info Avenant 7E5</v>
      </c>
      <c r="BY706" s="449">
        <f>'Fiche info Avenant 7'!$AT$11</f>
        <v>0</v>
      </c>
      <c r="BZ706" s="449">
        <f>'Fiche info Avenant 7'!$AU$11</f>
        <v>0</v>
      </c>
      <c r="CA706" s="449">
        <f>'Fiche info Avenant 7'!$AV$11</f>
        <v>0</v>
      </c>
      <c r="CB706" s="449">
        <f>'Fiche info Avenant 7'!$AW$11</f>
        <v>0</v>
      </c>
      <c r="CC706" s="449">
        <f>'Fiche info Avenant 7'!$AX$11</f>
        <v>0</v>
      </c>
      <c r="CD706" s="449">
        <f>'Fiche info Avenant 7'!$AY$11</f>
        <v>0</v>
      </c>
      <c r="CE706" s="449">
        <f>'Fiche info Avenant 7'!$AZ$11</f>
        <v>0</v>
      </c>
      <c r="CF706" s="449">
        <f>'Fiche info Avenant 7'!$BA$11</f>
        <v>0</v>
      </c>
      <c r="ED706" s="16" t="str">
        <f t="shared" si="142"/>
        <v>Fiche info Avenant 7E</v>
      </c>
      <c r="EE706" s="16" t="str">
        <f t="shared" si="143"/>
        <v>Fiche info Avenant 7</v>
      </c>
      <c r="EF706" s="16" t="str">
        <f t="shared" si="144"/>
        <v>E</v>
      </c>
      <c r="EG706" s="16">
        <f t="shared" si="145"/>
        <v>5</v>
      </c>
      <c r="EH706" s="16" t="str">
        <f t="shared" si="146"/>
        <v>Vendredi</v>
      </c>
      <c r="EI706" s="16" t="str">
        <f t="shared" si="147"/>
        <v/>
      </c>
    </row>
    <row r="707" spans="1:139" x14ac:dyDescent="0.2">
      <c r="A707" s="16" t="str">
        <f t="shared" si="140"/>
        <v>Fiche info Avenant 7E6</v>
      </c>
      <c r="B707" s="16" t="str">
        <f t="shared" si="141"/>
        <v>Fiche info Avenant 7</v>
      </c>
      <c r="C707" s="27" t="s">
        <v>243</v>
      </c>
      <c r="D707" s="27">
        <v>6</v>
      </c>
      <c r="E707" s="16" t="s">
        <v>193</v>
      </c>
      <c r="F707" s="34" t="str">
        <f>IF(+'Fiche info Avenant 7'!$BC$12=0,"",'Fiche info Avenant 7'!$BC$12)</f>
        <v/>
      </c>
      <c r="G707" s="16">
        <f t="shared" si="148"/>
        <v>0</v>
      </c>
      <c r="BX707" s="16" t="str">
        <f t="shared" si="149"/>
        <v>Fiche info Avenant 7E6</v>
      </c>
      <c r="BY707" s="449">
        <f>'Fiche info Avenant 7'!$AT$12</f>
        <v>0</v>
      </c>
      <c r="BZ707" s="449">
        <f>'Fiche info Avenant 7'!$AU$12</f>
        <v>0</v>
      </c>
      <c r="CA707" s="449">
        <f>'Fiche info Avenant 7'!$AV$12</f>
        <v>0</v>
      </c>
      <c r="CB707" s="449">
        <f>'Fiche info Avenant 7'!$AW$12</f>
        <v>0</v>
      </c>
      <c r="CC707" s="449">
        <f>'Fiche info Avenant 7'!$AX$12</f>
        <v>0</v>
      </c>
      <c r="CD707" s="449">
        <f>'Fiche info Avenant 7'!$AY$12</f>
        <v>0</v>
      </c>
      <c r="CE707" s="449">
        <f>'Fiche info Avenant 7'!$AZ$12</f>
        <v>0</v>
      </c>
      <c r="CF707" s="449">
        <f>'Fiche info Avenant 7'!$BA$12</f>
        <v>0</v>
      </c>
      <c r="ED707" s="16" t="str">
        <f t="shared" si="142"/>
        <v>Fiche info Avenant 7E</v>
      </c>
      <c r="EE707" s="16" t="str">
        <f t="shared" si="143"/>
        <v>Fiche info Avenant 7</v>
      </c>
      <c r="EF707" s="16" t="str">
        <f t="shared" si="144"/>
        <v>E</v>
      </c>
      <c r="EG707" s="16">
        <f t="shared" si="145"/>
        <v>6</v>
      </c>
      <c r="EH707" s="16" t="str">
        <f t="shared" si="146"/>
        <v>Samedi</v>
      </c>
      <c r="EI707" s="16" t="str">
        <f t="shared" si="147"/>
        <v/>
      </c>
    </row>
    <row r="708" spans="1:139" x14ac:dyDescent="0.2">
      <c r="A708" s="16" t="str">
        <f t="shared" si="140"/>
        <v>Fiche info Avenant 7E7</v>
      </c>
      <c r="B708" s="16" t="str">
        <f t="shared" si="141"/>
        <v>Fiche info Avenant 7</v>
      </c>
      <c r="C708" s="27" t="s">
        <v>243</v>
      </c>
      <c r="D708" s="27">
        <v>7</v>
      </c>
      <c r="E708" s="16" t="s">
        <v>194</v>
      </c>
      <c r="F708" s="34" t="str">
        <f>IF(+'Fiche info Avenant 7'!$BC$13=0,"",'Fiche info Avenant 7'!$BC$13)</f>
        <v/>
      </c>
      <c r="G708" s="16">
        <f t="shared" si="148"/>
        <v>0</v>
      </c>
      <c r="BX708" s="16" t="str">
        <f t="shared" si="149"/>
        <v>Fiche info Avenant 7E7</v>
      </c>
      <c r="BY708" s="449">
        <f>'Fiche info Avenant 7'!$AT$13</f>
        <v>0</v>
      </c>
      <c r="BZ708" s="449">
        <f>'Fiche info Avenant 7'!$AU$13</f>
        <v>0</v>
      </c>
      <c r="CA708" s="449">
        <f>'Fiche info Avenant 7'!$AV$13</f>
        <v>0</v>
      </c>
      <c r="CB708" s="449">
        <f>'Fiche info Avenant 7'!$AW$13</f>
        <v>0</v>
      </c>
      <c r="CC708" s="449">
        <f>'Fiche info Avenant 7'!$AX$13</f>
        <v>0</v>
      </c>
      <c r="CD708" s="449">
        <f>'Fiche info Avenant 7'!$AY$13</f>
        <v>0</v>
      </c>
      <c r="CE708" s="449">
        <f>'Fiche info Avenant 7'!$AZ$13</f>
        <v>0</v>
      </c>
      <c r="CF708" s="449">
        <f>'Fiche info Avenant 7'!$BA$13</f>
        <v>0</v>
      </c>
      <c r="ED708" s="16" t="str">
        <f t="shared" si="142"/>
        <v>Fiche info Avenant 7E</v>
      </c>
      <c r="EE708" s="16" t="str">
        <f t="shared" si="143"/>
        <v>Fiche info Avenant 7</v>
      </c>
      <c r="EF708" s="16" t="str">
        <f t="shared" si="144"/>
        <v>E</v>
      </c>
      <c r="EG708" s="16">
        <f t="shared" si="145"/>
        <v>7</v>
      </c>
      <c r="EH708" s="16" t="str">
        <f t="shared" si="146"/>
        <v>Dimanche</v>
      </c>
      <c r="EI708" s="16" t="str">
        <f t="shared" si="147"/>
        <v/>
      </c>
    </row>
    <row r="709" spans="1:139" x14ac:dyDescent="0.2">
      <c r="A709" s="16" t="str">
        <f t="shared" si="140"/>
        <v>Fiche info Avenant 7F1</v>
      </c>
      <c r="B709" s="16" t="str">
        <f t="shared" si="141"/>
        <v>Fiche info Avenant 7</v>
      </c>
      <c r="C709" s="27" t="s">
        <v>244</v>
      </c>
      <c r="D709" s="27">
        <v>1</v>
      </c>
      <c r="E709" s="16" t="s">
        <v>17</v>
      </c>
      <c r="F709" s="34" t="str">
        <f>+IF('Fiche info Avenant 7'!$BN$7=0,"",'Fiche info Avenant 7'!$BN$7)</f>
        <v/>
      </c>
      <c r="G709" s="16">
        <f t="shared" si="148"/>
        <v>0</v>
      </c>
      <c r="BX709" s="16" t="str">
        <f t="shared" si="149"/>
        <v>Fiche info Avenant 7F1</v>
      </c>
      <c r="BY709" s="449">
        <f>'Fiche info Avenant 7'!$BE$7</f>
        <v>0</v>
      </c>
      <c r="BZ709" s="449">
        <f>'Fiche info Avenant 7'!$BF$7</f>
        <v>0</v>
      </c>
      <c r="CA709" s="449">
        <f>'Fiche info Avenant 7'!$BG$7</f>
        <v>0</v>
      </c>
      <c r="CB709" s="449">
        <f>'Fiche info Avenant 7'!$BH$7</f>
        <v>0</v>
      </c>
      <c r="CC709" s="449">
        <f>'Fiche info Avenant 7'!$BI$7</f>
        <v>0</v>
      </c>
      <c r="CD709" s="449">
        <f>'Fiche info Avenant 7'!$BJ$7</f>
        <v>0</v>
      </c>
      <c r="CE709" s="449">
        <f>'Fiche info Avenant 7'!$BK$7</f>
        <v>0</v>
      </c>
      <c r="CF709" s="449">
        <f>'Fiche info Avenant 7'!$BL$7</f>
        <v>0</v>
      </c>
      <c r="ED709" s="16" t="str">
        <f t="shared" si="142"/>
        <v>Fiche info Avenant 7F</v>
      </c>
      <c r="EE709" s="16" t="str">
        <f t="shared" si="143"/>
        <v>Fiche info Avenant 7</v>
      </c>
      <c r="EF709" s="16" t="str">
        <f t="shared" si="144"/>
        <v>F</v>
      </c>
      <c r="EG709" s="16">
        <f t="shared" si="145"/>
        <v>1</v>
      </c>
      <c r="EH709" s="16" t="str">
        <f t="shared" si="146"/>
        <v>Lundi</v>
      </c>
      <c r="EI709" s="16" t="str">
        <f t="shared" si="147"/>
        <v/>
      </c>
    </row>
    <row r="710" spans="1:139" x14ac:dyDescent="0.2">
      <c r="A710" s="16" t="str">
        <f t="shared" si="140"/>
        <v>Fiche info Avenant 7F2</v>
      </c>
      <c r="B710" s="16" t="str">
        <f t="shared" si="141"/>
        <v>Fiche info Avenant 7</v>
      </c>
      <c r="C710" s="27" t="s">
        <v>244</v>
      </c>
      <c r="D710" s="27">
        <v>2</v>
      </c>
      <c r="E710" s="16" t="s">
        <v>18</v>
      </c>
      <c r="F710" s="34" t="str">
        <f>+IF('Fiche info Avenant 7'!$BN$8=0,"",'Fiche info Avenant 7'!$BN$8)</f>
        <v/>
      </c>
      <c r="G710" s="16">
        <f t="shared" si="148"/>
        <v>0</v>
      </c>
      <c r="BX710" s="16" t="str">
        <f t="shared" si="149"/>
        <v>Fiche info Avenant 7F2</v>
      </c>
      <c r="BY710" s="449">
        <f>'Fiche info Avenant 7'!$BE$8</f>
        <v>0</v>
      </c>
      <c r="BZ710" s="449">
        <f>'Fiche info Avenant 7'!$BF$8</f>
        <v>0</v>
      </c>
      <c r="CA710" s="449">
        <f>'Fiche info Avenant 7'!$BG$8</f>
        <v>0</v>
      </c>
      <c r="CB710" s="449">
        <f>'Fiche info Avenant 7'!$BH$8</f>
        <v>0</v>
      </c>
      <c r="CC710" s="449">
        <f>'Fiche info Avenant 7'!$BI$8</f>
        <v>0</v>
      </c>
      <c r="CD710" s="449">
        <f>'Fiche info Avenant 7'!$BJ$8</f>
        <v>0</v>
      </c>
      <c r="CE710" s="449">
        <f>'Fiche info Avenant 7'!$BK$8</f>
        <v>0</v>
      </c>
      <c r="CF710" s="449">
        <f>'Fiche info Avenant 7'!$BL$8</f>
        <v>0</v>
      </c>
      <c r="ED710" s="16" t="str">
        <f t="shared" si="142"/>
        <v>Fiche info Avenant 7F</v>
      </c>
      <c r="EE710" s="16" t="str">
        <f t="shared" si="143"/>
        <v>Fiche info Avenant 7</v>
      </c>
      <c r="EF710" s="16" t="str">
        <f t="shared" si="144"/>
        <v>F</v>
      </c>
      <c r="EG710" s="16">
        <f t="shared" si="145"/>
        <v>2</v>
      </c>
      <c r="EH710" s="16" t="str">
        <f t="shared" si="146"/>
        <v>Mardi</v>
      </c>
      <c r="EI710" s="16" t="str">
        <f t="shared" si="147"/>
        <v/>
      </c>
    </row>
    <row r="711" spans="1:139" x14ac:dyDescent="0.2">
      <c r="A711" s="16" t="str">
        <f t="shared" si="140"/>
        <v>Fiche info Avenant 7F3</v>
      </c>
      <c r="B711" s="16" t="str">
        <f t="shared" si="141"/>
        <v>Fiche info Avenant 7</v>
      </c>
      <c r="C711" s="27" t="s">
        <v>244</v>
      </c>
      <c r="D711" s="27">
        <v>3</v>
      </c>
      <c r="E711" s="16" t="s">
        <v>19</v>
      </c>
      <c r="F711" s="34" t="str">
        <f>+IF('Fiche info Avenant 7'!$BN$9=0,"",'Fiche info Avenant 7'!$BN$9)</f>
        <v/>
      </c>
      <c r="G711" s="16">
        <f t="shared" si="148"/>
        <v>0</v>
      </c>
      <c r="BX711" s="16" t="str">
        <f t="shared" si="149"/>
        <v>Fiche info Avenant 7F3</v>
      </c>
      <c r="BY711" s="449">
        <f>'Fiche info Avenant 7'!$BE$9</f>
        <v>0</v>
      </c>
      <c r="BZ711" s="449">
        <f>'Fiche info Avenant 7'!$BF$9</f>
        <v>0</v>
      </c>
      <c r="CA711" s="449">
        <f>'Fiche info Avenant 7'!$BG$9</f>
        <v>0</v>
      </c>
      <c r="CB711" s="449">
        <f>'Fiche info Avenant 7'!$BH$9</f>
        <v>0</v>
      </c>
      <c r="CC711" s="449">
        <f>'Fiche info Avenant 7'!$BI$9</f>
        <v>0</v>
      </c>
      <c r="CD711" s="449">
        <f>'Fiche info Avenant 7'!$BJ$9</f>
        <v>0</v>
      </c>
      <c r="CE711" s="449">
        <f>'Fiche info Avenant 7'!$BK$9</f>
        <v>0</v>
      </c>
      <c r="CF711" s="449">
        <f>'Fiche info Avenant 7'!$BL$9</f>
        <v>0</v>
      </c>
      <c r="ED711" s="16" t="str">
        <f t="shared" si="142"/>
        <v>Fiche info Avenant 7F</v>
      </c>
      <c r="EE711" s="16" t="str">
        <f t="shared" si="143"/>
        <v>Fiche info Avenant 7</v>
      </c>
      <c r="EF711" s="16" t="str">
        <f t="shared" si="144"/>
        <v>F</v>
      </c>
      <c r="EG711" s="16">
        <f t="shared" si="145"/>
        <v>3</v>
      </c>
      <c r="EH711" s="16" t="str">
        <f t="shared" si="146"/>
        <v>Mercredi</v>
      </c>
      <c r="EI711" s="16" t="str">
        <f t="shared" si="147"/>
        <v/>
      </c>
    </row>
    <row r="712" spans="1:139" x14ac:dyDescent="0.2">
      <c r="A712" s="16" t="str">
        <f t="shared" si="140"/>
        <v>Fiche info Avenant 7F4</v>
      </c>
      <c r="B712" s="16" t="str">
        <f t="shared" si="141"/>
        <v>Fiche info Avenant 7</v>
      </c>
      <c r="C712" s="27" t="s">
        <v>244</v>
      </c>
      <c r="D712" s="27">
        <v>4</v>
      </c>
      <c r="E712" s="16" t="s">
        <v>20</v>
      </c>
      <c r="F712" s="34" t="str">
        <f>+IF('Fiche info Avenant 7'!$BN$10=0,"",'Fiche info Avenant 7'!$BN$10)</f>
        <v/>
      </c>
      <c r="G712" s="16">
        <f t="shared" si="148"/>
        <v>0</v>
      </c>
      <c r="BX712" s="16" t="str">
        <f t="shared" si="149"/>
        <v>Fiche info Avenant 7F4</v>
      </c>
      <c r="BY712" s="449">
        <f>'Fiche info Avenant 7'!$BE$10</f>
        <v>0</v>
      </c>
      <c r="BZ712" s="449">
        <f>'Fiche info Avenant 7'!$BF$10</f>
        <v>0</v>
      </c>
      <c r="CA712" s="449">
        <f>'Fiche info Avenant 7'!$BG$10</f>
        <v>0</v>
      </c>
      <c r="CB712" s="449">
        <f>'Fiche info Avenant 7'!$BH$10</f>
        <v>0</v>
      </c>
      <c r="CC712" s="449">
        <f>'Fiche info Avenant 7'!$BI$10</f>
        <v>0</v>
      </c>
      <c r="CD712" s="449">
        <f>'Fiche info Avenant 7'!$BJ$10</f>
        <v>0</v>
      </c>
      <c r="CE712" s="449">
        <f>'Fiche info Avenant 7'!$BK$10</f>
        <v>0</v>
      </c>
      <c r="CF712" s="449">
        <f>'Fiche info Avenant 7'!$BL$10</f>
        <v>0</v>
      </c>
      <c r="ED712" s="16" t="str">
        <f t="shared" si="142"/>
        <v>Fiche info Avenant 7F</v>
      </c>
      <c r="EE712" s="16" t="str">
        <f t="shared" si="143"/>
        <v>Fiche info Avenant 7</v>
      </c>
      <c r="EF712" s="16" t="str">
        <f t="shared" si="144"/>
        <v>F</v>
      </c>
      <c r="EG712" s="16">
        <f t="shared" si="145"/>
        <v>4</v>
      </c>
      <c r="EH712" s="16" t="str">
        <f t="shared" si="146"/>
        <v>Jeudi</v>
      </c>
      <c r="EI712" s="16" t="str">
        <f t="shared" si="147"/>
        <v/>
      </c>
    </row>
    <row r="713" spans="1:139" x14ac:dyDescent="0.2">
      <c r="A713" s="16" t="str">
        <f t="shared" si="140"/>
        <v>Fiche info Avenant 7F5</v>
      </c>
      <c r="B713" s="16" t="str">
        <f t="shared" si="141"/>
        <v>Fiche info Avenant 7</v>
      </c>
      <c r="C713" s="27" t="s">
        <v>244</v>
      </c>
      <c r="D713" s="27">
        <v>5</v>
      </c>
      <c r="E713" s="16" t="s">
        <v>21</v>
      </c>
      <c r="F713" s="34" t="str">
        <f>+IF('Fiche info Avenant 7'!$BN$11=0,"",'Fiche info Avenant 7'!$BN$11)</f>
        <v/>
      </c>
      <c r="G713" s="16">
        <f t="shared" si="148"/>
        <v>0</v>
      </c>
      <c r="BX713" s="16" t="str">
        <f t="shared" si="149"/>
        <v>Fiche info Avenant 7F5</v>
      </c>
      <c r="BY713" s="449">
        <f>'Fiche info Avenant 7'!$BE$11</f>
        <v>0</v>
      </c>
      <c r="BZ713" s="449">
        <f>'Fiche info Avenant 7'!$BF$11</f>
        <v>0</v>
      </c>
      <c r="CA713" s="449">
        <f>'Fiche info Avenant 7'!$BG$11</f>
        <v>0</v>
      </c>
      <c r="CB713" s="449">
        <f>'Fiche info Avenant 7'!$BH$11</f>
        <v>0</v>
      </c>
      <c r="CC713" s="449">
        <f>'Fiche info Avenant 7'!$BI$11</f>
        <v>0</v>
      </c>
      <c r="CD713" s="449">
        <f>'Fiche info Avenant 7'!$BJ$11</f>
        <v>0</v>
      </c>
      <c r="CE713" s="449">
        <f>'Fiche info Avenant 7'!$BK$11</f>
        <v>0</v>
      </c>
      <c r="CF713" s="449">
        <f>'Fiche info Avenant 7'!$BL$11</f>
        <v>0</v>
      </c>
      <c r="ED713" s="16" t="str">
        <f t="shared" si="142"/>
        <v>Fiche info Avenant 7F</v>
      </c>
      <c r="EE713" s="16" t="str">
        <f t="shared" si="143"/>
        <v>Fiche info Avenant 7</v>
      </c>
      <c r="EF713" s="16" t="str">
        <f t="shared" si="144"/>
        <v>F</v>
      </c>
      <c r="EG713" s="16">
        <f t="shared" si="145"/>
        <v>5</v>
      </c>
      <c r="EH713" s="16" t="str">
        <f t="shared" si="146"/>
        <v>Vendredi</v>
      </c>
      <c r="EI713" s="16" t="str">
        <f t="shared" si="147"/>
        <v/>
      </c>
    </row>
    <row r="714" spans="1:139" x14ac:dyDescent="0.2">
      <c r="A714" s="16" t="str">
        <f t="shared" si="140"/>
        <v>Fiche info Avenant 7F6</v>
      </c>
      <c r="B714" s="16" t="str">
        <f t="shared" si="141"/>
        <v>Fiche info Avenant 7</v>
      </c>
      <c r="C714" s="27" t="s">
        <v>244</v>
      </c>
      <c r="D714" s="27">
        <v>6</v>
      </c>
      <c r="E714" s="16" t="s">
        <v>193</v>
      </c>
      <c r="F714" s="34" t="str">
        <f>+IF('Fiche info Avenant 7'!$BN$12=0,"",'Fiche info Avenant 7'!$BN$12)</f>
        <v/>
      </c>
      <c r="G714" s="16">
        <f t="shared" si="148"/>
        <v>0</v>
      </c>
      <c r="BX714" s="16" t="str">
        <f t="shared" si="149"/>
        <v>Fiche info Avenant 7F6</v>
      </c>
      <c r="BY714" s="449">
        <f>'Fiche info Avenant 7'!$BE$12</f>
        <v>0</v>
      </c>
      <c r="BZ714" s="449">
        <f>'Fiche info Avenant 7'!$BF$12</f>
        <v>0</v>
      </c>
      <c r="CA714" s="449">
        <f>'Fiche info Avenant 7'!$BG$12</f>
        <v>0</v>
      </c>
      <c r="CB714" s="449">
        <f>'Fiche info Avenant 7'!$BH$12</f>
        <v>0</v>
      </c>
      <c r="CC714" s="449">
        <f>'Fiche info Avenant 7'!$BI$12</f>
        <v>0</v>
      </c>
      <c r="CD714" s="449">
        <f>'Fiche info Avenant 7'!$BJ$12</f>
        <v>0</v>
      </c>
      <c r="CE714" s="449">
        <f>'Fiche info Avenant 7'!$BK$12</f>
        <v>0</v>
      </c>
      <c r="CF714" s="449">
        <f>'Fiche info Avenant 7'!$BL$12</f>
        <v>0</v>
      </c>
      <c r="ED714" s="16" t="str">
        <f t="shared" si="142"/>
        <v>Fiche info Avenant 7F</v>
      </c>
      <c r="EE714" s="16" t="str">
        <f t="shared" si="143"/>
        <v>Fiche info Avenant 7</v>
      </c>
      <c r="EF714" s="16" t="str">
        <f t="shared" si="144"/>
        <v>F</v>
      </c>
      <c r="EG714" s="16">
        <f t="shared" si="145"/>
        <v>6</v>
      </c>
      <c r="EH714" s="16" t="str">
        <f t="shared" si="146"/>
        <v>Samedi</v>
      </c>
      <c r="EI714" s="16" t="str">
        <f t="shared" si="147"/>
        <v/>
      </c>
    </row>
    <row r="715" spans="1:139" x14ac:dyDescent="0.2">
      <c r="A715" s="16" t="str">
        <f t="shared" si="140"/>
        <v>Fiche info Avenant 7F7</v>
      </c>
      <c r="B715" s="16" t="str">
        <f t="shared" si="141"/>
        <v>Fiche info Avenant 7</v>
      </c>
      <c r="C715" s="27" t="s">
        <v>244</v>
      </c>
      <c r="D715" s="27">
        <v>7</v>
      </c>
      <c r="E715" s="16" t="s">
        <v>194</v>
      </c>
      <c r="F715" s="34" t="str">
        <f>+IF('Fiche info Avenant 7'!$BN$13=0,"",'Fiche info Avenant 7'!$BN$13)</f>
        <v/>
      </c>
      <c r="G715" s="16">
        <f t="shared" si="148"/>
        <v>0</v>
      </c>
      <c r="BX715" s="16" t="str">
        <f t="shared" si="149"/>
        <v>Fiche info Avenant 7F7</v>
      </c>
      <c r="BY715" s="449">
        <f>'Fiche info Avenant 7'!$BE$13</f>
        <v>0</v>
      </c>
      <c r="BZ715" s="449">
        <f>'Fiche info Avenant 7'!$BF$13</f>
        <v>0</v>
      </c>
      <c r="CA715" s="449">
        <f>'Fiche info Avenant 7'!$BG$13</f>
        <v>0</v>
      </c>
      <c r="CB715" s="449">
        <f>'Fiche info Avenant 7'!$BH$13</f>
        <v>0</v>
      </c>
      <c r="CC715" s="449">
        <f>'Fiche info Avenant 7'!$BI$13</f>
        <v>0</v>
      </c>
      <c r="CD715" s="449">
        <f>'Fiche info Avenant 7'!$BJ$13</f>
        <v>0</v>
      </c>
      <c r="CE715" s="449">
        <f>'Fiche info Avenant 7'!$BK$13</f>
        <v>0</v>
      </c>
      <c r="CF715" s="449">
        <f>'Fiche info Avenant 7'!$BL$13</f>
        <v>0</v>
      </c>
      <c r="ED715" s="16" t="str">
        <f t="shared" si="142"/>
        <v>Fiche info Avenant 7F</v>
      </c>
      <c r="EE715" s="16" t="str">
        <f t="shared" si="143"/>
        <v>Fiche info Avenant 7</v>
      </c>
      <c r="EF715" s="16" t="str">
        <f t="shared" si="144"/>
        <v>F</v>
      </c>
      <c r="EG715" s="16">
        <f t="shared" si="145"/>
        <v>7</v>
      </c>
      <c r="EH715" s="16" t="str">
        <f t="shared" si="146"/>
        <v>Dimanche</v>
      </c>
      <c r="EI715" s="16" t="str">
        <f t="shared" si="147"/>
        <v/>
      </c>
    </row>
    <row r="716" spans="1:139" x14ac:dyDescent="0.2">
      <c r="A716" s="16" t="str">
        <f t="shared" si="140"/>
        <v>Fiche info Avenant 7G1</v>
      </c>
      <c r="B716" s="16" t="str">
        <f t="shared" si="141"/>
        <v>Fiche info Avenant 7</v>
      </c>
      <c r="C716" s="27" t="s">
        <v>245</v>
      </c>
      <c r="D716" s="27">
        <v>1</v>
      </c>
      <c r="E716" s="16" t="s">
        <v>17</v>
      </c>
      <c r="F716" s="34" t="str">
        <f>+IF('Fiche info Avenant 7'!$BY$7=0,"",'Fiche info Avenant 7'!$BY$7)</f>
        <v/>
      </c>
      <c r="G716" s="16">
        <f t="shared" si="148"/>
        <v>0</v>
      </c>
      <c r="BX716" s="16" t="str">
        <f t="shared" si="149"/>
        <v>Fiche info Avenant 7G1</v>
      </c>
      <c r="BY716" s="449">
        <f>'Fiche info Avenant 7'!$BP$7</f>
        <v>0</v>
      </c>
      <c r="BZ716" s="449">
        <f>'Fiche info Avenant 7'!$BQ$7</f>
        <v>0</v>
      </c>
      <c r="CA716" s="449">
        <f>'Fiche info Avenant 7'!$BR$7</f>
        <v>0</v>
      </c>
      <c r="CB716" s="449">
        <f>'Fiche info Avenant 7'!$BS$7</f>
        <v>0</v>
      </c>
      <c r="CC716" s="449">
        <f>'Fiche info Avenant 7'!$BT$7</f>
        <v>0</v>
      </c>
      <c r="CD716" s="449">
        <f>'Fiche info Avenant 7'!$BU$7</f>
        <v>0</v>
      </c>
      <c r="CE716" s="449">
        <f>'Fiche info Avenant 7'!$BV$7</f>
        <v>0</v>
      </c>
      <c r="CF716" s="449">
        <f>'Fiche info Avenant 7'!$BW$7</f>
        <v>0</v>
      </c>
      <c r="ED716" s="16" t="str">
        <f t="shared" si="142"/>
        <v>Fiche info Avenant 7G</v>
      </c>
      <c r="EE716" s="16" t="str">
        <f t="shared" si="143"/>
        <v>Fiche info Avenant 7</v>
      </c>
      <c r="EF716" s="16" t="str">
        <f t="shared" si="144"/>
        <v>G</v>
      </c>
      <c r="EG716" s="16">
        <f t="shared" si="145"/>
        <v>1</v>
      </c>
      <c r="EH716" s="16" t="str">
        <f t="shared" si="146"/>
        <v>Lundi</v>
      </c>
      <c r="EI716" s="16" t="str">
        <f t="shared" si="147"/>
        <v/>
      </c>
    </row>
    <row r="717" spans="1:139" x14ac:dyDescent="0.2">
      <c r="A717" s="16" t="str">
        <f t="shared" si="140"/>
        <v>Fiche info Avenant 7G2</v>
      </c>
      <c r="B717" s="16" t="str">
        <f t="shared" si="141"/>
        <v>Fiche info Avenant 7</v>
      </c>
      <c r="C717" s="27" t="s">
        <v>245</v>
      </c>
      <c r="D717" s="27">
        <v>2</v>
      </c>
      <c r="E717" s="16" t="s">
        <v>18</v>
      </c>
      <c r="F717" s="34" t="str">
        <f>+IF('Fiche info Avenant 7'!$BY$8=0,"",'Fiche info Avenant 7'!$BY$8)</f>
        <v/>
      </c>
      <c r="G717" s="16">
        <f t="shared" si="148"/>
        <v>0</v>
      </c>
      <c r="BX717" s="16" t="str">
        <f t="shared" si="149"/>
        <v>Fiche info Avenant 7G2</v>
      </c>
      <c r="BY717" s="449">
        <f>'Fiche info Avenant 7'!$BP$8</f>
        <v>0</v>
      </c>
      <c r="BZ717" s="449">
        <f>'Fiche info Avenant 7'!$BQ$8</f>
        <v>0</v>
      </c>
      <c r="CA717" s="449">
        <f>'Fiche info Avenant 7'!$BR$8</f>
        <v>0</v>
      </c>
      <c r="CB717" s="449">
        <f>'Fiche info Avenant 7'!$BS$8</f>
        <v>0</v>
      </c>
      <c r="CC717" s="449">
        <f>'Fiche info Avenant 7'!$BT$8</f>
        <v>0</v>
      </c>
      <c r="CD717" s="449">
        <f>'Fiche info Avenant 7'!$BU$8</f>
        <v>0</v>
      </c>
      <c r="CE717" s="449">
        <f>'Fiche info Avenant 7'!$BV$8</f>
        <v>0</v>
      </c>
      <c r="CF717" s="449">
        <f>'Fiche info Avenant 7'!$BW$8</f>
        <v>0</v>
      </c>
      <c r="ED717" s="16" t="str">
        <f t="shared" si="142"/>
        <v>Fiche info Avenant 7G</v>
      </c>
      <c r="EE717" s="16" t="str">
        <f t="shared" si="143"/>
        <v>Fiche info Avenant 7</v>
      </c>
      <c r="EF717" s="16" t="str">
        <f t="shared" si="144"/>
        <v>G</v>
      </c>
      <c r="EG717" s="16">
        <f t="shared" si="145"/>
        <v>2</v>
      </c>
      <c r="EH717" s="16" t="str">
        <f t="shared" si="146"/>
        <v>Mardi</v>
      </c>
      <c r="EI717" s="16" t="str">
        <f t="shared" si="147"/>
        <v/>
      </c>
    </row>
    <row r="718" spans="1:139" x14ac:dyDescent="0.2">
      <c r="A718" s="16" t="str">
        <f t="shared" si="140"/>
        <v>Fiche info Avenant 7G3</v>
      </c>
      <c r="B718" s="16" t="str">
        <f t="shared" si="141"/>
        <v>Fiche info Avenant 7</v>
      </c>
      <c r="C718" s="27" t="s">
        <v>245</v>
      </c>
      <c r="D718" s="27">
        <v>3</v>
      </c>
      <c r="E718" s="16" t="s">
        <v>19</v>
      </c>
      <c r="F718" s="34" t="str">
        <f>+IF('Fiche info Avenant 7'!$BY$9=0,"",'Fiche info Avenant 7'!$BY$9)</f>
        <v/>
      </c>
      <c r="G718" s="16">
        <f t="shared" si="148"/>
        <v>0</v>
      </c>
      <c r="BX718" s="16" t="str">
        <f t="shared" si="149"/>
        <v>Fiche info Avenant 7G3</v>
      </c>
      <c r="BY718" s="449">
        <f>'Fiche info Avenant 7'!$BP$9</f>
        <v>0</v>
      </c>
      <c r="BZ718" s="449">
        <f>'Fiche info Avenant 7'!$BQ$9</f>
        <v>0</v>
      </c>
      <c r="CA718" s="449">
        <f>'Fiche info Avenant 7'!$BR$9</f>
        <v>0</v>
      </c>
      <c r="CB718" s="449">
        <f>'Fiche info Avenant 7'!$BS$9</f>
        <v>0</v>
      </c>
      <c r="CC718" s="449">
        <f>'Fiche info Avenant 7'!$BT$9</f>
        <v>0</v>
      </c>
      <c r="CD718" s="449">
        <f>'Fiche info Avenant 7'!$BU$9</f>
        <v>0</v>
      </c>
      <c r="CE718" s="449">
        <f>'Fiche info Avenant 7'!$BV$9</f>
        <v>0</v>
      </c>
      <c r="CF718" s="449">
        <f>'Fiche info Avenant 7'!$BW$9</f>
        <v>0</v>
      </c>
      <c r="ED718" s="16" t="str">
        <f t="shared" si="142"/>
        <v>Fiche info Avenant 7G</v>
      </c>
      <c r="EE718" s="16" t="str">
        <f t="shared" si="143"/>
        <v>Fiche info Avenant 7</v>
      </c>
      <c r="EF718" s="16" t="str">
        <f t="shared" si="144"/>
        <v>G</v>
      </c>
      <c r="EG718" s="16">
        <f t="shared" si="145"/>
        <v>3</v>
      </c>
      <c r="EH718" s="16" t="str">
        <f t="shared" si="146"/>
        <v>Mercredi</v>
      </c>
      <c r="EI718" s="16" t="str">
        <f t="shared" si="147"/>
        <v/>
      </c>
    </row>
    <row r="719" spans="1:139" x14ac:dyDescent="0.2">
      <c r="A719" s="16" t="str">
        <f t="shared" si="140"/>
        <v>Fiche info Avenant 7G4</v>
      </c>
      <c r="B719" s="16" t="str">
        <f t="shared" si="141"/>
        <v>Fiche info Avenant 7</v>
      </c>
      <c r="C719" s="27" t="s">
        <v>245</v>
      </c>
      <c r="D719" s="27">
        <v>4</v>
      </c>
      <c r="E719" s="16" t="s">
        <v>20</v>
      </c>
      <c r="F719" s="34" t="str">
        <f>+IF('Fiche info Avenant 7'!$BY$10=0,"",'Fiche info Avenant 7'!$BY$10)</f>
        <v/>
      </c>
      <c r="G719" s="16">
        <f t="shared" si="148"/>
        <v>0</v>
      </c>
      <c r="BX719" s="16" t="str">
        <f t="shared" si="149"/>
        <v>Fiche info Avenant 7G4</v>
      </c>
      <c r="BY719" s="449">
        <f>'Fiche info Avenant 7'!$BP$10</f>
        <v>0</v>
      </c>
      <c r="BZ719" s="449">
        <f>'Fiche info Avenant 7'!$BQ$10</f>
        <v>0</v>
      </c>
      <c r="CA719" s="449">
        <f>'Fiche info Avenant 7'!$BR$10</f>
        <v>0</v>
      </c>
      <c r="CB719" s="449">
        <f>'Fiche info Avenant 7'!$BS$10</f>
        <v>0</v>
      </c>
      <c r="CC719" s="449">
        <f>'Fiche info Avenant 7'!$BT$10</f>
        <v>0</v>
      </c>
      <c r="CD719" s="449">
        <f>'Fiche info Avenant 7'!$BU$10</f>
        <v>0</v>
      </c>
      <c r="CE719" s="449">
        <f>'Fiche info Avenant 7'!$BV$10</f>
        <v>0</v>
      </c>
      <c r="CF719" s="449">
        <f>'Fiche info Avenant 7'!$BW$10</f>
        <v>0</v>
      </c>
      <c r="ED719" s="16" t="str">
        <f t="shared" si="142"/>
        <v>Fiche info Avenant 7G</v>
      </c>
      <c r="EE719" s="16" t="str">
        <f t="shared" si="143"/>
        <v>Fiche info Avenant 7</v>
      </c>
      <c r="EF719" s="16" t="str">
        <f t="shared" si="144"/>
        <v>G</v>
      </c>
      <c r="EG719" s="16">
        <f t="shared" si="145"/>
        <v>4</v>
      </c>
      <c r="EH719" s="16" t="str">
        <f t="shared" si="146"/>
        <v>Jeudi</v>
      </c>
      <c r="EI719" s="16" t="str">
        <f t="shared" si="147"/>
        <v/>
      </c>
    </row>
    <row r="720" spans="1:139" x14ac:dyDescent="0.2">
      <c r="A720" s="16" t="str">
        <f t="shared" si="140"/>
        <v>Fiche info Avenant 7G5</v>
      </c>
      <c r="B720" s="16" t="str">
        <f t="shared" si="141"/>
        <v>Fiche info Avenant 7</v>
      </c>
      <c r="C720" s="27" t="s">
        <v>245</v>
      </c>
      <c r="D720" s="27">
        <v>5</v>
      </c>
      <c r="E720" s="16" t="s">
        <v>21</v>
      </c>
      <c r="F720" s="34" t="str">
        <f>+IF('Fiche info Avenant 7'!$BY$11=0,"",'Fiche info Avenant 7'!$BY$11)</f>
        <v/>
      </c>
      <c r="G720" s="16">
        <f t="shared" si="148"/>
        <v>0</v>
      </c>
      <c r="BX720" s="16" t="str">
        <f t="shared" si="149"/>
        <v>Fiche info Avenant 7G5</v>
      </c>
      <c r="BY720" s="449">
        <f>'Fiche info Avenant 7'!$BP$11</f>
        <v>0</v>
      </c>
      <c r="BZ720" s="449">
        <f>'Fiche info Avenant 7'!$BQ$11</f>
        <v>0</v>
      </c>
      <c r="CA720" s="449">
        <f>'Fiche info Avenant 7'!$BR$11</f>
        <v>0</v>
      </c>
      <c r="CB720" s="449">
        <f>'Fiche info Avenant 7'!$BS$11</f>
        <v>0</v>
      </c>
      <c r="CC720" s="449">
        <f>'Fiche info Avenant 7'!$BT$11</f>
        <v>0</v>
      </c>
      <c r="CD720" s="449">
        <f>'Fiche info Avenant 7'!$BU$11</f>
        <v>0</v>
      </c>
      <c r="CE720" s="449">
        <f>'Fiche info Avenant 7'!$BV$11</f>
        <v>0</v>
      </c>
      <c r="CF720" s="449">
        <f>'Fiche info Avenant 7'!$BW$11</f>
        <v>0</v>
      </c>
      <c r="ED720" s="16" t="str">
        <f t="shared" si="142"/>
        <v>Fiche info Avenant 7G</v>
      </c>
      <c r="EE720" s="16" t="str">
        <f t="shared" si="143"/>
        <v>Fiche info Avenant 7</v>
      </c>
      <c r="EF720" s="16" t="str">
        <f t="shared" si="144"/>
        <v>G</v>
      </c>
      <c r="EG720" s="16">
        <f t="shared" si="145"/>
        <v>5</v>
      </c>
      <c r="EH720" s="16" t="str">
        <f t="shared" si="146"/>
        <v>Vendredi</v>
      </c>
      <c r="EI720" s="16" t="str">
        <f t="shared" si="147"/>
        <v/>
      </c>
    </row>
    <row r="721" spans="1:139" x14ac:dyDescent="0.2">
      <c r="A721" s="16" t="str">
        <f t="shared" si="140"/>
        <v>Fiche info Avenant 7G6</v>
      </c>
      <c r="B721" s="16" t="str">
        <f t="shared" si="141"/>
        <v>Fiche info Avenant 7</v>
      </c>
      <c r="C721" s="27" t="s">
        <v>245</v>
      </c>
      <c r="D721" s="27">
        <v>6</v>
      </c>
      <c r="E721" s="16" t="s">
        <v>193</v>
      </c>
      <c r="F721" s="34" t="str">
        <f>+IF('Fiche info Avenant 7'!$BY$12=0,"",'Fiche info Avenant 7'!$BY$12)</f>
        <v/>
      </c>
      <c r="G721" s="16">
        <f t="shared" si="148"/>
        <v>0</v>
      </c>
      <c r="BX721" s="16" t="str">
        <f t="shared" si="149"/>
        <v>Fiche info Avenant 7G6</v>
      </c>
      <c r="BY721" s="449">
        <f>'Fiche info Avenant 7'!$BP$12</f>
        <v>0</v>
      </c>
      <c r="BZ721" s="449">
        <f>'Fiche info Avenant 7'!$BQ$12</f>
        <v>0</v>
      </c>
      <c r="CA721" s="449">
        <f>'Fiche info Avenant 7'!$BR$12</f>
        <v>0</v>
      </c>
      <c r="CB721" s="449">
        <f>'Fiche info Avenant 7'!$BS$12</f>
        <v>0</v>
      </c>
      <c r="CC721" s="449">
        <f>'Fiche info Avenant 7'!$BT$12</f>
        <v>0</v>
      </c>
      <c r="CD721" s="449">
        <f>'Fiche info Avenant 7'!$BU$12</f>
        <v>0</v>
      </c>
      <c r="CE721" s="449">
        <f>'Fiche info Avenant 7'!$BV$12</f>
        <v>0</v>
      </c>
      <c r="CF721" s="449">
        <f>'Fiche info Avenant 7'!$BW$12</f>
        <v>0</v>
      </c>
      <c r="ED721" s="16" t="str">
        <f t="shared" si="142"/>
        <v>Fiche info Avenant 7G</v>
      </c>
      <c r="EE721" s="16" t="str">
        <f t="shared" si="143"/>
        <v>Fiche info Avenant 7</v>
      </c>
      <c r="EF721" s="16" t="str">
        <f t="shared" si="144"/>
        <v>G</v>
      </c>
      <c r="EG721" s="16">
        <f t="shared" si="145"/>
        <v>6</v>
      </c>
      <c r="EH721" s="16" t="str">
        <f t="shared" si="146"/>
        <v>Samedi</v>
      </c>
      <c r="EI721" s="16" t="str">
        <f t="shared" si="147"/>
        <v/>
      </c>
    </row>
    <row r="722" spans="1:139" x14ac:dyDescent="0.2">
      <c r="A722" s="16" t="str">
        <f t="shared" si="140"/>
        <v>Fiche info Avenant 7G7</v>
      </c>
      <c r="B722" s="16" t="str">
        <f t="shared" si="141"/>
        <v>Fiche info Avenant 7</v>
      </c>
      <c r="C722" s="27" t="s">
        <v>245</v>
      </c>
      <c r="D722" s="27">
        <v>7</v>
      </c>
      <c r="E722" s="16" t="s">
        <v>194</v>
      </c>
      <c r="F722" s="34" t="str">
        <f>+IF('Fiche info Avenant 7'!$BY$13=0,"",'Fiche info Avenant 7'!$BY$13)</f>
        <v/>
      </c>
      <c r="G722" s="16">
        <f t="shared" si="148"/>
        <v>0</v>
      </c>
      <c r="BX722" s="16" t="str">
        <f t="shared" si="149"/>
        <v>Fiche info Avenant 7G7</v>
      </c>
      <c r="BY722" s="449">
        <f>'Fiche info Avenant 7'!$BP$13</f>
        <v>0</v>
      </c>
      <c r="BZ722" s="449">
        <f>'Fiche info Avenant 7'!$BQ$13</f>
        <v>0</v>
      </c>
      <c r="CA722" s="449">
        <f>'Fiche info Avenant 7'!$BR$13</f>
        <v>0</v>
      </c>
      <c r="CB722" s="449">
        <f>'Fiche info Avenant 7'!$BS$13</f>
        <v>0</v>
      </c>
      <c r="CC722" s="449">
        <f>'Fiche info Avenant 7'!$BT$13</f>
        <v>0</v>
      </c>
      <c r="CD722" s="449">
        <f>'Fiche info Avenant 7'!$BU$13</f>
        <v>0</v>
      </c>
      <c r="CE722" s="449">
        <f>'Fiche info Avenant 7'!$BV$13</f>
        <v>0</v>
      </c>
      <c r="CF722" s="449">
        <f>'Fiche info Avenant 7'!$BW$13</f>
        <v>0</v>
      </c>
      <c r="ED722" s="16" t="str">
        <f t="shared" si="142"/>
        <v>Fiche info Avenant 7G</v>
      </c>
      <c r="EE722" s="16" t="str">
        <f t="shared" si="143"/>
        <v>Fiche info Avenant 7</v>
      </c>
      <c r="EF722" s="16" t="str">
        <f t="shared" si="144"/>
        <v>G</v>
      </c>
      <c r="EG722" s="16">
        <f t="shared" si="145"/>
        <v>7</v>
      </c>
      <c r="EH722" s="16" t="str">
        <f t="shared" si="146"/>
        <v>Dimanche</v>
      </c>
      <c r="EI722" s="16" t="str">
        <f t="shared" si="147"/>
        <v/>
      </c>
    </row>
    <row r="723" spans="1:139" x14ac:dyDescent="0.2">
      <c r="A723" s="16" t="str">
        <f t="shared" si="140"/>
        <v>Fiche info Avenant 7H1</v>
      </c>
      <c r="B723" s="16" t="str">
        <f t="shared" si="141"/>
        <v>Fiche info Avenant 7</v>
      </c>
      <c r="C723" s="27" t="s">
        <v>246</v>
      </c>
      <c r="D723" s="27">
        <v>1</v>
      </c>
      <c r="E723" s="16" t="s">
        <v>17</v>
      </c>
      <c r="F723" s="34" t="str">
        <f>+IF('Fiche info Avenant 7'!$CJ$7=0,"",'Fiche info Avenant 7'!$CJ$7)</f>
        <v/>
      </c>
      <c r="G723" s="16">
        <f t="shared" si="148"/>
        <v>0</v>
      </c>
      <c r="BX723" s="16" t="str">
        <f t="shared" si="149"/>
        <v>Fiche info Avenant 7H1</v>
      </c>
      <c r="BY723" s="449">
        <f>'Fiche info Avenant 7'!$CA$7</f>
        <v>0</v>
      </c>
      <c r="BZ723" s="449">
        <f>'Fiche info Avenant 7'!$CB$7</f>
        <v>0</v>
      </c>
      <c r="CA723" s="449">
        <f>'Fiche info Avenant 7'!$CC$7</f>
        <v>0</v>
      </c>
      <c r="CB723" s="449">
        <f>'Fiche info Avenant 7'!$CD$7</f>
        <v>0</v>
      </c>
      <c r="CC723" s="449">
        <f>'Fiche info Avenant 7'!$CE$7</f>
        <v>0</v>
      </c>
      <c r="CD723" s="449">
        <f>'Fiche info Avenant 7'!$CF$7</f>
        <v>0</v>
      </c>
      <c r="CE723" s="449">
        <f>'Fiche info Avenant 7'!$CG$7</f>
        <v>0</v>
      </c>
      <c r="CF723" s="449">
        <f>'Fiche info Avenant 7'!$CH$7</f>
        <v>0</v>
      </c>
      <c r="ED723" s="16" t="str">
        <f t="shared" si="142"/>
        <v>Fiche info Avenant 7H</v>
      </c>
      <c r="EE723" s="16" t="str">
        <f t="shared" si="143"/>
        <v>Fiche info Avenant 7</v>
      </c>
      <c r="EF723" s="16" t="str">
        <f t="shared" si="144"/>
        <v>H</v>
      </c>
      <c r="EG723" s="16">
        <f t="shared" si="145"/>
        <v>1</v>
      </c>
      <c r="EH723" s="16" t="str">
        <f t="shared" si="146"/>
        <v>Lundi</v>
      </c>
      <c r="EI723" s="16" t="str">
        <f t="shared" si="147"/>
        <v/>
      </c>
    </row>
    <row r="724" spans="1:139" x14ac:dyDescent="0.2">
      <c r="A724" s="16" t="str">
        <f t="shared" si="140"/>
        <v>Fiche info Avenant 7H2</v>
      </c>
      <c r="B724" s="16" t="str">
        <f t="shared" si="141"/>
        <v>Fiche info Avenant 7</v>
      </c>
      <c r="C724" s="27" t="s">
        <v>246</v>
      </c>
      <c r="D724" s="27">
        <v>2</v>
      </c>
      <c r="E724" s="16" t="s">
        <v>18</v>
      </c>
      <c r="F724" s="34" t="str">
        <f>+IF('Fiche info Avenant 7'!$CJ$8=0,"",'Fiche info Avenant 7'!$CJ$8)</f>
        <v/>
      </c>
      <c r="G724" s="16">
        <f t="shared" si="148"/>
        <v>0</v>
      </c>
      <c r="BX724" s="16" t="str">
        <f t="shared" si="149"/>
        <v>Fiche info Avenant 7H2</v>
      </c>
      <c r="BY724" s="449">
        <f>'Fiche info Avenant 7'!$CA$8</f>
        <v>0</v>
      </c>
      <c r="BZ724" s="449">
        <f>'Fiche info Avenant 7'!$CB$8</f>
        <v>0</v>
      </c>
      <c r="CA724" s="449">
        <f>'Fiche info Avenant 7'!$CC$8</f>
        <v>0</v>
      </c>
      <c r="CB724" s="449">
        <f>'Fiche info Avenant 7'!$CD$8</f>
        <v>0</v>
      </c>
      <c r="CC724" s="449">
        <f>'Fiche info Avenant 7'!$CE$8</f>
        <v>0</v>
      </c>
      <c r="CD724" s="449">
        <f>'Fiche info Avenant 7'!$CF$8</f>
        <v>0</v>
      </c>
      <c r="CE724" s="449">
        <f>'Fiche info Avenant 7'!$CG$8</f>
        <v>0</v>
      </c>
      <c r="CF724" s="449">
        <f>'Fiche info Avenant 7'!$CH$8</f>
        <v>0</v>
      </c>
      <c r="ED724" s="16" t="str">
        <f t="shared" si="142"/>
        <v>Fiche info Avenant 7H</v>
      </c>
      <c r="EE724" s="16" t="str">
        <f t="shared" si="143"/>
        <v>Fiche info Avenant 7</v>
      </c>
      <c r="EF724" s="16" t="str">
        <f t="shared" si="144"/>
        <v>H</v>
      </c>
      <c r="EG724" s="16">
        <f t="shared" si="145"/>
        <v>2</v>
      </c>
      <c r="EH724" s="16" t="str">
        <f t="shared" si="146"/>
        <v>Mardi</v>
      </c>
      <c r="EI724" s="16" t="str">
        <f t="shared" si="147"/>
        <v/>
      </c>
    </row>
    <row r="725" spans="1:139" x14ac:dyDescent="0.2">
      <c r="A725" s="16" t="str">
        <f t="shared" si="140"/>
        <v>Fiche info Avenant 7H3</v>
      </c>
      <c r="B725" s="16" t="str">
        <f t="shared" si="141"/>
        <v>Fiche info Avenant 7</v>
      </c>
      <c r="C725" s="27" t="s">
        <v>246</v>
      </c>
      <c r="D725" s="27">
        <v>3</v>
      </c>
      <c r="E725" s="16" t="s">
        <v>19</v>
      </c>
      <c r="F725" s="34" t="str">
        <f>+IF('Fiche info Avenant 7'!$CJ$9=0,"",'Fiche info Avenant 7'!$CJ$9)</f>
        <v/>
      </c>
      <c r="G725" s="16">
        <f t="shared" si="148"/>
        <v>0</v>
      </c>
      <c r="BX725" s="16" t="str">
        <f t="shared" si="149"/>
        <v>Fiche info Avenant 7H3</v>
      </c>
      <c r="BY725" s="449">
        <f>'Fiche info Avenant 7'!$CA$9</f>
        <v>0</v>
      </c>
      <c r="BZ725" s="449">
        <f>'Fiche info Avenant 7'!$CB$9</f>
        <v>0</v>
      </c>
      <c r="CA725" s="449">
        <f>'Fiche info Avenant 7'!$CC$9</f>
        <v>0</v>
      </c>
      <c r="CB725" s="449">
        <f>'Fiche info Avenant 7'!$CD$9</f>
        <v>0</v>
      </c>
      <c r="CC725" s="449">
        <f>'Fiche info Avenant 7'!$CE$9</f>
        <v>0</v>
      </c>
      <c r="CD725" s="449">
        <f>'Fiche info Avenant 7'!$CF$9</f>
        <v>0</v>
      </c>
      <c r="CE725" s="449">
        <f>'Fiche info Avenant 7'!$CG$9</f>
        <v>0</v>
      </c>
      <c r="CF725" s="449">
        <f>'Fiche info Avenant 7'!$CH$9</f>
        <v>0</v>
      </c>
      <c r="ED725" s="16" t="str">
        <f t="shared" si="142"/>
        <v>Fiche info Avenant 7H</v>
      </c>
      <c r="EE725" s="16" t="str">
        <f t="shared" si="143"/>
        <v>Fiche info Avenant 7</v>
      </c>
      <c r="EF725" s="16" t="str">
        <f t="shared" si="144"/>
        <v>H</v>
      </c>
      <c r="EG725" s="16">
        <f t="shared" si="145"/>
        <v>3</v>
      </c>
      <c r="EH725" s="16" t="str">
        <f t="shared" si="146"/>
        <v>Mercredi</v>
      </c>
      <c r="EI725" s="16" t="str">
        <f t="shared" si="147"/>
        <v/>
      </c>
    </row>
    <row r="726" spans="1:139" x14ac:dyDescent="0.2">
      <c r="A726" s="16" t="str">
        <f t="shared" si="140"/>
        <v>Fiche info Avenant 7H4</v>
      </c>
      <c r="B726" s="16" t="str">
        <f t="shared" si="141"/>
        <v>Fiche info Avenant 7</v>
      </c>
      <c r="C726" s="27" t="s">
        <v>246</v>
      </c>
      <c r="D726" s="27">
        <v>4</v>
      </c>
      <c r="E726" s="16" t="s">
        <v>20</v>
      </c>
      <c r="F726" s="34" t="str">
        <f>+IF('Fiche info Avenant 7'!$CJ$10=0,"",'Fiche info Avenant 7'!$CJ$10)</f>
        <v/>
      </c>
      <c r="G726" s="16">
        <f t="shared" si="148"/>
        <v>0</v>
      </c>
      <c r="BX726" s="16" t="str">
        <f t="shared" si="149"/>
        <v>Fiche info Avenant 7H4</v>
      </c>
      <c r="BY726" s="449">
        <f>'Fiche info Avenant 7'!$CA$10</f>
        <v>0</v>
      </c>
      <c r="BZ726" s="449">
        <f>'Fiche info Avenant 7'!$CB$10</f>
        <v>0</v>
      </c>
      <c r="CA726" s="449">
        <f>'Fiche info Avenant 7'!$CC$10</f>
        <v>0</v>
      </c>
      <c r="CB726" s="449">
        <f>'Fiche info Avenant 7'!$CD$10</f>
        <v>0</v>
      </c>
      <c r="CC726" s="449">
        <f>'Fiche info Avenant 7'!$CE$10</f>
        <v>0</v>
      </c>
      <c r="CD726" s="449">
        <f>'Fiche info Avenant 7'!$CF$10</f>
        <v>0</v>
      </c>
      <c r="CE726" s="449">
        <f>'Fiche info Avenant 7'!$CG$10</f>
        <v>0</v>
      </c>
      <c r="CF726" s="449">
        <f>'Fiche info Avenant 7'!$CH$10</f>
        <v>0</v>
      </c>
      <c r="ED726" s="16" t="str">
        <f t="shared" si="142"/>
        <v>Fiche info Avenant 7H</v>
      </c>
      <c r="EE726" s="16" t="str">
        <f t="shared" si="143"/>
        <v>Fiche info Avenant 7</v>
      </c>
      <c r="EF726" s="16" t="str">
        <f t="shared" si="144"/>
        <v>H</v>
      </c>
      <c r="EG726" s="16">
        <f t="shared" si="145"/>
        <v>4</v>
      </c>
      <c r="EH726" s="16" t="str">
        <f t="shared" si="146"/>
        <v>Jeudi</v>
      </c>
      <c r="EI726" s="16" t="str">
        <f t="shared" si="147"/>
        <v/>
      </c>
    </row>
    <row r="727" spans="1:139" x14ac:dyDescent="0.2">
      <c r="A727" s="16" t="str">
        <f t="shared" si="140"/>
        <v>Fiche info Avenant 7H5</v>
      </c>
      <c r="B727" s="16" t="str">
        <f t="shared" si="141"/>
        <v>Fiche info Avenant 7</v>
      </c>
      <c r="C727" s="27" t="s">
        <v>246</v>
      </c>
      <c r="D727" s="27">
        <v>5</v>
      </c>
      <c r="E727" s="16" t="s">
        <v>21</v>
      </c>
      <c r="F727" s="34" t="str">
        <f>+IF('Fiche info Avenant 7'!$CJ$11=0,"",'Fiche info Avenant 7'!$CJ$11)</f>
        <v/>
      </c>
      <c r="G727" s="16">
        <f t="shared" si="148"/>
        <v>0</v>
      </c>
      <c r="BX727" s="16" t="str">
        <f t="shared" si="149"/>
        <v>Fiche info Avenant 7H5</v>
      </c>
      <c r="BY727" s="449">
        <f>'Fiche info Avenant 7'!$CA$11</f>
        <v>0</v>
      </c>
      <c r="BZ727" s="449">
        <f>'Fiche info Avenant 7'!$CB$11</f>
        <v>0</v>
      </c>
      <c r="CA727" s="449">
        <f>'Fiche info Avenant 7'!$CC$11</f>
        <v>0</v>
      </c>
      <c r="CB727" s="449">
        <f>'Fiche info Avenant 7'!$CD$11</f>
        <v>0</v>
      </c>
      <c r="CC727" s="449">
        <f>'Fiche info Avenant 7'!$CE$11</f>
        <v>0</v>
      </c>
      <c r="CD727" s="449">
        <f>'Fiche info Avenant 7'!$CF$11</f>
        <v>0</v>
      </c>
      <c r="CE727" s="449">
        <f>'Fiche info Avenant 7'!$CG$11</f>
        <v>0</v>
      </c>
      <c r="CF727" s="449">
        <f>'Fiche info Avenant 7'!$CH$11</f>
        <v>0</v>
      </c>
      <c r="ED727" s="16" t="str">
        <f t="shared" si="142"/>
        <v>Fiche info Avenant 7H</v>
      </c>
      <c r="EE727" s="16" t="str">
        <f t="shared" si="143"/>
        <v>Fiche info Avenant 7</v>
      </c>
      <c r="EF727" s="16" t="str">
        <f t="shared" si="144"/>
        <v>H</v>
      </c>
      <c r="EG727" s="16">
        <f t="shared" si="145"/>
        <v>5</v>
      </c>
      <c r="EH727" s="16" t="str">
        <f t="shared" si="146"/>
        <v>Vendredi</v>
      </c>
      <c r="EI727" s="16" t="str">
        <f t="shared" si="147"/>
        <v/>
      </c>
    </row>
    <row r="728" spans="1:139" x14ac:dyDescent="0.2">
      <c r="A728" s="16" t="str">
        <f t="shared" si="140"/>
        <v>Fiche info Avenant 7H6</v>
      </c>
      <c r="B728" s="16" t="str">
        <f t="shared" si="141"/>
        <v>Fiche info Avenant 7</v>
      </c>
      <c r="C728" s="27" t="s">
        <v>246</v>
      </c>
      <c r="D728" s="27">
        <v>6</v>
      </c>
      <c r="E728" s="16" t="s">
        <v>193</v>
      </c>
      <c r="F728" s="34" t="str">
        <f>+IF('Fiche info Avenant 7'!$CJ$12=0,"",'Fiche info Avenant 7'!$CJ$12)</f>
        <v/>
      </c>
      <c r="G728" s="16">
        <f t="shared" si="148"/>
        <v>0</v>
      </c>
      <c r="BX728" s="16" t="str">
        <f t="shared" si="149"/>
        <v>Fiche info Avenant 7H6</v>
      </c>
      <c r="BY728" s="449">
        <f>'Fiche info Avenant 7'!$CA$12</f>
        <v>0</v>
      </c>
      <c r="BZ728" s="449">
        <f>'Fiche info Avenant 7'!$CB$12</f>
        <v>0</v>
      </c>
      <c r="CA728" s="449">
        <f>'Fiche info Avenant 7'!$CC$12</f>
        <v>0</v>
      </c>
      <c r="CB728" s="449">
        <f>'Fiche info Avenant 7'!$CD$12</f>
        <v>0</v>
      </c>
      <c r="CC728" s="449">
        <f>'Fiche info Avenant 7'!$CE$12</f>
        <v>0</v>
      </c>
      <c r="CD728" s="449">
        <f>'Fiche info Avenant 7'!$CF$12</f>
        <v>0</v>
      </c>
      <c r="CE728" s="449">
        <f>'Fiche info Avenant 7'!$CG$12</f>
        <v>0</v>
      </c>
      <c r="CF728" s="449">
        <f>'Fiche info Avenant 7'!$CH$12</f>
        <v>0</v>
      </c>
      <c r="ED728" s="16" t="str">
        <f t="shared" si="142"/>
        <v>Fiche info Avenant 7H</v>
      </c>
      <c r="EE728" s="16" t="str">
        <f t="shared" si="143"/>
        <v>Fiche info Avenant 7</v>
      </c>
      <c r="EF728" s="16" t="str">
        <f t="shared" si="144"/>
        <v>H</v>
      </c>
      <c r="EG728" s="16">
        <f t="shared" si="145"/>
        <v>6</v>
      </c>
      <c r="EH728" s="16" t="str">
        <f t="shared" si="146"/>
        <v>Samedi</v>
      </c>
      <c r="EI728" s="16" t="str">
        <f t="shared" si="147"/>
        <v/>
      </c>
    </row>
    <row r="729" spans="1:139" x14ac:dyDescent="0.2">
      <c r="A729" s="16" t="str">
        <f t="shared" si="140"/>
        <v>Fiche info Avenant 7H7</v>
      </c>
      <c r="B729" s="16" t="str">
        <f t="shared" si="141"/>
        <v>Fiche info Avenant 7</v>
      </c>
      <c r="C729" s="27" t="s">
        <v>246</v>
      </c>
      <c r="D729" s="27">
        <v>7</v>
      </c>
      <c r="E729" s="16" t="s">
        <v>194</v>
      </c>
      <c r="F729" s="34" t="str">
        <f>+IF('Fiche info'!$CJ$13=0,"",'Fiche info'!$CJ$13)</f>
        <v/>
      </c>
      <c r="G729" s="16">
        <f t="shared" si="148"/>
        <v>0</v>
      </c>
      <c r="BX729" s="16" t="str">
        <f t="shared" si="149"/>
        <v>Fiche info Avenant 7H7</v>
      </c>
      <c r="BY729" s="449">
        <f>'Fiche info Avenant 7'!$CA$13</f>
        <v>0</v>
      </c>
      <c r="BZ729" s="449">
        <f>'Fiche info Avenant 7'!$CB$13</f>
        <v>0</v>
      </c>
      <c r="CA729" s="449">
        <f>'Fiche info Avenant 7'!$CC$13</f>
        <v>0</v>
      </c>
      <c r="CB729" s="449">
        <f>'Fiche info Avenant 7'!$CD$13</f>
        <v>0</v>
      </c>
      <c r="CC729" s="449">
        <f>'Fiche info Avenant 7'!$CE$13</f>
        <v>0</v>
      </c>
      <c r="CD729" s="449">
        <f>'Fiche info Avenant 7'!$CF$13</f>
        <v>0</v>
      </c>
      <c r="CE729" s="449">
        <f>'Fiche info Avenant 7'!$CG$13</f>
        <v>0</v>
      </c>
      <c r="CF729" s="449">
        <f>'Fiche info Avenant 7'!$CH$13</f>
        <v>0</v>
      </c>
      <c r="ED729" s="16" t="str">
        <f t="shared" si="142"/>
        <v>Fiche info Avenant 7H</v>
      </c>
      <c r="EE729" s="16" t="str">
        <f t="shared" si="143"/>
        <v>Fiche info Avenant 7</v>
      </c>
      <c r="EF729" s="16" t="str">
        <f t="shared" si="144"/>
        <v>H</v>
      </c>
      <c r="EG729" s="16">
        <f t="shared" si="145"/>
        <v>7</v>
      </c>
      <c r="EH729" s="16" t="str">
        <f t="shared" si="146"/>
        <v>Dimanche</v>
      </c>
      <c r="EI729" s="16" t="str">
        <f t="shared" si="147"/>
        <v/>
      </c>
    </row>
    <row r="730" spans="1:139" x14ac:dyDescent="0.2">
      <c r="A730" s="16" t="str">
        <f t="shared" si="140"/>
        <v>Fiche info Avenant 8A1</v>
      </c>
      <c r="B730" s="16" t="str">
        <f>+$P$15</f>
        <v>Fiche info Avenant 8</v>
      </c>
      <c r="C730" s="27" t="s">
        <v>235</v>
      </c>
      <c r="D730" s="27">
        <v>1</v>
      </c>
      <c r="E730" s="16" t="s">
        <v>17</v>
      </c>
      <c r="F730" s="34" t="str">
        <f>IF('Fiche info Avenant 8'!$K$7=0,"",'Fiche info Avenant 8'!$K$7)</f>
        <v/>
      </c>
      <c r="G730" s="16">
        <f t="shared" si="148"/>
        <v>0</v>
      </c>
      <c r="BX730" s="16" t="str">
        <f t="shared" si="149"/>
        <v>Fiche info Avenant 8A1</v>
      </c>
      <c r="BY730" s="449">
        <f>'Fiche info Avenant 8'!$B$7</f>
        <v>0</v>
      </c>
      <c r="BZ730" s="449">
        <f>'Fiche info Avenant 8'!$C$7</f>
        <v>0</v>
      </c>
      <c r="CA730" s="449">
        <f>'Fiche info Avenant 8'!$D$7</f>
        <v>0</v>
      </c>
      <c r="CB730" s="449">
        <f>'Fiche info Avenant 8'!$E$7</f>
        <v>0</v>
      </c>
      <c r="CC730" s="449">
        <f>'Fiche info Avenant 8'!$F$7</f>
        <v>0</v>
      </c>
      <c r="CD730" s="449">
        <f>'Fiche info Avenant 8'!$G$7</f>
        <v>0</v>
      </c>
      <c r="CE730" s="449">
        <f>'Fiche info Avenant 8'!$H$7</f>
        <v>0</v>
      </c>
      <c r="CF730" s="449">
        <f>'Fiche info Avenant 8'!$I$7</f>
        <v>0</v>
      </c>
      <c r="ED730" s="16" t="str">
        <f t="shared" si="142"/>
        <v>Fiche info Avenant 8A</v>
      </c>
      <c r="EE730" s="16" t="str">
        <f t="shared" si="143"/>
        <v>Fiche info Avenant 8</v>
      </c>
      <c r="EF730" s="16" t="str">
        <f t="shared" si="144"/>
        <v>A</v>
      </c>
      <c r="EG730" s="16">
        <f t="shared" si="145"/>
        <v>1</v>
      </c>
      <c r="EH730" s="16" t="str">
        <f t="shared" si="146"/>
        <v>Lundi</v>
      </c>
      <c r="EI730" s="16" t="str">
        <f t="shared" si="147"/>
        <v/>
      </c>
    </row>
    <row r="731" spans="1:139" x14ac:dyDescent="0.2">
      <c r="A731" s="16" t="str">
        <f t="shared" ref="A731:A786" si="150">+B731&amp;C731&amp;D731</f>
        <v>Fiche info Avenant 8A2</v>
      </c>
      <c r="B731" s="16" t="str">
        <f t="shared" ref="B731:B785" si="151">+$P$15</f>
        <v>Fiche info Avenant 8</v>
      </c>
      <c r="C731" s="27" t="s">
        <v>235</v>
      </c>
      <c r="D731" s="27">
        <v>2</v>
      </c>
      <c r="E731" s="16" t="s">
        <v>18</v>
      </c>
      <c r="F731" s="34" t="str">
        <f>IF('Fiche info Avenant 8'!$K$8=0,"",'Fiche info Avenant 8'!$K$8)</f>
        <v/>
      </c>
      <c r="G731" s="16">
        <f t="shared" si="148"/>
        <v>0</v>
      </c>
      <c r="BX731" s="16" t="str">
        <f t="shared" si="149"/>
        <v>Fiche info Avenant 8A2</v>
      </c>
      <c r="BY731" s="449">
        <f>'Fiche info Avenant 8'!$B$8</f>
        <v>0</v>
      </c>
      <c r="BZ731" s="449">
        <f>'Fiche info Avenant 8'!$C$8</f>
        <v>0</v>
      </c>
      <c r="CA731" s="449">
        <f>'Fiche info Avenant 8'!$D$8</f>
        <v>0</v>
      </c>
      <c r="CB731" s="449">
        <f>'Fiche info Avenant 8'!$E$8</f>
        <v>0</v>
      </c>
      <c r="CC731" s="449">
        <f>'Fiche info Avenant 8'!$F$8</f>
        <v>0</v>
      </c>
      <c r="CD731" s="449">
        <f>'Fiche info Avenant 8'!$G$8</f>
        <v>0</v>
      </c>
      <c r="CE731" s="449">
        <f>'Fiche info Avenant 8'!$H$8</f>
        <v>0</v>
      </c>
      <c r="CF731" s="449">
        <f>'Fiche info Avenant 8'!$I$8</f>
        <v>0</v>
      </c>
      <c r="ED731" s="16" t="str">
        <f t="shared" si="142"/>
        <v>Fiche info Avenant 8A</v>
      </c>
      <c r="EE731" s="16" t="str">
        <f t="shared" si="143"/>
        <v>Fiche info Avenant 8</v>
      </c>
      <c r="EF731" s="16" t="str">
        <f t="shared" si="144"/>
        <v>A</v>
      </c>
      <c r="EG731" s="16">
        <f t="shared" si="145"/>
        <v>2</v>
      </c>
      <c r="EH731" s="16" t="str">
        <f t="shared" si="146"/>
        <v>Mardi</v>
      </c>
      <c r="EI731" s="16" t="str">
        <f t="shared" si="147"/>
        <v/>
      </c>
    </row>
    <row r="732" spans="1:139" x14ac:dyDescent="0.2">
      <c r="A732" s="16" t="str">
        <f t="shared" si="150"/>
        <v>Fiche info Avenant 8A3</v>
      </c>
      <c r="B732" s="16" t="str">
        <f t="shared" si="151"/>
        <v>Fiche info Avenant 8</v>
      </c>
      <c r="C732" s="27" t="s">
        <v>235</v>
      </c>
      <c r="D732" s="27">
        <v>3</v>
      </c>
      <c r="E732" s="16" t="s">
        <v>19</v>
      </c>
      <c r="F732" s="34" t="str">
        <f>IF('Fiche info Avenant 8'!$K$9=0,"",'Fiche info Avenant 8'!$K$9)</f>
        <v/>
      </c>
      <c r="G732" s="16">
        <f t="shared" si="148"/>
        <v>0</v>
      </c>
      <c r="BX732" s="16" t="str">
        <f t="shared" si="149"/>
        <v>Fiche info Avenant 8A3</v>
      </c>
      <c r="BY732" s="449">
        <f>'Fiche info Avenant 8'!$B$9</f>
        <v>0</v>
      </c>
      <c r="BZ732" s="449">
        <f>'Fiche info Avenant 8'!$C$9</f>
        <v>0</v>
      </c>
      <c r="CA732" s="449">
        <f>'Fiche info Avenant 8'!$D$9</f>
        <v>0</v>
      </c>
      <c r="CB732" s="449">
        <f>'Fiche info Avenant 8'!$E$9</f>
        <v>0</v>
      </c>
      <c r="CC732" s="449">
        <f>'Fiche info Avenant 8'!$F$9</f>
        <v>0</v>
      </c>
      <c r="CD732" s="449">
        <f>'Fiche info Avenant 8'!$G$9</f>
        <v>0</v>
      </c>
      <c r="CE732" s="449">
        <f>'Fiche info Avenant 8'!$H$9</f>
        <v>0</v>
      </c>
      <c r="CF732" s="449">
        <f>'Fiche info Avenant 8'!$I$9</f>
        <v>0</v>
      </c>
      <c r="ED732" s="16" t="str">
        <f t="shared" si="142"/>
        <v>Fiche info Avenant 8A</v>
      </c>
      <c r="EE732" s="16" t="str">
        <f t="shared" si="143"/>
        <v>Fiche info Avenant 8</v>
      </c>
      <c r="EF732" s="16" t="str">
        <f t="shared" si="144"/>
        <v>A</v>
      </c>
      <c r="EG732" s="16">
        <f t="shared" si="145"/>
        <v>3</v>
      </c>
      <c r="EH732" s="16" t="str">
        <f t="shared" si="146"/>
        <v>Mercredi</v>
      </c>
      <c r="EI732" s="16" t="str">
        <f t="shared" si="147"/>
        <v/>
      </c>
    </row>
    <row r="733" spans="1:139" x14ac:dyDescent="0.2">
      <c r="A733" s="16" t="str">
        <f t="shared" si="150"/>
        <v>Fiche info Avenant 8A4</v>
      </c>
      <c r="B733" s="16" t="str">
        <f t="shared" si="151"/>
        <v>Fiche info Avenant 8</v>
      </c>
      <c r="C733" s="27" t="s">
        <v>235</v>
      </c>
      <c r="D733" s="27">
        <v>4</v>
      </c>
      <c r="E733" s="16" t="s">
        <v>20</v>
      </c>
      <c r="F733" s="34" t="str">
        <f>IF('Fiche info Avenant 8'!$K$10=0,"",'Fiche info Avenant 8'!$K$10)</f>
        <v/>
      </c>
      <c r="G733" s="16">
        <f t="shared" si="148"/>
        <v>0</v>
      </c>
      <c r="BX733" s="16" t="str">
        <f t="shared" si="149"/>
        <v>Fiche info Avenant 8A4</v>
      </c>
      <c r="BY733" s="449">
        <f>'Fiche info Avenant 8'!$B$10</f>
        <v>0</v>
      </c>
      <c r="BZ733" s="449">
        <f>'Fiche info Avenant 8'!$C$10</f>
        <v>0</v>
      </c>
      <c r="CA733" s="449">
        <f>'Fiche info Avenant 8'!$D$10</f>
        <v>0</v>
      </c>
      <c r="CB733" s="449">
        <f>'Fiche info Avenant 8'!$E$10</f>
        <v>0</v>
      </c>
      <c r="CC733" s="449">
        <f>'Fiche info Avenant 8'!$F$10</f>
        <v>0</v>
      </c>
      <c r="CD733" s="449">
        <f>'Fiche info Avenant 8'!$G$10</f>
        <v>0</v>
      </c>
      <c r="CE733" s="449">
        <f>'Fiche info Avenant 8'!$H$10</f>
        <v>0</v>
      </c>
      <c r="CF733" s="449">
        <f>'Fiche info Avenant 8'!$I$10</f>
        <v>0</v>
      </c>
      <c r="ED733" s="16" t="str">
        <f t="shared" si="142"/>
        <v>Fiche info Avenant 8A</v>
      </c>
      <c r="EE733" s="16" t="str">
        <f t="shared" si="143"/>
        <v>Fiche info Avenant 8</v>
      </c>
      <c r="EF733" s="16" t="str">
        <f t="shared" si="144"/>
        <v>A</v>
      </c>
      <c r="EG733" s="16">
        <f t="shared" si="145"/>
        <v>4</v>
      </c>
      <c r="EH733" s="16" t="str">
        <f t="shared" si="146"/>
        <v>Jeudi</v>
      </c>
      <c r="EI733" s="16" t="str">
        <f t="shared" si="147"/>
        <v/>
      </c>
    </row>
    <row r="734" spans="1:139" x14ac:dyDescent="0.2">
      <c r="A734" s="16" t="str">
        <f t="shared" si="150"/>
        <v>Fiche info Avenant 8A5</v>
      </c>
      <c r="B734" s="16" t="str">
        <f t="shared" si="151"/>
        <v>Fiche info Avenant 8</v>
      </c>
      <c r="C734" s="27" t="s">
        <v>235</v>
      </c>
      <c r="D734" s="27">
        <v>5</v>
      </c>
      <c r="E734" s="16" t="s">
        <v>21</v>
      </c>
      <c r="F734" s="34" t="str">
        <f>IF('Fiche info Avenant 8'!$K$11=0,"",'Fiche info Avenant 8'!$K$11)</f>
        <v/>
      </c>
      <c r="G734" s="16">
        <f t="shared" si="148"/>
        <v>0</v>
      </c>
      <c r="BX734" s="16" t="str">
        <f t="shared" si="149"/>
        <v>Fiche info Avenant 8A5</v>
      </c>
      <c r="BY734" s="449">
        <f>'Fiche info Avenant 8'!$B$11</f>
        <v>0</v>
      </c>
      <c r="BZ734" s="449">
        <f>'Fiche info Avenant 8'!$C$11</f>
        <v>0</v>
      </c>
      <c r="CA734" s="449">
        <f>'Fiche info Avenant 8'!$D$11</f>
        <v>0</v>
      </c>
      <c r="CB734" s="449">
        <f>'Fiche info Avenant 8'!$E$11</f>
        <v>0</v>
      </c>
      <c r="CC734" s="449">
        <f>'Fiche info Avenant 8'!$F$11</f>
        <v>0</v>
      </c>
      <c r="CD734" s="449">
        <f>'Fiche info Avenant 8'!$G$11</f>
        <v>0</v>
      </c>
      <c r="CE734" s="449">
        <f>'Fiche info Avenant 8'!$H$11</f>
        <v>0</v>
      </c>
      <c r="CF734" s="449">
        <f>'Fiche info Avenant 8'!$I$11</f>
        <v>0</v>
      </c>
      <c r="ED734" s="16" t="str">
        <f t="shared" si="142"/>
        <v>Fiche info Avenant 8A</v>
      </c>
      <c r="EE734" s="16" t="str">
        <f t="shared" si="143"/>
        <v>Fiche info Avenant 8</v>
      </c>
      <c r="EF734" s="16" t="str">
        <f t="shared" si="144"/>
        <v>A</v>
      </c>
      <c r="EG734" s="16">
        <f t="shared" si="145"/>
        <v>5</v>
      </c>
      <c r="EH734" s="16" t="str">
        <f t="shared" si="146"/>
        <v>Vendredi</v>
      </c>
      <c r="EI734" s="16" t="str">
        <f t="shared" si="147"/>
        <v/>
      </c>
    </row>
    <row r="735" spans="1:139" x14ac:dyDescent="0.2">
      <c r="A735" s="16" t="str">
        <f t="shared" si="150"/>
        <v>Fiche info Avenant 8A6</v>
      </c>
      <c r="B735" s="16" t="str">
        <f t="shared" si="151"/>
        <v>Fiche info Avenant 8</v>
      </c>
      <c r="C735" s="27" t="s">
        <v>235</v>
      </c>
      <c r="D735" s="27">
        <v>6</v>
      </c>
      <c r="E735" s="16" t="s">
        <v>193</v>
      </c>
      <c r="F735" s="34" t="str">
        <f>IF('Fiche info Avenant 8'!$K$12=0,"",'Fiche info Avenant 8'!$K$12)</f>
        <v/>
      </c>
      <c r="G735" s="16">
        <f t="shared" si="148"/>
        <v>0</v>
      </c>
      <c r="BX735" s="16" t="str">
        <f t="shared" si="149"/>
        <v>Fiche info Avenant 8A6</v>
      </c>
      <c r="BY735" s="449">
        <f>'Fiche info Avenant 8'!$B$12</f>
        <v>0</v>
      </c>
      <c r="BZ735" s="449">
        <f>'Fiche info Avenant 8'!$C$12</f>
        <v>0</v>
      </c>
      <c r="CA735" s="449">
        <f>'Fiche info Avenant 8'!$D$12</f>
        <v>0</v>
      </c>
      <c r="CB735" s="449">
        <f>'Fiche info Avenant 8'!$E$12</f>
        <v>0</v>
      </c>
      <c r="CC735" s="449">
        <f>'Fiche info Avenant 8'!$F$12</f>
        <v>0</v>
      </c>
      <c r="CD735" s="449">
        <f>'Fiche info Avenant 8'!$G$12</f>
        <v>0</v>
      </c>
      <c r="CE735" s="449">
        <f>'Fiche info Avenant 8'!$H$12</f>
        <v>0</v>
      </c>
      <c r="CF735" s="449">
        <f>'Fiche info Avenant 8'!$I$12</f>
        <v>0</v>
      </c>
      <c r="ED735" s="16" t="str">
        <f t="shared" si="142"/>
        <v>Fiche info Avenant 8A</v>
      </c>
      <c r="EE735" s="16" t="str">
        <f t="shared" si="143"/>
        <v>Fiche info Avenant 8</v>
      </c>
      <c r="EF735" s="16" t="str">
        <f t="shared" si="144"/>
        <v>A</v>
      </c>
      <c r="EG735" s="16">
        <f t="shared" si="145"/>
        <v>6</v>
      </c>
      <c r="EH735" s="16" t="str">
        <f t="shared" si="146"/>
        <v>Samedi</v>
      </c>
      <c r="EI735" s="16" t="str">
        <f t="shared" si="147"/>
        <v/>
      </c>
    </row>
    <row r="736" spans="1:139" x14ac:dyDescent="0.2">
      <c r="A736" s="16" t="str">
        <f t="shared" si="150"/>
        <v>Fiche info Avenant 8A7</v>
      </c>
      <c r="B736" s="16" t="str">
        <f t="shared" si="151"/>
        <v>Fiche info Avenant 8</v>
      </c>
      <c r="C736" s="27" t="s">
        <v>235</v>
      </c>
      <c r="D736" s="27">
        <v>7</v>
      </c>
      <c r="E736" s="16" t="s">
        <v>194</v>
      </c>
      <c r="F736" s="34" t="str">
        <f>IF('Fiche info Avenant 8'!$K$13=0,"",'Fiche info Avenant 8'!$K$13)</f>
        <v/>
      </c>
      <c r="G736" s="16">
        <f t="shared" si="148"/>
        <v>0</v>
      </c>
      <c r="BX736" s="16" t="str">
        <f t="shared" si="149"/>
        <v>Fiche info Avenant 8A7</v>
      </c>
      <c r="BY736" s="449">
        <f>'Fiche info Avenant 8'!$B$13</f>
        <v>0</v>
      </c>
      <c r="BZ736" s="449">
        <f>'Fiche info Avenant 8'!$C$13</f>
        <v>0</v>
      </c>
      <c r="CA736" s="449">
        <f>'Fiche info Avenant 8'!$D$13</f>
        <v>0</v>
      </c>
      <c r="CB736" s="449">
        <f>'Fiche info Avenant 8'!$E$13</f>
        <v>0</v>
      </c>
      <c r="CC736" s="449">
        <f>'Fiche info Avenant 8'!$F$13</f>
        <v>0</v>
      </c>
      <c r="CD736" s="449">
        <f>'Fiche info Avenant 8'!$G$13</f>
        <v>0</v>
      </c>
      <c r="CE736" s="449">
        <f>'Fiche info Avenant 8'!$H$13</f>
        <v>0</v>
      </c>
      <c r="CF736" s="449">
        <f>'Fiche info Avenant 8'!$I$13</f>
        <v>0</v>
      </c>
      <c r="ED736" s="16" t="str">
        <f t="shared" si="142"/>
        <v>Fiche info Avenant 8A</v>
      </c>
      <c r="EE736" s="16" t="str">
        <f t="shared" si="143"/>
        <v>Fiche info Avenant 8</v>
      </c>
      <c r="EF736" s="16" t="str">
        <f t="shared" si="144"/>
        <v>A</v>
      </c>
      <c r="EG736" s="16">
        <f t="shared" si="145"/>
        <v>7</v>
      </c>
      <c r="EH736" s="16" t="str">
        <f t="shared" si="146"/>
        <v>Dimanche</v>
      </c>
      <c r="EI736" s="16" t="str">
        <f t="shared" si="147"/>
        <v/>
      </c>
    </row>
    <row r="737" spans="1:139" x14ac:dyDescent="0.2">
      <c r="A737" s="16" t="str">
        <f t="shared" si="150"/>
        <v>Fiche info Avenant 8B1</v>
      </c>
      <c r="B737" s="16" t="str">
        <f t="shared" si="151"/>
        <v>Fiche info Avenant 8</v>
      </c>
      <c r="C737" s="27" t="s">
        <v>236</v>
      </c>
      <c r="D737" s="27">
        <v>1</v>
      </c>
      <c r="E737" s="16" t="s">
        <v>17</v>
      </c>
      <c r="F737" s="34" t="str">
        <f>+IF('Fiche info Avenant 8'!$V$7=0,"",'Fiche info Avenant 8'!$V$7)</f>
        <v/>
      </c>
      <c r="G737" s="16">
        <f t="shared" si="148"/>
        <v>0</v>
      </c>
      <c r="BX737" s="16" t="str">
        <f t="shared" si="149"/>
        <v>Fiche info Avenant 8B1</v>
      </c>
      <c r="BY737" s="449">
        <f>'Fiche info Avenant 8'!$M$7</f>
        <v>0</v>
      </c>
      <c r="BZ737" s="449">
        <f>'Fiche info Avenant 8'!$N$7</f>
        <v>0</v>
      </c>
      <c r="CA737" s="449">
        <f>'Fiche info Avenant 8'!$O$7</f>
        <v>0</v>
      </c>
      <c r="CB737" s="449">
        <f>'Fiche info Avenant 8'!$P$7</f>
        <v>0</v>
      </c>
      <c r="CC737" s="449">
        <f>'Fiche info Avenant 8'!$Q$7</f>
        <v>0</v>
      </c>
      <c r="CD737" s="449">
        <f>'Fiche info Avenant 8'!$R$7</f>
        <v>0</v>
      </c>
      <c r="CE737" s="449">
        <f>'Fiche info Avenant 8'!$S$7</f>
        <v>0</v>
      </c>
      <c r="CF737" s="449">
        <f>'Fiche info Avenant 8'!$T$7</f>
        <v>0</v>
      </c>
      <c r="ED737" s="16" t="str">
        <f t="shared" si="142"/>
        <v>Fiche info Avenant 8B</v>
      </c>
      <c r="EE737" s="16" t="str">
        <f t="shared" si="143"/>
        <v>Fiche info Avenant 8</v>
      </c>
      <c r="EF737" s="16" t="str">
        <f t="shared" si="144"/>
        <v>B</v>
      </c>
      <c r="EG737" s="16">
        <f t="shared" si="145"/>
        <v>1</v>
      </c>
      <c r="EH737" s="16" t="str">
        <f t="shared" si="146"/>
        <v>Lundi</v>
      </c>
      <c r="EI737" s="16" t="str">
        <f t="shared" si="147"/>
        <v/>
      </c>
    </row>
    <row r="738" spans="1:139" x14ac:dyDescent="0.2">
      <c r="A738" s="16" t="str">
        <f t="shared" si="150"/>
        <v>Fiche info Avenant 8B2</v>
      </c>
      <c r="B738" s="16" t="str">
        <f t="shared" si="151"/>
        <v>Fiche info Avenant 8</v>
      </c>
      <c r="C738" s="27" t="s">
        <v>236</v>
      </c>
      <c r="D738" s="27">
        <v>2</v>
      </c>
      <c r="E738" s="16" t="s">
        <v>18</v>
      </c>
      <c r="F738" s="34" t="str">
        <f>+IF('Fiche info Avenant 8'!$V$8=0,"",'Fiche info Avenant 8'!$V$8)</f>
        <v/>
      </c>
      <c r="G738" s="16">
        <f t="shared" si="148"/>
        <v>0</v>
      </c>
      <c r="BX738" s="16" t="str">
        <f t="shared" si="149"/>
        <v>Fiche info Avenant 8B2</v>
      </c>
      <c r="BY738" s="449">
        <f>'Fiche info Avenant 8'!$M$8</f>
        <v>0</v>
      </c>
      <c r="BZ738" s="449">
        <f>'Fiche info Avenant 8'!$N$8</f>
        <v>0</v>
      </c>
      <c r="CA738" s="449">
        <f>'Fiche info Avenant 8'!$O$8</f>
        <v>0</v>
      </c>
      <c r="CB738" s="449">
        <f>'Fiche info Avenant 8'!$P$8</f>
        <v>0</v>
      </c>
      <c r="CC738" s="449">
        <f>'Fiche info Avenant 8'!$Q$8</f>
        <v>0</v>
      </c>
      <c r="CD738" s="449">
        <f>'Fiche info Avenant 8'!$R$8</f>
        <v>0</v>
      </c>
      <c r="CE738" s="449">
        <f>'Fiche info Avenant 8'!$S$8</f>
        <v>0</v>
      </c>
      <c r="CF738" s="449">
        <f>'Fiche info Avenant 8'!$T$8</f>
        <v>0</v>
      </c>
      <c r="ED738" s="16" t="str">
        <f t="shared" si="142"/>
        <v>Fiche info Avenant 8B</v>
      </c>
      <c r="EE738" s="16" t="str">
        <f t="shared" si="143"/>
        <v>Fiche info Avenant 8</v>
      </c>
      <c r="EF738" s="16" t="str">
        <f t="shared" si="144"/>
        <v>B</v>
      </c>
      <c r="EG738" s="16">
        <f t="shared" si="145"/>
        <v>2</v>
      </c>
      <c r="EH738" s="16" t="str">
        <f t="shared" si="146"/>
        <v>Mardi</v>
      </c>
      <c r="EI738" s="16" t="str">
        <f t="shared" si="147"/>
        <v/>
      </c>
    </row>
    <row r="739" spans="1:139" x14ac:dyDescent="0.2">
      <c r="A739" s="16" t="str">
        <f t="shared" si="150"/>
        <v>Fiche info Avenant 8B3</v>
      </c>
      <c r="B739" s="16" t="str">
        <f t="shared" si="151"/>
        <v>Fiche info Avenant 8</v>
      </c>
      <c r="C739" s="27" t="s">
        <v>236</v>
      </c>
      <c r="D739" s="27">
        <v>3</v>
      </c>
      <c r="E739" s="16" t="s">
        <v>19</v>
      </c>
      <c r="F739" s="34" t="str">
        <f>+IF('Fiche info Avenant 8'!$V$9=0,"",'Fiche info Avenant 8'!$V$9)</f>
        <v/>
      </c>
      <c r="G739" s="16">
        <f t="shared" si="148"/>
        <v>0</v>
      </c>
      <c r="BX739" s="16" t="str">
        <f t="shared" si="149"/>
        <v>Fiche info Avenant 8B3</v>
      </c>
      <c r="BY739" s="449">
        <f>'Fiche info Avenant 8'!$M$9</f>
        <v>0</v>
      </c>
      <c r="BZ739" s="449">
        <f>'Fiche info Avenant 8'!$N$9</f>
        <v>0</v>
      </c>
      <c r="CA739" s="449">
        <f>'Fiche info Avenant 8'!$O$9</f>
        <v>0</v>
      </c>
      <c r="CB739" s="449">
        <f>'Fiche info Avenant 8'!$P$9</f>
        <v>0</v>
      </c>
      <c r="CC739" s="449">
        <f>'Fiche info Avenant 8'!$Q$9</f>
        <v>0</v>
      </c>
      <c r="CD739" s="449">
        <f>'Fiche info Avenant 8'!$R$9</f>
        <v>0</v>
      </c>
      <c r="CE739" s="449">
        <f>'Fiche info Avenant 8'!$S$9</f>
        <v>0</v>
      </c>
      <c r="CF739" s="449">
        <f>'Fiche info Avenant 8'!$T$9</f>
        <v>0</v>
      </c>
      <c r="ED739" s="16" t="str">
        <f t="shared" si="142"/>
        <v>Fiche info Avenant 8B</v>
      </c>
      <c r="EE739" s="16" t="str">
        <f t="shared" si="143"/>
        <v>Fiche info Avenant 8</v>
      </c>
      <c r="EF739" s="16" t="str">
        <f t="shared" si="144"/>
        <v>B</v>
      </c>
      <c r="EG739" s="16">
        <f t="shared" si="145"/>
        <v>3</v>
      </c>
      <c r="EH739" s="16" t="str">
        <f t="shared" si="146"/>
        <v>Mercredi</v>
      </c>
      <c r="EI739" s="16" t="str">
        <f t="shared" si="147"/>
        <v/>
      </c>
    </row>
    <row r="740" spans="1:139" x14ac:dyDescent="0.2">
      <c r="A740" s="16" t="str">
        <f t="shared" si="150"/>
        <v>Fiche info Avenant 8B4</v>
      </c>
      <c r="B740" s="16" t="str">
        <f t="shared" si="151"/>
        <v>Fiche info Avenant 8</v>
      </c>
      <c r="C740" s="27" t="s">
        <v>236</v>
      </c>
      <c r="D740" s="27">
        <v>4</v>
      </c>
      <c r="E740" s="16" t="s">
        <v>20</v>
      </c>
      <c r="F740" s="34" t="str">
        <f>+IF('Fiche info Avenant 8'!$V$10=0,"",'Fiche info Avenant 8'!$V$10)</f>
        <v/>
      </c>
      <c r="G740" s="16">
        <f t="shared" si="148"/>
        <v>0</v>
      </c>
      <c r="BX740" s="16" t="str">
        <f t="shared" si="149"/>
        <v>Fiche info Avenant 8B4</v>
      </c>
      <c r="BY740" s="449">
        <f>'Fiche info Avenant 8'!$M$10</f>
        <v>0</v>
      </c>
      <c r="BZ740" s="449">
        <f>'Fiche info Avenant 8'!$N$10</f>
        <v>0</v>
      </c>
      <c r="CA740" s="449">
        <f>'Fiche info Avenant 8'!$O$10</f>
        <v>0</v>
      </c>
      <c r="CB740" s="449">
        <f>'Fiche info Avenant 8'!$P$10</f>
        <v>0</v>
      </c>
      <c r="CC740" s="449">
        <f>'Fiche info Avenant 8'!$Q$10</f>
        <v>0</v>
      </c>
      <c r="CD740" s="449">
        <f>'Fiche info Avenant 8'!$R$10</f>
        <v>0</v>
      </c>
      <c r="CE740" s="449">
        <f>'Fiche info Avenant 8'!$S$10</f>
        <v>0</v>
      </c>
      <c r="CF740" s="449">
        <f>'Fiche info Avenant 8'!$T$10</f>
        <v>0</v>
      </c>
      <c r="ED740" s="16" t="str">
        <f t="shared" si="142"/>
        <v>Fiche info Avenant 8B</v>
      </c>
      <c r="EE740" s="16" t="str">
        <f t="shared" si="143"/>
        <v>Fiche info Avenant 8</v>
      </c>
      <c r="EF740" s="16" t="str">
        <f t="shared" si="144"/>
        <v>B</v>
      </c>
      <c r="EG740" s="16">
        <f t="shared" si="145"/>
        <v>4</v>
      </c>
      <c r="EH740" s="16" t="str">
        <f t="shared" si="146"/>
        <v>Jeudi</v>
      </c>
      <c r="EI740" s="16" t="str">
        <f t="shared" si="147"/>
        <v/>
      </c>
    </row>
    <row r="741" spans="1:139" x14ac:dyDescent="0.2">
      <c r="A741" s="16" t="str">
        <f t="shared" si="150"/>
        <v>Fiche info Avenant 8B5</v>
      </c>
      <c r="B741" s="16" t="str">
        <f t="shared" si="151"/>
        <v>Fiche info Avenant 8</v>
      </c>
      <c r="C741" s="27" t="s">
        <v>236</v>
      </c>
      <c r="D741" s="27">
        <v>5</v>
      </c>
      <c r="E741" s="16" t="s">
        <v>21</v>
      </c>
      <c r="F741" s="34" t="str">
        <f>+IF('Fiche info Avenant 8'!$V$11=0,"",'Fiche info Avenant 8'!$V$11)</f>
        <v/>
      </c>
      <c r="G741" s="16">
        <f t="shared" si="148"/>
        <v>0</v>
      </c>
      <c r="BX741" s="16" t="str">
        <f t="shared" si="149"/>
        <v>Fiche info Avenant 8B5</v>
      </c>
      <c r="BY741" s="449">
        <f>'Fiche info Avenant 8'!$M$11</f>
        <v>0</v>
      </c>
      <c r="BZ741" s="449">
        <f>'Fiche info Avenant 8'!$N$11</f>
        <v>0</v>
      </c>
      <c r="CA741" s="449">
        <f>'Fiche info Avenant 8'!$O$11</f>
        <v>0</v>
      </c>
      <c r="CB741" s="449">
        <f>'Fiche info Avenant 8'!$P$11</f>
        <v>0</v>
      </c>
      <c r="CC741" s="449">
        <f>'Fiche info Avenant 8'!$Q$11</f>
        <v>0</v>
      </c>
      <c r="CD741" s="449">
        <f>'Fiche info Avenant 8'!$R$11</f>
        <v>0</v>
      </c>
      <c r="CE741" s="449">
        <f>'Fiche info Avenant 8'!$S$11</f>
        <v>0</v>
      </c>
      <c r="CF741" s="449">
        <f>'Fiche info Avenant 8'!$T$11</f>
        <v>0</v>
      </c>
      <c r="ED741" s="16" t="str">
        <f t="shared" si="142"/>
        <v>Fiche info Avenant 8B</v>
      </c>
      <c r="EE741" s="16" t="str">
        <f t="shared" si="143"/>
        <v>Fiche info Avenant 8</v>
      </c>
      <c r="EF741" s="16" t="str">
        <f t="shared" si="144"/>
        <v>B</v>
      </c>
      <c r="EG741" s="16">
        <f t="shared" si="145"/>
        <v>5</v>
      </c>
      <c r="EH741" s="16" t="str">
        <f t="shared" si="146"/>
        <v>Vendredi</v>
      </c>
      <c r="EI741" s="16" t="str">
        <f t="shared" si="147"/>
        <v/>
      </c>
    </row>
    <row r="742" spans="1:139" x14ac:dyDescent="0.2">
      <c r="A742" s="16" t="str">
        <f t="shared" si="150"/>
        <v>Fiche info Avenant 8B6</v>
      </c>
      <c r="B742" s="16" t="str">
        <f t="shared" si="151"/>
        <v>Fiche info Avenant 8</v>
      </c>
      <c r="C742" s="27" t="s">
        <v>236</v>
      </c>
      <c r="D742" s="27">
        <v>6</v>
      </c>
      <c r="E742" s="16" t="s">
        <v>193</v>
      </c>
      <c r="F742" s="34" t="str">
        <f>+IF('Fiche info Avenant 8'!$V$12=0,"",'Fiche info Avenant 8'!$V$12)</f>
        <v/>
      </c>
      <c r="G742" s="16">
        <f t="shared" si="148"/>
        <v>0</v>
      </c>
      <c r="BX742" s="16" t="str">
        <f t="shared" si="149"/>
        <v>Fiche info Avenant 8B6</v>
      </c>
      <c r="BY742" s="449">
        <f>'Fiche info Avenant 8'!$M$12</f>
        <v>0</v>
      </c>
      <c r="BZ742" s="449">
        <f>'Fiche info Avenant 8'!$N$12</f>
        <v>0</v>
      </c>
      <c r="CA742" s="449">
        <f>'Fiche info Avenant 8'!$O$12</f>
        <v>0</v>
      </c>
      <c r="CB742" s="449">
        <f>'Fiche info Avenant 8'!$P$12</f>
        <v>0</v>
      </c>
      <c r="CC742" s="449">
        <f>'Fiche info Avenant 8'!$Q$12</f>
        <v>0</v>
      </c>
      <c r="CD742" s="449">
        <f>'Fiche info Avenant 8'!$R$12</f>
        <v>0</v>
      </c>
      <c r="CE742" s="449">
        <f>'Fiche info Avenant 8'!$S$12</f>
        <v>0</v>
      </c>
      <c r="CF742" s="449">
        <f>'Fiche info Avenant 8'!$T$12</f>
        <v>0</v>
      </c>
      <c r="ED742" s="16" t="str">
        <f t="shared" si="142"/>
        <v>Fiche info Avenant 8B</v>
      </c>
      <c r="EE742" s="16" t="str">
        <f t="shared" si="143"/>
        <v>Fiche info Avenant 8</v>
      </c>
      <c r="EF742" s="16" t="str">
        <f t="shared" si="144"/>
        <v>B</v>
      </c>
      <c r="EG742" s="16">
        <f t="shared" si="145"/>
        <v>6</v>
      </c>
      <c r="EH742" s="16" t="str">
        <f t="shared" si="146"/>
        <v>Samedi</v>
      </c>
      <c r="EI742" s="16" t="str">
        <f t="shared" si="147"/>
        <v/>
      </c>
    </row>
    <row r="743" spans="1:139" x14ac:dyDescent="0.2">
      <c r="A743" s="16" t="str">
        <f t="shared" si="150"/>
        <v>Fiche info Avenant 8B7</v>
      </c>
      <c r="B743" s="16" t="str">
        <f t="shared" si="151"/>
        <v>Fiche info Avenant 8</v>
      </c>
      <c r="C743" s="27" t="s">
        <v>236</v>
      </c>
      <c r="D743" s="27">
        <v>7</v>
      </c>
      <c r="E743" s="16" t="s">
        <v>194</v>
      </c>
      <c r="F743" s="34" t="str">
        <f>+IF('Fiche info Avenant 8'!$V$13=0,"",'Fiche info Avenant 8'!$V$13)</f>
        <v/>
      </c>
      <c r="G743" s="16">
        <f t="shared" si="148"/>
        <v>0</v>
      </c>
      <c r="BX743" s="16" t="str">
        <f t="shared" si="149"/>
        <v>Fiche info Avenant 8B7</v>
      </c>
      <c r="BY743" s="449">
        <f>'Fiche info Avenant 8'!$M$13</f>
        <v>0</v>
      </c>
      <c r="BZ743" s="449">
        <f>'Fiche info Avenant 8'!$N$13</f>
        <v>0</v>
      </c>
      <c r="CA743" s="449">
        <f>'Fiche info Avenant 8'!$O$13</f>
        <v>0</v>
      </c>
      <c r="CB743" s="449">
        <f>'Fiche info Avenant 8'!$P$13</f>
        <v>0</v>
      </c>
      <c r="CC743" s="449">
        <f>'Fiche info Avenant 8'!$Q$13</f>
        <v>0</v>
      </c>
      <c r="CD743" s="449">
        <f>'Fiche info Avenant 8'!$R$13</f>
        <v>0</v>
      </c>
      <c r="CE743" s="449">
        <f>'Fiche info Avenant 8'!$S$13</f>
        <v>0</v>
      </c>
      <c r="CF743" s="449">
        <f>'Fiche info Avenant 8'!$T$13</f>
        <v>0</v>
      </c>
      <c r="ED743" s="16" t="str">
        <f t="shared" si="142"/>
        <v>Fiche info Avenant 8B</v>
      </c>
      <c r="EE743" s="16" t="str">
        <f t="shared" si="143"/>
        <v>Fiche info Avenant 8</v>
      </c>
      <c r="EF743" s="16" t="str">
        <f t="shared" si="144"/>
        <v>B</v>
      </c>
      <c r="EG743" s="16">
        <f t="shared" si="145"/>
        <v>7</v>
      </c>
      <c r="EH743" s="16" t="str">
        <f t="shared" si="146"/>
        <v>Dimanche</v>
      </c>
      <c r="EI743" s="16" t="str">
        <f t="shared" si="147"/>
        <v/>
      </c>
    </row>
    <row r="744" spans="1:139" x14ac:dyDescent="0.2">
      <c r="A744" s="16" t="str">
        <f t="shared" si="150"/>
        <v>Fiche info Avenant 8C1</v>
      </c>
      <c r="B744" s="16" t="str">
        <f t="shared" si="151"/>
        <v>Fiche info Avenant 8</v>
      </c>
      <c r="C744" s="27" t="s">
        <v>241</v>
      </c>
      <c r="D744" s="27">
        <v>1</v>
      </c>
      <c r="E744" s="16" t="s">
        <v>17</v>
      </c>
      <c r="F744" s="34" t="str">
        <f>+IF('Fiche info Avenant 8'!$AG$7=0,"",'Fiche info Avenant 8'!$AG$7)</f>
        <v/>
      </c>
      <c r="G744" s="16">
        <f t="shared" si="148"/>
        <v>0</v>
      </c>
      <c r="BX744" s="16" t="str">
        <f t="shared" si="149"/>
        <v>Fiche info Avenant 8C1</v>
      </c>
      <c r="BY744" s="449">
        <f>'Fiche info Avenant 8'!$X$7</f>
        <v>0</v>
      </c>
      <c r="BZ744" s="449">
        <f>'Fiche info Avenant 8'!$Y$7</f>
        <v>0</v>
      </c>
      <c r="CA744" s="449">
        <f>'Fiche info Avenant 8'!$Z$7</f>
        <v>0</v>
      </c>
      <c r="CB744" s="449">
        <f>'Fiche info Avenant 8'!$AA$7</f>
        <v>0</v>
      </c>
      <c r="CC744" s="449">
        <f>'Fiche info Avenant 8'!$AB$7</f>
        <v>0</v>
      </c>
      <c r="CD744" s="449">
        <f>'Fiche info Avenant 8'!$AC$7</f>
        <v>0</v>
      </c>
      <c r="CE744" s="449">
        <f>'Fiche info Avenant 8'!$AD$7</f>
        <v>0</v>
      </c>
      <c r="CF744" s="449">
        <f>'Fiche info Avenant 8'!$AE$7</f>
        <v>0</v>
      </c>
      <c r="ED744" s="16" t="str">
        <f t="shared" si="142"/>
        <v>Fiche info Avenant 8C</v>
      </c>
      <c r="EE744" s="16" t="str">
        <f t="shared" si="143"/>
        <v>Fiche info Avenant 8</v>
      </c>
      <c r="EF744" s="16" t="str">
        <f t="shared" si="144"/>
        <v>C</v>
      </c>
      <c r="EG744" s="16">
        <f t="shared" si="145"/>
        <v>1</v>
      </c>
      <c r="EH744" s="16" t="str">
        <f t="shared" si="146"/>
        <v>Lundi</v>
      </c>
      <c r="EI744" s="16" t="str">
        <f t="shared" si="147"/>
        <v/>
      </c>
    </row>
    <row r="745" spans="1:139" x14ac:dyDescent="0.2">
      <c r="A745" s="16" t="str">
        <f t="shared" si="150"/>
        <v>Fiche info Avenant 8C2</v>
      </c>
      <c r="B745" s="16" t="str">
        <f t="shared" si="151"/>
        <v>Fiche info Avenant 8</v>
      </c>
      <c r="C745" s="27" t="s">
        <v>241</v>
      </c>
      <c r="D745" s="27">
        <v>2</v>
      </c>
      <c r="E745" s="16" t="s">
        <v>18</v>
      </c>
      <c r="F745" s="34" t="str">
        <f>+IF('Fiche info Avenant 8'!$AG$8=0,"",'Fiche info Avenant 8'!$AG$8)</f>
        <v/>
      </c>
      <c r="G745" s="16">
        <f t="shared" si="148"/>
        <v>0</v>
      </c>
      <c r="BX745" s="16" t="str">
        <f t="shared" si="149"/>
        <v>Fiche info Avenant 8C2</v>
      </c>
      <c r="BY745" s="449">
        <f>'Fiche info Avenant 8'!$X$8</f>
        <v>0</v>
      </c>
      <c r="BZ745" s="449">
        <f>'Fiche info Avenant 8'!$Y$8</f>
        <v>0</v>
      </c>
      <c r="CA745" s="449">
        <f>'Fiche info Avenant 8'!$Z$8</f>
        <v>0</v>
      </c>
      <c r="CB745" s="449">
        <f>'Fiche info Avenant 8'!$AA$8</f>
        <v>0</v>
      </c>
      <c r="CC745" s="449">
        <f>'Fiche info Avenant 8'!$AB$8</f>
        <v>0</v>
      </c>
      <c r="CD745" s="449">
        <f>'Fiche info Avenant 8'!$AC$8</f>
        <v>0</v>
      </c>
      <c r="CE745" s="449">
        <f>'Fiche info Avenant 8'!$AD$8</f>
        <v>0</v>
      </c>
      <c r="CF745" s="449">
        <f>'Fiche info Avenant 8'!$AE$8</f>
        <v>0</v>
      </c>
      <c r="ED745" s="16" t="str">
        <f t="shared" si="142"/>
        <v>Fiche info Avenant 8C</v>
      </c>
      <c r="EE745" s="16" t="str">
        <f t="shared" si="143"/>
        <v>Fiche info Avenant 8</v>
      </c>
      <c r="EF745" s="16" t="str">
        <f t="shared" si="144"/>
        <v>C</v>
      </c>
      <c r="EG745" s="16">
        <f t="shared" si="145"/>
        <v>2</v>
      </c>
      <c r="EH745" s="16" t="str">
        <f t="shared" si="146"/>
        <v>Mardi</v>
      </c>
      <c r="EI745" s="16" t="str">
        <f t="shared" si="147"/>
        <v/>
      </c>
    </row>
    <row r="746" spans="1:139" x14ac:dyDescent="0.2">
      <c r="A746" s="16" t="str">
        <f t="shared" si="150"/>
        <v>Fiche info Avenant 8C3</v>
      </c>
      <c r="B746" s="16" t="str">
        <f t="shared" si="151"/>
        <v>Fiche info Avenant 8</v>
      </c>
      <c r="C746" s="27" t="s">
        <v>241</v>
      </c>
      <c r="D746" s="27">
        <v>3</v>
      </c>
      <c r="E746" s="16" t="s">
        <v>19</v>
      </c>
      <c r="F746" s="34" t="str">
        <f>+IF('Fiche info Avenant 8'!$AG$9=0,"",'Fiche info Avenant 8'!$AG$9)</f>
        <v/>
      </c>
      <c r="G746" s="16">
        <f t="shared" si="148"/>
        <v>0</v>
      </c>
      <c r="BX746" s="16" t="str">
        <f t="shared" si="149"/>
        <v>Fiche info Avenant 8C3</v>
      </c>
      <c r="BY746" s="449">
        <f>'Fiche info Avenant 8'!$X$9</f>
        <v>0</v>
      </c>
      <c r="BZ746" s="449">
        <f>'Fiche info Avenant 8'!$Y$9</f>
        <v>0</v>
      </c>
      <c r="CA746" s="449">
        <f>'Fiche info Avenant 8'!$Z$9</f>
        <v>0</v>
      </c>
      <c r="CB746" s="449">
        <f>'Fiche info Avenant 8'!$AA$9</f>
        <v>0</v>
      </c>
      <c r="CC746" s="449">
        <f>'Fiche info Avenant 8'!$AB$9</f>
        <v>0</v>
      </c>
      <c r="CD746" s="449">
        <f>'Fiche info Avenant 8'!$AC$9</f>
        <v>0</v>
      </c>
      <c r="CE746" s="449">
        <f>'Fiche info Avenant 8'!$AD$9</f>
        <v>0</v>
      </c>
      <c r="CF746" s="449">
        <f>'Fiche info Avenant 8'!$AE$9</f>
        <v>0</v>
      </c>
      <c r="ED746" s="16" t="str">
        <f t="shared" si="142"/>
        <v>Fiche info Avenant 8C</v>
      </c>
      <c r="EE746" s="16" t="str">
        <f t="shared" si="143"/>
        <v>Fiche info Avenant 8</v>
      </c>
      <c r="EF746" s="16" t="str">
        <f t="shared" si="144"/>
        <v>C</v>
      </c>
      <c r="EG746" s="16">
        <f t="shared" si="145"/>
        <v>3</v>
      </c>
      <c r="EH746" s="16" t="str">
        <f t="shared" si="146"/>
        <v>Mercredi</v>
      </c>
      <c r="EI746" s="16" t="str">
        <f t="shared" si="147"/>
        <v/>
      </c>
    </row>
    <row r="747" spans="1:139" x14ac:dyDescent="0.2">
      <c r="A747" s="16" t="str">
        <f t="shared" si="150"/>
        <v>Fiche info Avenant 8C4</v>
      </c>
      <c r="B747" s="16" t="str">
        <f t="shared" si="151"/>
        <v>Fiche info Avenant 8</v>
      </c>
      <c r="C747" s="27" t="s">
        <v>241</v>
      </c>
      <c r="D747" s="27">
        <v>4</v>
      </c>
      <c r="E747" s="16" t="s">
        <v>20</v>
      </c>
      <c r="F747" s="34" t="str">
        <f>+IF('Fiche info Avenant 8'!$AG$10=0,"",'Fiche info Avenant 8'!$AG$10)</f>
        <v/>
      </c>
      <c r="G747" s="16">
        <f t="shared" si="148"/>
        <v>0</v>
      </c>
      <c r="BX747" s="16" t="str">
        <f t="shared" si="149"/>
        <v>Fiche info Avenant 8C4</v>
      </c>
      <c r="BY747" s="449">
        <f>'Fiche info Avenant 8'!$X$10</f>
        <v>0</v>
      </c>
      <c r="BZ747" s="449">
        <f>'Fiche info Avenant 8'!$Y$10</f>
        <v>0</v>
      </c>
      <c r="CA747" s="449">
        <f>'Fiche info Avenant 8'!$Z$10</f>
        <v>0</v>
      </c>
      <c r="CB747" s="449">
        <f>'Fiche info Avenant 8'!$AA$10</f>
        <v>0</v>
      </c>
      <c r="CC747" s="449">
        <f>'Fiche info Avenant 8'!$AB$10</f>
        <v>0</v>
      </c>
      <c r="CD747" s="449">
        <f>'Fiche info Avenant 8'!$AC$10</f>
        <v>0</v>
      </c>
      <c r="CE747" s="449">
        <f>'Fiche info Avenant 8'!$AD$10</f>
        <v>0</v>
      </c>
      <c r="CF747" s="449">
        <f>'Fiche info Avenant 8'!$AE$10</f>
        <v>0</v>
      </c>
      <c r="ED747" s="16" t="str">
        <f t="shared" si="142"/>
        <v>Fiche info Avenant 8C</v>
      </c>
      <c r="EE747" s="16" t="str">
        <f t="shared" si="143"/>
        <v>Fiche info Avenant 8</v>
      </c>
      <c r="EF747" s="16" t="str">
        <f t="shared" si="144"/>
        <v>C</v>
      </c>
      <c r="EG747" s="16">
        <f t="shared" si="145"/>
        <v>4</v>
      </c>
      <c r="EH747" s="16" t="str">
        <f t="shared" si="146"/>
        <v>Jeudi</v>
      </c>
      <c r="EI747" s="16" t="str">
        <f t="shared" si="147"/>
        <v/>
      </c>
    </row>
    <row r="748" spans="1:139" x14ac:dyDescent="0.2">
      <c r="A748" s="16" t="str">
        <f t="shared" si="150"/>
        <v>Fiche info Avenant 8C5</v>
      </c>
      <c r="B748" s="16" t="str">
        <f t="shared" si="151"/>
        <v>Fiche info Avenant 8</v>
      </c>
      <c r="C748" s="27" t="s">
        <v>241</v>
      </c>
      <c r="D748" s="27">
        <v>5</v>
      </c>
      <c r="E748" s="16" t="s">
        <v>21</v>
      </c>
      <c r="F748" s="34" t="str">
        <f>+IF('Fiche info Avenant 8'!$AG$11=0,"",'Fiche info Avenant 8'!$AG$11)</f>
        <v/>
      </c>
      <c r="G748" s="16">
        <f t="shared" si="148"/>
        <v>0</v>
      </c>
      <c r="BX748" s="16" t="str">
        <f t="shared" si="149"/>
        <v>Fiche info Avenant 8C5</v>
      </c>
      <c r="BY748" s="449">
        <f>'Fiche info Avenant 8'!$X$11</f>
        <v>0</v>
      </c>
      <c r="BZ748" s="449">
        <f>'Fiche info Avenant 8'!$Y$11</f>
        <v>0</v>
      </c>
      <c r="CA748" s="449">
        <f>'Fiche info Avenant 8'!$Z$11</f>
        <v>0</v>
      </c>
      <c r="CB748" s="449">
        <f>'Fiche info Avenant 8'!$AA$11</f>
        <v>0</v>
      </c>
      <c r="CC748" s="449">
        <f>'Fiche info Avenant 8'!$AB$11</f>
        <v>0</v>
      </c>
      <c r="CD748" s="449">
        <f>'Fiche info Avenant 8'!$AC$11</f>
        <v>0</v>
      </c>
      <c r="CE748" s="449">
        <f>'Fiche info Avenant 8'!$AD$11</f>
        <v>0</v>
      </c>
      <c r="CF748" s="449">
        <f>'Fiche info Avenant 8'!$AE$11</f>
        <v>0</v>
      </c>
      <c r="ED748" s="16" t="str">
        <f t="shared" si="142"/>
        <v>Fiche info Avenant 8C</v>
      </c>
      <c r="EE748" s="16" t="str">
        <f t="shared" si="143"/>
        <v>Fiche info Avenant 8</v>
      </c>
      <c r="EF748" s="16" t="str">
        <f t="shared" si="144"/>
        <v>C</v>
      </c>
      <c r="EG748" s="16">
        <f t="shared" si="145"/>
        <v>5</v>
      </c>
      <c r="EH748" s="16" t="str">
        <f t="shared" si="146"/>
        <v>Vendredi</v>
      </c>
      <c r="EI748" s="16" t="str">
        <f t="shared" si="147"/>
        <v/>
      </c>
    </row>
    <row r="749" spans="1:139" x14ac:dyDescent="0.2">
      <c r="A749" s="16" t="str">
        <f t="shared" si="150"/>
        <v>Fiche info Avenant 8C6</v>
      </c>
      <c r="B749" s="16" t="str">
        <f t="shared" si="151"/>
        <v>Fiche info Avenant 8</v>
      </c>
      <c r="C749" s="27" t="s">
        <v>241</v>
      </c>
      <c r="D749" s="27">
        <v>6</v>
      </c>
      <c r="E749" s="16" t="s">
        <v>193</v>
      </c>
      <c r="F749" s="34" t="str">
        <f>+IF('Fiche info Avenant 8'!$AG$12=0,"",'Fiche info Avenant 8'!$AG$12)</f>
        <v/>
      </c>
      <c r="G749" s="16">
        <f t="shared" si="148"/>
        <v>0</v>
      </c>
      <c r="BX749" s="16" t="str">
        <f t="shared" si="149"/>
        <v>Fiche info Avenant 8C6</v>
      </c>
      <c r="BY749" s="449">
        <f>'Fiche info Avenant 8'!$X$12</f>
        <v>0</v>
      </c>
      <c r="BZ749" s="449">
        <f>'Fiche info Avenant 8'!$Y$12</f>
        <v>0</v>
      </c>
      <c r="CA749" s="449">
        <f>'Fiche info Avenant 8'!$Z$12</f>
        <v>0</v>
      </c>
      <c r="CB749" s="449">
        <f>'Fiche info Avenant 8'!$AA$12</f>
        <v>0</v>
      </c>
      <c r="CC749" s="449">
        <f>'Fiche info Avenant 8'!$AB$12</f>
        <v>0</v>
      </c>
      <c r="CD749" s="449">
        <f>'Fiche info Avenant 8'!$AC$12</f>
        <v>0</v>
      </c>
      <c r="CE749" s="449">
        <f>'Fiche info Avenant 8'!$AD$12</f>
        <v>0</v>
      </c>
      <c r="CF749" s="449">
        <f>'Fiche info Avenant 8'!$AE$12</f>
        <v>0</v>
      </c>
      <c r="ED749" s="16" t="str">
        <f t="shared" si="142"/>
        <v>Fiche info Avenant 8C</v>
      </c>
      <c r="EE749" s="16" t="str">
        <f t="shared" si="143"/>
        <v>Fiche info Avenant 8</v>
      </c>
      <c r="EF749" s="16" t="str">
        <f t="shared" si="144"/>
        <v>C</v>
      </c>
      <c r="EG749" s="16">
        <f t="shared" si="145"/>
        <v>6</v>
      </c>
      <c r="EH749" s="16" t="str">
        <f t="shared" si="146"/>
        <v>Samedi</v>
      </c>
      <c r="EI749" s="16" t="str">
        <f t="shared" si="147"/>
        <v/>
      </c>
    </row>
    <row r="750" spans="1:139" x14ac:dyDescent="0.2">
      <c r="A750" s="16" t="str">
        <f t="shared" si="150"/>
        <v>Fiche info Avenant 8C7</v>
      </c>
      <c r="B750" s="16" t="str">
        <f t="shared" si="151"/>
        <v>Fiche info Avenant 8</v>
      </c>
      <c r="C750" s="27" t="s">
        <v>241</v>
      </c>
      <c r="D750" s="27">
        <v>7</v>
      </c>
      <c r="E750" s="16" t="s">
        <v>194</v>
      </c>
      <c r="F750" s="34" t="str">
        <f>+IF('Fiche info Avenant 8'!$AG$13=0,"",'Fiche info Avenant 8'!$AG$13)</f>
        <v/>
      </c>
      <c r="G750" s="16">
        <f t="shared" si="148"/>
        <v>0</v>
      </c>
      <c r="BX750" s="16" t="str">
        <f t="shared" si="149"/>
        <v>Fiche info Avenant 8C7</v>
      </c>
      <c r="BY750" s="449">
        <f>'Fiche info Avenant 8'!$X$13</f>
        <v>0</v>
      </c>
      <c r="BZ750" s="449">
        <f>'Fiche info Avenant 8'!$Y$13</f>
        <v>0</v>
      </c>
      <c r="CA750" s="449">
        <f>'Fiche info Avenant 8'!$Z$13</f>
        <v>0</v>
      </c>
      <c r="CB750" s="449">
        <f>'Fiche info Avenant 8'!$AA$13</f>
        <v>0</v>
      </c>
      <c r="CC750" s="449">
        <f>'Fiche info Avenant 8'!$AB$13</f>
        <v>0</v>
      </c>
      <c r="CD750" s="449">
        <f>'Fiche info Avenant 8'!$AC$13</f>
        <v>0</v>
      </c>
      <c r="CE750" s="449">
        <f>'Fiche info Avenant 8'!$AD$13</f>
        <v>0</v>
      </c>
      <c r="CF750" s="449">
        <f>'Fiche info Avenant 8'!$AE$13</f>
        <v>0</v>
      </c>
      <c r="ED750" s="16" t="str">
        <f t="shared" si="142"/>
        <v>Fiche info Avenant 8C</v>
      </c>
      <c r="EE750" s="16" t="str">
        <f t="shared" si="143"/>
        <v>Fiche info Avenant 8</v>
      </c>
      <c r="EF750" s="16" t="str">
        <f t="shared" si="144"/>
        <v>C</v>
      </c>
      <c r="EG750" s="16">
        <f t="shared" si="145"/>
        <v>7</v>
      </c>
      <c r="EH750" s="16" t="str">
        <f t="shared" si="146"/>
        <v>Dimanche</v>
      </c>
      <c r="EI750" s="16" t="str">
        <f t="shared" si="147"/>
        <v/>
      </c>
    </row>
    <row r="751" spans="1:139" x14ac:dyDescent="0.2">
      <c r="A751" s="16" t="str">
        <f t="shared" si="150"/>
        <v>Fiche info Avenant 8D1</v>
      </c>
      <c r="B751" s="16" t="str">
        <f t="shared" si="151"/>
        <v>Fiche info Avenant 8</v>
      </c>
      <c r="C751" s="27" t="s">
        <v>242</v>
      </c>
      <c r="D751" s="27">
        <v>1</v>
      </c>
      <c r="E751" s="16" t="s">
        <v>17</v>
      </c>
      <c r="F751" s="34" t="str">
        <f>+IF('Fiche info Avenant 8'!$AR$7=0,"",'Fiche info Avenant 8'!$AR$7)</f>
        <v/>
      </c>
      <c r="G751" s="16">
        <f t="shared" si="148"/>
        <v>0</v>
      </c>
      <c r="BX751" s="16" t="str">
        <f t="shared" si="149"/>
        <v>Fiche info Avenant 8D1</v>
      </c>
      <c r="BY751" s="449">
        <f>'Fiche info Avenant 8'!$AI$7</f>
        <v>0</v>
      </c>
      <c r="BZ751" s="449">
        <f>'Fiche info Avenant 8'!$AJ$7</f>
        <v>0</v>
      </c>
      <c r="CA751" s="449">
        <f>'Fiche info Avenant 8'!$AK$7</f>
        <v>0</v>
      </c>
      <c r="CB751" s="449">
        <f>'Fiche info Avenant 8'!$AL$7</f>
        <v>0</v>
      </c>
      <c r="CC751" s="449">
        <f>'Fiche info Avenant 8'!$AM$7</f>
        <v>0</v>
      </c>
      <c r="CD751" s="449">
        <f>'Fiche info Avenant 8'!$AN$7</f>
        <v>0</v>
      </c>
      <c r="CE751" s="449">
        <f>'Fiche info Avenant 8'!$AO$7</f>
        <v>0</v>
      </c>
      <c r="CF751" s="449">
        <f>'Fiche info Avenant 8'!$AP$7</f>
        <v>0</v>
      </c>
      <c r="ED751" s="16" t="str">
        <f t="shared" si="142"/>
        <v>Fiche info Avenant 8D</v>
      </c>
      <c r="EE751" s="16" t="str">
        <f t="shared" si="143"/>
        <v>Fiche info Avenant 8</v>
      </c>
      <c r="EF751" s="16" t="str">
        <f t="shared" si="144"/>
        <v>D</v>
      </c>
      <c r="EG751" s="16">
        <f t="shared" si="145"/>
        <v>1</v>
      </c>
      <c r="EH751" s="16" t="str">
        <f t="shared" si="146"/>
        <v>Lundi</v>
      </c>
      <c r="EI751" s="16" t="str">
        <f t="shared" si="147"/>
        <v/>
      </c>
    </row>
    <row r="752" spans="1:139" x14ac:dyDescent="0.2">
      <c r="A752" s="16" t="str">
        <f t="shared" si="150"/>
        <v>Fiche info Avenant 8D2</v>
      </c>
      <c r="B752" s="16" t="str">
        <f t="shared" si="151"/>
        <v>Fiche info Avenant 8</v>
      </c>
      <c r="C752" s="27" t="s">
        <v>242</v>
      </c>
      <c r="D752" s="27">
        <v>2</v>
      </c>
      <c r="E752" s="16" t="s">
        <v>18</v>
      </c>
      <c r="F752" s="34" t="str">
        <f>IF(+'Fiche info Avenant 8'!$AR$8=0,"",'Fiche info Avenant 8'!$AR$8)</f>
        <v/>
      </c>
      <c r="G752" s="16">
        <f t="shared" si="148"/>
        <v>0</v>
      </c>
      <c r="BX752" s="16" t="str">
        <f t="shared" si="149"/>
        <v>Fiche info Avenant 8D2</v>
      </c>
      <c r="BY752" s="449">
        <f>'Fiche info Avenant 8'!$AI$8</f>
        <v>0</v>
      </c>
      <c r="BZ752" s="449">
        <f>'Fiche info Avenant 8'!$AJ$8</f>
        <v>0</v>
      </c>
      <c r="CA752" s="449">
        <f>'Fiche info Avenant 8'!$AK$8</f>
        <v>0</v>
      </c>
      <c r="CB752" s="449">
        <f>'Fiche info Avenant 8'!$AL$8</f>
        <v>0</v>
      </c>
      <c r="CC752" s="449">
        <f>'Fiche info Avenant 8'!$AM$8</f>
        <v>0</v>
      </c>
      <c r="CD752" s="449">
        <f>'Fiche info Avenant 8'!$AN$8</f>
        <v>0</v>
      </c>
      <c r="CE752" s="449">
        <f>'Fiche info Avenant 8'!$AO$8</f>
        <v>0</v>
      </c>
      <c r="CF752" s="449">
        <f>'Fiche info Avenant 8'!$AP$8</f>
        <v>0</v>
      </c>
      <c r="ED752" s="16" t="str">
        <f t="shared" si="142"/>
        <v>Fiche info Avenant 8D</v>
      </c>
      <c r="EE752" s="16" t="str">
        <f t="shared" si="143"/>
        <v>Fiche info Avenant 8</v>
      </c>
      <c r="EF752" s="16" t="str">
        <f t="shared" si="144"/>
        <v>D</v>
      </c>
      <c r="EG752" s="16">
        <f t="shared" si="145"/>
        <v>2</v>
      </c>
      <c r="EH752" s="16" t="str">
        <f t="shared" si="146"/>
        <v>Mardi</v>
      </c>
      <c r="EI752" s="16" t="str">
        <f t="shared" si="147"/>
        <v/>
      </c>
    </row>
    <row r="753" spans="1:139" x14ac:dyDescent="0.2">
      <c r="A753" s="16" t="str">
        <f t="shared" si="150"/>
        <v>Fiche info Avenant 8D3</v>
      </c>
      <c r="B753" s="16" t="str">
        <f t="shared" si="151"/>
        <v>Fiche info Avenant 8</v>
      </c>
      <c r="C753" s="27" t="s">
        <v>242</v>
      </c>
      <c r="D753" s="27">
        <v>3</v>
      </c>
      <c r="E753" s="16" t="s">
        <v>19</v>
      </c>
      <c r="F753" s="34" t="str">
        <f>IF(+'Fiche info Avenant 8'!$AR$9=0,"",'Fiche info Avenant 8'!$AR$9)</f>
        <v/>
      </c>
      <c r="G753" s="16">
        <f t="shared" si="148"/>
        <v>0</v>
      </c>
      <c r="BX753" s="16" t="str">
        <f t="shared" si="149"/>
        <v>Fiche info Avenant 8D3</v>
      </c>
      <c r="BY753" s="449">
        <f>'Fiche info Avenant 8'!$AI$9</f>
        <v>0</v>
      </c>
      <c r="BZ753" s="449">
        <f>'Fiche info Avenant 8'!$AJ$9</f>
        <v>0</v>
      </c>
      <c r="CA753" s="449">
        <f>'Fiche info Avenant 8'!$AK$9</f>
        <v>0</v>
      </c>
      <c r="CB753" s="449">
        <f>'Fiche info Avenant 8'!$AL$9</f>
        <v>0</v>
      </c>
      <c r="CC753" s="449">
        <f>'Fiche info Avenant 8'!$AM$9</f>
        <v>0</v>
      </c>
      <c r="CD753" s="449">
        <f>'Fiche info Avenant 8'!$AN$9</f>
        <v>0</v>
      </c>
      <c r="CE753" s="449">
        <f>'Fiche info Avenant 8'!$AO$9</f>
        <v>0</v>
      </c>
      <c r="CF753" s="449">
        <f>'Fiche info Avenant 8'!$AP$9</f>
        <v>0</v>
      </c>
      <c r="ED753" s="16" t="str">
        <f t="shared" si="142"/>
        <v>Fiche info Avenant 8D</v>
      </c>
      <c r="EE753" s="16" t="str">
        <f t="shared" si="143"/>
        <v>Fiche info Avenant 8</v>
      </c>
      <c r="EF753" s="16" t="str">
        <f t="shared" si="144"/>
        <v>D</v>
      </c>
      <c r="EG753" s="16">
        <f t="shared" si="145"/>
        <v>3</v>
      </c>
      <c r="EH753" s="16" t="str">
        <f t="shared" si="146"/>
        <v>Mercredi</v>
      </c>
      <c r="EI753" s="16" t="str">
        <f t="shared" si="147"/>
        <v/>
      </c>
    </row>
    <row r="754" spans="1:139" x14ac:dyDescent="0.2">
      <c r="A754" s="16" t="str">
        <f t="shared" si="150"/>
        <v>Fiche info Avenant 8D4</v>
      </c>
      <c r="B754" s="16" t="str">
        <f t="shared" si="151"/>
        <v>Fiche info Avenant 8</v>
      </c>
      <c r="C754" s="27" t="s">
        <v>242</v>
      </c>
      <c r="D754" s="27">
        <v>4</v>
      </c>
      <c r="E754" s="16" t="s">
        <v>20</v>
      </c>
      <c r="F754" s="34" t="str">
        <f>IF(+'Fiche info Avenant 8'!$AR$10=0,"",'Fiche info Avenant 8'!$AR$10)</f>
        <v/>
      </c>
      <c r="G754" s="16">
        <f t="shared" si="148"/>
        <v>0</v>
      </c>
      <c r="BX754" s="16" t="str">
        <f t="shared" si="149"/>
        <v>Fiche info Avenant 8D4</v>
      </c>
      <c r="BY754" s="449">
        <f>'Fiche info Avenant 8'!$AI$10</f>
        <v>0</v>
      </c>
      <c r="BZ754" s="449">
        <f>'Fiche info Avenant 8'!$AJ$10</f>
        <v>0</v>
      </c>
      <c r="CA754" s="449">
        <f>'Fiche info Avenant 8'!$AK$10</f>
        <v>0</v>
      </c>
      <c r="CB754" s="449">
        <f>'Fiche info Avenant 8'!$AL$10</f>
        <v>0</v>
      </c>
      <c r="CC754" s="449">
        <f>'Fiche info Avenant 8'!$AM$10</f>
        <v>0</v>
      </c>
      <c r="CD754" s="449">
        <f>'Fiche info Avenant 8'!$AN$10</f>
        <v>0</v>
      </c>
      <c r="CE754" s="449">
        <f>'Fiche info Avenant 8'!$AO$10</f>
        <v>0</v>
      </c>
      <c r="CF754" s="449">
        <f>'Fiche info Avenant 8'!$AP$10</f>
        <v>0</v>
      </c>
      <c r="ED754" s="16" t="str">
        <f t="shared" si="142"/>
        <v>Fiche info Avenant 8D</v>
      </c>
      <c r="EE754" s="16" t="str">
        <f t="shared" si="143"/>
        <v>Fiche info Avenant 8</v>
      </c>
      <c r="EF754" s="16" t="str">
        <f t="shared" si="144"/>
        <v>D</v>
      </c>
      <c r="EG754" s="16">
        <f t="shared" si="145"/>
        <v>4</v>
      </c>
      <c r="EH754" s="16" t="str">
        <f t="shared" si="146"/>
        <v>Jeudi</v>
      </c>
      <c r="EI754" s="16" t="str">
        <f t="shared" si="147"/>
        <v/>
      </c>
    </row>
    <row r="755" spans="1:139" x14ac:dyDescent="0.2">
      <c r="A755" s="16" t="str">
        <f t="shared" si="150"/>
        <v>Fiche info Avenant 8D5</v>
      </c>
      <c r="B755" s="16" t="str">
        <f t="shared" si="151"/>
        <v>Fiche info Avenant 8</v>
      </c>
      <c r="C755" s="27" t="s">
        <v>242</v>
      </c>
      <c r="D755" s="27">
        <v>5</v>
      </c>
      <c r="E755" s="16" t="s">
        <v>21</v>
      </c>
      <c r="F755" s="34" t="str">
        <f>IF(+'Fiche info Avenant 8'!$AR$11=0,"",'Fiche info Avenant 8'!$AR$11)</f>
        <v/>
      </c>
      <c r="G755" s="16">
        <f t="shared" si="148"/>
        <v>0</v>
      </c>
      <c r="BX755" s="16" t="str">
        <f t="shared" si="149"/>
        <v>Fiche info Avenant 8D5</v>
      </c>
      <c r="BY755" s="449">
        <f>'Fiche info Avenant 8'!$AI$11</f>
        <v>0</v>
      </c>
      <c r="BZ755" s="449">
        <f>'Fiche info Avenant 8'!$AJ$11</f>
        <v>0</v>
      </c>
      <c r="CA755" s="449">
        <f>'Fiche info Avenant 8'!$AK$11</f>
        <v>0</v>
      </c>
      <c r="CB755" s="449">
        <f>'Fiche info Avenant 8'!$AL$11</f>
        <v>0</v>
      </c>
      <c r="CC755" s="449">
        <f>'Fiche info Avenant 8'!$AM$11</f>
        <v>0</v>
      </c>
      <c r="CD755" s="449">
        <f>'Fiche info Avenant 8'!$AN$11</f>
        <v>0</v>
      </c>
      <c r="CE755" s="449">
        <f>'Fiche info Avenant 8'!$AO$11</f>
        <v>0</v>
      </c>
      <c r="CF755" s="449">
        <f>'Fiche info Avenant 8'!$AP$11</f>
        <v>0</v>
      </c>
      <c r="ED755" s="16" t="str">
        <f t="shared" ref="ED755:ED818" si="152">+EE755&amp;EF755</f>
        <v>Fiche info Avenant 8D</v>
      </c>
      <c r="EE755" s="16" t="str">
        <f t="shared" si="143"/>
        <v>Fiche info Avenant 8</v>
      </c>
      <c r="EF755" s="16" t="str">
        <f t="shared" si="144"/>
        <v>D</v>
      </c>
      <c r="EG755" s="16">
        <f t="shared" si="145"/>
        <v>5</v>
      </c>
      <c r="EH755" s="16" t="str">
        <f t="shared" si="146"/>
        <v>Vendredi</v>
      </c>
      <c r="EI755" s="16" t="str">
        <f t="shared" si="147"/>
        <v/>
      </c>
    </row>
    <row r="756" spans="1:139" x14ac:dyDescent="0.2">
      <c r="A756" s="16" t="str">
        <f t="shared" si="150"/>
        <v>Fiche info Avenant 8D6</v>
      </c>
      <c r="B756" s="16" t="str">
        <f t="shared" si="151"/>
        <v>Fiche info Avenant 8</v>
      </c>
      <c r="C756" s="27" t="s">
        <v>242</v>
      </c>
      <c r="D756" s="27">
        <v>6</v>
      </c>
      <c r="E756" s="16" t="s">
        <v>193</v>
      </c>
      <c r="F756" s="34" t="str">
        <f>IF(+'Fiche info Avenant 8'!$AR$12=0,"",'Fiche info Avenant 8'!$AR$12)</f>
        <v/>
      </c>
      <c r="G756" s="16">
        <f t="shared" si="148"/>
        <v>0</v>
      </c>
      <c r="BX756" s="16" t="str">
        <f t="shared" si="149"/>
        <v>Fiche info Avenant 8D6</v>
      </c>
      <c r="BY756" s="449">
        <f>'Fiche info Avenant 8'!$AI$12</f>
        <v>0</v>
      </c>
      <c r="BZ756" s="449">
        <f>'Fiche info Avenant 8'!$AJ$12</f>
        <v>0</v>
      </c>
      <c r="CA756" s="449">
        <f>'Fiche info Avenant 8'!$AK$12</f>
        <v>0</v>
      </c>
      <c r="CB756" s="449">
        <f>'Fiche info Avenant 8'!$AL$12</f>
        <v>0</v>
      </c>
      <c r="CC756" s="449">
        <f>'Fiche info Avenant 8'!$AM$12</f>
        <v>0</v>
      </c>
      <c r="CD756" s="449">
        <f>'Fiche info Avenant 8'!$AN$12</f>
        <v>0</v>
      </c>
      <c r="CE756" s="449">
        <f>'Fiche info Avenant 8'!$AO$12</f>
        <v>0</v>
      </c>
      <c r="CF756" s="449">
        <f>'Fiche info Avenant 8'!$AP$12</f>
        <v>0</v>
      </c>
      <c r="ED756" s="16" t="str">
        <f t="shared" si="152"/>
        <v>Fiche info Avenant 8D</v>
      </c>
      <c r="EE756" s="16" t="str">
        <f t="shared" si="143"/>
        <v>Fiche info Avenant 8</v>
      </c>
      <c r="EF756" s="16" t="str">
        <f t="shared" si="144"/>
        <v>D</v>
      </c>
      <c r="EG756" s="16">
        <f t="shared" si="145"/>
        <v>6</v>
      </c>
      <c r="EH756" s="16" t="str">
        <f t="shared" si="146"/>
        <v>Samedi</v>
      </c>
      <c r="EI756" s="16" t="str">
        <f t="shared" si="147"/>
        <v/>
      </c>
    </row>
    <row r="757" spans="1:139" x14ac:dyDescent="0.2">
      <c r="A757" s="16" t="str">
        <f t="shared" si="150"/>
        <v>Fiche info Avenant 8D7</v>
      </c>
      <c r="B757" s="16" t="str">
        <f t="shared" si="151"/>
        <v>Fiche info Avenant 8</v>
      </c>
      <c r="C757" s="27" t="s">
        <v>242</v>
      </c>
      <c r="D757" s="27">
        <v>7</v>
      </c>
      <c r="E757" s="16" t="s">
        <v>194</v>
      </c>
      <c r="F757" s="34" t="str">
        <f>IF(+'Fiche info Avenant 8'!$AR$13=0,"",'Fiche info Avenant 8'!$AR$13)</f>
        <v/>
      </c>
      <c r="G757" s="16">
        <f t="shared" si="148"/>
        <v>0</v>
      </c>
      <c r="BX757" s="16" t="str">
        <f t="shared" si="149"/>
        <v>Fiche info Avenant 8D7</v>
      </c>
      <c r="BY757" s="449">
        <f>'Fiche info Avenant 8'!$AI$13</f>
        <v>0</v>
      </c>
      <c r="BZ757" s="449">
        <f>'Fiche info Avenant 8'!$AJ$13</f>
        <v>0</v>
      </c>
      <c r="CA757" s="449">
        <f>'Fiche info Avenant 8'!$AK$13</f>
        <v>0</v>
      </c>
      <c r="CB757" s="449">
        <f>'Fiche info Avenant 8'!$AL$13</f>
        <v>0</v>
      </c>
      <c r="CC757" s="449">
        <f>'Fiche info Avenant 8'!$AM$13</f>
        <v>0</v>
      </c>
      <c r="CD757" s="449">
        <f>'Fiche info Avenant 8'!$AN$13</f>
        <v>0</v>
      </c>
      <c r="CE757" s="449">
        <f>'Fiche info Avenant 8'!$AO$13</f>
        <v>0</v>
      </c>
      <c r="CF757" s="449">
        <f>'Fiche info Avenant 8'!$AP$13</f>
        <v>0</v>
      </c>
      <c r="ED757" s="16" t="str">
        <f t="shared" si="152"/>
        <v>Fiche info Avenant 8D</v>
      </c>
      <c r="EE757" s="16" t="str">
        <f t="shared" si="143"/>
        <v>Fiche info Avenant 8</v>
      </c>
      <c r="EF757" s="16" t="str">
        <f t="shared" si="144"/>
        <v>D</v>
      </c>
      <c r="EG757" s="16">
        <f t="shared" si="145"/>
        <v>7</v>
      </c>
      <c r="EH757" s="16" t="str">
        <f t="shared" si="146"/>
        <v>Dimanche</v>
      </c>
      <c r="EI757" s="16" t="str">
        <f t="shared" si="147"/>
        <v/>
      </c>
    </row>
    <row r="758" spans="1:139" x14ac:dyDescent="0.2">
      <c r="A758" s="16" t="str">
        <f t="shared" si="150"/>
        <v>Fiche info Avenant 8E1</v>
      </c>
      <c r="B758" s="16" t="str">
        <f t="shared" si="151"/>
        <v>Fiche info Avenant 8</v>
      </c>
      <c r="C758" s="27" t="s">
        <v>243</v>
      </c>
      <c r="D758" s="27">
        <v>1</v>
      </c>
      <c r="E758" s="16" t="s">
        <v>17</v>
      </c>
      <c r="F758" s="34" t="str">
        <f>IF(+'Fiche info Avenant 8'!$BC$7=0,"",'Fiche info Avenant 8'!$BC$7)</f>
        <v/>
      </c>
      <c r="G758" s="16">
        <f t="shared" si="148"/>
        <v>0</v>
      </c>
      <c r="BX758" s="16" t="str">
        <f t="shared" si="149"/>
        <v>Fiche info Avenant 8E1</v>
      </c>
      <c r="BY758" s="449">
        <f>'Fiche info Avenant 8'!$AT$7</f>
        <v>0</v>
      </c>
      <c r="BZ758" s="449">
        <f>'Fiche info Avenant 8'!$AU$7</f>
        <v>0</v>
      </c>
      <c r="CA758" s="449">
        <f>'Fiche info Avenant 8'!$AV$7</f>
        <v>0</v>
      </c>
      <c r="CB758" s="449">
        <f>'Fiche info Avenant 8'!$AW$7</f>
        <v>0</v>
      </c>
      <c r="CC758" s="449">
        <f>'Fiche info Avenant 8'!$AX$7</f>
        <v>0</v>
      </c>
      <c r="CD758" s="449">
        <f>'Fiche info Avenant 8'!$AY$7</f>
        <v>0</v>
      </c>
      <c r="CE758" s="449">
        <f>'Fiche info Avenant 8'!$AZ$7</f>
        <v>0</v>
      </c>
      <c r="CF758" s="449">
        <f>'Fiche info Avenant 8'!$BA$7</f>
        <v>0</v>
      </c>
      <c r="ED758" s="16" t="str">
        <f t="shared" si="152"/>
        <v>Fiche info Avenant 8E</v>
      </c>
      <c r="EE758" s="16" t="str">
        <f t="shared" si="143"/>
        <v>Fiche info Avenant 8</v>
      </c>
      <c r="EF758" s="16" t="str">
        <f t="shared" si="144"/>
        <v>E</v>
      </c>
      <c r="EG758" s="16">
        <f t="shared" si="145"/>
        <v>1</v>
      </c>
      <c r="EH758" s="16" t="str">
        <f t="shared" si="146"/>
        <v>Lundi</v>
      </c>
      <c r="EI758" s="16" t="str">
        <f t="shared" si="147"/>
        <v/>
      </c>
    </row>
    <row r="759" spans="1:139" x14ac:dyDescent="0.2">
      <c r="A759" s="16" t="str">
        <f t="shared" si="150"/>
        <v>Fiche info Avenant 8E2</v>
      </c>
      <c r="B759" s="16" t="str">
        <f t="shared" si="151"/>
        <v>Fiche info Avenant 8</v>
      </c>
      <c r="C759" s="27" t="s">
        <v>243</v>
      </c>
      <c r="D759" s="27">
        <v>2</v>
      </c>
      <c r="E759" s="16" t="s">
        <v>18</v>
      </c>
      <c r="F759" s="34" t="str">
        <f>IF(+'Fiche info Avenant 8'!$BC$8=0,"",'Fiche info Avenant 8'!$BC$8)</f>
        <v/>
      </c>
      <c r="G759" s="16">
        <f t="shared" si="148"/>
        <v>0</v>
      </c>
      <c r="BX759" s="16" t="str">
        <f t="shared" si="149"/>
        <v>Fiche info Avenant 8E2</v>
      </c>
      <c r="BY759" s="449">
        <f>'Fiche info Avenant 8'!$AT$8</f>
        <v>0</v>
      </c>
      <c r="BZ759" s="449">
        <f>'Fiche info Avenant 8'!$AU$8</f>
        <v>0</v>
      </c>
      <c r="CA759" s="449">
        <f>'Fiche info Avenant 8'!$AV$8</f>
        <v>0</v>
      </c>
      <c r="CB759" s="449">
        <f>'Fiche info Avenant 8'!$AW$8</f>
        <v>0</v>
      </c>
      <c r="CC759" s="449">
        <f>'Fiche info Avenant 8'!$AX$8</f>
        <v>0</v>
      </c>
      <c r="CD759" s="449">
        <f>'Fiche info Avenant 8'!$AY$8</f>
        <v>0</v>
      </c>
      <c r="CE759" s="449">
        <f>'Fiche info Avenant 8'!$AZ$8</f>
        <v>0</v>
      </c>
      <c r="CF759" s="449">
        <f>'Fiche info Avenant 8'!$BA$8</f>
        <v>0</v>
      </c>
      <c r="ED759" s="16" t="str">
        <f t="shared" si="152"/>
        <v>Fiche info Avenant 8E</v>
      </c>
      <c r="EE759" s="16" t="str">
        <f t="shared" si="143"/>
        <v>Fiche info Avenant 8</v>
      </c>
      <c r="EF759" s="16" t="str">
        <f t="shared" si="144"/>
        <v>E</v>
      </c>
      <c r="EG759" s="16">
        <f t="shared" si="145"/>
        <v>2</v>
      </c>
      <c r="EH759" s="16" t="str">
        <f t="shared" si="146"/>
        <v>Mardi</v>
      </c>
      <c r="EI759" s="16" t="str">
        <f t="shared" si="147"/>
        <v/>
      </c>
    </row>
    <row r="760" spans="1:139" x14ac:dyDescent="0.2">
      <c r="A760" s="16" t="str">
        <f t="shared" si="150"/>
        <v>Fiche info Avenant 8E3</v>
      </c>
      <c r="B760" s="16" t="str">
        <f t="shared" si="151"/>
        <v>Fiche info Avenant 8</v>
      </c>
      <c r="C760" s="27" t="s">
        <v>243</v>
      </c>
      <c r="D760" s="27">
        <v>3</v>
      </c>
      <c r="E760" s="16" t="s">
        <v>19</v>
      </c>
      <c r="F760" s="34" t="str">
        <f>IF(+'Fiche info Avenant 8'!$BC$9=0,"",'Fiche info Avenant 8'!$BC$9)</f>
        <v/>
      </c>
      <c r="G760" s="16">
        <f t="shared" si="148"/>
        <v>0</v>
      </c>
      <c r="BX760" s="16" t="str">
        <f t="shared" si="149"/>
        <v>Fiche info Avenant 8E3</v>
      </c>
      <c r="BY760" s="449">
        <f>'Fiche info Avenant 8'!$AT$9</f>
        <v>0</v>
      </c>
      <c r="BZ760" s="449">
        <f>'Fiche info Avenant 8'!$AU$9</f>
        <v>0</v>
      </c>
      <c r="CA760" s="449">
        <f>'Fiche info Avenant 8'!$AV$9</f>
        <v>0</v>
      </c>
      <c r="CB760" s="449">
        <f>'Fiche info Avenant 8'!$AW$9</f>
        <v>0</v>
      </c>
      <c r="CC760" s="449">
        <f>'Fiche info Avenant 8'!$AX$9</f>
        <v>0</v>
      </c>
      <c r="CD760" s="449">
        <f>'Fiche info Avenant 8'!$AY$9</f>
        <v>0</v>
      </c>
      <c r="CE760" s="449">
        <f>'Fiche info Avenant 8'!$AZ$9</f>
        <v>0</v>
      </c>
      <c r="CF760" s="449">
        <f>'Fiche info Avenant 8'!$BA$9</f>
        <v>0</v>
      </c>
      <c r="ED760" s="16" t="str">
        <f t="shared" si="152"/>
        <v>Fiche info Avenant 8E</v>
      </c>
      <c r="EE760" s="16" t="str">
        <f t="shared" si="143"/>
        <v>Fiche info Avenant 8</v>
      </c>
      <c r="EF760" s="16" t="str">
        <f t="shared" si="144"/>
        <v>E</v>
      </c>
      <c r="EG760" s="16">
        <f t="shared" si="145"/>
        <v>3</v>
      </c>
      <c r="EH760" s="16" t="str">
        <f t="shared" si="146"/>
        <v>Mercredi</v>
      </c>
      <c r="EI760" s="16" t="str">
        <f t="shared" si="147"/>
        <v/>
      </c>
    </row>
    <row r="761" spans="1:139" x14ac:dyDescent="0.2">
      <c r="A761" s="16" t="str">
        <f t="shared" si="150"/>
        <v>Fiche info Avenant 8E4</v>
      </c>
      <c r="B761" s="16" t="str">
        <f t="shared" si="151"/>
        <v>Fiche info Avenant 8</v>
      </c>
      <c r="C761" s="27" t="s">
        <v>243</v>
      </c>
      <c r="D761" s="27">
        <v>4</v>
      </c>
      <c r="E761" s="16" t="s">
        <v>20</v>
      </c>
      <c r="F761" s="34" t="str">
        <f>IF(+'Fiche info Avenant 8'!$BC$10=0,"",'Fiche info Avenant 8'!$BC$10)</f>
        <v/>
      </c>
      <c r="G761" s="16">
        <f t="shared" si="148"/>
        <v>0</v>
      </c>
      <c r="BX761" s="16" t="str">
        <f t="shared" si="149"/>
        <v>Fiche info Avenant 8E4</v>
      </c>
      <c r="BY761" s="449">
        <f>'Fiche info Avenant 8'!$AT$10</f>
        <v>0</v>
      </c>
      <c r="BZ761" s="449">
        <f>'Fiche info Avenant 8'!$AU$10</f>
        <v>0</v>
      </c>
      <c r="CA761" s="449">
        <f>'Fiche info Avenant 8'!$AV$10</f>
        <v>0</v>
      </c>
      <c r="CB761" s="449">
        <f>'Fiche info Avenant 8'!$AW$10</f>
        <v>0</v>
      </c>
      <c r="CC761" s="449">
        <f>'Fiche info Avenant 8'!$AX$10</f>
        <v>0</v>
      </c>
      <c r="CD761" s="449">
        <f>'Fiche info Avenant 8'!$AY$10</f>
        <v>0</v>
      </c>
      <c r="CE761" s="449">
        <f>'Fiche info Avenant 8'!$AZ$10</f>
        <v>0</v>
      </c>
      <c r="CF761" s="449">
        <f>'Fiche info Avenant 8'!$BA$10</f>
        <v>0</v>
      </c>
      <c r="ED761" s="16" t="str">
        <f t="shared" si="152"/>
        <v>Fiche info Avenant 8E</v>
      </c>
      <c r="EE761" s="16" t="str">
        <f t="shared" si="143"/>
        <v>Fiche info Avenant 8</v>
      </c>
      <c r="EF761" s="16" t="str">
        <f t="shared" si="144"/>
        <v>E</v>
      </c>
      <c r="EG761" s="16">
        <f t="shared" si="145"/>
        <v>4</v>
      </c>
      <c r="EH761" s="16" t="str">
        <f t="shared" si="146"/>
        <v>Jeudi</v>
      </c>
      <c r="EI761" s="16" t="str">
        <f t="shared" si="147"/>
        <v/>
      </c>
    </row>
    <row r="762" spans="1:139" x14ac:dyDescent="0.2">
      <c r="A762" s="16" t="str">
        <f t="shared" si="150"/>
        <v>Fiche info Avenant 8E5</v>
      </c>
      <c r="B762" s="16" t="str">
        <f t="shared" si="151"/>
        <v>Fiche info Avenant 8</v>
      </c>
      <c r="C762" s="27" t="s">
        <v>243</v>
      </c>
      <c r="D762" s="27">
        <v>5</v>
      </c>
      <c r="E762" s="16" t="s">
        <v>21</v>
      </c>
      <c r="F762" s="34" t="str">
        <f>IF(+'Fiche info Avenant 8'!$BC$11=0,"",'Fiche info Avenant 8'!$BC$11)</f>
        <v/>
      </c>
      <c r="G762" s="16">
        <f t="shared" si="148"/>
        <v>0</v>
      </c>
      <c r="BX762" s="16" t="str">
        <f t="shared" si="149"/>
        <v>Fiche info Avenant 8E5</v>
      </c>
      <c r="BY762" s="449">
        <f>'Fiche info Avenant 8'!$AT$11</f>
        <v>0</v>
      </c>
      <c r="BZ762" s="449">
        <f>'Fiche info Avenant 8'!$AU$11</f>
        <v>0</v>
      </c>
      <c r="CA762" s="449">
        <f>'Fiche info Avenant 8'!$AV$11</f>
        <v>0</v>
      </c>
      <c r="CB762" s="449">
        <f>'Fiche info Avenant 8'!$AW$11</f>
        <v>0</v>
      </c>
      <c r="CC762" s="449">
        <f>'Fiche info Avenant 8'!$AX$11</f>
        <v>0</v>
      </c>
      <c r="CD762" s="449">
        <f>'Fiche info Avenant 8'!$AY$11</f>
        <v>0</v>
      </c>
      <c r="CE762" s="449">
        <f>'Fiche info Avenant 8'!$AZ$11</f>
        <v>0</v>
      </c>
      <c r="CF762" s="449">
        <f>'Fiche info Avenant 8'!$BA$11</f>
        <v>0</v>
      </c>
      <c r="ED762" s="16" t="str">
        <f t="shared" si="152"/>
        <v>Fiche info Avenant 8E</v>
      </c>
      <c r="EE762" s="16" t="str">
        <f t="shared" si="143"/>
        <v>Fiche info Avenant 8</v>
      </c>
      <c r="EF762" s="16" t="str">
        <f t="shared" si="144"/>
        <v>E</v>
      </c>
      <c r="EG762" s="16">
        <f t="shared" si="145"/>
        <v>5</v>
      </c>
      <c r="EH762" s="16" t="str">
        <f t="shared" si="146"/>
        <v>Vendredi</v>
      </c>
      <c r="EI762" s="16" t="str">
        <f t="shared" si="147"/>
        <v/>
      </c>
    </row>
    <row r="763" spans="1:139" x14ac:dyDescent="0.2">
      <c r="A763" s="16" t="str">
        <f t="shared" si="150"/>
        <v>Fiche info Avenant 8E6</v>
      </c>
      <c r="B763" s="16" t="str">
        <f t="shared" si="151"/>
        <v>Fiche info Avenant 8</v>
      </c>
      <c r="C763" s="27" t="s">
        <v>243</v>
      </c>
      <c r="D763" s="27">
        <v>6</v>
      </c>
      <c r="E763" s="16" t="s">
        <v>193</v>
      </c>
      <c r="F763" s="34" t="str">
        <f>IF(+'Fiche info Avenant 8'!$BC$12=0,"",'Fiche info Avenant 8'!$BC$12)</f>
        <v/>
      </c>
      <c r="G763" s="16">
        <f t="shared" si="148"/>
        <v>0</v>
      </c>
      <c r="BX763" s="16" t="str">
        <f t="shared" si="149"/>
        <v>Fiche info Avenant 8E6</v>
      </c>
      <c r="BY763" s="449">
        <f>'Fiche info Avenant 8'!$AT$12</f>
        <v>0</v>
      </c>
      <c r="BZ763" s="449">
        <f>'Fiche info Avenant 8'!$AU$12</f>
        <v>0</v>
      </c>
      <c r="CA763" s="449">
        <f>'Fiche info Avenant 8'!$AV$12</f>
        <v>0</v>
      </c>
      <c r="CB763" s="449">
        <f>'Fiche info Avenant 8'!$AW$12</f>
        <v>0</v>
      </c>
      <c r="CC763" s="449">
        <f>'Fiche info Avenant 8'!$AX$12</f>
        <v>0</v>
      </c>
      <c r="CD763" s="449">
        <f>'Fiche info Avenant 8'!$AY$12</f>
        <v>0</v>
      </c>
      <c r="CE763" s="449">
        <f>'Fiche info Avenant 8'!$AZ$12</f>
        <v>0</v>
      </c>
      <c r="CF763" s="449">
        <f>'Fiche info Avenant 8'!$BA$12</f>
        <v>0</v>
      </c>
      <c r="ED763" s="16" t="str">
        <f t="shared" si="152"/>
        <v>Fiche info Avenant 8E</v>
      </c>
      <c r="EE763" s="16" t="str">
        <f t="shared" si="143"/>
        <v>Fiche info Avenant 8</v>
      </c>
      <c r="EF763" s="16" t="str">
        <f t="shared" si="144"/>
        <v>E</v>
      </c>
      <c r="EG763" s="16">
        <f t="shared" si="145"/>
        <v>6</v>
      </c>
      <c r="EH763" s="16" t="str">
        <f t="shared" si="146"/>
        <v>Samedi</v>
      </c>
      <c r="EI763" s="16" t="str">
        <f t="shared" si="147"/>
        <v/>
      </c>
    </row>
    <row r="764" spans="1:139" x14ac:dyDescent="0.2">
      <c r="A764" s="16" t="str">
        <f t="shared" si="150"/>
        <v>Fiche info Avenant 8E7</v>
      </c>
      <c r="B764" s="16" t="str">
        <f t="shared" si="151"/>
        <v>Fiche info Avenant 8</v>
      </c>
      <c r="C764" s="27" t="s">
        <v>243</v>
      </c>
      <c r="D764" s="27">
        <v>7</v>
      </c>
      <c r="E764" s="16" t="s">
        <v>194</v>
      </c>
      <c r="F764" s="34" t="str">
        <f>IF(+'Fiche info Avenant 8'!$BC$13=0,"",'Fiche info Avenant 8'!$BC$13)</f>
        <v/>
      </c>
      <c r="G764" s="16">
        <f t="shared" si="148"/>
        <v>0</v>
      </c>
      <c r="BX764" s="16" t="str">
        <f t="shared" si="149"/>
        <v>Fiche info Avenant 8E7</v>
      </c>
      <c r="BY764" s="449">
        <f>'Fiche info Avenant 8'!$AT$13</f>
        <v>0</v>
      </c>
      <c r="BZ764" s="449">
        <f>'Fiche info Avenant 8'!$AU$13</f>
        <v>0</v>
      </c>
      <c r="CA764" s="449">
        <f>'Fiche info Avenant 8'!$AV$13</f>
        <v>0</v>
      </c>
      <c r="CB764" s="449">
        <f>'Fiche info Avenant 8'!$AW$13</f>
        <v>0</v>
      </c>
      <c r="CC764" s="449">
        <f>'Fiche info Avenant 8'!$AX$13</f>
        <v>0</v>
      </c>
      <c r="CD764" s="449">
        <f>'Fiche info Avenant 8'!$AY$13</f>
        <v>0</v>
      </c>
      <c r="CE764" s="449">
        <f>'Fiche info Avenant 8'!$AZ$13</f>
        <v>0</v>
      </c>
      <c r="CF764" s="449">
        <f>'Fiche info Avenant 8'!$BA$13</f>
        <v>0</v>
      </c>
      <c r="ED764" s="16" t="str">
        <f t="shared" si="152"/>
        <v>Fiche info Avenant 8E</v>
      </c>
      <c r="EE764" s="16" t="str">
        <f t="shared" si="143"/>
        <v>Fiche info Avenant 8</v>
      </c>
      <c r="EF764" s="16" t="str">
        <f t="shared" si="144"/>
        <v>E</v>
      </c>
      <c r="EG764" s="16">
        <f t="shared" si="145"/>
        <v>7</v>
      </c>
      <c r="EH764" s="16" t="str">
        <f t="shared" si="146"/>
        <v>Dimanche</v>
      </c>
      <c r="EI764" s="16" t="str">
        <f t="shared" si="147"/>
        <v/>
      </c>
    </row>
    <row r="765" spans="1:139" x14ac:dyDescent="0.2">
      <c r="A765" s="16" t="str">
        <f t="shared" si="150"/>
        <v>Fiche info Avenant 8F1</v>
      </c>
      <c r="B765" s="16" t="str">
        <f t="shared" si="151"/>
        <v>Fiche info Avenant 8</v>
      </c>
      <c r="C765" s="27" t="s">
        <v>244</v>
      </c>
      <c r="D765" s="27">
        <v>1</v>
      </c>
      <c r="E765" s="16" t="s">
        <v>17</v>
      </c>
      <c r="F765" s="34" t="str">
        <f>+IF('Fiche info Avenant 8'!$BN$7=0,"",'Fiche info Avenant 8'!$BN$7)</f>
        <v/>
      </c>
      <c r="G765" s="16">
        <f t="shared" si="148"/>
        <v>0</v>
      </c>
      <c r="BX765" s="16" t="str">
        <f t="shared" si="149"/>
        <v>Fiche info Avenant 8F1</v>
      </c>
      <c r="BY765" s="449">
        <f>'Fiche info Avenant 8'!$BE$7</f>
        <v>0</v>
      </c>
      <c r="BZ765" s="449">
        <f>'Fiche info Avenant 8'!$BF$7</f>
        <v>0</v>
      </c>
      <c r="CA765" s="449">
        <f>'Fiche info Avenant 8'!$BG$7</f>
        <v>0</v>
      </c>
      <c r="CB765" s="449">
        <f>'Fiche info Avenant 8'!$BH$7</f>
        <v>0</v>
      </c>
      <c r="CC765" s="449">
        <f>'Fiche info Avenant 8'!$BI$7</f>
        <v>0</v>
      </c>
      <c r="CD765" s="449">
        <f>'Fiche info Avenant 8'!$BJ$7</f>
        <v>0</v>
      </c>
      <c r="CE765" s="449">
        <f>'Fiche info Avenant 8'!$BK$7</f>
        <v>0</v>
      </c>
      <c r="CF765" s="449">
        <f>'Fiche info Avenant 8'!$BL$7</f>
        <v>0</v>
      </c>
      <c r="ED765" s="16" t="str">
        <f t="shared" si="152"/>
        <v>Fiche info Avenant 8F</v>
      </c>
      <c r="EE765" s="16" t="str">
        <f t="shared" si="143"/>
        <v>Fiche info Avenant 8</v>
      </c>
      <c r="EF765" s="16" t="str">
        <f t="shared" si="144"/>
        <v>F</v>
      </c>
      <c r="EG765" s="16">
        <f t="shared" si="145"/>
        <v>1</v>
      </c>
      <c r="EH765" s="16" t="str">
        <f t="shared" si="146"/>
        <v>Lundi</v>
      </c>
      <c r="EI765" s="16" t="str">
        <f t="shared" si="147"/>
        <v/>
      </c>
    </row>
    <row r="766" spans="1:139" x14ac:dyDescent="0.2">
      <c r="A766" s="16" t="str">
        <f t="shared" si="150"/>
        <v>Fiche info Avenant 8F2</v>
      </c>
      <c r="B766" s="16" t="str">
        <f t="shared" si="151"/>
        <v>Fiche info Avenant 8</v>
      </c>
      <c r="C766" s="27" t="s">
        <v>244</v>
      </c>
      <c r="D766" s="27">
        <v>2</v>
      </c>
      <c r="E766" s="16" t="s">
        <v>18</v>
      </c>
      <c r="F766" s="34" t="str">
        <f>+IF('Fiche info Avenant 8'!$BN$8=0,"",'Fiche info Avenant 8'!$BN$8)</f>
        <v/>
      </c>
      <c r="G766" s="16">
        <f t="shared" si="148"/>
        <v>0</v>
      </c>
      <c r="BX766" s="16" t="str">
        <f t="shared" si="149"/>
        <v>Fiche info Avenant 8F2</v>
      </c>
      <c r="BY766" s="449">
        <f>'Fiche info Avenant 8'!$BE$8</f>
        <v>0</v>
      </c>
      <c r="BZ766" s="449">
        <f>'Fiche info Avenant 8'!$BF$8</f>
        <v>0</v>
      </c>
      <c r="CA766" s="449">
        <f>'Fiche info Avenant 8'!$BG$8</f>
        <v>0</v>
      </c>
      <c r="CB766" s="449">
        <f>'Fiche info Avenant 8'!$BH$8</f>
        <v>0</v>
      </c>
      <c r="CC766" s="449">
        <f>'Fiche info Avenant 8'!$BI$8</f>
        <v>0</v>
      </c>
      <c r="CD766" s="449">
        <f>'Fiche info Avenant 8'!$BJ$8</f>
        <v>0</v>
      </c>
      <c r="CE766" s="449">
        <f>'Fiche info Avenant 8'!$BK$8</f>
        <v>0</v>
      </c>
      <c r="CF766" s="449">
        <f>'Fiche info Avenant 8'!$BL$8</f>
        <v>0</v>
      </c>
      <c r="ED766" s="16" t="str">
        <f t="shared" si="152"/>
        <v>Fiche info Avenant 8F</v>
      </c>
      <c r="EE766" s="16" t="str">
        <f t="shared" si="143"/>
        <v>Fiche info Avenant 8</v>
      </c>
      <c r="EF766" s="16" t="str">
        <f t="shared" si="144"/>
        <v>F</v>
      </c>
      <c r="EG766" s="16">
        <f t="shared" si="145"/>
        <v>2</v>
      </c>
      <c r="EH766" s="16" t="str">
        <f t="shared" si="146"/>
        <v>Mardi</v>
      </c>
      <c r="EI766" s="16" t="str">
        <f t="shared" si="147"/>
        <v/>
      </c>
    </row>
    <row r="767" spans="1:139" x14ac:dyDescent="0.2">
      <c r="A767" s="16" t="str">
        <f t="shared" si="150"/>
        <v>Fiche info Avenant 8F3</v>
      </c>
      <c r="B767" s="16" t="str">
        <f t="shared" si="151"/>
        <v>Fiche info Avenant 8</v>
      </c>
      <c r="C767" s="27" t="s">
        <v>244</v>
      </c>
      <c r="D767" s="27">
        <v>3</v>
      </c>
      <c r="E767" s="16" t="s">
        <v>19</v>
      </c>
      <c r="F767" s="34" t="str">
        <f>+IF('Fiche info Avenant 8'!$BN$9=0,"",'Fiche info Avenant 8'!$BN$9)</f>
        <v/>
      </c>
      <c r="G767" s="16">
        <f t="shared" si="148"/>
        <v>0</v>
      </c>
      <c r="BX767" s="16" t="str">
        <f t="shared" si="149"/>
        <v>Fiche info Avenant 8F3</v>
      </c>
      <c r="BY767" s="449">
        <f>'Fiche info Avenant 8'!$BE$9</f>
        <v>0</v>
      </c>
      <c r="BZ767" s="449">
        <f>'Fiche info Avenant 8'!$BF$9</f>
        <v>0</v>
      </c>
      <c r="CA767" s="449">
        <f>'Fiche info Avenant 8'!$BG$9</f>
        <v>0</v>
      </c>
      <c r="CB767" s="449">
        <f>'Fiche info Avenant 8'!$BH$9</f>
        <v>0</v>
      </c>
      <c r="CC767" s="449">
        <f>'Fiche info Avenant 8'!$BI$9</f>
        <v>0</v>
      </c>
      <c r="CD767" s="449">
        <f>'Fiche info Avenant 8'!$BJ$9</f>
        <v>0</v>
      </c>
      <c r="CE767" s="449">
        <f>'Fiche info Avenant 8'!$BK$9</f>
        <v>0</v>
      </c>
      <c r="CF767" s="449">
        <f>'Fiche info Avenant 8'!$BL$9</f>
        <v>0</v>
      </c>
      <c r="ED767" s="16" t="str">
        <f t="shared" si="152"/>
        <v>Fiche info Avenant 8F</v>
      </c>
      <c r="EE767" s="16" t="str">
        <f t="shared" si="143"/>
        <v>Fiche info Avenant 8</v>
      </c>
      <c r="EF767" s="16" t="str">
        <f t="shared" si="144"/>
        <v>F</v>
      </c>
      <c r="EG767" s="16">
        <f t="shared" si="145"/>
        <v>3</v>
      </c>
      <c r="EH767" s="16" t="str">
        <f t="shared" si="146"/>
        <v>Mercredi</v>
      </c>
      <c r="EI767" s="16" t="str">
        <f t="shared" si="147"/>
        <v/>
      </c>
    </row>
    <row r="768" spans="1:139" x14ac:dyDescent="0.2">
      <c r="A768" s="16" t="str">
        <f t="shared" si="150"/>
        <v>Fiche info Avenant 8F4</v>
      </c>
      <c r="B768" s="16" t="str">
        <f t="shared" si="151"/>
        <v>Fiche info Avenant 8</v>
      </c>
      <c r="C768" s="27" t="s">
        <v>244</v>
      </c>
      <c r="D768" s="27">
        <v>4</v>
      </c>
      <c r="E768" s="16" t="s">
        <v>20</v>
      </c>
      <c r="F768" s="34" t="str">
        <f>+IF('Fiche info Avenant 8'!$BN$10=0,"",'Fiche info Avenant 8'!$BN$10)</f>
        <v/>
      </c>
      <c r="G768" s="16">
        <f t="shared" si="148"/>
        <v>0</v>
      </c>
      <c r="BX768" s="16" t="str">
        <f t="shared" si="149"/>
        <v>Fiche info Avenant 8F4</v>
      </c>
      <c r="BY768" s="449">
        <f>'Fiche info Avenant 8'!$BE$10</f>
        <v>0</v>
      </c>
      <c r="BZ768" s="449">
        <f>'Fiche info Avenant 8'!$BF$10</f>
        <v>0</v>
      </c>
      <c r="CA768" s="449">
        <f>'Fiche info Avenant 8'!$BG$10</f>
        <v>0</v>
      </c>
      <c r="CB768" s="449">
        <f>'Fiche info Avenant 8'!$BH$10</f>
        <v>0</v>
      </c>
      <c r="CC768" s="449">
        <f>'Fiche info Avenant 8'!$BI$10</f>
        <v>0</v>
      </c>
      <c r="CD768" s="449">
        <f>'Fiche info Avenant 8'!$BJ$10</f>
        <v>0</v>
      </c>
      <c r="CE768" s="449">
        <f>'Fiche info Avenant 8'!$BK$10</f>
        <v>0</v>
      </c>
      <c r="CF768" s="449">
        <f>'Fiche info Avenant 8'!$BL$10</f>
        <v>0</v>
      </c>
      <c r="ED768" s="16" t="str">
        <f t="shared" si="152"/>
        <v>Fiche info Avenant 8F</v>
      </c>
      <c r="EE768" s="16" t="str">
        <f t="shared" si="143"/>
        <v>Fiche info Avenant 8</v>
      </c>
      <c r="EF768" s="16" t="str">
        <f t="shared" si="144"/>
        <v>F</v>
      </c>
      <c r="EG768" s="16">
        <f t="shared" si="145"/>
        <v>4</v>
      </c>
      <c r="EH768" s="16" t="str">
        <f t="shared" si="146"/>
        <v>Jeudi</v>
      </c>
      <c r="EI768" s="16" t="str">
        <f t="shared" si="147"/>
        <v/>
      </c>
    </row>
    <row r="769" spans="1:139" x14ac:dyDescent="0.2">
      <c r="A769" s="16" t="str">
        <f t="shared" si="150"/>
        <v>Fiche info Avenant 8F5</v>
      </c>
      <c r="B769" s="16" t="str">
        <f t="shared" si="151"/>
        <v>Fiche info Avenant 8</v>
      </c>
      <c r="C769" s="27" t="s">
        <v>244</v>
      </c>
      <c r="D769" s="27">
        <v>5</v>
      </c>
      <c r="E769" s="16" t="s">
        <v>21</v>
      </c>
      <c r="F769" s="34" t="str">
        <f>+IF('Fiche info Avenant 8'!$BN$11=0,"",'Fiche info Avenant 8'!$BN$11)</f>
        <v/>
      </c>
      <c r="G769" s="16">
        <f t="shared" si="148"/>
        <v>0</v>
      </c>
      <c r="BX769" s="16" t="str">
        <f t="shared" si="149"/>
        <v>Fiche info Avenant 8F5</v>
      </c>
      <c r="BY769" s="449">
        <f>'Fiche info Avenant 8'!$BE$11</f>
        <v>0</v>
      </c>
      <c r="BZ769" s="449">
        <f>'Fiche info Avenant 8'!$BF$11</f>
        <v>0</v>
      </c>
      <c r="CA769" s="449">
        <f>'Fiche info Avenant 8'!$BG$11</f>
        <v>0</v>
      </c>
      <c r="CB769" s="449">
        <f>'Fiche info Avenant 8'!$BH$11</f>
        <v>0</v>
      </c>
      <c r="CC769" s="449">
        <f>'Fiche info Avenant 8'!$BI$11</f>
        <v>0</v>
      </c>
      <c r="CD769" s="449">
        <f>'Fiche info Avenant 8'!$BJ$11</f>
        <v>0</v>
      </c>
      <c r="CE769" s="449">
        <f>'Fiche info Avenant 8'!$BK$11</f>
        <v>0</v>
      </c>
      <c r="CF769" s="449">
        <f>'Fiche info Avenant 8'!$BL$11</f>
        <v>0</v>
      </c>
      <c r="ED769" s="16" t="str">
        <f t="shared" si="152"/>
        <v>Fiche info Avenant 8F</v>
      </c>
      <c r="EE769" s="16" t="str">
        <f t="shared" ref="EE769:EE832" si="153">B769</f>
        <v>Fiche info Avenant 8</v>
      </c>
      <c r="EF769" s="16" t="str">
        <f t="shared" ref="EF769:EF832" si="154">C769</f>
        <v>F</v>
      </c>
      <c r="EG769" s="16">
        <f t="shared" ref="EG769:EG832" si="155">D769</f>
        <v>5</v>
      </c>
      <c r="EH769" s="16" t="str">
        <f t="shared" ref="EH769:EH832" si="156">E769</f>
        <v>Vendredi</v>
      </c>
      <c r="EI769" s="16" t="str">
        <f t="shared" ref="EI769:EI832" si="157">F769</f>
        <v/>
      </c>
    </row>
    <row r="770" spans="1:139" x14ac:dyDescent="0.2">
      <c r="A770" s="16" t="str">
        <f t="shared" si="150"/>
        <v>Fiche info Avenant 8F6</v>
      </c>
      <c r="B770" s="16" t="str">
        <f t="shared" si="151"/>
        <v>Fiche info Avenant 8</v>
      </c>
      <c r="C770" s="27" t="s">
        <v>244</v>
      </c>
      <c r="D770" s="27">
        <v>6</v>
      </c>
      <c r="E770" s="16" t="s">
        <v>193</v>
      </c>
      <c r="F770" s="34" t="str">
        <f>+IF('Fiche info Avenant 8'!$BN$12=0,"",'Fiche info Avenant 8'!$BN$12)</f>
        <v/>
      </c>
      <c r="G770" s="16">
        <f t="shared" ref="G770:G833" si="158">+IF(OR(F770=0,F770=""),0,1)</f>
        <v>0</v>
      </c>
      <c r="BX770" s="16" t="str">
        <f t="shared" ref="BX770:BX833" si="159">A770</f>
        <v>Fiche info Avenant 8F6</v>
      </c>
      <c r="BY770" s="449">
        <f>'Fiche info Avenant 8'!$BE$12</f>
        <v>0</v>
      </c>
      <c r="BZ770" s="449">
        <f>'Fiche info Avenant 8'!$BF$12</f>
        <v>0</v>
      </c>
      <c r="CA770" s="449">
        <f>'Fiche info Avenant 8'!$BG$12</f>
        <v>0</v>
      </c>
      <c r="CB770" s="449">
        <f>'Fiche info Avenant 8'!$BH$12</f>
        <v>0</v>
      </c>
      <c r="CC770" s="449">
        <f>'Fiche info Avenant 8'!$BI$12</f>
        <v>0</v>
      </c>
      <c r="CD770" s="449">
        <f>'Fiche info Avenant 8'!$BJ$12</f>
        <v>0</v>
      </c>
      <c r="CE770" s="449">
        <f>'Fiche info Avenant 8'!$BK$12</f>
        <v>0</v>
      </c>
      <c r="CF770" s="449">
        <f>'Fiche info Avenant 8'!$BL$12</f>
        <v>0</v>
      </c>
      <c r="ED770" s="16" t="str">
        <f t="shared" si="152"/>
        <v>Fiche info Avenant 8F</v>
      </c>
      <c r="EE770" s="16" t="str">
        <f t="shared" si="153"/>
        <v>Fiche info Avenant 8</v>
      </c>
      <c r="EF770" s="16" t="str">
        <f t="shared" si="154"/>
        <v>F</v>
      </c>
      <c r="EG770" s="16">
        <f t="shared" si="155"/>
        <v>6</v>
      </c>
      <c r="EH770" s="16" t="str">
        <f t="shared" si="156"/>
        <v>Samedi</v>
      </c>
      <c r="EI770" s="16" t="str">
        <f t="shared" si="157"/>
        <v/>
      </c>
    </row>
    <row r="771" spans="1:139" x14ac:dyDescent="0.2">
      <c r="A771" s="16" t="str">
        <f t="shared" si="150"/>
        <v>Fiche info Avenant 8F7</v>
      </c>
      <c r="B771" s="16" t="str">
        <f t="shared" si="151"/>
        <v>Fiche info Avenant 8</v>
      </c>
      <c r="C771" s="27" t="s">
        <v>244</v>
      </c>
      <c r="D771" s="27">
        <v>7</v>
      </c>
      <c r="E771" s="16" t="s">
        <v>194</v>
      </c>
      <c r="F771" s="34" t="str">
        <f>+IF('Fiche info Avenant 8'!$BN$13=0,"",'Fiche info Avenant 8'!$BN$13)</f>
        <v/>
      </c>
      <c r="G771" s="16">
        <f t="shared" si="158"/>
        <v>0</v>
      </c>
      <c r="BX771" s="16" t="str">
        <f t="shared" si="159"/>
        <v>Fiche info Avenant 8F7</v>
      </c>
      <c r="BY771" s="449">
        <f>'Fiche info Avenant 8'!$BE$13</f>
        <v>0</v>
      </c>
      <c r="BZ771" s="449">
        <f>'Fiche info Avenant 8'!$BF$13</f>
        <v>0</v>
      </c>
      <c r="CA771" s="449">
        <f>'Fiche info Avenant 8'!$BG$13</f>
        <v>0</v>
      </c>
      <c r="CB771" s="449">
        <f>'Fiche info Avenant 8'!$BH$13</f>
        <v>0</v>
      </c>
      <c r="CC771" s="449">
        <f>'Fiche info Avenant 8'!$BI$13</f>
        <v>0</v>
      </c>
      <c r="CD771" s="449">
        <f>'Fiche info Avenant 8'!$BJ$13</f>
        <v>0</v>
      </c>
      <c r="CE771" s="449">
        <f>'Fiche info Avenant 8'!$BK$13</f>
        <v>0</v>
      </c>
      <c r="CF771" s="449">
        <f>'Fiche info Avenant 8'!$BL$13</f>
        <v>0</v>
      </c>
      <c r="ED771" s="16" t="str">
        <f t="shared" si="152"/>
        <v>Fiche info Avenant 8F</v>
      </c>
      <c r="EE771" s="16" t="str">
        <f t="shared" si="153"/>
        <v>Fiche info Avenant 8</v>
      </c>
      <c r="EF771" s="16" t="str">
        <f t="shared" si="154"/>
        <v>F</v>
      </c>
      <c r="EG771" s="16">
        <f t="shared" si="155"/>
        <v>7</v>
      </c>
      <c r="EH771" s="16" t="str">
        <f t="shared" si="156"/>
        <v>Dimanche</v>
      </c>
      <c r="EI771" s="16" t="str">
        <f t="shared" si="157"/>
        <v/>
      </c>
    </row>
    <row r="772" spans="1:139" x14ac:dyDescent="0.2">
      <c r="A772" s="16" t="str">
        <f t="shared" si="150"/>
        <v>Fiche info Avenant 8G1</v>
      </c>
      <c r="B772" s="16" t="str">
        <f t="shared" si="151"/>
        <v>Fiche info Avenant 8</v>
      </c>
      <c r="C772" s="27" t="s">
        <v>245</v>
      </c>
      <c r="D772" s="27">
        <v>1</v>
      </c>
      <c r="E772" s="16" t="s">
        <v>17</v>
      </c>
      <c r="F772" s="34" t="str">
        <f>+IF('Fiche info Avenant 8'!$BY$7=0,"",'Fiche info Avenant 8'!$BY$7)</f>
        <v/>
      </c>
      <c r="G772" s="16">
        <f t="shared" si="158"/>
        <v>0</v>
      </c>
      <c r="BX772" s="16" t="str">
        <f t="shared" si="159"/>
        <v>Fiche info Avenant 8G1</v>
      </c>
      <c r="BY772" s="449">
        <f>'Fiche info Avenant 8'!$BP$7</f>
        <v>0</v>
      </c>
      <c r="BZ772" s="449">
        <f>'Fiche info Avenant 8'!$BQ$7</f>
        <v>0</v>
      </c>
      <c r="CA772" s="449">
        <f>'Fiche info Avenant 8'!$BR$7</f>
        <v>0</v>
      </c>
      <c r="CB772" s="449">
        <f>'Fiche info Avenant 8'!$BS$7</f>
        <v>0</v>
      </c>
      <c r="CC772" s="449">
        <f>'Fiche info Avenant 8'!$BT$7</f>
        <v>0</v>
      </c>
      <c r="CD772" s="449">
        <f>'Fiche info Avenant 8'!$BU$7</f>
        <v>0</v>
      </c>
      <c r="CE772" s="449">
        <f>'Fiche info Avenant 8'!$BV$7</f>
        <v>0</v>
      </c>
      <c r="CF772" s="449">
        <f>'Fiche info Avenant 8'!$BW$7</f>
        <v>0</v>
      </c>
      <c r="ED772" s="16" t="str">
        <f t="shared" si="152"/>
        <v>Fiche info Avenant 8G</v>
      </c>
      <c r="EE772" s="16" t="str">
        <f t="shared" si="153"/>
        <v>Fiche info Avenant 8</v>
      </c>
      <c r="EF772" s="16" t="str">
        <f t="shared" si="154"/>
        <v>G</v>
      </c>
      <c r="EG772" s="16">
        <f t="shared" si="155"/>
        <v>1</v>
      </c>
      <c r="EH772" s="16" t="str">
        <f t="shared" si="156"/>
        <v>Lundi</v>
      </c>
      <c r="EI772" s="16" t="str">
        <f t="shared" si="157"/>
        <v/>
      </c>
    </row>
    <row r="773" spans="1:139" x14ac:dyDescent="0.2">
      <c r="A773" s="16" t="str">
        <f t="shared" si="150"/>
        <v>Fiche info Avenant 8G2</v>
      </c>
      <c r="B773" s="16" t="str">
        <f t="shared" si="151"/>
        <v>Fiche info Avenant 8</v>
      </c>
      <c r="C773" s="27" t="s">
        <v>245</v>
      </c>
      <c r="D773" s="27">
        <v>2</v>
      </c>
      <c r="E773" s="16" t="s">
        <v>18</v>
      </c>
      <c r="F773" s="34" t="str">
        <f>+IF('Fiche info Avenant 8'!$BY$8=0,"",'Fiche info Avenant 8'!$BY$8)</f>
        <v/>
      </c>
      <c r="G773" s="16">
        <f t="shared" si="158"/>
        <v>0</v>
      </c>
      <c r="BX773" s="16" t="str">
        <f t="shared" si="159"/>
        <v>Fiche info Avenant 8G2</v>
      </c>
      <c r="BY773" s="449">
        <f>'Fiche info Avenant 8'!$BP$8</f>
        <v>0</v>
      </c>
      <c r="BZ773" s="449">
        <f>'Fiche info Avenant 8'!$BQ$8</f>
        <v>0</v>
      </c>
      <c r="CA773" s="449">
        <f>'Fiche info Avenant 8'!$BR$8</f>
        <v>0</v>
      </c>
      <c r="CB773" s="449">
        <f>'Fiche info Avenant 8'!$BS$8</f>
        <v>0</v>
      </c>
      <c r="CC773" s="449">
        <f>'Fiche info Avenant 8'!$BT$8</f>
        <v>0</v>
      </c>
      <c r="CD773" s="449">
        <f>'Fiche info Avenant 8'!$BU$8</f>
        <v>0</v>
      </c>
      <c r="CE773" s="449">
        <f>'Fiche info Avenant 8'!$BV$8</f>
        <v>0</v>
      </c>
      <c r="CF773" s="449">
        <f>'Fiche info Avenant 8'!$BW$8</f>
        <v>0</v>
      </c>
      <c r="ED773" s="16" t="str">
        <f t="shared" si="152"/>
        <v>Fiche info Avenant 8G</v>
      </c>
      <c r="EE773" s="16" t="str">
        <f t="shared" si="153"/>
        <v>Fiche info Avenant 8</v>
      </c>
      <c r="EF773" s="16" t="str">
        <f t="shared" si="154"/>
        <v>G</v>
      </c>
      <c r="EG773" s="16">
        <f t="shared" si="155"/>
        <v>2</v>
      </c>
      <c r="EH773" s="16" t="str">
        <f t="shared" si="156"/>
        <v>Mardi</v>
      </c>
      <c r="EI773" s="16" t="str">
        <f t="shared" si="157"/>
        <v/>
      </c>
    </row>
    <row r="774" spans="1:139" x14ac:dyDescent="0.2">
      <c r="A774" s="16" t="str">
        <f t="shared" si="150"/>
        <v>Fiche info Avenant 8G3</v>
      </c>
      <c r="B774" s="16" t="str">
        <f t="shared" si="151"/>
        <v>Fiche info Avenant 8</v>
      </c>
      <c r="C774" s="27" t="s">
        <v>245</v>
      </c>
      <c r="D774" s="27">
        <v>3</v>
      </c>
      <c r="E774" s="16" t="s">
        <v>19</v>
      </c>
      <c r="F774" s="34" t="str">
        <f>+IF('Fiche info Avenant 8'!$BY$9=0,"",'Fiche info Avenant 8'!$BY$9)</f>
        <v/>
      </c>
      <c r="G774" s="16">
        <f t="shared" si="158"/>
        <v>0</v>
      </c>
      <c r="BX774" s="16" t="str">
        <f t="shared" si="159"/>
        <v>Fiche info Avenant 8G3</v>
      </c>
      <c r="BY774" s="449">
        <f>'Fiche info Avenant 8'!$BP$9</f>
        <v>0</v>
      </c>
      <c r="BZ774" s="449">
        <f>'Fiche info Avenant 8'!$BQ$9</f>
        <v>0</v>
      </c>
      <c r="CA774" s="449">
        <f>'Fiche info Avenant 8'!$BR$9</f>
        <v>0</v>
      </c>
      <c r="CB774" s="449">
        <f>'Fiche info Avenant 8'!$BS$9</f>
        <v>0</v>
      </c>
      <c r="CC774" s="449">
        <f>'Fiche info Avenant 8'!$BT$9</f>
        <v>0</v>
      </c>
      <c r="CD774" s="449">
        <f>'Fiche info Avenant 8'!$BU$9</f>
        <v>0</v>
      </c>
      <c r="CE774" s="449">
        <f>'Fiche info Avenant 8'!$BV$9</f>
        <v>0</v>
      </c>
      <c r="CF774" s="449">
        <f>'Fiche info Avenant 8'!$BW$9</f>
        <v>0</v>
      </c>
      <c r="ED774" s="16" t="str">
        <f t="shared" si="152"/>
        <v>Fiche info Avenant 8G</v>
      </c>
      <c r="EE774" s="16" t="str">
        <f t="shared" si="153"/>
        <v>Fiche info Avenant 8</v>
      </c>
      <c r="EF774" s="16" t="str">
        <f t="shared" si="154"/>
        <v>G</v>
      </c>
      <c r="EG774" s="16">
        <f t="shared" si="155"/>
        <v>3</v>
      </c>
      <c r="EH774" s="16" t="str">
        <f t="shared" si="156"/>
        <v>Mercredi</v>
      </c>
      <c r="EI774" s="16" t="str">
        <f t="shared" si="157"/>
        <v/>
      </c>
    </row>
    <row r="775" spans="1:139" x14ac:dyDescent="0.2">
      <c r="A775" s="16" t="str">
        <f t="shared" si="150"/>
        <v>Fiche info Avenant 8G4</v>
      </c>
      <c r="B775" s="16" t="str">
        <f t="shared" si="151"/>
        <v>Fiche info Avenant 8</v>
      </c>
      <c r="C775" s="27" t="s">
        <v>245</v>
      </c>
      <c r="D775" s="27">
        <v>4</v>
      </c>
      <c r="E775" s="16" t="s">
        <v>20</v>
      </c>
      <c r="F775" s="34" t="str">
        <f>+IF('Fiche info Avenant 8'!$BY$10=0,"",'Fiche info Avenant 8'!$BY$10)</f>
        <v/>
      </c>
      <c r="G775" s="16">
        <f t="shared" si="158"/>
        <v>0</v>
      </c>
      <c r="BX775" s="16" t="str">
        <f t="shared" si="159"/>
        <v>Fiche info Avenant 8G4</v>
      </c>
      <c r="BY775" s="449">
        <f>'Fiche info Avenant 8'!$BP$10</f>
        <v>0</v>
      </c>
      <c r="BZ775" s="449">
        <f>'Fiche info Avenant 8'!$BQ$10</f>
        <v>0</v>
      </c>
      <c r="CA775" s="449">
        <f>'Fiche info Avenant 8'!$BR$10</f>
        <v>0</v>
      </c>
      <c r="CB775" s="449">
        <f>'Fiche info Avenant 8'!$BS$10</f>
        <v>0</v>
      </c>
      <c r="CC775" s="449">
        <f>'Fiche info Avenant 8'!$BT$10</f>
        <v>0</v>
      </c>
      <c r="CD775" s="449">
        <f>'Fiche info Avenant 8'!$BU$10</f>
        <v>0</v>
      </c>
      <c r="CE775" s="449">
        <f>'Fiche info Avenant 8'!$BV$10</f>
        <v>0</v>
      </c>
      <c r="CF775" s="449">
        <f>'Fiche info Avenant 8'!$BW$10</f>
        <v>0</v>
      </c>
      <c r="ED775" s="16" t="str">
        <f t="shared" si="152"/>
        <v>Fiche info Avenant 8G</v>
      </c>
      <c r="EE775" s="16" t="str">
        <f t="shared" si="153"/>
        <v>Fiche info Avenant 8</v>
      </c>
      <c r="EF775" s="16" t="str">
        <f t="shared" si="154"/>
        <v>G</v>
      </c>
      <c r="EG775" s="16">
        <f t="shared" si="155"/>
        <v>4</v>
      </c>
      <c r="EH775" s="16" t="str">
        <f t="shared" si="156"/>
        <v>Jeudi</v>
      </c>
      <c r="EI775" s="16" t="str">
        <f t="shared" si="157"/>
        <v/>
      </c>
    </row>
    <row r="776" spans="1:139" x14ac:dyDescent="0.2">
      <c r="A776" s="16" t="str">
        <f t="shared" si="150"/>
        <v>Fiche info Avenant 8G5</v>
      </c>
      <c r="B776" s="16" t="str">
        <f t="shared" si="151"/>
        <v>Fiche info Avenant 8</v>
      </c>
      <c r="C776" s="27" t="s">
        <v>245</v>
      </c>
      <c r="D776" s="27">
        <v>5</v>
      </c>
      <c r="E776" s="16" t="s">
        <v>21</v>
      </c>
      <c r="F776" s="34" t="str">
        <f>+IF('Fiche info Avenant 8'!$BY$11=0,"",'Fiche info Avenant 8'!$BY$11)</f>
        <v/>
      </c>
      <c r="G776" s="16">
        <f t="shared" si="158"/>
        <v>0</v>
      </c>
      <c r="BX776" s="16" t="str">
        <f t="shared" si="159"/>
        <v>Fiche info Avenant 8G5</v>
      </c>
      <c r="BY776" s="449">
        <f>'Fiche info Avenant 8'!$BP$11</f>
        <v>0</v>
      </c>
      <c r="BZ776" s="449">
        <f>'Fiche info Avenant 8'!$BQ$11</f>
        <v>0</v>
      </c>
      <c r="CA776" s="449">
        <f>'Fiche info Avenant 8'!$BR$11</f>
        <v>0</v>
      </c>
      <c r="CB776" s="449">
        <f>'Fiche info Avenant 8'!$BS$11</f>
        <v>0</v>
      </c>
      <c r="CC776" s="449">
        <f>'Fiche info Avenant 8'!$BT$11</f>
        <v>0</v>
      </c>
      <c r="CD776" s="449">
        <f>'Fiche info Avenant 8'!$BU$11</f>
        <v>0</v>
      </c>
      <c r="CE776" s="449">
        <f>'Fiche info Avenant 8'!$BV$11</f>
        <v>0</v>
      </c>
      <c r="CF776" s="449">
        <f>'Fiche info Avenant 8'!$BW$11</f>
        <v>0</v>
      </c>
      <c r="ED776" s="16" t="str">
        <f t="shared" si="152"/>
        <v>Fiche info Avenant 8G</v>
      </c>
      <c r="EE776" s="16" t="str">
        <f t="shared" si="153"/>
        <v>Fiche info Avenant 8</v>
      </c>
      <c r="EF776" s="16" t="str">
        <f t="shared" si="154"/>
        <v>G</v>
      </c>
      <c r="EG776" s="16">
        <f t="shared" si="155"/>
        <v>5</v>
      </c>
      <c r="EH776" s="16" t="str">
        <f t="shared" si="156"/>
        <v>Vendredi</v>
      </c>
      <c r="EI776" s="16" t="str">
        <f t="shared" si="157"/>
        <v/>
      </c>
    </row>
    <row r="777" spans="1:139" x14ac:dyDescent="0.2">
      <c r="A777" s="16" t="str">
        <f t="shared" si="150"/>
        <v>Fiche info Avenant 8G6</v>
      </c>
      <c r="B777" s="16" t="str">
        <f t="shared" si="151"/>
        <v>Fiche info Avenant 8</v>
      </c>
      <c r="C777" s="27" t="s">
        <v>245</v>
      </c>
      <c r="D777" s="27">
        <v>6</v>
      </c>
      <c r="E777" s="16" t="s">
        <v>193</v>
      </c>
      <c r="F777" s="34" t="str">
        <f>+IF('Fiche info Avenant 8'!$BY$12=0,"",'Fiche info Avenant 8'!$BY$12)</f>
        <v/>
      </c>
      <c r="G777" s="16">
        <f t="shared" si="158"/>
        <v>0</v>
      </c>
      <c r="BX777" s="16" t="str">
        <f t="shared" si="159"/>
        <v>Fiche info Avenant 8G6</v>
      </c>
      <c r="BY777" s="449">
        <f>'Fiche info Avenant 8'!$BP$12</f>
        <v>0</v>
      </c>
      <c r="BZ777" s="449">
        <f>'Fiche info Avenant 8'!$BQ$12</f>
        <v>0</v>
      </c>
      <c r="CA777" s="449">
        <f>'Fiche info Avenant 8'!$BR$12</f>
        <v>0</v>
      </c>
      <c r="CB777" s="449">
        <f>'Fiche info Avenant 8'!$BS$12</f>
        <v>0</v>
      </c>
      <c r="CC777" s="449">
        <f>'Fiche info Avenant 8'!$BT$12</f>
        <v>0</v>
      </c>
      <c r="CD777" s="449">
        <f>'Fiche info Avenant 8'!$BU$12</f>
        <v>0</v>
      </c>
      <c r="CE777" s="449">
        <f>'Fiche info Avenant 8'!$BV$12</f>
        <v>0</v>
      </c>
      <c r="CF777" s="449">
        <f>'Fiche info Avenant 8'!$BW$12</f>
        <v>0</v>
      </c>
      <c r="ED777" s="16" t="str">
        <f t="shared" si="152"/>
        <v>Fiche info Avenant 8G</v>
      </c>
      <c r="EE777" s="16" t="str">
        <f t="shared" si="153"/>
        <v>Fiche info Avenant 8</v>
      </c>
      <c r="EF777" s="16" t="str">
        <f t="shared" si="154"/>
        <v>G</v>
      </c>
      <c r="EG777" s="16">
        <f t="shared" si="155"/>
        <v>6</v>
      </c>
      <c r="EH777" s="16" t="str">
        <f t="shared" si="156"/>
        <v>Samedi</v>
      </c>
      <c r="EI777" s="16" t="str">
        <f t="shared" si="157"/>
        <v/>
      </c>
    </row>
    <row r="778" spans="1:139" x14ac:dyDescent="0.2">
      <c r="A778" s="16" t="str">
        <f t="shared" si="150"/>
        <v>Fiche info Avenant 8G7</v>
      </c>
      <c r="B778" s="16" t="str">
        <f t="shared" si="151"/>
        <v>Fiche info Avenant 8</v>
      </c>
      <c r="C778" s="27" t="s">
        <v>245</v>
      </c>
      <c r="D778" s="27">
        <v>7</v>
      </c>
      <c r="E778" s="16" t="s">
        <v>194</v>
      </c>
      <c r="F778" s="34" t="str">
        <f>+IF('Fiche info Avenant 8'!$BY$13=0,"",'Fiche info Avenant 8'!$BY$13)</f>
        <v/>
      </c>
      <c r="G778" s="16">
        <f t="shared" si="158"/>
        <v>0</v>
      </c>
      <c r="BX778" s="16" t="str">
        <f t="shared" si="159"/>
        <v>Fiche info Avenant 8G7</v>
      </c>
      <c r="BY778" s="449">
        <f>'Fiche info Avenant 8'!$BP$13</f>
        <v>0</v>
      </c>
      <c r="BZ778" s="449">
        <f>'Fiche info Avenant 8'!$BQ$13</f>
        <v>0</v>
      </c>
      <c r="CA778" s="449">
        <f>'Fiche info Avenant 8'!$BR$13</f>
        <v>0</v>
      </c>
      <c r="CB778" s="449">
        <f>'Fiche info Avenant 8'!$BS$13</f>
        <v>0</v>
      </c>
      <c r="CC778" s="449">
        <f>'Fiche info Avenant 8'!$BT$13</f>
        <v>0</v>
      </c>
      <c r="CD778" s="449">
        <f>'Fiche info Avenant 8'!$BU$13</f>
        <v>0</v>
      </c>
      <c r="CE778" s="449">
        <f>'Fiche info Avenant 8'!$BV$13</f>
        <v>0</v>
      </c>
      <c r="CF778" s="449">
        <f>'Fiche info Avenant 8'!$BW$13</f>
        <v>0</v>
      </c>
      <c r="ED778" s="16" t="str">
        <f t="shared" si="152"/>
        <v>Fiche info Avenant 8G</v>
      </c>
      <c r="EE778" s="16" t="str">
        <f t="shared" si="153"/>
        <v>Fiche info Avenant 8</v>
      </c>
      <c r="EF778" s="16" t="str">
        <f t="shared" si="154"/>
        <v>G</v>
      </c>
      <c r="EG778" s="16">
        <f t="shared" si="155"/>
        <v>7</v>
      </c>
      <c r="EH778" s="16" t="str">
        <f t="shared" si="156"/>
        <v>Dimanche</v>
      </c>
      <c r="EI778" s="16" t="str">
        <f t="shared" si="157"/>
        <v/>
      </c>
    </row>
    <row r="779" spans="1:139" x14ac:dyDescent="0.2">
      <c r="A779" s="16" t="str">
        <f t="shared" si="150"/>
        <v>Fiche info Avenant 8H1</v>
      </c>
      <c r="B779" s="16" t="str">
        <f t="shared" si="151"/>
        <v>Fiche info Avenant 8</v>
      </c>
      <c r="C779" s="27" t="s">
        <v>246</v>
      </c>
      <c r="D779" s="27">
        <v>1</v>
      </c>
      <c r="E779" s="16" t="s">
        <v>17</v>
      </c>
      <c r="F779" s="34" t="str">
        <f>+IF('Fiche info Avenant 8'!$CJ$7=0,"",'Fiche info Avenant 8'!$CJ$7)</f>
        <v/>
      </c>
      <c r="G779" s="16">
        <f t="shared" si="158"/>
        <v>0</v>
      </c>
      <c r="BX779" s="16" t="str">
        <f t="shared" si="159"/>
        <v>Fiche info Avenant 8H1</v>
      </c>
      <c r="BY779" s="449">
        <f>'Fiche info Avenant 8'!$CA$7</f>
        <v>0</v>
      </c>
      <c r="BZ779" s="449">
        <f>'Fiche info Avenant 8'!$CB$7</f>
        <v>0</v>
      </c>
      <c r="CA779" s="449">
        <f>'Fiche info Avenant 8'!$CC$7</f>
        <v>0</v>
      </c>
      <c r="CB779" s="449">
        <f>'Fiche info Avenant 8'!$CD$7</f>
        <v>0</v>
      </c>
      <c r="CC779" s="449">
        <f>'Fiche info Avenant 8'!$CE$7</f>
        <v>0</v>
      </c>
      <c r="CD779" s="449">
        <f>'Fiche info Avenant 8'!$CF$7</f>
        <v>0</v>
      </c>
      <c r="CE779" s="449">
        <f>'Fiche info Avenant 8'!$CG$7</f>
        <v>0</v>
      </c>
      <c r="CF779" s="449">
        <f>'Fiche info Avenant 8'!$CH$7</f>
        <v>0</v>
      </c>
      <c r="ED779" s="16" t="str">
        <f t="shared" si="152"/>
        <v>Fiche info Avenant 8H</v>
      </c>
      <c r="EE779" s="16" t="str">
        <f t="shared" si="153"/>
        <v>Fiche info Avenant 8</v>
      </c>
      <c r="EF779" s="16" t="str">
        <f t="shared" si="154"/>
        <v>H</v>
      </c>
      <c r="EG779" s="16">
        <f t="shared" si="155"/>
        <v>1</v>
      </c>
      <c r="EH779" s="16" t="str">
        <f t="shared" si="156"/>
        <v>Lundi</v>
      </c>
      <c r="EI779" s="16" t="str">
        <f t="shared" si="157"/>
        <v/>
      </c>
    </row>
    <row r="780" spans="1:139" x14ac:dyDescent="0.2">
      <c r="A780" s="16" t="str">
        <f t="shared" si="150"/>
        <v>Fiche info Avenant 8H2</v>
      </c>
      <c r="B780" s="16" t="str">
        <f t="shared" si="151"/>
        <v>Fiche info Avenant 8</v>
      </c>
      <c r="C780" s="27" t="s">
        <v>246</v>
      </c>
      <c r="D780" s="27">
        <v>2</v>
      </c>
      <c r="E780" s="16" t="s">
        <v>18</v>
      </c>
      <c r="F780" s="34" t="str">
        <f>+IF('Fiche info Avenant 8'!$CJ$8=0,"",'Fiche info Avenant 8'!$CJ$8)</f>
        <v/>
      </c>
      <c r="G780" s="16">
        <f t="shared" si="158"/>
        <v>0</v>
      </c>
      <c r="BX780" s="16" t="str">
        <f t="shared" si="159"/>
        <v>Fiche info Avenant 8H2</v>
      </c>
      <c r="BY780" s="449">
        <f>'Fiche info Avenant 8'!$CA$8</f>
        <v>0</v>
      </c>
      <c r="BZ780" s="449">
        <f>'Fiche info Avenant 8'!$CB$8</f>
        <v>0</v>
      </c>
      <c r="CA780" s="449">
        <f>'Fiche info Avenant 8'!$CC$8</f>
        <v>0</v>
      </c>
      <c r="CB780" s="449">
        <f>'Fiche info Avenant 8'!$CD$8</f>
        <v>0</v>
      </c>
      <c r="CC780" s="449">
        <f>'Fiche info Avenant 8'!$CE$8</f>
        <v>0</v>
      </c>
      <c r="CD780" s="449">
        <f>'Fiche info Avenant 8'!$CF$8</f>
        <v>0</v>
      </c>
      <c r="CE780" s="449">
        <f>'Fiche info Avenant 8'!$CG$8</f>
        <v>0</v>
      </c>
      <c r="CF780" s="449">
        <f>'Fiche info Avenant 8'!$CH$8</f>
        <v>0</v>
      </c>
      <c r="ED780" s="16" t="str">
        <f t="shared" si="152"/>
        <v>Fiche info Avenant 8H</v>
      </c>
      <c r="EE780" s="16" t="str">
        <f t="shared" si="153"/>
        <v>Fiche info Avenant 8</v>
      </c>
      <c r="EF780" s="16" t="str">
        <f t="shared" si="154"/>
        <v>H</v>
      </c>
      <c r="EG780" s="16">
        <f t="shared" si="155"/>
        <v>2</v>
      </c>
      <c r="EH780" s="16" t="str">
        <f t="shared" si="156"/>
        <v>Mardi</v>
      </c>
      <c r="EI780" s="16" t="str">
        <f t="shared" si="157"/>
        <v/>
      </c>
    </row>
    <row r="781" spans="1:139" x14ac:dyDescent="0.2">
      <c r="A781" s="16" t="str">
        <f t="shared" si="150"/>
        <v>Fiche info Avenant 8H3</v>
      </c>
      <c r="B781" s="16" t="str">
        <f t="shared" si="151"/>
        <v>Fiche info Avenant 8</v>
      </c>
      <c r="C781" s="27" t="s">
        <v>246</v>
      </c>
      <c r="D781" s="27">
        <v>3</v>
      </c>
      <c r="E781" s="16" t="s">
        <v>19</v>
      </c>
      <c r="F781" s="34" t="str">
        <f>+IF('Fiche info Avenant 8'!$CJ$9=0,"",'Fiche info Avenant 8'!$CJ$9)</f>
        <v/>
      </c>
      <c r="G781" s="16">
        <f t="shared" si="158"/>
        <v>0</v>
      </c>
      <c r="BX781" s="16" t="str">
        <f t="shared" si="159"/>
        <v>Fiche info Avenant 8H3</v>
      </c>
      <c r="BY781" s="449">
        <f>'Fiche info Avenant 8'!$CA$9</f>
        <v>0</v>
      </c>
      <c r="BZ781" s="449">
        <f>'Fiche info Avenant 8'!$CB$9</f>
        <v>0</v>
      </c>
      <c r="CA781" s="449">
        <f>'Fiche info Avenant 8'!$CC$9</f>
        <v>0</v>
      </c>
      <c r="CB781" s="449">
        <f>'Fiche info Avenant 8'!$CD$9</f>
        <v>0</v>
      </c>
      <c r="CC781" s="449">
        <f>'Fiche info Avenant 8'!$CE$9</f>
        <v>0</v>
      </c>
      <c r="CD781" s="449">
        <f>'Fiche info Avenant 8'!$CF$9</f>
        <v>0</v>
      </c>
      <c r="CE781" s="449">
        <f>'Fiche info Avenant 8'!$CG$9</f>
        <v>0</v>
      </c>
      <c r="CF781" s="449">
        <f>'Fiche info Avenant 8'!$CH$9</f>
        <v>0</v>
      </c>
      <c r="ED781" s="16" t="str">
        <f t="shared" si="152"/>
        <v>Fiche info Avenant 8H</v>
      </c>
      <c r="EE781" s="16" t="str">
        <f t="shared" si="153"/>
        <v>Fiche info Avenant 8</v>
      </c>
      <c r="EF781" s="16" t="str">
        <f t="shared" si="154"/>
        <v>H</v>
      </c>
      <c r="EG781" s="16">
        <f t="shared" si="155"/>
        <v>3</v>
      </c>
      <c r="EH781" s="16" t="str">
        <f t="shared" si="156"/>
        <v>Mercredi</v>
      </c>
      <c r="EI781" s="16" t="str">
        <f t="shared" si="157"/>
        <v/>
      </c>
    </row>
    <row r="782" spans="1:139" x14ac:dyDescent="0.2">
      <c r="A782" s="16" t="str">
        <f t="shared" si="150"/>
        <v>Fiche info Avenant 8H4</v>
      </c>
      <c r="B782" s="16" t="str">
        <f t="shared" si="151"/>
        <v>Fiche info Avenant 8</v>
      </c>
      <c r="C782" s="27" t="s">
        <v>246</v>
      </c>
      <c r="D782" s="27">
        <v>4</v>
      </c>
      <c r="E782" s="16" t="s">
        <v>20</v>
      </c>
      <c r="F782" s="34" t="str">
        <f>+IF('Fiche info Avenant 8'!$CJ$10=0,"",'Fiche info Avenant 8'!$CJ$10)</f>
        <v/>
      </c>
      <c r="G782" s="16">
        <f t="shared" si="158"/>
        <v>0</v>
      </c>
      <c r="BX782" s="16" t="str">
        <f t="shared" si="159"/>
        <v>Fiche info Avenant 8H4</v>
      </c>
      <c r="BY782" s="449">
        <f>'Fiche info Avenant 8'!$CA$10</f>
        <v>0</v>
      </c>
      <c r="BZ782" s="449">
        <f>'Fiche info Avenant 8'!$CB$10</f>
        <v>0</v>
      </c>
      <c r="CA782" s="449">
        <f>'Fiche info Avenant 8'!$CC$10</f>
        <v>0</v>
      </c>
      <c r="CB782" s="449">
        <f>'Fiche info Avenant 8'!$CD$10</f>
        <v>0</v>
      </c>
      <c r="CC782" s="449">
        <f>'Fiche info Avenant 8'!$CE$10</f>
        <v>0</v>
      </c>
      <c r="CD782" s="449">
        <f>'Fiche info Avenant 8'!$CF$10</f>
        <v>0</v>
      </c>
      <c r="CE782" s="449">
        <f>'Fiche info Avenant 8'!$CG$10</f>
        <v>0</v>
      </c>
      <c r="CF782" s="449">
        <f>'Fiche info Avenant 8'!$CH$10</f>
        <v>0</v>
      </c>
      <c r="ED782" s="16" t="str">
        <f t="shared" si="152"/>
        <v>Fiche info Avenant 8H</v>
      </c>
      <c r="EE782" s="16" t="str">
        <f t="shared" si="153"/>
        <v>Fiche info Avenant 8</v>
      </c>
      <c r="EF782" s="16" t="str">
        <f t="shared" si="154"/>
        <v>H</v>
      </c>
      <c r="EG782" s="16">
        <f t="shared" si="155"/>
        <v>4</v>
      </c>
      <c r="EH782" s="16" t="str">
        <f t="shared" si="156"/>
        <v>Jeudi</v>
      </c>
      <c r="EI782" s="16" t="str">
        <f t="shared" si="157"/>
        <v/>
      </c>
    </row>
    <row r="783" spans="1:139" x14ac:dyDescent="0.2">
      <c r="A783" s="16" t="str">
        <f t="shared" si="150"/>
        <v>Fiche info Avenant 8H5</v>
      </c>
      <c r="B783" s="16" t="str">
        <f t="shared" si="151"/>
        <v>Fiche info Avenant 8</v>
      </c>
      <c r="C783" s="27" t="s">
        <v>246</v>
      </c>
      <c r="D783" s="27">
        <v>5</v>
      </c>
      <c r="E783" s="16" t="s">
        <v>21</v>
      </c>
      <c r="F783" s="34" t="str">
        <f>+IF('Fiche info Avenant 8'!$CJ$11=0,"",'Fiche info Avenant 8'!$CJ$11)</f>
        <v/>
      </c>
      <c r="G783" s="16">
        <f t="shared" si="158"/>
        <v>0</v>
      </c>
      <c r="BX783" s="16" t="str">
        <f t="shared" si="159"/>
        <v>Fiche info Avenant 8H5</v>
      </c>
      <c r="BY783" s="449">
        <f>'Fiche info Avenant 8'!$CA$11</f>
        <v>0</v>
      </c>
      <c r="BZ783" s="449">
        <f>'Fiche info Avenant 8'!$CB$11</f>
        <v>0</v>
      </c>
      <c r="CA783" s="449">
        <f>'Fiche info Avenant 8'!$CC$11</f>
        <v>0</v>
      </c>
      <c r="CB783" s="449">
        <f>'Fiche info Avenant 8'!$CD$11</f>
        <v>0</v>
      </c>
      <c r="CC783" s="449">
        <f>'Fiche info Avenant 8'!$CE$11</f>
        <v>0</v>
      </c>
      <c r="CD783" s="449">
        <f>'Fiche info Avenant 8'!$CF$11</f>
        <v>0</v>
      </c>
      <c r="CE783" s="449">
        <f>'Fiche info Avenant 8'!$CG$11</f>
        <v>0</v>
      </c>
      <c r="CF783" s="449">
        <f>'Fiche info Avenant 8'!$CH$11</f>
        <v>0</v>
      </c>
      <c r="ED783" s="16" t="str">
        <f t="shared" si="152"/>
        <v>Fiche info Avenant 8H</v>
      </c>
      <c r="EE783" s="16" t="str">
        <f t="shared" si="153"/>
        <v>Fiche info Avenant 8</v>
      </c>
      <c r="EF783" s="16" t="str">
        <f t="shared" si="154"/>
        <v>H</v>
      </c>
      <c r="EG783" s="16">
        <f t="shared" si="155"/>
        <v>5</v>
      </c>
      <c r="EH783" s="16" t="str">
        <f t="shared" si="156"/>
        <v>Vendredi</v>
      </c>
      <c r="EI783" s="16" t="str">
        <f t="shared" si="157"/>
        <v/>
      </c>
    </row>
    <row r="784" spans="1:139" x14ac:dyDescent="0.2">
      <c r="A784" s="16" t="str">
        <f t="shared" si="150"/>
        <v>Fiche info Avenant 8H6</v>
      </c>
      <c r="B784" s="16" t="str">
        <f t="shared" si="151"/>
        <v>Fiche info Avenant 8</v>
      </c>
      <c r="C784" s="27" t="s">
        <v>246</v>
      </c>
      <c r="D784" s="27">
        <v>6</v>
      </c>
      <c r="E784" s="16" t="s">
        <v>193</v>
      </c>
      <c r="F784" s="34" t="str">
        <f>+IF('Fiche info Avenant 8'!$CJ$12=0,"",'Fiche info Avenant 8'!$CJ$12)</f>
        <v/>
      </c>
      <c r="G784" s="16">
        <f t="shared" si="158"/>
        <v>0</v>
      </c>
      <c r="BX784" s="16" t="str">
        <f t="shared" si="159"/>
        <v>Fiche info Avenant 8H6</v>
      </c>
      <c r="BY784" s="449">
        <f>'Fiche info Avenant 8'!$CA$12</f>
        <v>0</v>
      </c>
      <c r="BZ784" s="449">
        <f>'Fiche info Avenant 8'!$CB$12</f>
        <v>0</v>
      </c>
      <c r="CA784" s="449">
        <f>'Fiche info Avenant 8'!$CC$12</f>
        <v>0</v>
      </c>
      <c r="CB784" s="449">
        <f>'Fiche info Avenant 8'!$CD$12</f>
        <v>0</v>
      </c>
      <c r="CC784" s="449">
        <f>'Fiche info Avenant 8'!$CE$12</f>
        <v>0</v>
      </c>
      <c r="CD784" s="449">
        <f>'Fiche info Avenant 8'!$CF$12</f>
        <v>0</v>
      </c>
      <c r="CE784" s="449">
        <f>'Fiche info Avenant 8'!$CG$12</f>
        <v>0</v>
      </c>
      <c r="CF784" s="449">
        <f>'Fiche info Avenant 8'!$CH$12</f>
        <v>0</v>
      </c>
      <c r="ED784" s="16" t="str">
        <f t="shared" si="152"/>
        <v>Fiche info Avenant 8H</v>
      </c>
      <c r="EE784" s="16" t="str">
        <f t="shared" si="153"/>
        <v>Fiche info Avenant 8</v>
      </c>
      <c r="EF784" s="16" t="str">
        <f t="shared" si="154"/>
        <v>H</v>
      </c>
      <c r="EG784" s="16">
        <f t="shared" si="155"/>
        <v>6</v>
      </c>
      <c r="EH784" s="16" t="str">
        <f t="shared" si="156"/>
        <v>Samedi</v>
      </c>
      <c r="EI784" s="16" t="str">
        <f t="shared" si="157"/>
        <v/>
      </c>
    </row>
    <row r="785" spans="1:139" x14ac:dyDescent="0.2">
      <c r="A785" s="16" t="str">
        <f t="shared" si="150"/>
        <v>Fiche info Avenant 8H7</v>
      </c>
      <c r="B785" s="16" t="str">
        <f t="shared" si="151"/>
        <v>Fiche info Avenant 8</v>
      </c>
      <c r="C785" s="27" t="s">
        <v>246</v>
      </c>
      <c r="D785" s="27">
        <v>7</v>
      </c>
      <c r="E785" s="16" t="s">
        <v>194</v>
      </c>
      <c r="F785" s="34" t="str">
        <f>+IF('Fiche info'!$CJ$13=0,"",'Fiche info'!$CJ$13)</f>
        <v/>
      </c>
      <c r="G785" s="16">
        <f t="shared" si="158"/>
        <v>0</v>
      </c>
      <c r="BX785" s="16" t="str">
        <f t="shared" si="159"/>
        <v>Fiche info Avenant 8H7</v>
      </c>
      <c r="BY785" s="449">
        <f>'Fiche info Avenant 8'!$CA$13</f>
        <v>0</v>
      </c>
      <c r="BZ785" s="449">
        <f>'Fiche info Avenant 8'!$CB$13</f>
        <v>0</v>
      </c>
      <c r="CA785" s="449">
        <f>'Fiche info Avenant 8'!$CC$13</f>
        <v>0</v>
      </c>
      <c r="CB785" s="449">
        <f>'Fiche info Avenant 8'!$CD$13</f>
        <v>0</v>
      </c>
      <c r="CC785" s="449">
        <f>'Fiche info Avenant 8'!$CE$13</f>
        <v>0</v>
      </c>
      <c r="CD785" s="449">
        <f>'Fiche info Avenant 8'!$CF$13</f>
        <v>0</v>
      </c>
      <c r="CE785" s="449">
        <f>'Fiche info Avenant 8'!$CG$13</f>
        <v>0</v>
      </c>
      <c r="CF785" s="449">
        <f>'Fiche info Avenant 8'!$CH$13</f>
        <v>0</v>
      </c>
      <c r="ED785" s="16" t="str">
        <f t="shared" si="152"/>
        <v>Fiche info Avenant 8H</v>
      </c>
      <c r="EE785" s="16" t="str">
        <f t="shared" si="153"/>
        <v>Fiche info Avenant 8</v>
      </c>
      <c r="EF785" s="16" t="str">
        <f t="shared" si="154"/>
        <v>H</v>
      </c>
      <c r="EG785" s="16">
        <f t="shared" si="155"/>
        <v>7</v>
      </c>
      <c r="EH785" s="16" t="str">
        <f t="shared" si="156"/>
        <v>Dimanche</v>
      </c>
      <c r="EI785" s="16" t="str">
        <f t="shared" si="157"/>
        <v/>
      </c>
    </row>
    <row r="786" spans="1:139" x14ac:dyDescent="0.2">
      <c r="A786" s="16" t="str">
        <f t="shared" si="150"/>
        <v>Fiche info Avenant 9A1</v>
      </c>
      <c r="B786" s="16" t="str">
        <f>+$P$16</f>
        <v>Fiche info Avenant 9</v>
      </c>
      <c r="C786" s="27" t="s">
        <v>235</v>
      </c>
      <c r="D786" s="27">
        <v>1</v>
      </c>
      <c r="E786" s="16" t="s">
        <v>17</v>
      </c>
      <c r="F786" s="34" t="str">
        <f>IF('Fiche info Avenant 9'!$K$7=0,"",'Fiche info Avenant 9'!$K$7)</f>
        <v/>
      </c>
      <c r="G786" s="16">
        <f t="shared" si="158"/>
        <v>0</v>
      </c>
      <c r="BX786" s="16" t="str">
        <f t="shared" si="159"/>
        <v>Fiche info Avenant 9A1</v>
      </c>
      <c r="BY786" s="449">
        <f>'Fiche info Avenant 9'!$B$7</f>
        <v>0</v>
      </c>
      <c r="BZ786" s="449">
        <f>'Fiche info Avenant 9'!$C$7</f>
        <v>0</v>
      </c>
      <c r="CA786" s="449">
        <f>'Fiche info Avenant 9'!$D$7</f>
        <v>0</v>
      </c>
      <c r="CB786" s="449">
        <f>'Fiche info Avenant 9'!$E$7</f>
        <v>0</v>
      </c>
      <c r="CC786" s="449">
        <f>'Fiche info Avenant 9'!$F$7</f>
        <v>0</v>
      </c>
      <c r="CD786" s="449">
        <f>'Fiche info Avenant 9'!$G$7</f>
        <v>0</v>
      </c>
      <c r="CE786" s="449">
        <f>'Fiche info Avenant 9'!$H$7</f>
        <v>0</v>
      </c>
      <c r="CF786" s="449">
        <f>'Fiche info Avenant 9'!$I$7</f>
        <v>0</v>
      </c>
      <c r="ED786" s="16" t="str">
        <f t="shared" si="152"/>
        <v>Fiche info Avenant 9A</v>
      </c>
      <c r="EE786" s="16" t="str">
        <f t="shared" si="153"/>
        <v>Fiche info Avenant 9</v>
      </c>
      <c r="EF786" s="16" t="str">
        <f t="shared" si="154"/>
        <v>A</v>
      </c>
      <c r="EG786" s="16">
        <f t="shared" si="155"/>
        <v>1</v>
      </c>
      <c r="EH786" s="16" t="str">
        <f t="shared" si="156"/>
        <v>Lundi</v>
      </c>
      <c r="EI786" s="16" t="str">
        <f t="shared" si="157"/>
        <v/>
      </c>
    </row>
    <row r="787" spans="1:139" x14ac:dyDescent="0.2">
      <c r="A787" s="16" t="str">
        <f t="shared" ref="A787:A842" si="160">+B787&amp;C787&amp;D787</f>
        <v>Fiche info Avenant 9A2</v>
      </c>
      <c r="B787" s="16" t="str">
        <f t="shared" ref="B787:B841" si="161">+$P$16</f>
        <v>Fiche info Avenant 9</v>
      </c>
      <c r="C787" s="27" t="s">
        <v>235</v>
      </c>
      <c r="D787" s="27">
        <v>2</v>
      </c>
      <c r="E787" s="16" t="s">
        <v>18</v>
      </c>
      <c r="F787" s="34" t="str">
        <f>IF('Fiche info Avenant 9'!$K$8=0,"",'Fiche info Avenant 9'!$K$8)</f>
        <v/>
      </c>
      <c r="G787" s="16">
        <f t="shared" si="158"/>
        <v>0</v>
      </c>
      <c r="BX787" s="16" t="str">
        <f t="shared" si="159"/>
        <v>Fiche info Avenant 9A2</v>
      </c>
      <c r="BY787" s="449">
        <f>'Fiche info Avenant 9'!$B$8</f>
        <v>0</v>
      </c>
      <c r="BZ787" s="449">
        <f>'Fiche info Avenant 9'!$C$8</f>
        <v>0</v>
      </c>
      <c r="CA787" s="449">
        <f>'Fiche info Avenant 9'!$D$8</f>
        <v>0</v>
      </c>
      <c r="CB787" s="449">
        <f>'Fiche info Avenant 9'!$E$8</f>
        <v>0</v>
      </c>
      <c r="CC787" s="449">
        <f>'Fiche info Avenant 9'!$F$8</f>
        <v>0</v>
      </c>
      <c r="CD787" s="449">
        <f>'Fiche info Avenant 9'!$G$8</f>
        <v>0</v>
      </c>
      <c r="CE787" s="449">
        <f>'Fiche info Avenant 9'!$H$8</f>
        <v>0</v>
      </c>
      <c r="CF787" s="449">
        <f>'Fiche info Avenant 9'!$I$8</f>
        <v>0</v>
      </c>
      <c r="ED787" s="16" t="str">
        <f t="shared" si="152"/>
        <v>Fiche info Avenant 9A</v>
      </c>
      <c r="EE787" s="16" t="str">
        <f t="shared" si="153"/>
        <v>Fiche info Avenant 9</v>
      </c>
      <c r="EF787" s="16" t="str">
        <f t="shared" si="154"/>
        <v>A</v>
      </c>
      <c r="EG787" s="16">
        <f t="shared" si="155"/>
        <v>2</v>
      </c>
      <c r="EH787" s="16" t="str">
        <f t="shared" si="156"/>
        <v>Mardi</v>
      </c>
      <c r="EI787" s="16" t="str">
        <f t="shared" si="157"/>
        <v/>
      </c>
    </row>
    <row r="788" spans="1:139" x14ac:dyDescent="0.2">
      <c r="A788" s="16" t="str">
        <f t="shared" si="160"/>
        <v>Fiche info Avenant 9A3</v>
      </c>
      <c r="B788" s="16" t="str">
        <f t="shared" si="161"/>
        <v>Fiche info Avenant 9</v>
      </c>
      <c r="C788" s="27" t="s">
        <v>235</v>
      </c>
      <c r="D788" s="27">
        <v>3</v>
      </c>
      <c r="E788" s="16" t="s">
        <v>19</v>
      </c>
      <c r="F788" s="34" t="str">
        <f>IF('Fiche info Avenant 9'!$K$9=0,"",'Fiche info Avenant 9'!$K$9)</f>
        <v/>
      </c>
      <c r="G788" s="16">
        <f t="shared" si="158"/>
        <v>0</v>
      </c>
      <c r="BX788" s="16" t="str">
        <f t="shared" si="159"/>
        <v>Fiche info Avenant 9A3</v>
      </c>
      <c r="BY788" s="449">
        <f>'Fiche info Avenant 9'!$B$9</f>
        <v>0</v>
      </c>
      <c r="BZ788" s="449">
        <f>'Fiche info Avenant 9'!$C$9</f>
        <v>0</v>
      </c>
      <c r="CA788" s="449">
        <f>'Fiche info Avenant 9'!$D$9</f>
        <v>0</v>
      </c>
      <c r="CB788" s="449">
        <f>'Fiche info Avenant 9'!$E$9</f>
        <v>0</v>
      </c>
      <c r="CC788" s="449">
        <f>'Fiche info Avenant 9'!$F$9</f>
        <v>0</v>
      </c>
      <c r="CD788" s="449">
        <f>'Fiche info Avenant 9'!$G$9</f>
        <v>0</v>
      </c>
      <c r="CE788" s="449">
        <f>'Fiche info Avenant 9'!$H$9</f>
        <v>0</v>
      </c>
      <c r="CF788" s="449">
        <f>'Fiche info Avenant 9'!$I$9</f>
        <v>0</v>
      </c>
      <c r="ED788" s="16" t="str">
        <f t="shared" si="152"/>
        <v>Fiche info Avenant 9A</v>
      </c>
      <c r="EE788" s="16" t="str">
        <f t="shared" si="153"/>
        <v>Fiche info Avenant 9</v>
      </c>
      <c r="EF788" s="16" t="str">
        <f t="shared" si="154"/>
        <v>A</v>
      </c>
      <c r="EG788" s="16">
        <f t="shared" si="155"/>
        <v>3</v>
      </c>
      <c r="EH788" s="16" t="str">
        <f t="shared" si="156"/>
        <v>Mercredi</v>
      </c>
      <c r="EI788" s="16" t="str">
        <f t="shared" si="157"/>
        <v/>
      </c>
    </row>
    <row r="789" spans="1:139" x14ac:dyDescent="0.2">
      <c r="A789" s="16" t="str">
        <f t="shared" si="160"/>
        <v>Fiche info Avenant 9A4</v>
      </c>
      <c r="B789" s="16" t="str">
        <f t="shared" si="161"/>
        <v>Fiche info Avenant 9</v>
      </c>
      <c r="C789" s="27" t="s">
        <v>235</v>
      </c>
      <c r="D789" s="27">
        <v>4</v>
      </c>
      <c r="E789" s="16" t="s">
        <v>20</v>
      </c>
      <c r="F789" s="34" t="str">
        <f>IF('Fiche info Avenant 9'!$K$10=0,"",'Fiche info Avenant 9'!$K$10)</f>
        <v/>
      </c>
      <c r="G789" s="16">
        <f t="shared" si="158"/>
        <v>0</v>
      </c>
      <c r="BX789" s="16" t="str">
        <f t="shared" si="159"/>
        <v>Fiche info Avenant 9A4</v>
      </c>
      <c r="BY789" s="449">
        <f>'Fiche info Avenant 9'!$B$10</f>
        <v>0</v>
      </c>
      <c r="BZ789" s="449">
        <f>'Fiche info Avenant 9'!$C$10</f>
        <v>0</v>
      </c>
      <c r="CA789" s="449">
        <f>'Fiche info Avenant 9'!$D$10</f>
        <v>0</v>
      </c>
      <c r="CB789" s="449">
        <f>'Fiche info Avenant 9'!$E$10</f>
        <v>0</v>
      </c>
      <c r="CC789" s="449">
        <f>'Fiche info Avenant 9'!$F$10</f>
        <v>0</v>
      </c>
      <c r="CD789" s="449">
        <f>'Fiche info Avenant 9'!$G$10</f>
        <v>0</v>
      </c>
      <c r="CE789" s="449">
        <f>'Fiche info Avenant 9'!$H$10</f>
        <v>0</v>
      </c>
      <c r="CF789" s="449">
        <f>'Fiche info Avenant 9'!$I$10</f>
        <v>0</v>
      </c>
      <c r="ED789" s="16" t="str">
        <f t="shared" si="152"/>
        <v>Fiche info Avenant 9A</v>
      </c>
      <c r="EE789" s="16" t="str">
        <f t="shared" si="153"/>
        <v>Fiche info Avenant 9</v>
      </c>
      <c r="EF789" s="16" t="str">
        <f t="shared" si="154"/>
        <v>A</v>
      </c>
      <c r="EG789" s="16">
        <f t="shared" si="155"/>
        <v>4</v>
      </c>
      <c r="EH789" s="16" t="str">
        <f t="shared" si="156"/>
        <v>Jeudi</v>
      </c>
      <c r="EI789" s="16" t="str">
        <f t="shared" si="157"/>
        <v/>
      </c>
    </row>
    <row r="790" spans="1:139" x14ac:dyDescent="0.2">
      <c r="A790" s="16" t="str">
        <f t="shared" si="160"/>
        <v>Fiche info Avenant 9A5</v>
      </c>
      <c r="B790" s="16" t="str">
        <f t="shared" si="161"/>
        <v>Fiche info Avenant 9</v>
      </c>
      <c r="C790" s="27" t="s">
        <v>235</v>
      </c>
      <c r="D790" s="27">
        <v>5</v>
      </c>
      <c r="E790" s="16" t="s">
        <v>21</v>
      </c>
      <c r="F790" s="34" t="str">
        <f>IF('Fiche info Avenant 9'!$K$11=0,"",'Fiche info Avenant 9'!$K$11)</f>
        <v/>
      </c>
      <c r="G790" s="16">
        <f t="shared" si="158"/>
        <v>0</v>
      </c>
      <c r="BX790" s="16" t="str">
        <f t="shared" si="159"/>
        <v>Fiche info Avenant 9A5</v>
      </c>
      <c r="BY790" s="449">
        <f>'Fiche info Avenant 9'!$B$11</f>
        <v>0</v>
      </c>
      <c r="BZ790" s="449">
        <f>'Fiche info Avenant 9'!$C$11</f>
        <v>0</v>
      </c>
      <c r="CA790" s="449">
        <f>'Fiche info Avenant 9'!$D$11</f>
        <v>0</v>
      </c>
      <c r="CB790" s="449">
        <f>'Fiche info Avenant 9'!$E$11</f>
        <v>0</v>
      </c>
      <c r="CC790" s="449">
        <f>'Fiche info Avenant 9'!$F$11</f>
        <v>0</v>
      </c>
      <c r="CD790" s="449">
        <f>'Fiche info Avenant 9'!$G$11</f>
        <v>0</v>
      </c>
      <c r="CE790" s="449">
        <f>'Fiche info Avenant 9'!$H$11</f>
        <v>0</v>
      </c>
      <c r="CF790" s="449">
        <f>'Fiche info Avenant 9'!$I$11</f>
        <v>0</v>
      </c>
      <c r="ED790" s="16" t="str">
        <f t="shared" si="152"/>
        <v>Fiche info Avenant 9A</v>
      </c>
      <c r="EE790" s="16" t="str">
        <f t="shared" si="153"/>
        <v>Fiche info Avenant 9</v>
      </c>
      <c r="EF790" s="16" t="str">
        <f t="shared" si="154"/>
        <v>A</v>
      </c>
      <c r="EG790" s="16">
        <f t="shared" si="155"/>
        <v>5</v>
      </c>
      <c r="EH790" s="16" t="str">
        <f t="shared" si="156"/>
        <v>Vendredi</v>
      </c>
      <c r="EI790" s="16" t="str">
        <f t="shared" si="157"/>
        <v/>
      </c>
    </row>
    <row r="791" spans="1:139" x14ac:dyDescent="0.2">
      <c r="A791" s="16" t="str">
        <f t="shared" si="160"/>
        <v>Fiche info Avenant 9A6</v>
      </c>
      <c r="B791" s="16" t="str">
        <f t="shared" si="161"/>
        <v>Fiche info Avenant 9</v>
      </c>
      <c r="C791" s="27" t="s">
        <v>235</v>
      </c>
      <c r="D791" s="27">
        <v>6</v>
      </c>
      <c r="E791" s="16" t="s">
        <v>193</v>
      </c>
      <c r="F791" s="34" t="str">
        <f>IF('Fiche info Avenant 9'!$K$12=0,"",'Fiche info Avenant 9'!$K$12)</f>
        <v/>
      </c>
      <c r="G791" s="16">
        <f t="shared" si="158"/>
        <v>0</v>
      </c>
      <c r="BX791" s="16" t="str">
        <f t="shared" si="159"/>
        <v>Fiche info Avenant 9A6</v>
      </c>
      <c r="BY791" s="449">
        <f>'Fiche info Avenant 9'!$B$12</f>
        <v>0</v>
      </c>
      <c r="BZ791" s="449">
        <f>'Fiche info Avenant 9'!$C$12</f>
        <v>0</v>
      </c>
      <c r="CA791" s="449">
        <f>'Fiche info Avenant 9'!$D$12</f>
        <v>0</v>
      </c>
      <c r="CB791" s="449">
        <f>'Fiche info Avenant 9'!$E$12</f>
        <v>0</v>
      </c>
      <c r="CC791" s="449">
        <f>'Fiche info Avenant 9'!$F$12</f>
        <v>0</v>
      </c>
      <c r="CD791" s="449">
        <f>'Fiche info Avenant 9'!$G$12</f>
        <v>0</v>
      </c>
      <c r="CE791" s="449">
        <f>'Fiche info Avenant 9'!$H$12</f>
        <v>0</v>
      </c>
      <c r="CF791" s="449">
        <f>'Fiche info Avenant 9'!$I$12</f>
        <v>0</v>
      </c>
      <c r="ED791" s="16" t="str">
        <f t="shared" si="152"/>
        <v>Fiche info Avenant 9A</v>
      </c>
      <c r="EE791" s="16" t="str">
        <f t="shared" si="153"/>
        <v>Fiche info Avenant 9</v>
      </c>
      <c r="EF791" s="16" t="str">
        <f t="shared" si="154"/>
        <v>A</v>
      </c>
      <c r="EG791" s="16">
        <f t="shared" si="155"/>
        <v>6</v>
      </c>
      <c r="EH791" s="16" t="str">
        <f t="shared" si="156"/>
        <v>Samedi</v>
      </c>
      <c r="EI791" s="16" t="str">
        <f t="shared" si="157"/>
        <v/>
      </c>
    </row>
    <row r="792" spans="1:139" x14ac:dyDescent="0.2">
      <c r="A792" s="16" t="str">
        <f t="shared" si="160"/>
        <v>Fiche info Avenant 9A7</v>
      </c>
      <c r="B792" s="16" t="str">
        <f t="shared" si="161"/>
        <v>Fiche info Avenant 9</v>
      </c>
      <c r="C792" s="27" t="s">
        <v>235</v>
      </c>
      <c r="D792" s="27">
        <v>7</v>
      </c>
      <c r="E792" s="16" t="s">
        <v>194</v>
      </c>
      <c r="F792" s="34" t="str">
        <f>IF('Fiche info Avenant 9'!$K$13=0,"",'Fiche info Avenant 9'!$K$13)</f>
        <v/>
      </c>
      <c r="G792" s="16">
        <f t="shared" si="158"/>
        <v>0</v>
      </c>
      <c r="BX792" s="16" t="str">
        <f t="shared" si="159"/>
        <v>Fiche info Avenant 9A7</v>
      </c>
      <c r="BY792" s="449">
        <f>'Fiche info Avenant 9'!$B$13</f>
        <v>0</v>
      </c>
      <c r="BZ792" s="449">
        <f>'Fiche info Avenant 9'!$C$13</f>
        <v>0</v>
      </c>
      <c r="CA792" s="449">
        <f>'Fiche info Avenant 9'!$D$13</f>
        <v>0</v>
      </c>
      <c r="CB792" s="449">
        <f>'Fiche info Avenant 9'!$E$13</f>
        <v>0</v>
      </c>
      <c r="CC792" s="449">
        <f>'Fiche info Avenant 9'!$F$13</f>
        <v>0</v>
      </c>
      <c r="CD792" s="449">
        <f>'Fiche info Avenant 9'!$G$13</f>
        <v>0</v>
      </c>
      <c r="CE792" s="449">
        <f>'Fiche info Avenant 9'!$H$13</f>
        <v>0</v>
      </c>
      <c r="CF792" s="449">
        <f>'Fiche info Avenant 9'!$I$13</f>
        <v>0</v>
      </c>
      <c r="ED792" s="16" t="str">
        <f t="shared" si="152"/>
        <v>Fiche info Avenant 9A</v>
      </c>
      <c r="EE792" s="16" t="str">
        <f t="shared" si="153"/>
        <v>Fiche info Avenant 9</v>
      </c>
      <c r="EF792" s="16" t="str">
        <f t="shared" si="154"/>
        <v>A</v>
      </c>
      <c r="EG792" s="16">
        <f t="shared" si="155"/>
        <v>7</v>
      </c>
      <c r="EH792" s="16" t="str">
        <f t="shared" si="156"/>
        <v>Dimanche</v>
      </c>
      <c r="EI792" s="16" t="str">
        <f t="shared" si="157"/>
        <v/>
      </c>
    </row>
    <row r="793" spans="1:139" x14ac:dyDescent="0.2">
      <c r="A793" s="16" t="str">
        <f t="shared" si="160"/>
        <v>Fiche info Avenant 9B1</v>
      </c>
      <c r="B793" s="16" t="str">
        <f t="shared" si="161"/>
        <v>Fiche info Avenant 9</v>
      </c>
      <c r="C793" s="27" t="s">
        <v>236</v>
      </c>
      <c r="D793" s="27">
        <v>1</v>
      </c>
      <c r="E793" s="16" t="s">
        <v>17</v>
      </c>
      <c r="F793" s="34" t="str">
        <f>+IF('Fiche info Avenant 9'!$V$7=0,"",'Fiche info Avenant 9'!$V$7)</f>
        <v/>
      </c>
      <c r="G793" s="16">
        <f t="shared" si="158"/>
        <v>0</v>
      </c>
      <c r="BX793" s="16" t="str">
        <f t="shared" si="159"/>
        <v>Fiche info Avenant 9B1</v>
      </c>
      <c r="BY793" s="449">
        <f>'Fiche info Avenant 9'!$M$7</f>
        <v>0</v>
      </c>
      <c r="BZ793" s="449">
        <f>'Fiche info Avenant 9'!$N$7</f>
        <v>0</v>
      </c>
      <c r="CA793" s="449">
        <f>'Fiche info Avenant 9'!$O$7</f>
        <v>0</v>
      </c>
      <c r="CB793" s="449">
        <f>'Fiche info Avenant 9'!$P$7</f>
        <v>0</v>
      </c>
      <c r="CC793" s="449">
        <f>'Fiche info Avenant 9'!$Q$7</f>
        <v>0</v>
      </c>
      <c r="CD793" s="449">
        <f>'Fiche info Avenant 9'!$R$7</f>
        <v>0</v>
      </c>
      <c r="CE793" s="449">
        <f>'Fiche info Avenant 9'!$S$7</f>
        <v>0</v>
      </c>
      <c r="CF793" s="449">
        <f>'Fiche info Avenant 9'!$T$7</f>
        <v>0</v>
      </c>
      <c r="ED793" s="16" t="str">
        <f t="shared" si="152"/>
        <v>Fiche info Avenant 9B</v>
      </c>
      <c r="EE793" s="16" t="str">
        <f t="shared" si="153"/>
        <v>Fiche info Avenant 9</v>
      </c>
      <c r="EF793" s="16" t="str">
        <f t="shared" si="154"/>
        <v>B</v>
      </c>
      <c r="EG793" s="16">
        <f t="shared" si="155"/>
        <v>1</v>
      </c>
      <c r="EH793" s="16" t="str">
        <f t="shared" si="156"/>
        <v>Lundi</v>
      </c>
      <c r="EI793" s="16" t="str">
        <f t="shared" si="157"/>
        <v/>
      </c>
    </row>
    <row r="794" spans="1:139" x14ac:dyDescent="0.2">
      <c r="A794" s="16" t="str">
        <f t="shared" si="160"/>
        <v>Fiche info Avenant 9B2</v>
      </c>
      <c r="B794" s="16" t="str">
        <f t="shared" si="161"/>
        <v>Fiche info Avenant 9</v>
      </c>
      <c r="C794" s="27" t="s">
        <v>236</v>
      </c>
      <c r="D794" s="27">
        <v>2</v>
      </c>
      <c r="E794" s="16" t="s">
        <v>18</v>
      </c>
      <c r="F794" s="34" t="str">
        <f>+IF('Fiche info Avenant 9'!$V$8=0,"",'Fiche info Avenant 9'!$V$8)</f>
        <v/>
      </c>
      <c r="G794" s="16">
        <f t="shared" si="158"/>
        <v>0</v>
      </c>
      <c r="BX794" s="16" t="str">
        <f t="shared" si="159"/>
        <v>Fiche info Avenant 9B2</v>
      </c>
      <c r="BY794" s="449">
        <f>'Fiche info Avenant 9'!$M$8</f>
        <v>0</v>
      </c>
      <c r="BZ794" s="449">
        <f>'Fiche info Avenant 9'!$N$8</f>
        <v>0</v>
      </c>
      <c r="CA794" s="449">
        <f>'Fiche info Avenant 9'!$O$8</f>
        <v>0</v>
      </c>
      <c r="CB794" s="449">
        <f>'Fiche info Avenant 9'!$P$8</f>
        <v>0</v>
      </c>
      <c r="CC794" s="449">
        <f>'Fiche info Avenant 9'!$Q$8</f>
        <v>0</v>
      </c>
      <c r="CD794" s="449">
        <f>'Fiche info Avenant 9'!$R$8</f>
        <v>0</v>
      </c>
      <c r="CE794" s="449">
        <f>'Fiche info Avenant 9'!$S$8</f>
        <v>0</v>
      </c>
      <c r="CF794" s="449">
        <f>'Fiche info Avenant 9'!$T$8</f>
        <v>0</v>
      </c>
      <c r="ED794" s="16" t="str">
        <f t="shared" si="152"/>
        <v>Fiche info Avenant 9B</v>
      </c>
      <c r="EE794" s="16" t="str">
        <f t="shared" si="153"/>
        <v>Fiche info Avenant 9</v>
      </c>
      <c r="EF794" s="16" t="str">
        <f t="shared" si="154"/>
        <v>B</v>
      </c>
      <c r="EG794" s="16">
        <f t="shared" si="155"/>
        <v>2</v>
      </c>
      <c r="EH794" s="16" t="str">
        <f t="shared" si="156"/>
        <v>Mardi</v>
      </c>
      <c r="EI794" s="16" t="str">
        <f t="shared" si="157"/>
        <v/>
      </c>
    </row>
    <row r="795" spans="1:139" x14ac:dyDescent="0.2">
      <c r="A795" s="16" t="str">
        <f t="shared" si="160"/>
        <v>Fiche info Avenant 9B3</v>
      </c>
      <c r="B795" s="16" t="str">
        <f t="shared" si="161"/>
        <v>Fiche info Avenant 9</v>
      </c>
      <c r="C795" s="27" t="s">
        <v>236</v>
      </c>
      <c r="D795" s="27">
        <v>3</v>
      </c>
      <c r="E795" s="16" t="s">
        <v>19</v>
      </c>
      <c r="F795" s="34" t="str">
        <f>+IF('Fiche info Avenant 9'!$V$9=0,"",'Fiche info Avenant 9'!$V$9)</f>
        <v/>
      </c>
      <c r="G795" s="16">
        <f t="shared" si="158"/>
        <v>0</v>
      </c>
      <c r="BX795" s="16" t="str">
        <f t="shared" si="159"/>
        <v>Fiche info Avenant 9B3</v>
      </c>
      <c r="BY795" s="449">
        <f>'Fiche info Avenant 9'!$M$9</f>
        <v>0</v>
      </c>
      <c r="BZ795" s="449">
        <f>'Fiche info Avenant 9'!$N$9</f>
        <v>0</v>
      </c>
      <c r="CA795" s="449">
        <f>'Fiche info Avenant 9'!$O$9</f>
        <v>0</v>
      </c>
      <c r="CB795" s="449">
        <f>'Fiche info Avenant 9'!$P$9</f>
        <v>0</v>
      </c>
      <c r="CC795" s="449">
        <f>'Fiche info Avenant 9'!$Q$9</f>
        <v>0</v>
      </c>
      <c r="CD795" s="449">
        <f>'Fiche info Avenant 9'!$R$9</f>
        <v>0</v>
      </c>
      <c r="CE795" s="449">
        <f>'Fiche info Avenant 9'!$S$9</f>
        <v>0</v>
      </c>
      <c r="CF795" s="449">
        <f>'Fiche info Avenant 9'!$T$9</f>
        <v>0</v>
      </c>
      <c r="ED795" s="16" t="str">
        <f t="shared" si="152"/>
        <v>Fiche info Avenant 9B</v>
      </c>
      <c r="EE795" s="16" t="str">
        <f t="shared" si="153"/>
        <v>Fiche info Avenant 9</v>
      </c>
      <c r="EF795" s="16" t="str">
        <f t="shared" si="154"/>
        <v>B</v>
      </c>
      <c r="EG795" s="16">
        <f t="shared" si="155"/>
        <v>3</v>
      </c>
      <c r="EH795" s="16" t="str">
        <f t="shared" si="156"/>
        <v>Mercredi</v>
      </c>
      <c r="EI795" s="16" t="str">
        <f t="shared" si="157"/>
        <v/>
      </c>
    </row>
    <row r="796" spans="1:139" x14ac:dyDescent="0.2">
      <c r="A796" s="16" t="str">
        <f t="shared" si="160"/>
        <v>Fiche info Avenant 9B4</v>
      </c>
      <c r="B796" s="16" t="str">
        <f t="shared" si="161"/>
        <v>Fiche info Avenant 9</v>
      </c>
      <c r="C796" s="27" t="s">
        <v>236</v>
      </c>
      <c r="D796" s="27">
        <v>4</v>
      </c>
      <c r="E796" s="16" t="s">
        <v>20</v>
      </c>
      <c r="F796" s="34" t="str">
        <f>+IF('Fiche info Avenant 9'!$V$10=0,"",'Fiche info Avenant 9'!$V$10)</f>
        <v/>
      </c>
      <c r="G796" s="16">
        <f t="shared" si="158"/>
        <v>0</v>
      </c>
      <c r="BX796" s="16" t="str">
        <f t="shared" si="159"/>
        <v>Fiche info Avenant 9B4</v>
      </c>
      <c r="BY796" s="449">
        <f>'Fiche info Avenant 9'!$M$10</f>
        <v>0</v>
      </c>
      <c r="BZ796" s="449">
        <f>'Fiche info Avenant 9'!$N$10</f>
        <v>0</v>
      </c>
      <c r="CA796" s="449">
        <f>'Fiche info Avenant 9'!$O$10</f>
        <v>0</v>
      </c>
      <c r="CB796" s="449">
        <f>'Fiche info Avenant 9'!$P$10</f>
        <v>0</v>
      </c>
      <c r="CC796" s="449">
        <f>'Fiche info Avenant 9'!$Q$10</f>
        <v>0</v>
      </c>
      <c r="CD796" s="449">
        <f>'Fiche info Avenant 9'!$R$10</f>
        <v>0</v>
      </c>
      <c r="CE796" s="449">
        <f>'Fiche info Avenant 9'!$S$10</f>
        <v>0</v>
      </c>
      <c r="CF796" s="449">
        <f>'Fiche info Avenant 9'!$T$10</f>
        <v>0</v>
      </c>
      <c r="ED796" s="16" t="str">
        <f t="shared" si="152"/>
        <v>Fiche info Avenant 9B</v>
      </c>
      <c r="EE796" s="16" t="str">
        <f t="shared" si="153"/>
        <v>Fiche info Avenant 9</v>
      </c>
      <c r="EF796" s="16" t="str">
        <f t="shared" si="154"/>
        <v>B</v>
      </c>
      <c r="EG796" s="16">
        <f t="shared" si="155"/>
        <v>4</v>
      </c>
      <c r="EH796" s="16" t="str">
        <f t="shared" si="156"/>
        <v>Jeudi</v>
      </c>
      <c r="EI796" s="16" t="str">
        <f t="shared" si="157"/>
        <v/>
      </c>
    </row>
    <row r="797" spans="1:139" x14ac:dyDescent="0.2">
      <c r="A797" s="16" t="str">
        <f t="shared" si="160"/>
        <v>Fiche info Avenant 9B5</v>
      </c>
      <c r="B797" s="16" t="str">
        <f t="shared" si="161"/>
        <v>Fiche info Avenant 9</v>
      </c>
      <c r="C797" s="27" t="s">
        <v>236</v>
      </c>
      <c r="D797" s="27">
        <v>5</v>
      </c>
      <c r="E797" s="16" t="s">
        <v>21</v>
      </c>
      <c r="F797" s="34" t="str">
        <f>+IF('Fiche info Avenant 9'!$V$11=0,"",'Fiche info Avenant 9'!$V$11)</f>
        <v/>
      </c>
      <c r="G797" s="16">
        <f t="shared" si="158"/>
        <v>0</v>
      </c>
      <c r="BX797" s="16" t="str">
        <f t="shared" si="159"/>
        <v>Fiche info Avenant 9B5</v>
      </c>
      <c r="BY797" s="449">
        <f>'Fiche info Avenant 9'!$M$11</f>
        <v>0</v>
      </c>
      <c r="BZ797" s="449">
        <f>'Fiche info Avenant 9'!$N$11</f>
        <v>0</v>
      </c>
      <c r="CA797" s="449">
        <f>'Fiche info Avenant 9'!$O$11</f>
        <v>0</v>
      </c>
      <c r="CB797" s="449">
        <f>'Fiche info Avenant 9'!$P$11</f>
        <v>0</v>
      </c>
      <c r="CC797" s="449">
        <f>'Fiche info Avenant 9'!$Q$11</f>
        <v>0</v>
      </c>
      <c r="CD797" s="449">
        <f>'Fiche info Avenant 9'!$R$11</f>
        <v>0</v>
      </c>
      <c r="CE797" s="449">
        <f>'Fiche info Avenant 9'!$S$11</f>
        <v>0</v>
      </c>
      <c r="CF797" s="449">
        <f>'Fiche info Avenant 9'!$T$11</f>
        <v>0</v>
      </c>
      <c r="ED797" s="16" t="str">
        <f t="shared" si="152"/>
        <v>Fiche info Avenant 9B</v>
      </c>
      <c r="EE797" s="16" t="str">
        <f t="shared" si="153"/>
        <v>Fiche info Avenant 9</v>
      </c>
      <c r="EF797" s="16" t="str">
        <f t="shared" si="154"/>
        <v>B</v>
      </c>
      <c r="EG797" s="16">
        <f t="shared" si="155"/>
        <v>5</v>
      </c>
      <c r="EH797" s="16" t="str">
        <f t="shared" si="156"/>
        <v>Vendredi</v>
      </c>
      <c r="EI797" s="16" t="str">
        <f t="shared" si="157"/>
        <v/>
      </c>
    </row>
    <row r="798" spans="1:139" x14ac:dyDescent="0.2">
      <c r="A798" s="16" t="str">
        <f t="shared" si="160"/>
        <v>Fiche info Avenant 9B6</v>
      </c>
      <c r="B798" s="16" t="str">
        <f t="shared" si="161"/>
        <v>Fiche info Avenant 9</v>
      </c>
      <c r="C798" s="27" t="s">
        <v>236</v>
      </c>
      <c r="D798" s="27">
        <v>6</v>
      </c>
      <c r="E798" s="16" t="s">
        <v>193</v>
      </c>
      <c r="F798" s="34" t="str">
        <f>+IF('Fiche info Avenant 9'!$V$12=0,"",'Fiche info Avenant 9'!$V$12)</f>
        <v/>
      </c>
      <c r="G798" s="16">
        <f t="shared" si="158"/>
        <v>0</v>
      </c>
      <c r="BX798" s="16" t="str">
        <f t="shared" si="159"/>
        <v>Fiche info Avenant 9B6</v>
      </c>
      <c r="BY798" s="449">
        <f>'Fiche info Avenant 9'!$M$12</f>
        <v>0</v>
      </c>
      <c r="BZ798" s="449">
        <f>'Fiche info Avenant 9'!$N$12</f>
        <v>0</v>
      </c>
      <c r="CA798" s="449">
        <f>'Fiche info Avenant 9'!$O$12</f>
        <v>0</v>
      </c>
      <c r="CB798" s="449">
        <f>'Fiche info Avenant 9'!$P$12</f>
        <v>0</v>
      </c>
      <c r="CC798" s="449">
        <f>'Fiche info Avenant 9'!$Q$12</f>
        <v>0</v>
      </c>
      <c r="CD798" s="449">
        <f>'Fiche info Avenant 9'!$R$12</f>
        <v>0</v>
      </c>
      <c r="CE798" s="449">
        <f>'Fiche info Avenant 9'!$S$12</f>
        <v>0</v>
      </c>
      <c r="CF798" s="449">
        <f>'Fiche info Avenant 9'!$T$12</f>
        <v>0</v>
      </c>
      <c r="ED798" s="16" t="str">
        <f t="shared" si="152"/>
        <v>Fiche info Avenant 9B</v>
      </c>
      <c r="EE798" s="16" t="str">
        <f t="shared" si="153"/>
        <v>Fiche info Avenant 9</v>
      </c>
      <c r="EF798" s="16" t="str">
        <f t="shared" si="154"/>
        <v>B</v>
      </c>
      <c r="EG798" s="16">
        <f t="shared" si="155"/>
        <v>6</v>
      </c>
      <c r="EH798" s="16" t="str">
        <f t="shared" si="156"/>
        <v>Samedi</v>
      </c>
      <c r="EI798" s="16" t="str">
        <f t="shared" si="157"/>
        <v/>
      </c>
    </row>
    <row r="799" spans="1:139" x14ac:dyDescent="0.2">
      <c r="A799" s="16" t="str">
        <f t="shared" si="160"/>
        <v>Fiche info Avenant 9B7</v>
      </c>
      <c r="B799" s="16" t="str">
        <f t="shared" si="161"/>
        <v>Fiche info Avenant 9</v>
      </c>
      <c r="C799" s="27" t="s">
        <v>236</v>
      </c>
      <c r="D799" s="27">
        <v>7</v>
      </c>
      <c r="E799" s="16" t="s">
        <v>194</v>
      </c>
      <c r="F799" s="34" t="str">
        <f>+IF('Fiche info Avenant 9'!$V$13=0,"",'Fiche info Avenant 9'!$V$13)</f>
        <v/>
      </c>
      <c r="G799" s="16">
        <f t="shared" si="158"/>
        <v>0</v>
      </c>
      <c r="BX799" s="16" t="str">
        <f t="shared" si="159"/>
        <v>Fiche info Avenant 9B7</v>
      </c>
      <c r="BY799" s="449">
        <f>'Fiche info Avenant 9'!$M$13</f>
        <v>0</v>
      </c>
      <c r="BZ799" s="449">
        <f>'Fiche info Avenant 9'!$N$13</f>
        <v>0</v>
      </c>
      <c r="CA799" s="449">
        <f>'Fiche info Avenant 9'!$O$13</f>
        <v>0</v>
      </c>
      <c r="CB799" s="449">
        <f>'Fiche info Avenant 9'!$P$13</f>
        <v>0</v>
      </c>
      <c r="CC799" s="449">
        <f>'Fiche info Avenant 9'!$Q$13</f>
        <v>0</v>
      </c>
      <c r="CD799" s="449">
        <f>'Fiche info Avenant 9'!$R$13</f>
        <v>0</v>
      </c>
      <c r="CE799" s="449">
        <f>'Fiche info Avenant 9'!$S$13</f>
        <v>0</v>
      </c>
      <c r="CF799" s="449">
        <f>'Fiche info Avenant 9'!$T$13</f>
        <v>0</v>
      </c>
      <c r="ED799" s="16" t="str">
        <f t="shared" si="152"/>
        <v>Fiche info Avenant 9B</v>
      </c>
      <c r="EE799" s="16" t="str">
        <f t="shared" si="153"/>
        <v>Fiche info Avenant 9</v>
      </c>
      <c r="EF799" s="16" t="str">
        <f t="shared" si="154"/>
        <v>B</v>
      </c>
      <c r="EG799" s="16">
        <f t="shared" si="155"/>
        <v>7</v>
      </c>
      <c r="EH799" s="16" t="str">
        <f t="shared" si="156"/>
        <v>Dimanche</v>
      </c>
      <c r="EI799" s="16" t="str">
        <f t="shared" si="157"/>
        <v/>
      </c>
    </row>
    <row r="800" spans="1:139" x14ac:dyDescent="0.2">
      <c r="A800" s="16" t="str">
        <f t="shared" si="160"/>
        <v>Fiche info Avenant 9C1</v>
      </c>
      <c r="B800" s="16" t="str">
        <f t="shared" si="161"/>
        <v>Fiche info Avenant 9</v>
      </c>
      <c r="C800" s="27" t="s">
        <v>241</v>
      </c>
      <c r="D800" s="27">
        <v>1</v>
      </c>
      <c r="E800" s="16" t="s">
        <v>17</v>
      </c>
      <c r="F800" s="34" t="str">
        <f>+IF('Fiche info Avenant 9'!$AG$7=0,"",'Fiche info Avenant 9'!$AG$7)</f>
        <v/>
      </c>
      <c r="G800" s="16">
        <f t="shared" si="158"/>
        <v>0</v>
      </c>
      <c r="BX800" s="16" t="str">
        <f t="shared" si="159"/>
        <v>Fiche info Avenant 9C1</v>
      </c>
      <c r="BY800" s="449">
        <f>'Fiche info Avenant 9'!$X$7</f>
        <v>0</v>
      </c>
      <c r="BZ800" s="449">
        <f>'Fiche info Avenant 9'!$Y$7</f>
        <v>0</v>
      </c>
      <c r="CA800" s="449">
        <f>'Fiche info Avenant 9'!$Z$7</f>
        <v>0</v>
      </c>
      <c r="CB800" s="449">
        <f>'Fiche info Avenant 9'!$AA$7</f>
        <v>0</v>
      </c>
      <c r="CC800" s="449">
        <f>'Fiche info Avenant 9'!$AB$7</f>
        <v>0</v>
      </c>
      <c r="CD800" s="449">
        <f>'Fiche info Avenant 9'!$AC$7</f>
        <v>0</v>
      </c>
      <c r="CE800" s="449">
        <f>'Fiche info Avenant 9'!$AD$7</f>
        <v>0</v>
      </c>
      <c r="CF800" s="449">
        <f>'Fiche info Avenant 9'!$AE$7</f>
        <v>0</v>
      </c>
      <c r="ED800" s="16" t="str">
        <f t="shared" si="152"/>
        <v>Fiche info Avenant 9C</v>
      </c>
      <c r="EE800" s="16" t="str">
        <f t="shared" si="153"/>
        <v>Fiche info Avenant 9</v>
      </c>
      <c r="EF800" s="16" t="str">
        <f t="shared" si="154"/>
        <v>C</v>
      </c>
      <c r="EG800" s="16">
        <f t="shared" si="155"/>
        <v>1</v>
      </c>
      <c r="EH800" s="16" t="str">
        <f t="shared" si="156"/>
        <v>Lundi</v>
      </c>
      <c r="EI800" s="16" t="str">
        <f t="shared" si="157"/>
        <v/>
      </c>
    </row>
    <row r="801" spans="1:139" x14ac:dyDescent="0.2">
      <c r="A801" s="16" t="str">
        <f t="shared" si="160"/>
        <v>Fiche info Avenant 9C2</v>
      </c>
      <c r="B801" s="16" t="str">
        <f t="shared" si="161"/>
        <v>Fiche info Avenant 9</v>
      </c>
      <c r="C801" s="27" t="s">
        <v>241</v>
      </c>
      <c r="D801" s="27">
        <v>2</v>
      </c>
      <c r="E801" s="16" t="s">
        <v>18</v>
      </c>
      <c r="F801" s="34" t="str">
        <f>+IF('Fiche info Avenant 9'!$AG$8=0,"",'Fiche info Avenant 9'!$AG$8)</f>
        <v/>
      </c>
      <c r="G801" s="16">
        <f t="shared" si="158"/>
        <v>0</v>
      </c>
      <c r="BX801" s="16" t="str">
        <f t="shared" si="159"/>
        <v>Fiche info Avenant 9C2</v>
      </c>
      <c r="BY801" s="449">
        <f>'Fiche info Avenant 9'!$X$8</f>
        <v>0</v>
      </c>
      <c r="BZ801" s="449">
        <f>'Fiche info Avenant 9'!$Y$8</f>
        <v>0</v>
      </c>
      <c r="CA801" s="449">
        <f>'Fiche info Avenant 9'!$Z$8</f>
        <v>0</v>
      </c>
      <c r="CB801" s="449">
        <f>'Fiche info Avenant 9'!$AA$8</f>
        <v>0</v>
      </c>
      <c r="CC801" s="449">
        <f>'Fiche info Avenant 9'!$AB$8</f>
        <v>0</v>
      </c>
      <c r="CD801" s="449">
        <f>'Fiche info Avenant 9'!$AC$8</f>
        <v>0</v>
      </c>
      <c r="CE801" s="449">
        <f>'Fiche info Avenant 9'!$AD$8</f>
        <v>0</v>
      </c>
      <c r="CF801" s="449">
        <f>'Fiche info Avenant 9'!$AE$8</f>
        <v>0</v>
      </c>
      <c r="ED801" s="16" t="str">
        <f t="shared" si="152"/>
        <v>Fiche info Avenant 9C</v>
      </c>
      <c r="EE801" s="16" t="str">
        <f t="shared" si="153"/>
        <v>Fiche info Avenant 9</v>
      </c>
      <c r="EF801" s="16" t="str">
        <f t="shared" si="154"/>
        <v>C</v>
      </c>
      <c r="EG801" s="16">
        <f t="shared" si="155"/>
        <v>2</v>
      </c>
      <c r="EH801" s="16" t="str">
        <f t="shared" si="156"/>
        <v>Mardi</v>
      </c>
      <c r="EI801" s="16" t="str">
        <f t="shared" si="157"/>
        <v/>
      </c>
    </row>
    <row r="802" spans="1:139" x14ac:dyDescent="0.2">
      <c r="A802" s="16" t="str">
        <f t="shared" si="160"/>
        <v>Fiche info Avenant 9C3</v>
      </c>
      <c r="B802" s="16" t="str">
        <f t="shared" si="161"/>
        <v>Fiche info Avenant 9</v>
      </c>
      <c r="C802" s="27" t="s">
        <v>241</v>
      </c>
      <c r="D802" s="27">
        <v>3</v>
      </c>
      <c r="E802" s="16" t="s">
        <v>19</v>
      </c>
      <c r="F802" s="34" t="str">
        <f>+IF('Fiche info Avenant 9'!$AG$9=0,"",'Fiche info Avenant 9'!$AG$9)</f>
        <v/>
      </c>
      <c r="G802" s="16">
        <f t="shared" si="158"/>
        <v>0</v>
      </c>
      <c r="BX802" s="16" t="str">
        <f t="shared" si="159"/>
        <v>Fiche info Avenant 9C3</v>
      </c>
      <c r="BY802" s="449">
        <f>'Fiche info Avenant 9'!$X$9</f>
        <v>0</v>
      </c>
      <c r="BZ802" s="449">
        <f>'Fiche info Avenant 9'!$Y$9</f>
        <v>0</v>
      </c>
      <c r="CA802" s="449">
        <f>'Fiche info Avenant 9'!$Z$9</f>
        <v>0</v>
      </c>
      <c r="CB802" s="449">
        <f>'Fiche info Avenant 9'!$AA$9</f>
        <v>0</v>
      </c>
      <c r="CC802" s="449">
        <f>'Fiche info Avenant 9'!$AB$9</f>
        <v>0</v>
      </c>
      <c r="CD802" s="449">
        <f>'Fiche info Avenant 9'!$AC$9</f>
        <v>0</v>
      </c>
      <c r="CE802" s="449">
        <f>'Fiche info Avenant 9'!$AD$9</f>
        <v>0</v>
      </c>
      <c r="CF802" s="449">
        <f>'Fiche info Avenant 9'!$AE$9</f>
        <v>0</v>
      </c>
      <c r="ED802" s="16" t="str">
        <f t="shared" si="152"/>
        <v>Fiche info Avenant 9C</v>
      </c>
      <c r="EE802" s="16" t="str">
        <f t="shared" si="153"/>
        <v>Fiche info Avenant 9</v>
      </c>
      <c r="EF802" s="16" t="str">
        <f t="shared" si="154"/>
        <v>C</v>
      </c>
      <c r="EG802" s="16">
        <f t="shared" si="155"/>
        <v>3</v>
      </c>
      <c r="EH802" s="16" t="str">
        <f t="shared" si="156"/>
        <v>Mercredi</v>
      </c>
      <c r="EI802" s="16" t="str">
        <f t="shared" si="157"/>
        <v/>
      </c>
    </row>
    <row r="803" spans="1:139" x14ac:dyDescent="0.2">
      <c r="A803" s="16" t="str">
        <f t="shared" si="160"/>
        <v>Fiche info Avenant 9C4</v>
      </c>
      <c r="B803" s="16" t="str">
        <f t="shared" si="161"/>
        <v>Fiche info Avenant 9</v>
      </c>
      <c r="C803" s="27" t="s">
        <v>241</v>
      </c>
      <c r="D803" s="27">
        <v>4</v>
      </c>
      <c r="E803" s="16" t="s">
        <v>20</v>
      </c>
      <c r="F803" s="34" t="str">
        <f>+IF('Fiche info Avenant 9'!$AG$10=0,"",'Fiche info Avenant 9'!$AG$10)</f>
        <v/>
      </c>
      <c r="G803" s="16">
        <f t="shared" si="158"/>
        <v>0</v>
      </c>
      <c r="BX803" s="16" t="str">
        <f t="shared" si="159"/>
        <v>Fiche info Avenant 9C4</v>
      </c>
      <c r="BY803" s="449">
        <f>'Fiche info Avenant 9'!$X$10</f>
        <v>0</v>
      </c>
      <c r="BZ803" s="449">
        <f>'Fiche info Avenant 9'!$Y$10</f>
        <v>0</v>
      </c>
      <c r="CA803" s="449">
        <f>'Fiche info Avenant 9'!$Z$10</f>
        <v>0</v>
      </c>
      <c r="CB803" s="449">
        <f>'Fiche info Avenant 9'!$AA$10</f>
        <v>0</v>
      </c>
      <c r="CC803" s="449">
        <f>'Fiche info Avenant 9'!$AB$10</f>
        <v>0</v>
      </c>
      <c r="CD803" s="449">
        <f>'Fiche info Avenant 9'!$AC$10</f>
        <v>0</v>
      </c>
      <c r="CE803" s="449">
        <f>'Fiche info Avenant 9'!$AD$10</f>
        <v>0</v>
      </c>
      <c r="CF803" s="449">
        <f>'Fiche info Avenant 9'!$AE$10</f>
        <v>0</v>
      </c>
      <c r="ED803" s="16" t="str">
        <f t="shared" si="152"/>
        <v>Fiche info Avenant 9C</v>
      </c>
      <c r="EE803" s="16" t="str">
        <f t="shared" si="153"/>
        <v>Fiche info Avenant 9</v>
      </c>
      <c r="EF803" s="16" t="str">
        <f t="shared" si="154"/>
        <v>C</v>
      </c>
      <c r="EG803" s="16">
        <f t="shared" si="155"/>
        <v>4</v>
      </c>
      <c r="EH803" s="16" t="str">
        <f t="shared" si="156"/>
        <v>Jeudi</v>
      </c>
      <c r="EI803" s="16" t="str">
        <f t="shared" si="157"/>
        <v/>
      </c>
    </row>
    <row r="804" spans="1:139" x14ac:dyDescent="0.2">
      <c r="A804" s="16" t="str">
        <f t="shared" si="160"/>
        <v>Fiche info Avenant 9C5</v>
      </c>
      <c r="B804" s="16" t="str">
        <f t="shared" si="161"/>
        <v>Fiche info Avenant 9</v>
      </c>
      <c r="C804" s="27" t="s">
        <v>241</v>
      </c>
      <c r="D804" s="27">
        <v>5</v>
      </c>
      <c r="E804" s="16" t="s">
        <v>21</v>
      </c>
      <c r="F804" s="34" t="str">
        <f>+IF('Fiche info Avenant 9'!$AG$11=0,"",'Fiche info Avenant 9'!$AG$11)</f>
        <v/>
      </c>
      <c r="G804" s="16">
        <f t="shared" si="158"/>
        <v>0</v>
      </c>
      <c r="BX804" s="16" t="str">
        <f t="shared" si="159"/>
        <v>Fiche info Avenant 9C5</v>
      </c>
      <c r="BY804" s="449">
        <f>'Fiche info Avenant 9'!$X$11</f>
        <v>0</v>
      </c>
      <c r="BZ804" s="449">
        <f>'Fiche info Avenant 9'!$Y$11</f>
        <v>0</v>
      </c>
      <c r="CA804" s="449">
        <f>'Fiche info Avenant 9'!$Z$11</f>
        <v>0</v>
      </c>
      <c r="CB804" s="449">
        <f>'Fiche info Avenant 9'!$AA$11</f>
        <v>0</v>
      </c>
      <c r="CC804" s="449">
        <f>'Fiche info Avenant 9'!$AB$11</f>
        <v>0</v>
      </c>
      <c r="CD804" s="449">
        <f>'Fiche info Avenant 9'!$AC$11</f>
        <v>0</v>
      </c>
      <c r="CE804" s="449">
        <f>'Fiche info Avenant 9'!$AD$11</f>
        <v>0</v>
      </c>
      <c r="CF804" s="449">
        <f>'Fiche info Avenant 9'!$AE$11</f>
        <v>0</v>
      </c>
      <c r="ED804" s="16" t="str">
        <f t="shared" si="152"/>
        <v>Fiche info Avenant 9C</v>
      </c>
      <c r="EE804" s="16" t="str">
        <f t="shared" si="153"/>
        <v>Fiche info Avenant 9</v>
      </c>
      <c r="EF804" s="16" t="str">
        <f t="shared" si="154"/>
        <v>C</v>
      </c>
      <c r="EG804" s="16">
        <f t="shared" si="155"/>
        <v>5</v>
      </c>
      <c r="EH804" s="16" t="str">
        <f t="shared" si="156"/>
        <v>Vendredi</v>
      </c>
      <c r="EI804" s="16" t="str">
        <f t="shared" si="157"/>
        <v/>
      </c>
    </row>
    <row r="805" spans="1:139" x14ac:dyDescent="0.2">
      <c r="A805" s="16" t="str">
        <f t="shared" si="160"/>
        <v>Fiche info Avenant 9C6</v>
      </c>
      <c r="B805" s="16" t="str">
        <f t="shared" si="161"/>
        <v>Fiche info Avenant 9</v>
      </c>
      <c r="C805" s="27" t="s">
        <v>241</v>
      </c>
      <c r="D805" s="27">
        <v>6</v>
      </c>
      <c r="E805" s="16" t="s">
        <v>193</v>
      </c>
      <c r="F805" s="34" t="str">
        <f>+IF('Fiche info Avenant 9'!$AG$12=0,"",'Fiche info Avenant 9'!$AG$12)</f>
        <v/>
      </c>
      <c r="G805" s="16">
        <f t="shared" si="158"/>
        <v>0</v>
      </c>
      <c r="BX805" s="16" t="str">
        <f t="shared" si="159"/>
        <v>Fiche info Avenant 9C6</v>
      </c>
      <c r="BY805" s="449">
        <f>'Fiche info Avenant 9'!$X$12</f>
        <v>0</v>
      </c>
      <c r="BZ805" s="449">
        <f>'Fiche info Avenant 9'!$Y$12</f>
        <v>0</v>
      </c>
      <c r="CA805" s="449">
        <f>'Fiche info Avenant 9'!$Z$12</f>
        <v>0</v>
      </c>
      <c r="CB805" s="449">
        <f>'Fiche info Avenant 9'!$AA$12</f>
        <v>0</v>
      </c>
      <c r="CC805" s="449">
        <f>'Fiche info Avenant 9'!$AB$12</f>
        <v>0</v>
      </c>
      <c r="CD805" s="449">
        <f>'Fiche info Avenant 9'!$AC$12</f>
        <v>0</v>
      </c>
      <c r="CE805" s="449">
        <f>'Fiche info Avenant 9'!$AD$12</f>
        <v>0</v>
      </c>
      <c r="CF805" s="449">
        <f>'Fiche info Avenant 9'!$AE$12</f>
        <v>0</v>
      </c>
      <c r="ED805" s="16" t="str">
        <f t="shared" si="152"/>
        <v>Fiche info Avenant 9C</v>
      </c>
      <c r="EE805" s="16" t="str">
        <f t="shared" si="153"/>
        <v>Fiche info Avenant 9</v>
      </c>
      <c r="EF805" s="16" t="str">
        <f t="shared" si="154"/>
        <v>C</v>
      </c>
      <c r="EG805" s="16">
        <f t="shared" si="155"/>
        <v>6</v>
      </c>
      <c r="EH805" s="16" t="str">
        <f t="shared" si="156"/>
        <v>Samedi</v>
      </c>
      <c r="EI805" s="16" t="str">
        <f t="shared" si="157"/>
        <v/>
      </c>
    </row>
    <row r="806" spans="1:139" x14ac:dyDescent="0.2">
      <c r="A806" s="16" t="str">
        <f t="shared" si="160"/>
        <v>Fiche info Avenant 9C7</v>
      </c>
      <c r="B806" s="16" t="str">
        <f t="shared" si="161"/>
        <v>Fiche info Avenant 9</v>
      </c>
      <c r="C806" s="27" t="s">
        <v>241</v>
      </c>
      <c r="D806" s="27">
        <v>7</v>
      </c>
      <c r="E806" s="16" t="s">
        <v>194</v>
      </c>
      <c r="F806" s="34" t="str">
        <f>+IF('Fiche info Avenant 9'!$AG$13=0,"",'Fiche info Avenant 9'!$AG$13)</f>
        <v/>
      </c>
      <c r="G806" s="16">
        <f t="shared" si="158"/>
        <v>0</v>
      </c>
      <c r="BX806" s="16" t="str">
        <f t="shared" si="159"/>
        <v>Fiche info Avenant 9C7</v>
      </c>
      <c r="BY806" s="449">
        <f>'Fiche info Avenant 9'!$X$13</f>
        <v>0</v>
      </c>
      <c r="BZ806" s="449">
        <f>'Fiche info Avenant 9'!$Y$13</f>
        <v>0</v>
      </c>
      <c r="CA806" s="449">
        <f>'Fiche info Avenant 9'!$Z$13</f>
        <v>0</v>
      </c>
      <c r="CB806" s="449">
        <f>'Fiche info Avenant 9'!$AA$13</f>
        <v>0</v>
      </c>
      <c r="CC806" s="449">
        <f>'Fiche info Avenant 9'!$AB$13</f>
        <v>0</v>
      </c>
      <c r="CD806" s="449">
        <f>'Fiche info Avenant 9'!$AC$13</f>
        <v>0</v>
      </c>
      <c r="CE806" s="449">
        <f>'Fiche info Avenant 9'!$AD$13</f>
        <v>0</v>
      </c>
      <c r="CF806" s="449">
        <f>'Fiche info Avenant 9'!$AE$13</f>
        <v>0</v>
      </c>
      <c r="ED806" s="16" t="str">
        <f t="shared" si="152"/>
        <v>Fiche info Avenant 9C</v>
      </c>
      <c r="EE806" s="16" t="str">
        <f t="shared" si="153"/>
        <v>Fiche info Avenant 9</v>
      </c>
      <c r="EF806" s="16" t="str">
        <f t="shared" si="154"/>
        <v>C</v>
      </c>
      <c r="EG806" s="16">
        <f t="shared" si="155"/>
        <v>7</v>
      </c>
      <c r="EH806" s="16" t="str">
        <f t="shared" si="156"/>
        <v>Dimanche</v>
      </c>
      <c r="EI806" s="16" t="str">
        <f t="shared" si="157"/>
        <v/>
      </c>
    </row>
    <row r="807" spans="1:139" x14ac:dyDescent="0.2">
      <c r="A807" s="16" t="str">
        <f t="shared" si="160"/>
        <v>Fiche info Avenant 9D1</v>
      </c>
      <c r="B807" s="16" t="str">
        <f t="shared" si="161"/>
        <v>Fiche info Avenant 9</v>
      </c>
      <c r="C807" s="27" t="s">
        <v>242</v>
      </c>
      <c r="D807" s="27">
        <v>1</v>
      </c>
      <c r="E807" s="16" t="s">
        <v>17</v>
      </c>
      <c r="F807" s="34" t="str">
        <f>+IF('Fiche info Avenant 9'!$AR$7=0,"",'Fiche info Avenant 9'!$AR$7)</f>
        <v/>
      </c>
      <c r="G807" s="16">
        <f t="shared" si="158"/>
        <v>0</v>
      </c>
      <c r="BX807" s="16" t="str">
        <f t="shared" si="159"/>
        <v>Fiche info Avenant 9D1</v>
      </c>
      <c r="BY807" s="449">
        <f>'Fiche info Avenant 9'!$AI$7</f>
        <v>0</v>
      </c>
      <c r="BZ807" s="449">
        <f>'Fiche info Avenant 9'!$AJ$7</f>
        <v>0</v>
      </c>
      <c r="CA807" s="449">
        <f>'Fiche info Avenant 9'!$AK$7</f>
        <v>0</v>
      </c>
      <c r="CB807" s="449">
        <f>'Fiche info Avenant 9'!$AL$7</f>
        <v>0</v>
      </c>
      <c r="CC807" s="449">
        <f>'Fiche info Avenant 9'!$AM$7</f>
        <v>0</v>
      </c>
      <c r="CD807" s="449">
        <f>'Fiche info Avenant 9'!$AN$7</f>
        <v>0</v>
      </c>
      <c r="CE807" s="449">
        <f>'Fiche info Avenant 9'!$AO$7</f>
        <v>0</v>
      </c>
      <c r="CF807" s="449">
        <f>'Fiche info Avenant 9'!$AP$7</f>
        <v>0</v>
      </c>
      <c r="ED807" s="16" t="str">
        <f t="shared" si="152"/>
        <v>Fiche info Avenant 9D</v>
      </c>
      <c r="EE807" s="16" t="str">
        <f t="shared" si="153"/>
        <v>Fiche info Avenant 9</v>
      </c>
      <c r="EF807" s="16" t="str">
        <f t="shared" si="154"/>
        <v>D</v>
      </c>
      <c r="EG807" s="16">
        <f t="shared" si="155"/>
        <v>1</v>
      </c>
      <c r="EH807" s="16" t="str">
        <f t="shared" si="156"/>
        <v>Lundi</v>
      </c>
      <c r="EI807" s="16" t="str">
        <f t="shared" si="157"/>
        <v/>
      </c>
    </row>
    <row r="808" spans="1:139" x14ac:dyDescent="0.2">
      <c r="A808" s="16" t="str">
        <f t="shared" si="160"/>
        <v>Fiche info Avenant 9D2</v>
      </c>
      <c r="B808" s="16" t="str">
        <f t="shared" si="161"/>
        <v>Fiche info Avenant 9</v>
      </c>
      <c r="C808" s="27" t="s">
        <v>242</v>
      </c>
      <c r="D808" s="27">
        <v>2</v>
      </c>
      <c r="E808" s="16" t="s">
        <v>18</v>
      </c>
      <c r="F808" s="34" t="str">
        <f>IF(+'Fiche info Avenant 9'!$AR$8=0,"",'Fiche info Avenant 9'!$AR$8)</f>
        <v/>
      </c>
      <c r="G808" s="16">
        <f t="shared" si="158"/>
        <v>0</v>
      </c>
      <c r="BX808" s="16" t="str">
        <f t="shared" si="159"/>
        <v>Fiche info Avenant 9D2</v>
      </c>
      <c r="BY808" s="449">
        <f>'Fiche info Avenant 9'!$AI$8</f>
        <v>0</v>
      </c>
      <c r="BZ808" s="449">
        <f>'Fiche info Avenant 9'!$AJ$8</f>
        <v>0</v>
      </c>
      <c r="CA808" s="449">
        <f>'Fiche info Avenant 9'!$AK$8</f>
        <v>0</v>
      </c>
      <c r="CB808" s="449">
        <f>'Fiche info Avenant 9'!$AL$8</f>
        <v>0</v>
      </c>
      <c r="CC808" s="449">
        <f>'Fiche info Avenant 9'!$AM$8</f>
        <v>0</v>
      </c>
      <c r="CD808" s="449">
        <f>'Fiche info Avenant 9'!$AN$8</f>
        <v>0</v>
      </c>
      <c r="CE808" s="449">
        <f>'Fiche info Avenant 9'!$AO$8</f>
        <v>0</v>
      </c>
      <c r="CF808" s="449">
        <f>'Fiche info Avenant 9'!$AP$8</f>
        <v>0</v>
      </c>
      <c r="ED808" s="16" t="str">
        <f t="shared" si="152"/>
        <v>Fiche info Avenant 9D</v>
      </c>
      <c r="EE808" s="16" t="str">
        <f t="shared" si="153"/>
        <v>Fiche info Avenant 9</v>
      </c>
      <c r="EF808" s="16" t="str">
        <f t="shared" si="154"/>
        <v>D</v>
      </c>
      <c r="EG808" s="16">
        <f t="shared" si="155"/>
        <v>2</v>
      </c>
      <c r="EH808" s="16" t="str">
        <f t="shared" si="156"/>
        <v>Mardi</v>
      </c>
      <c r="EI808" s="16" t="str">
        <f t="shared" si="157"/>
        <v/>
      </c>
    </row>
    <row r="809" spans="1:139" x14ac:dyDescent="0.2">
      <c r="A809" s="16" t="str">
        <f t="shared" si="160"/>
        <v>Fiche info Avenant 9D3</v>
      </c>
      <c r="B809" s="16" t="str">
        <f t="shared" si="161"/>
        <v>Fiche info Avenant 9</v>
      </c>
      <c r="C809" s="27" t="s">
        <v>242</v>
      </c>
      <c r="D809" s="27">
        <v>3</v>
      </c>
      <c r="E809" s="16" t="s">
        <v>19</v>
      </c>
      <c r="F809" s="34" t="str">
        <f>IF(+'Fiche info Avenant 9'!$AR$9=0,"",'Fiche info Avenant 9'!$AR$9)</f>
        <v/>
      </c>
      <c r="G809" s="16">
        <f t="shared" si="158"/>
        <v>0</v>
      </c>
      <c r="BX809" s="16" t="str">
        <f t="shared" si="159"/>
        <v>Fiche info Avenant 9D3</v>
      </c>
      <c r="BY809" s="449">
        <f>'Fiche info Avenant 9'!$AI$9</f>
        <v>0</v>
      </c>
      <c r="BZ809" s="449">
        <f>'Fiche info Avenant 9'!$AJ$9</f>
        <v>0</v>
      </c>
      <c r="CA809" s="449">
        <f>'Fiche info Avenant 9'!$AK$9</f>
        <v>0</v>
      </c>
      <c r="CB809" s="449">
        <f>'Fiche info Avenant 9'!$AL$9</f>
        <v>0</v>
      </c>
      <c r="CC809" s="449">
        <f>'Fiche info Avenant 9'!$AM$9</f>
        <v>0</v>
      </c>
      <c r="CD809" s="449">
        <f>'Fiche info Avenant 9'!$AN$9</f>
        <v>0</v>
      </c>
      <c r="CE809" s="449">
        <f>'Fiche info Avenant 9'!$AO$9</f>
        <v>0</v>
      </c>
      <c r="CF809" s="449">
        <f>'Fiche info Avenant 9'!$AP$9</f>
        <v>0</v>
      </c>
      <c r="ED809" s="16" t="str">
        <f t="shared" si="152"/>
        <v>Fiche info Avenant 9D</v>
      </c>
      <c r="EE809" s="16" t="str">
        <f t="shared" si="153"/>
        <v>Fiche info Avenant 9</v>
      </c>
      <c r="EF809" s="16" t="str">
        <f t="shared" si="154"/>
        <v>D</v>
      </c>
      <c r="EG809" s="16">
        <f t="shared" si="155"/>
        <v>3</v>
      </c>
      <c r="EH809" s="16" t="str">
        <f t="shared" si="156"/>
        <v>Mercredi</v>
      </c>
      <c r="EI809" s="16" t="str">
        <f t="shared" si="157"/>
        <v/>
      </c>
    </row>
    <row r="810" spans="1:139" x14ac:dyDescent="0.2">
      <c r="A810" s="16" t="str">
        <f t="shared" si="160"/>
        <v>Fiche info Avenant 9D4</v>
      </c>
      <c r="B810" s="16" t="str">
        <f t="shared" si="161"/>
        <v>Fiche info Avenant 9</v>
      </c>
      <c r="C810" s="27" t="s">
        <v>242</v>
      </c>
      <c r="D810" s="27">
        <v>4</v>
      </c>
      <c r="E810" s="16" t="s">
        <v>20</v>
      </c>
      <c r="F810" s="34" t="str">
        <f>IF(+'Fiche info Avenant 9'!$AR$10=0,"",'Fiche info Avenant 9'!$AR$10)</f>
        <v/>
      </c>
      <c r="G810" s="16">
        <f t="shared" si="158"/>
        <v>0</v>
      </c>
      <c r="BX810" s="16" t="str">
        <f t="shared" si="159"/>
        <v>Fiche info Avenant 9D4</v>
      </c>
      <c r="BY810" s="449">
        <f>'Fiche info Avenant 9'!$AI$10</f>
        <v>0</v>
      </c>
      <c r="BZ810" s="449">
        <f>'Fiche info Avenant 9'!$AJ$10</f>
        <v>0</v>
      </c>
      <c r="CA810" s="449">
        <f>'Fiche info Avenant 9'!$AK$10</f>
        <v>0</v>
      </c>
      <c r="CB810" s="449">
        <f>'Fiche info Avenant 9'!$AL$10</f>
        <v>0</v>
      </c>
      <c r="CC810" s="449">
        <f>'Fiche info Avenant 9'!$AM$10</f>
        <v>0</v>
      </c>
      <c r="CD810" s="449">
        <f>'Fiche info Avenant 9'!$AN$10</f>
        <v>0</v>
      </c>
      <c r="CE810" s="449">
        <f>'Fiche info Avenant 9'!$AO$10</f>
        <v>0</v>
      </c>
      <c r="CF810" s="449">
        <f>'Fiche info Avenant 9'!$AP$10</f>
        <v>0</v>
      </c>
      <c r="ED810" s="16" t="str">
        <f t="shared" si="152"/>
        <v>Fiche info Avenant 9D</v>
      </c>
      <c r="EE810" s="16" t="str">
        <f t="shared" si="153"/>
        <v>Fiche info Avenant 9</v>
      </c>
      <c r="EF810" s="16" t="str">
        <f t="shared" si="154"/>
        <v>D</v>
      </c>
      <c r="EG810" s="16">
        <f t="shared" si="155"/>
        <v>4</v>
      </c>
      <c r="EH810" s="16" t="str">
        <f t="shared" si="156"/>
        <v>Jeudi</v>
      </c>
      <c r="EI810" s="16" t="str">
        <f t="shared" si="157"/>
        <v/>
      </c>
    </row>
    <row r="811" spans="1:139" x14ac:dyDescent="0.2">
      <c r="A811" s="16" t="str">
        <f t="shared" si="160"/>
        <v>Fiche info Avenant 9D5</v>
      </c>
      <c r="B811" s="16" t="str">
        <f t="shared" si="161"/>
        <v>Fiche info Avenant 9</v>
      </c>
      <c r="C811" s="27" t="s">
        <v>242</v>
      </c>
      <c r="D811" s="27">
        <v>5</v>
      </c>
      <c r="E811" s="16" t="s">
        <v>21</v>
      </c>
      <c r="F811" s="34" t="str">
        <f>IF(+'Fiche info Avenant 9'!$AR$11=0,"",'Fiche info Avenant 9'!$AR$11)</f>
        <v/>
      </c>
      <c r="G811" s="16">
        <f t="shared" si="158"/>
        <v>0</v>
      </c>
      <c r="BX811" s="16" t="str">
        <f t="shared" si="159"/>
        <v>Fiche info Avenant 9D5</v>
      </c>
      <c r="BY811" s="449">
        <f>'Fiche info Avenant 9'!$AI$11</f>
        <v>0</v>
      </c>
      <c r="BZ811" s="449">
        <f>'Fiche info Avenant 9'!$AJ$11</f>
        <v>0</v>
      </c>
      <c r="CA811" s="449">
        <f>'Fiche info Avenant 9'!$AK$11</f>
        <v>0</v>
      </c>
      <c r="CB811" s="449">
        <f>'Fiche info Avenant 9'!$AL$11</f>
        <v>0</v>
      </c>
      <c r="CC811" s="449">
        <f>'Fiche info Avenant 9'!$AM$11</f>
        <v>0</v>
      </c>
      <c r="CD811" s="449">
        <f>'Fiche info Avenant 9'!$AN$11</f>
        <v>0</v>
      </c>
      <c r="CE811" s="449">
        <f>'Fiche info Avenant 9'!$AO$11</f>
        <v>0</v>
      </c>
      <c r="CF811" s="449">
        <f>'Fiche info Avenant 9'!$AP$11</f>
        <v>0</v>
      </c>
      <c r="ED811" s="16" t="str">
        <f t="shared" si="152"/>
        <v>Fiche info Avenant 9D</v>
      </c>
      <c r="EE811" s="16" t="str">
        <f t="shared" si="153"/>
        <v>Fiche info Avenant 9</v>
      </c>
      <c r="EF811" s="16" t="str">
        <f t="shared" si="154"/>
        <v>D</v>
      </c>
      <c r="EG811" s="16">
        <f t="shared" si="155"/>
        <v>5</v>
      </c>
      <c r="EH811" s="16" t="str">
        <f t="shared" si="156"/>
        <v>Vendredi</v>
      </c>
      <c r="EI811" s="16" t="str">
        <f t="shared" si="157"/>
        <v/>
      </c>
    </row>
    <row r="812" spans="1:139" x14ac:dyDescent="0.2">
      <c r="A812" s="16" t="str">
        <f t="shared" si="160"/>
        <v>Fiche info Avenant 9D6</v>
      </c>
      <c r="B812" s="16" t="str">
        <f t="shared" si="161"/>
        <v>Fiche info Avenant 9</v>
      </c>
      <c r="C812" s="27" t="s">
        <v>242</v>
      </c>
      <c r="D812" s="27">
        <v>6</v>
      </c>
      <c r="E812" s="16" t="s">
        <v>193</v>
      </c>
      <c r="F812" s="34" t="str">
        <f>IF(+'Fiche info Avenant 9'!$AR$12=0,"",'Fiche info Avenant 9'!$AR$12)</f>
        <v/>
      </c>
      <c r="G812" s="16">
        <f t="shared" si="158"/>
        <v>0</v>
      </c>
      <c r="BX812" s="16" t="str">
        <f t="shared" si="159"/>
        <v>Fiche info Avenant 9D6</v>
      </c>
      <c r="BY812" s="449">
        <f>'Fiche info Avenant 9'!$AI$12</f>
        <v>0</v>
      </c>
      <c r="BZ812" s="449">
        <f>'Fiche info Avenant 9'!$AJ$12</f>
        <v>0</v>
      </c>
      <c r="CA812" s="449">
        <f>'Fiche info Avenant 9'!$AK$12</f>
        <v>0</v>
      </c>
      <c r="CB812" s="449">
        <f>'Fiche info Avenant 9'!$AL$12</f>
        <v>0</v>
      </c>
      <c r="CC812" s="449">
        <f>'Fiche info Avenant 9'!$AM$12</f>
        <v>0</v>
      </c>
      <c r="CD812" s="449">
        <f>'Fiche info Avenant 9'!$AN$12</f>
        <v>0</v>
      </c>
      <c r="CE812" s="449">
        <f>'Fiche info Avenant 9'!$AO$12</f>
        <v>0</v>
      </c>
      <c r="CF812" s="449">
        <f>'Fiche info Avenant 9'!$AP$12</f>
        <v>0</v>
      </c>
      <c r="ED812" s="16" t="str">
        <f t="shared" si="152"/>
        <v>Fiche info Avenant 9D</v>
      </c>
      <c r="EE812" s="16" t="str">
        <f t="shared" si="153"/>
        <v>Fiche info Avenant 9</v>
      </c>
      <c r="EF812" s="16" t="str">
        <f t="shared" si="154"/>
        <v>D</v>
      </c>
      <c r="EG812" s="16">
        <f t="shared" si="155"/>
        <v>6</v>
      </c>
      <c r="EH812" s="16" t="str">
        <f t="shared" si="156"/>
        <v>Samedi</v>
      </c>
      <c r="EI812" s="16" t="str">
        <f t="shared" si="157"/>
        <v/>
      </c>
    </row>
    <row r="813" spans="1:139" x14ac:dyDescent="0.2">
      <c r="A813" s="16" t="str">
        <f t="shared" si="160"/>
        <v>Fiche info Avenant 9D7</v>
      </c>
      <c r="B813" s="16" t="str">
        <f t="shared" si="161"/>
        <v>Fiche info Avenant 9</v>
      </c>
      <c r="C813" s="27" t="s">
        <v>242</v>
      </c>
      <c r="D813" s="27">
        <v>7</v>
      </c>
      <c r="E813" s="16" t="s">
        <v>194</v>
      </c>
      <c r="F813" s="34" t="str">
        <f>IF(+'Fiche info Avenant 9'!$AR$13=0,"",'Fiche info Avenant 9'!$AR$13)</f>
        <v/>
      </c>
      <c r="G813" s="16">
        <f t="shared" si="158"/>
        <v>0</v>
      </c>
      <c r="BX813" s="16" t="str">
        <f t="shared" si="159"/>
        <v>Fiche info Avenant 9D7</v>
      </c>
      <c r="BY813" s="449">
        <f>'Fiche info Avenant 9'!$AI$13</f>
        <v>0</v>
      </c>
      <c r="BZ813" s="449">
        <f>'Fiche info Avenant 9'!$AJ$13</f>
        <v>0</v>
      </c>
      <c r="CA813" s="449">
        <f>'Fiche info Avenant 9'!$AK$13</f>
        <v>0</v>
      </c>
      <c r="CB813" s="449">
        <f>'Fiche info Avenant 9'!$AL$13</f>
        <v>0</v>
      </c>
      <c r="CC813" s="449">
        <f>'Fiche info Avenant 9'!$AM$13</f>
        <v>0</v>
      </c>
      <c r="CD813" s="449">
        <f>'Fiche info Avenant 9'!$AN$13</f>
        <v>0</v>
      </c>
      <c r="CE813" s="449">
        <f>'Fiche info Avenant 9'!$AO$13</f>
        <v>0</v>
      </c>
      <c r="CF813" s="449">
        <f>'Fiche info Avenant 9'!$AP$13</f>
        <v>0</v>
      </c>
      <c r="ED813" s="16" t="str">
        <f t="shared" si="152"/>
        <v>Fiche info Avenant 9D</v>
      </c>
      <c r="EE813" s="16" t="str">
        <f t="shared" si="153"/>
        <v>Fiche info Avenant 9</v>
      </c>
      <c r="EF813" s="16" t="str">
        <f t="shared" si="154"/>
        <v>D</v>
      </c>
      <c r="EG813" s="16">
        <f t="shared" si="155"/>
        <v>7</v>
      </c>
      <c r="EH813" s="16" t="str">
        <f t="shared" si="156"/>
        <v>Dimanche</v>
      </c>
      <c r="EI813" s="16" t="str">
        <f t="shared" si="157"/>
        <v/>
      </c>
    </row>
    <row r="814" spans="1:139" x14ac:dyDescent="0.2">
      <c r="A814" s="16" t="str">
        <f t="shared" si="160"/>
        <v>Fiche info Avenant 9E1</v>
      </c>
      <c r="B814" s="16" t="str">
        <f t="shared" si="161"/>
        <v>Fiche info Avenant 9</v>
      </c>
      <c r="C814" s="27" t="s">
        <v>243</v>
      </c>
      <c r="D814" s="27">
        <v>1</v>
      </c>
      <c r="E814" s="16" t="s">
        <v>17</v>
      </c>
      <c r="F814" s="34" t="str">
        <f>IF(+'Fiche info Avenant 9'!$BC$7=0,"",'Fiche info Avenant 9'!$BC$7)</f>
        <v/>
      </c>
      <c r="G814" s="16">
        <f t="shared" si="158"/>
        <v>0</v>
      </c>
      <c r="BX814" s="16" t="str">
        <f t="shared" si="159"/>
        <v>Fiche info Avenant 9E1</v>
      </c>
      <c r="BY814" s="449">
        <f>'Fiche info Avenant 9'!$AT$7</f>
        <v>0</v>
      </c>
      <c r="BZ814" s="449">
        <f>'Fiche info Avenant 9'!$AU$7</f>
        <v>0</v>
      </c>
      <c r="CA814" s="449">
        <f>'Fiche info Avenant 9'!$AV$7</f>
        <v>0</v>
      </c>
      <c r="CB814" s="449">
        <f>'Fiche info Avenant 9'!$AW$7</f>
        <v>0</v>
      </c>
      <c r="CC814" s="449">
        <f>'Fiche info Avenant 9'!$AX$7</f>
        <v>0</v>
      </c>
      <c r="CD814" s="449">
        <f>'Fiche info Avenant 9'!$AY$7</f>
        <v>0</v>
      </c>
      <c r="CE814" s="449">
        <f>'Fiche info Avenant 9'!$AZ$7</f>
        <v>0</v>
      </c>
      <c r="CF814" s="449">
        <f>'Fiche info Avenant 9'!$BA$7</f>
        <v>0</v>
      </c>
      <c r="ED814" s="16" t="str">
        <f t="shared" si="152"/>
        <v>Fiche info Avenant 9E</v>
      </c>
      <c r="EE814" s="16" t="str">
        <f t="shared" si="153"/>
        <v>Fiche info Avenant 9</v>
      </c>
      <c r="EF814" s="16" t="str">
        <f t="shared" si="154"/>
        <v>E</v>
      </c>
      <c r="EG814" s="16">
        <f t="shared" si="155"/>
        <v>1</v>
      </c>
      <c r="EH814" s="16" t="str">
        <f t="shared" si="156"/>
        <v>Lundi</v>
      </c>
      <c r="EI814" s="16" t="str">
        <f t="shared" si="157"/>
        <v/>
      </c>
    </row>
    <row r="815" spans="1:139" x14ac:dyDescent="0.2">
      <c r="A815" s="16" t="str">
        <f t="shared" si="160"/>
        <v>Fiche info Avenant 9E2</v>
      </c>
      <c r="B815" s="16" t="str">
        <f t="shared" si="161"/>
        <v>Fiche info Avenant 9</v>
      </c>
      <c r="C815" s="27" t="s">
        <v>243</v>
      </c>
      <c r="D815" s="27">
        <v>2</v>
      </c>
      <c r="E815" s="16" t="s">
        <v>18</v>
      </c>
      <c r="F815" s="34" t="str">
        <f>IF(+'Fiche info Avenant 9'!$BC$8=0,"",'Fiche info Avenant 9'!$BC$8)</f>
        <v/>
      </c>
      <c r="G815" s="16">
        <f t="shared" si="158"/>
        <v>0</v>
      </c>
      <c r="BX815" s="16" t="str">
        <f t="shared" si="159"/>
        <v>Fiche info Avenant 9E2</v>
      </c>
      <c r="BY815" s="449">
        <f>'Fiche info Avenant 9'!$AT$8</f>
        <v>0</v>
      </c>
      <c r="BZ815" s="449">
        <f>'Fiche info Avenant 9'!$AU$8</f>
        <v>0</v>
      </c>
      <c r="CA815" s="449">
        <f>'Fiche info Avenant 9'!$AV$8</f>
        <v>0</v>
      </c>
      <c r="CB815" s="449">
        <f>'Fiche info Avenant 9'!$AW$8</f>
        <v>0</v>
      </c>
      <c r="CC815" s="449">
        <f>'Fiche info Avenant 9'!$AX$8</f>
        <v>0</v>
      </c>
      <c r="CD815" s="449">
        <f>'Fiche info Avenant 9'!$AY$8</f>
        <v>0</v>
      </c>
      <c r="CE815" s="449">
        <f>'Fiche info Avenant 9'!$AZ$8</f>
        <v>0</v>
      </c>
      <c r="CF815" s="449">
        <f>'Fiche info Avenant 9'!$BA$8</f>
        <v>0</v>
      </c>
      <c r="ED815" s="16" t="str">
        <f t="shared" si="152"/>
        <v>Fiche info Avenant 9E</v>
      </c>
      <c r="EE815" s="16" t="str">
        <f t="shared" si="153"/>
        <v>Fiche info Avenant 9</v>
      </c>
      <c r="EF815" s="16" t="str">
        <f t="shared" si="154"/>
        <v>E</v>
      </c>
      <c r="EG815" s="16">
        <f t="shared" si="155"/>
        <v>2</v>
      </c>
      <c r="EH815" s="16" t="str">
        <f t="shared" si="156"/>
        <v>Mardi</v>
      </c>
      <c r="EI815" s="16" t="str">
        <f t="shared" si="157"/>
        <v/>
      </c>
    </row>
    <row r="816" spans="1:139" x14ac:dyDescent="0.2">
      <c r="A816" s="16" t="str">
        <f t="shared" si="160"/>
        <v>Fiche info Avenant 9E3</v>
      </c>
      <c r="B816" s="16" t="str">
        <f t="shared" si="161"/>
        <v>Fiche info Avenant 9</v>
      </c>
      <c r="C816" s="27" t="s">
        <v>243</v>
      </c>
      <c r="D816" s="27">
        <v>3</v>
      </c>
      <c r="E816" s="16" t="s">
        <v>19</v>
      </c>
      <c r="F816" s="34" t="str">
        <f>IF(+'Fiche info Avenant 9'!$BC$9=0,"",'Fiche info Avenant 9'!$BC$9)</f>
        <v/>
      </c>
      <c r="G816" s="16">
        <f t="shared" si="158"/>
        <v>0</v>
      </c>
      <c r="BX816" s="16" t="str">
        <f t="shared" si="159"/>
        <v>Fiche info Avenant 9E3</v>
      </c>
      <c r="BY816" s="449">
        <f>'Fiche info Avenant 9'!$AT$9</f>
        <v>0</v>
      </c>
      <c r="BZ816" s="449">
        <f>'Fiche info Avenant 9'!$AU$9</f>
        <v>0</v>
      </c>
      <c r="CA816" s="449">
        <f>'Fiche info Avenant 9'!$AV$9</f>
        <v>0</v>
      </c>
      <c r="CB816" s="449">
        <f>'Fiche info Avenant 9'!$AW$9</f>
        <v>0</v>
      </c>
      <c r="CC816" s="449">
        <f>'Fiche info Avenant 9'!$AX$9</f>
        <v>0</v>
      </c>
      <c r="CD816" s="449">
        <f>'Fiche info Avenant 9'!$AY$9</f>
        <v>0</v>
      </c>
      <c r="CE816" s="449">
        <f>'Fiche info Avenant 9'!$AZ$9</f>
        <v>0</v>
      </c>
      <c r="CF816" s="449">
        <f>'Fiche info Avenant 9'!$BA$9</f>
        <v>0</v>
      </c>
      <c r="ED816" s="16" t="str">
        <f t="shared" si="152"/>
        <v>Fiche info Avenant 9E</v>
      </c>
      <c r="EE816" s="16" t="str">
        <f t="shared" si="153"/>
        <v>Fiche info Avenant 9</v>
      </c>
      <c r="EF816" s="16" t="str">
        <f t="shared" si="154"/>
        <v>E</v>
      </c>
      <c r="EG816" s="16">
        <f t="shared" si="155"/>
        <v>3</v>
      </c>
      <c r="EH816" s="16" t="str">
        <f t="shared" si="156"/>
        <v>Mercredi</v>
      </c>
      <c r="EI816" s="16" t="str">
        <f t="shared" si="157"/>
        <v/>
      </c>
    </row>
    <row r="817" spans="1:139" x14ac:dyDescent="0.2">
      <c r="A817" s="16" t="str">
        <f t="shared" si="160"/>
        <v>Fiche info Avenant 9E4</v>
      </c>
      <c r="B817" s="16" t="str">
        <f t="shared" si="161"/>
        <v>Fiche info Avenant 9</v>
      </c>
      <c r="C817" s="27" t="s">
        <v>243</v>
      </c>
      <c r="D817" s="27">
        <v>4</v>
      </c>
      <c r="E817" s="16" t="s">
        <v>20</v>
      </c>
      <c r="F817" s="34" t="str">
        <f>IF(+'Fiche info Avenant 9'!$BC$10=0,"",'Fiche info Avenant 9'!$BC$10)</f>
        <v/>
      </c>
      <c r="G817" s="16">
        <f t="shared" si="158"/>
        <v>0</v>
      </c>
      <c r="BX817" s="16" t="str">
        <f t="shared" si="159"/>
        <v>Fiche info Avenant 9E4</v>
      </c>
      <c r="BY817" s="449">
        <f>'Fiche info Avenant 9'!$AT$10</f>
        <v>0</v>
      </c>
      <c r="BZ817" s="449">
        <f>'Fiche info Avenant 9'!$AU$10</f>
        <v>0</v>
      </c>
      <c r="CA817" s="449">
        <f>'Fiche info Avenant 9'!$AV$10</f>
        <v>0</v>
      </c>
      <c r="CB817" s="449">
        <f>'Fiche info Avenant 9'!$AW$10</f>
        <v>0</v>
      </c>
      <c r="CC817" s="449">
        <f>'Fiche info Avenant 9'!$AX$10</f>
        <v>0</v>
      </c>
      <c r="CD817" s="449">
        <f>'Fiche info Avenant 9'!$AY$10</f>
        <v>0</v>
      </c>
      <c r="CE817" s="449">
        <f>'Fiche info Avenant 9'!$AZ$10</f>
        <v>0</v>
      </c>
      <c r="CF817" s="449">
        <f>'Fiche info Avenant 9'!$BA$10</f>
        <v>0</v>
      </c>
      <c r="ED817" s="16" t="str">
        <f t="shared" si="152"/>
        <v>Fiche info Avenant 9E</v>
      </c>
      <c r="EE817" s="16" t="str">
        <f t="shared" si="153"/>
        <v>Fiche info Avenant 9</v>
      </c>
      <c r="EF817" s="16" t="str">
        <f t="shared" si="154"/>
        <v>E</v>
      </c>
      <c r="EG817" s="16">
        <f t="shared" si="155"/>
        <v>4</v>
      </c>
      <c r="EH817" s="16" t="str">
        <f t="shared" si="156"/>
        <v>Jeudi</v>
      </c>
      <c r="EI817" s="16" t="str">
        <f t="shared" si="157"/>
        <v/>
      </c>
    </row>
    <row r="818" spans="1:139" x14ac:dyDescent="0.2">
      <c r="A818" s="16" t="str">
        <f t="shared" si="160"/>
        <v>Fiche info Avenant 9E5</v>
      </c>
      <c r="B818" s="16" t="str">
        <f t="shared" si="161"/>
        <v>Fiche info Avenant 9</v>
      </c>
      <c r="C818" s="27" t="s">
        <v>243</v>
      </c>
      <c r="D818" s="27">
        <v>5</v>
      </c>
      <c r="E818" s="16" t="s">
        <v>21</v>
      </c>
      <c r="F818" s="34" t="str">
        <f>IF(+'Fiche info Avenant 9'!$BC$11=0,"",'Fiche info Avenant 9'!$BC$11)</f>
        <v/>
      </c>
      <c r="G818" s="16">
        <f t="shared" si="158"/>
        <v>0</v>
      </c>
      <c r="BX818" s="16" t="str">
        <f t="shared" si="159"/>
        <v>Fiche info Avenant 9E5</v>
      </c>
      <c r="BY818" s="449">
        <f>'Fiche info Avenant 9'!$AT$11</f>
        <v>0</v>
      </c>
      <c r="BZ818" s="449">
        <f>'Fiche info Avenant 9'!$AU$11</f>
        <v>0</v>
      </c>
      <c r="CA818" s="449">
        <f>'Fiche info Avenant 9'!$AV$11</f>
        <v>0</v>
      </c>
      <c r="CB818" s="449">
        <f>'Fiche info Avenant 9'!$AW$11</f>
        <v>0</v>
      </c>
      <c r="CC818" s="449">
        <f>'Fiche info Avenant 9'!$AX$11</f>
        <v>0</v>
      </c>
      <c r="CD818" s="449">
        <f>'Fiche info Avenant 9'!$AY$11</f>
        <v>0</v>
      </c>
      <c r="CE818" s="449">
        <f>'Fiche info Avenant 9'!$AZ$11</f>
        <v>0</v>
      </c>
      <c r="CF818" s="449">
        <f>'Fiche info Avenant 9'!$BA$11</f>
        <v>0</v>
      </c>
      <c r="ED818" s="16" t="str">
        <f t="shared" si="152"/>
        <v>Fiche info Avenant 9E</v>
      </c>
      <c r="EE818" s="16" t="str">
        <f t="shared" si="153"/>
        <v>Fiche info Avenant 9</v>
      </c>
      <c r="EF818" s="16" t="str">
        <f t="shared" si="154"/>
        <v>E</v>
      </c>
      <c r="EG818" s="16">
        <f t="shared" si="155"/>
        <v>5</v>
      </c>
      <c r="EH818" s="16" t="str">
        <f t="shared" si="156"/>
        <v>Vendredi</v>
      </c>
      <c r="EI818" s="16" t="str">
        <f t="shared" si="157"/>
        <v/>
      </c>
    </row>
    <row r="819" spans="1:139" x14ac:dyDescent="0.2">
      <c r="A819" s="16" t="str">
        <f t="shared" si="160"/>
        <v>Fiche info Avenant 9E6</v>
      </c>
      <c r="B819" s="16" t="str">
        <f t="shared" si="161"/>
        <v>Fiche info Avenant 9</v>
      </c>
      <c r="C819" s="27" t="s">
        <v>243</v>
      </c>
      <c r="D819" s="27">
        <v>6</v>
      </c>
      <c r="E819" s="16" t="s">
        <v>193</v>
      </c>
      <c r="F819" s="34" t="str">
        <f>IF(+'Fiche info Avenant 9'!$BC$12=0,"",'Fiche info Avenant 9'!$BC$12)</f>
        <v/>
      </c>
      <c r="G819" s="16">
        <f t="shared" si="158"/>
        <v>0</v>
      </c>
      <c r="BX819" s="16" t="str">
        <f t="shared" si="159"/>
        <v>Fiche info Avenant 9E6</v>
      </c>
      <c r="BY819" s="449">
        <f>'Fiche info Avenant 9'!$AT$12</f>
        <v>0</v>
      </c>
      <c r="BZ819" s="449">
        <f>'Fiche info Avenant 9'!$AU$12</f>
        <v>0</v>
      </c>
      <c r="CA819" s="449">
        <f>'Fiche info Avenant 9'!$AV$12</f>
        <v>0</v>
      </c>
      <c r="CB819" s="449">
        <f>'Fiche info Avenant 9'!$AW$12</f>
        <v>0</v>
      </c>
      <c r="CC819" s="449">
        <f>'Fiche info Avenant 9'!$AX$12</f>
        <v>0</v>
      </c>
      <c r="CD819" s="449">
        <f>'Fiche info Avenant 9'!$AY$12</f>
        <v>0</v>
      </c>
      <c r="CE819" s="449">
        <f>'Fiche info Avenant 9'!$AZ$12</f>
        <v>0</v>
      </c>
      <c r="CF819" s="449">
        <f>'Fiche info Avenant 9'!$BA$12</f>
        <v>0</v>
      </c>
      <c r="ED819" s="16" t="str">
        <f t="shared" ref="ED819:ED882" si="162">+EE819&amp;EF819</f>
        <v>Fiche info Avenant 9E</v>
      </c>
      <c r="EE819" s="16" t="str">
        <f t="shared" si="153"/>
        <v>Fiche info Avenant 9</v>
      </c>
      <c r="EF819" s="16" t="str">
        <f t="shared" si="154"/>
        <v>E</v>
      </c>
      <c r="EG819" s="16">
        <f t="shared" si="155"/>
        <v>6</v>
      </c>
      <c r="EH819" s="16" t="str">
        <f t="shared" si="156"/>
        <v>Samedi</v>
      </c>
      <c r="EI819" s="16" t="str">
        <f t="shared" si="157"/>
        <v/>
      </c>
    </row>
    <row r="820" spans="1:139" x14ac:dyDescent="0.2">
      <c r="A820" s="16" t="str">
        <f t="shared" si="160"/>
        <v>Fiche info Avenant 9E7</v>
      </c>
      <c r="B820" s="16" t="str">
        <f t="shared" si="161"/>
        <v>Fiche info Avenant 9</v>
      </c>
      <c r="C820" s="27" t="s">
        <v>243</v>
      </c>
      <c r="D820" s="27">
        <v>7</v>
      </c>
      <c r="E820" s="16" t="s">
        <v>194</v>
      </c>
      <c r="F820" s="34" t="str">
        <f>IF(+'Fiche info Avenant 9'!$BC$13=0,"",'Fiche info Avenant 9'!$BC$13)</f>
        <v/>
      </c>
      <c r="G820" s="16">
        <f t="shared" si="158"/>
        <v>0</v>
      </c>
      <c r="BX820" s="16" t="str">
        <f t="shared" si="159"/>
        <v>Fiche info Avenant 9E7</v>
      </c>
      <c r="BY820" s="449">
        <f>'Fiche info Avenant 9'!$AT$13</f>
        <v>0</v>
      </c>
      <c r="BZ820" s="449">
        <f>'Fiche info Avenant 9'!$AU$13</f>
        <v>0</v>
      </c>
      <c r="CA820" s="449">
        <f>'Fiche info Avenant 9'!$AV$13</f>
        <v>0</v>
      </c>
      <c r="CB820" s="449">
        <f>'Fiche info Avenant 9'!$AW$13</f>
        <v>0</v>
      </c>
      <c r="CC820" s="449">
        <f>'Fiche info Avenant 9'!$AX$13</f>
        <v>0</v>
      </c>
      <c r="CD820" s="449">
        <f>'Fiche info Avenant 9'!$AY$13</f>
        <v>0</v>
      </c>
      <c r="CE820" s="449">
        <f>'Fiche info Avenant 9'!$AZ$13</f>
        <v>0</v>
      </c>
      <c r="CF820" s="449">
        <f>'Fiche info Avenant 9'!$BA$13</f>
        <v>0</v>
      </c>
      <c r="ED820" s="16" t="str">
        <f t="shared" si="162"/>
        <v>Fiche info Avenant 9E</v>
      </c>
      <c r="EE820" s="16" t="str">
        <f t="shared" si="153"/>
        <v>Fiche info Avenant 9</v>
      </c>
      <c r="EF820" s="16" t="str">
        <f t="shared" si="154"/>
        <v>E</v>
      </c>
      <c r="EG820" s="16">
        <f t="shared" si="155"/>
        <v>7</v>
      </c>
      <c r="EH820" s="16" t="str">
        <f t="shared" si="156"/>
        <v>Dimanche</v>
      </c>
      <c r="EI820" s="16" t="str">
        <f t="shared" si="157"/>
        <v/>
      </c>
    </row>
    <row r="821" spans="1:139" x14ac:dyDescent="0.2">
      <c r="A821" s="16" t="str">
        <f t="shared" si="160"/>
        <v>Fiche info Avenant 9F1</v>
      </c>
      <c r="B821" s="16" t="str">
        <f t="shared" si="161"/>
        <v>Fiche info Avenant 9</v>
      </c>
      <c r="C821" s="27" t="s">
        <v>244</v>
      </c>
      <c r="D821" s="27">
        <v>1</v>
      </c>
      <c r="E821" s="16" t="s">
        <v>17</v>
      </c>
      <c r="F821" s="34" t="str">
        <f>+IF('Fiche info Avenant 9'!$BN$7=0,"",'Fiche info Avenant 9'!$BN$7)</f>
        <v/>
      </c>
      <c r="G821" s="16">
        <f t="shared" si="158"/>
        <v>0</v>
      </c>
      <c r="BX821" s="16" t="str">
        <f t="shared" si="159"/>
        <v>Fiche info Avenant 9F1</v>
      </c>
      <c r="BY821" s="449">
        <f>'Fiche info Avenant 9'!$BE$7</f>
        <v>0</v>
      </c>
      <c r="BZ821" s="449">
        <f>'Fiche info Avenant 9'!$BF$7</f>
        <v>0</v>
      </c>
      <c r="CA821" s="449">
        <f>'Fiche info Avenant 9'!$BG$7</f>
        <v>0</v>
      </c>
      <c r="CB821" s="449">
        <f>'Fiche info Avenant 9'!$BH$7</f>
        <v>0</v>
      </c>
      <c r="CC821" s="449">
        <f>'Fiche info Avenant 9'!$BI$7</f>
        <v>0</v>
      </c>
      <c r="CD821" s="449">
        <f>'Fiche info Avenant 9'!$BJ$7</f>
        <v>0</v>
      </c>
      <c r="CE821" s="449">
        <f>'Fiche info Avenant 9'!$BK$7</f>
        <v>0</v>
      </c>
      <c r="CF821" s="449">
        <f>'Fiche info Avenant 9'!$BL$7</f>
        <v>0</v>
      </c>
      <c r="ED821" s="16" t="str">
        <f t="shared" si="162"/>
        <v>Fiche info Avenant 9F</v>
      </c>
      <c r="EE821" s="16" t="str">
        <f t="shared" si="153"/>
        <v>Fiche info Avenant 9</v>
      </c>
      <c r="EF821" s="16" t="str">
        <f t="shared" si="154"/>
        <v>F</v>
      </c>
      <c r="EG821" s="16">
        <f t="shared" si="155"/>
        <v>1</v>
      </c>
      <c r="EH821" s="16" t="str">
        <f t="shared" si="156"/>
        <v>Lundi</v>
      </c>
      <c r="EI821" s="16" t="str">
        <f t="shared" si="157"/>
        <v/>
      </c>
    </row>
    <row r="822" spans="1:139" x14ac:dyDescent="0.2">
      <c r="A822" s="16" t="str">
        <f t="shared" si="160"/>
        <v>Fiche info Avenant 9F2</v>
      </c>
      <c r="B822" s="16" t="str">
        <f t="shared" si="161"/>
        <v>Fiche info Avenant 9</v>
      </c>
      <c r="C822" s="27" t="s">
        <v>244</v>
      </c>
      <c r="D822" s="27">
        <v>2</v>
      </c>
      <c r="E822" s="16" t="s">
        <v>18</v>
      </c>
      <c r="F822" s="34" t="str">
        <f>+IF('Fiche info Avenant 9'!$BN$8=0,"",'Fiche info Avenant 9'!$BN$8)</f>
        <v/>
      </c>
      <c r="G822" s="16">
        <f t="shared" si="158"/>
        <v>0</v>
      </c>
      <c r="BX822" s="16" t="str">
        <f t="shared" si="159"/>
        <v>Fiche info Avenant 9F2</v>
      </c>
      <c r="BY822" s="449">
        <f>'Fiche info Avenant 9'!$BE$8</f>
        <v>0</v>
      </c>
      <c r="BZ822" s="449">
        <f>'Fiche info Avenant 9'!$BF$8</f>
        <v>0</v>
      </c>
      <c r="CA822" s="449">
        <f>'Fiche info Avenant 9'!$BG$8</f>
        <v>0</v>
      </c>
      <c r="CB822" s="449">
        <f>'Fiche info Avenant 9'!$BH$8</f>
        <v>0</v>
      </c>
      <c r="CC822" s="449">
        <f>'Fiche info Avenant 9'!$BI$8</f>
        <v>0</v>
      </c>
      <c r="CD822" s="449">
        <f>'Fiche info Avenant 9'!$BJ$8</f>
        <v>0</v>
      </c>
      <c r="CE822" s="449">
        <f>'Fiche info Avenant 9'!$BK$8</f>
        <v>0</v>
      </c>
      <c r="CF822" s="449">
        <f>'Fiche info Avenant 9'!$BL$8</f>
        <v>0</v>
      </c>
      <c r="ED822" s="16" t="str">
        <f t="shared" si="162"/>
        <v>Fiche info Avenant 9F</v>
      </c>
      <c r="EE822" s="16" t="str">
        <f t="shared" si="153"/>
        <v>Fiche info Avenant 9</v>
      </c>
      <c r="EF822" s="16" t="str">
        <f t="shared" si="154"/>
        <v>F</v>
      </c>
      <c r="EG822" s="16">
        <f t="shared" si="155"/>
        <v>2</v>
      </c>
      <c r="EH822" s="16" t="str">
        <f t="shared" si="156"/>
        <v>Mardi</v>
      </c>
      <c r="EI822" s="16" t="str">
        <f t="shared" si="157"/>
        <v/>
      </c>
    </row>
    <row r="823" spans="1:139" x14ac:dyDescent="0.2">
      <c r="A823" s="16" t="str">
        <f t="shared" si="160"/>
        <v>Fiche info Avenant 9F3</v>
      </c>
      <c r="B823" s="16" t="str">
        <f t="shared" si="161"/>
        <v>Fiche info Avenant 9</v>
      </c>
      <c r="C823" s="27" t="s">
        <v>244</v>
      </c>
      <c r="D823" s="27">
        <v>3</v>
      </c>
      <c r="E823" s="16" t="s">
        <v>19</v>
      </c>
      <c r="F823" s="34" t="str">
        <f>+IF('Fiche info Avenant 9'!$BN$9=0,"",'Fiche info Avenant 9'!$BN$9)</f>
        <v/>
      </c>
      <c r="G823" s="16">
        <f t="shared" si="158"/>
        <v>0</v>
      </c>
      <c r="BX823" s="16" t="str">
        <f t="shared" si="159"/>
        <v>Fiche info Avenant 9F3</v>
      </c>
      <c r="BY823" s="449">
        <f>'Fiche info Avenant 9'!$BE$9</f>
        <v>0</v>
      </c>
      <c r="BZ823" s="449">
        <f>'Fiche info Avenant 9'!$BF$9</f>
        <v>0</v>
      </c>
      <c r="CA823" s="449">
        <f>'Fiche info Avenant 9'!$BG$9</f>
        <v>0</v>
      </c>
      <c r="CB823" s="449">
        <f>'Fiche info Avenant 9'!$BH$9</f>
        <v>0</v>
      </c>
      <c r="CC823" s="449">
        <f>'Fiche info Avenant 9'!$BI$9</f>
        <v>0</v>
      </c>
      <c r="CD823" s="449">
        <f>'Fiche info Avenant 9'!$BJ$9</f>
        <v>0</v>
      </c>
      <c r="CE823" s="449">
        <f>'Fiche info Avenant 9'!$BK$9</f>
        <v>0</v>
      </c>
      <c r="CF823" s="449">
        <f>'Fiche info Avenant 9'!$BL$9</f>
        <v>0</v>
      </c>
      <c r="ED823" s="16" t="str">
        <f t="shared" si="162"/>
        <v>Fiche info Avenant 9F</v>
      </c>
      <c r="EE823" s="16" t="str">
        <f t="shared" si="153"/>
        <v>Fiche info Avenant 9</v>
      </c>
      <c r="EF823" s="16" t="str">
        <f t="shared" si="154"/>
        <v>F</v>
      </c>
      <c r="EG823" s="16">
        <f t="shared" si="155"/>
        <v>3</v>
      </c>
      <c r="EH823" s="16" t="str">
        <f t="shared" si="156"/>
        <v>Mercredi</v>
      </c>
      <c r="EI823" s="16" t="str">
        <f t="shared" si="157"/>
        <v/>
      </c>
    </row>
    <row r="824" spans="1:139" x14ac:dyDescent="0.2">
      <c r="A824" s="16" t="str">
        <f t="shared" si="160"/>
        <v>Fiche info Avenant 9F4</v>
      </c>
      <c r="B824" s="16" t="str">
        <f t="shared" si="161"/>
        <v>Fiche info Avenant 9</v>
      </c>
      <c r="C824" s="27" t="s">
        <v>244</v>
      </c>
      <c r="D824" s="27">
        <v>4</v>
      </c>
      <c r="E824" s="16" t="s">
        <v>20</v>
      </c>
      <c r="F824" s="34" t="str">
        <f>+IF('Fiche info Avenant 9'!$BN$10=0,"",'Fiche info Avenant 9'!$BN$10)</f>
        <v/>
      </c>
      <c r="G824" s="16">
        <f t="shared" si="158"/>
        <v>0</v>
      </c>
      <c r="BX824" s="16" t="str">
        <f t="shared" si="159"/>
        <v>Fiche info Avenant 9F4</v>
      </c>
      <c r="BY824" s="449">
        <f>'Fiche info Avenant 9'!$BE$10</f>
        <v>0</v>
      </c>
      <c r="BZ824" s="449">
        <f>'Fiche info Avenant 9'!$BF$10</f>
        <v>0</v>
      </c>
      <c r="CA824" s="449">
        <f>'Fiche info Avenant 9'!$BG$10</f>
        <v>0</v>
      </c>
      <c r="CB824" s="449">
        <f>'Fiche info Avenant 9'!$BH$10</f>
        <v>0</v>
      </c>
      <c r="CC824" s="449">
        <f>'Fiche info Avenant 9'!$BI$10</f>
        <v>0</v>
      </c>
      <c r="CD824" s="449">
        <f>'Fiche info Avenant 9'!$BJ$10</f>
        <v>0</v>
      </c>
      <c r="CE824" s="449">
        <f>'Fiche info Avenant 9'!$BK$10</f>
        <v>0</v>
      </c>
      <c r="CF824" s="449">
        <f>'Fiche info Avenant 9'!$BL$10</f>
        <v>0</v>
      </c>
      <c r="ED824" s="16" t="str">
        <f t="shared" si="162"/>
        <v>Fiche info Avenant 9F</v>
      </c>
      <c r="EE824" s="16" t="str">
        <f t="shared" si="153"/>
        <v>Fiche info Avenant 9</v>
      </c>
      <c r="EF824" s="16" t="str">
        <f t="shared" si="154"/>
        <v>F</v>
      </c>
      <c r="EG824" s="16">
        <f t="shared" si="155"/>
        <v>4</v>
      </c>
      <c r="EH824" s="16" t="str">
        <f t="shared" si="156"/>
        <v>Jeudi</v>
      </c>
      <c r="EI824" s="16" t="str">
        <f t="shared" si="157"/>
        <v/>
      </c>
    </row>
    <row r="825" spans="1:139" x14ac:dyDescent="0.2">
      <c r="A825" s="16" t="str">
        <f t="shared" si="160"/>
        <v>Fiche info Avenant 9F5</v>
      </c>
      <c r="B825" s="16" t="str">
        <f t="shared" si="161"/>
        <v>Fiche info Avenant 9</v>
      </c>
      <c r="C825" s="27" t="s">
        <v>244</v>
      </c>
      <c r="D825" s="27">
        <v>5</v>
      </c>
      <c r="E825" s="16" t="s">
        <v>21</v>
      </c>
      <c r="F825" s="34" t="str">
        <f>+IF('Fiche info Avenant 9'!$BN$11=0,"",'Fiche info Avenant 9'!$BN$11)</f>
        <v/>
      </c>
      <c r="G825" s="16">
        <f t="shared" si="158"/>
        <v>0</v>
      </c>
      <c r="BX825" s="16" t="str">
        <f t="shared" si="159"/>
        <v>Fiche info Avenant 9F5</v>
      </c>
      <c r="BY825" s="449">
        <f>'Fiche info Avenant 9'!$BE$11</f>
        <v>0</v>
      </c>
      <c r="BZ825" s="449">
        <f>'Fiche info Avenant 9'!$BF$11</f>
        <v>0</v>
      </c>
      <c r="CA825" s="449">
        <f>'Fiche info Avenant 9'!$BG$11</f>
        <v>0</v>
      </c>
      <c r="CB825" s="449">
        <f>'Fiche info Avenant 9'!$BH$11</f>
        <v>0</v>
      </c>
      <c r="CC825" s="449">
        <f>'Fiche info Avenant 9'!$BI$11</f>
        <v>0</v>
      </c>
      <c r="CD825" s="449">
        <f>'Fiche info Avenant 9'!$BJ$11</f>
        <v>0</v>
      </c>
      <c r="CE825" s="449">
        <f>'Fiche info Avenant 9'!$BK$11</f>
        <v>0</v>
      </c>
      <c r="CF825" s="449">
        <f>'Fiche info Avenant 9'!$BL$11</f>
        <v>0</v>
      </c>
      <c r="ED825" s="16" t="str">
        <f t="shared" si="162"/>
        <v>Fiche info Avenant 9F</v>
      </c>
      <c r="EE825" s="16" t="str">
        <f t="shared" si="153"/>
        <v>Fiche info Avenant 9</v>
      </c>
      <c r="EF825" s="16" t="str">
        <f t="shared" si="154"/>
        <v>F</v>
      </c>
      <c r="EG825" s="16">
        <f t="shared" si="155"/>
        <v>5</v>
      </c>
      <c r="EH825" s="16" t="str">
        <f t="shared" si="156"/>
        <v>Vendredi</v>
      </c>
      <c r="EI825" s="16" t="str">
        <f t="shared" si="157"/>
        <v/>
      </c>
    </row>
    <row r="826" spans="1:139" x14ac:dyDescent="0.2">
      <c r="A826" s="16" t="str">
        <f t="shared" si="160"/>
        <v>Fiche info Avenant 9F6</v>
      </c>
      <c r="B826" s="16" t="str">
        <f t="shared" si="161"/>
        <v>Fiche info Avenant 9</v>
      </c>
      <c r="C826" s="27" t="s">
        <v>244</v>
      </c>
      <c r="D826" s="27">
        <v>6</v>
      </c>
      <c r="E826" s="16" t="s">
        <v>193</v>
      </c>
      <c r="F826" s="34" t="str">
        <f>+IF('Fiche info Avenant 9'!$BN$12=0,"",'Fiche info Avenant 9'!$BN$12)</f>
        <v/>
      </c>
      <c r="G826" s="16">
        <f t="shared" si="158"/>
        <v>0</v>
      </c>
      <c r="BX826" s="16" t="str">
        <f t="shared" si="159"/>
        <v>Fiche info Avenant 9F6</v>
      </c>
      <c r="BY826" s="449">
        <f>'Fiche info Avenant 9'!$BE$12</f>
        <v>0</v>
      </c>
      <c r="BZ826" s="449">
        <f>'Fiche info Avenant 9'!$BF$12</f>
        <v>0</v>
      </c>
      <c r="CA826" s="449">
        <f>'Fiche info Avenant 9'!$BG$12</f>
        <v>0</v>
      </c>
      <c r="CB826" s="449">
        <f>'Fiche info Avenant 9'!$BH$12</f>
        <v>0</v>
      </c>
      <c r="CC826" s="449">
        <f>'Fiche info Avenant 9'!$BI$12</f>
        <v>0</v>
      </c>
      <c r="CD826" s="449">
        <f>'Fiche info Avenant 9'!$BJ$12</f>
        <v>0</v>
      </c>
      <c r="CE826" s="449">
        <f>'Fiche info Avenant 9'!$BK$12</f>
        <v>0</v>
      </c>
      <c r="CF826" s="449">
        <f>'Fiche info Avenant 9'!$BL$12</f>
        <v>0</v>
      </c>
      <c r="ED826" s="16" t="str">
        <f t="shared" si="162"/>
        <v>Fiche info Avenant 9F</v>
      </c>
      <c r="EE826" s="16" t="str">
        <f t="shared" si="153"/>
        <v>Fiche info Avenant 9</v>
      </c>
      <c r="EF826" s="16" t="str">
        <f t="shared" si="154"/>
        <v>F</v>
      </c>
      <c r="EG826" s="16">
        <f t="shared" si="155"/>
        <v>6</v>
      </c>
      <c r="EH826" s="16" t="str">
        <f t="shared" si="156"/>
        <v>Samedi</v>
      </c>
      <c r="EI826" s="16" t="str">
        <f t="shared" si="157"/>
        <v/>
      </c>
    </row>
    <row r="827" spans="1:139" x14ac:dyDescent="0.2">
      <c r="A827" s="16" t="str">
        <f t="shared" si="160"/>
        <v>Fiche info Avenant 9F7</v>
      </c>
      <c r="B827" s="16" t="str">
        <f t="shared" si="161"/>
        <v>Fiche info Avenant 9</v>
      </c>
      <c r="C827" s="27" t="s">
        <v>244</v>
      </c>
      <c r="D827" s="27">
        <v>7</v>
      </c>
      <c r="E827" s="16" t="s">
        <v>194</v>
      </c>
      <c r="F827" s="34" t="str">
        <f>+IF('Fiche info Avenant 9'!$BN$13=0,"",'Fiche info Avenant 9'!$BN$13)</f>
        <v/>
      </c>
      <c r="G827" s="16">
        <f t="shared" si="158"/>
        <v>0</v>
      </c>
      <c r="BX827" s="16" t="str">
        <f t="shared" si="159"/>
        <v>Fiche info Avenant 9F7</v>
      </c>
      <c r="BY827" s="449">
        <f>'Fiche info Avenant 9'!$BE$13</f>
        <v>0</v>
      </c>
      <c r="BZ827" s="449">
        <f>'Fiche info Avenant 9'!$BF$13</f>
        <v>0</v>
      </c>
      <c r="CA827" s="449">
        <f>'Fiche info Avenant 9'!$BG$13</f>
        <v>0</v>
      </c>
      <c r="CB827" s="449">
        <f>'Fiche info Avenant 9'!$BH$13</f>
        <v>0</v>
      </c>
      <c r="CC827" s="449">
        <f>'Fiche info Avenant 9'!$BI$13</f>
        <v>0</v>
      </c>
      <c r="CD827" s="449">
        <f>'Fiche info Avenant 9'!$BJ$13</f>
        <v>0</v>
      </c>
      <c r="CE827" s="449">
        <f>'Fiche info Avenant 9'!$BK$13</f>
        <v>0</v>
      </c>
      <c r="CF827" s="449">
        <f>'Fiche info Avenant 9'!$BL$13</f>
        <v>0</v>
      </c>
      <c r="ED827" s="16" t="str">
        <f t="shared" si="162"/>
        <v>Fiche info Avenant 9F</v>
      </c>
      <c r="EE827" s="16" t="str">
        <f t="shared" si="153"/>
        <v>Fiche info Avenant 9</v>
      </c>
      <c r="EF827" s="16" t="str">
        <f t="shared" si="154"/>
        <v>F</v>
      </c>
      <c r="EG827" s="16">
        <f t="shared" si="155"/>
        <v>7</v>
      </c>
      <c r="EH827" s="16" t="str">
        <f t="shared" si="156"/>
        <v>Dimanche</v>
      </c>
      <c r="EI827" s="16" t="str">
        <f t="shared" si="157"/>
        <v/>
      </c>
    </row>
    <row r="828" spans="1:139" x14ac:dyDescent="0.2">
      <c r="A828" s="16" t="str">
        <f t="shared" si="160"/>
        <v>Fiche info Avenant 9G1</v>
      </c>
      <c r="B828" s="16" t="str">
        <f t="shared" si="161"/>
        <v>Fiche info Avenant 9</v>
      </c>
      <c r="C828" s="27" t="s">
        <v>245</v>
      </c>
      <c r="D828" s="27">
        <v>1</v>
      </c>
      <c r="E828" s="16" t="s">
        <v>17</v>
      </c>
      <c r="F828" s="34" t="str">
        <f>+IF('Fiche info Avenant 9'!$BY$7=0,"",'Fiche info Avenant 9'!$BY$7)</f>
        <v/>
      </c>
      <c r="G828" s="16">
        <f t="shared" si="158"/>
        <v>0</v>
      </c>
      <c r="BX828" s="16" t="str">
        <f t="shared" si="159"/>
        <v>Fiche info Avenant 9G1</v>
      </c>
      <c r="BY828" s="449">
        <f>'Fiche info Avenant 9'!$BP$7</f>
        <v>0</v>
      </c>
      <c r="BZ828" s="449">
        <f>'Fiche info Avenant 9'!$BQ$7</f>
        <v>0</v>
      </c>
      <c r="CA828" s="449">
        <f>'Fiche info Avenant 9'!$BR$7</f>
        <v>0</v>
      </c>
      <c r="CB828" s="449">
        <f>'Fiche info Avenant 9'!$BS$7</f>
        <v>0</v>
      </c>
      <c r="CC828" s="449">
        <f>'Fiche info Avenant 9'!$BT$7</f>
        <v>0</v>
      </c>
      <c r="CD828" s="449">
        <f>'Fiche info Avenant 9'!$BU$7</f>
        <v>0</v>
      </c>
      <c r="CE828" s="449">
        <f>'Fiche info Avenant 9'!$BV$7</f>
        <v>0</v>
      </c>
      <c r="CF828" s="449">
        <f>'Fiche info Avenant 9'!$BW$7</f>
        <v>0</v>
      </c>
      <c r="ED828" s="16" t="str">
        <f t="shared" si="162"/>
        <v>Fiche info Avenant 9G</v>
      </c>
      <c r="EE828" s="16" t="str">
        <f t="shared" si="153"/>
        <v>Fiche info Avenant 9</v>
      </c>
      <c r="EF828" s="16" t="str">
        <f t="shared" si="154"/>
        <v>G</v>
      </c>
      <c r="EG828" s="16">
        <f t="shared" si="155"/>
        <v>1</v>
      </c>
      <c r="EH828" s="16" t="str">
        <f t="shared" si="156"/>
        <v>Lundi</v>
      </c>
      <c r="EI828" s="16" t="str">
        <f t="shared" si="157"/>
        <v/>
      </c>
    </row>
    <row r="829" spans="1:139" x14ac:dyDescent="0.2">
      <c r="A829" s="16" t="str">
        <f t="shared" si="160"/>
        <v>Fiche info Avenant 9G2</v>
      </c>
      <c r="B829" s="16" t="str">
        <f t="shared" si="161"/>
        <v>Fiche info Avenant 9</v>
      </c>
      <c r="C829" s="27" t="s">
        <v>245</v>
      </c>
      <c r="D829" s="27">
        <v>2</v>
      </c>
      <c r="E829" s="16" t="s">
        <v>18</v>
      </c>
      <c r="F829" s="34" t="str">
        <f>+IF('Fiche info Avenant 9'!$BY$8=0,"",'Fiche info Avenant 9'!$BY$8)</f>
        <v/>
      </c>
      <c r="G829" s="16">
        <f t="shared" si="158"/>
        <v>0</v>
      </c>
      <c r="BX829" s="16" t="str">
        <f t="shared" si="159"/>
        <v>Fiche info Avenant 9G2</v>
      </c>
      <c r="BY829" s="449">
        <f>'Fiche info Avenant 9'!$BP$8</f>
        <v>0</v>
      </c>
      <c r="BZ829" s="449">
        <f>'Fiche info Avenant 9'!$BQ$8</f>
        <v>0</v>
      </c>
      <c r="CA829" s="449">
        <f>'Fiche info Avenant 9'!$BR$8</f>
        <v>0</v>
      </c>
      <c r="CB829" s="449">
        <f>'Fiche info Avenant 9'!$BS$8</f>
        <v>0</v>
      </c>
      <c r="CC829" s="449">
        <f>'Fiche info Avenant 9'!$BT$8</f>
        <v>0</v>
      </c>
      <c r="CD829" s="449">
        <f>'Fiche info Avenant 9'!$BU$8</f>
        <v>0</v>
      </c>
      <c r="CE829" s="449">
        <f>'Fiche info Avenant 9'!$BV$8</f>
        <v>0</v>
      </c>
      <c r="CF829" s="449">
        <f>'Fiche info Avenant 9'!$BW$8</f>
        <v>0</v>
      </c>
      <c r="ED829" s="16" t="str">
        <f t="shared" si="162"/>
        <v>Fiche info Avenant 9G</v>
      </c>
      <c r="EE829" s="16" t="str">
        <f t="shared" si="153"/>
        <v>Fiche info Avenant 9</v>
      </c>
      <c r="EF829" s="16" t="str">
        <f t="shared" si="154"/>
        <v>G</v>
      </c>
      <c r="EG829" s="16">
        <f t="shared" si="155"/>
        <v>2</v>
      </c>
      <c r="EH829" s="16" t="str">
        <f t="shared" si="156"/>
        <v>Mardi</v>
      </c>
      <c r="EI829" s="16" t="str">
        <f t="shared" si="157"/>
        <v/>
      </c>
    </row>
    <row r="830" spans="1:139" x14ac:dyDescent="0.2">
      <c r="A830" s="16" t="str">
        <f t="shared" si="160"/>
        <v>Fiche info Avenant 9G3</v>
      </c>
      <c r="B830" s="16" t="str">
        <f t="shared" si="161"/>
        <v>Fiche info Avenant 9</v>
      </c>
      <c r="C830" s="27" t="s">
        <v>245</v>
      </c>
      <c r="D830" s="27">
        <v>3</v>
      </c>
      <c r="E830" s="16" t="s">
        <v>19</v>
      </c>
      <c r="F830" s="34" t="str">
        <f>+IF('Fiche info Avenant 9'!$BY$9=0,"",'Fiche info Avenant 9'!$BY$9)</f>
        <v/>
      </c>
      <c r="G830" s="16">
        <f t="shared" si="158"/>
        <v>0</v>
      </c>
      <c r="BX830" s="16" t="str">
        <f t="shared" si="159"/>
        <v>Fiche info Avenant 9G3</v>
      </c>
      <c r="BY830" s="449">
        <f>'Fiche info Avenant 9'!$BP$9</f>
        <v>0</v>
      </c>
      <c r="BZ830" s="449">
        <f>'Fiche info Avenant 9'!$BQ$9</f>
        <v>0</v>
      </c>
      <c r="CA830" s="449">
        <f>'Fiche info Avenant 9'!$BR$9</f>
        <v>0</v>
      </c>
      <c r="CB830" s="449">
        <f>'Fiche info Avenant 9'!$BS$9</f>
        <v>0</v>
      </c>
      <c r="CC830" s="449">
        <f>'Fiche info Avenant 9'!$BT$9</f>
        <v>0</v>
      </c>
      <c r="CD830" s="449">
        <f>'Fiche info Avenant 9'!$BU$9</f>
        <v>0</v>
      </c>
      <c r="CE830" s="449">
        <f>'Fiche info Avenant 9'!$BV$9</f>
        <v>0</v>
      </c>
      <c r="CF830" s="449">
        <f>'Fiche info Avenant 9'!$BW$9</f>
        <v>0</v>
      </c>
      <c r="ED830" s="16" t="str">
        <f t="shared" si="162"/>
        <v>Fiche info Avenant 9G</v>
      </c>
      <c r="EE830" s="16" t="str">
        <f t="shared" si="153"/>
        <v>Fiche info Avenant 9</v>
      </c>
      <c r="EF830" s="16" t="str">
        <f t="shared" si="154"/>
        <v>G</v>
      </c>
      <c r="EG830" s="16">
        <f t="shared" si="155"/>
        <v>3</v>
      </c>
      <c r="EH830" s="16" t="str">
        <f t="shared" si="156"/>
        <v>Mercredi</v>
      </c>
      <c r="EI830" s="16" t="str">
        <f t="shared" si="157"/>
        <v/>
      </c>
    </row>
    <row r="831" spans="1:139" x14ac:dyDescent="0.2">
      <c r="A831" s="16" t="str">
        <f t="shared" si="160"/>
        <v>Fiche info Avenant 9G4</v>
      </c>
      <c r="B831" s="16" t="str">
        <f t="shared" si="161"/>
        <v>Fiche info Avenant 9</v>
      </c>
      <c r="C831" s="27" t="s">
        <v>245</v>
      </c>
      <c r="D831" s="27">
        <v>4</v>
      </c>
      <c r="E831" s="16" t="s">
        <v>20</v>
      </c>
      <c r="F831" s="34" t="str">
        <f>+IF('Fiche info Avenant 9'!$BY$10=0,"",'Fiche info Avenant 9'!$BY$10)</f>
        <v/>
      </c>
      <c r="G831" s="16">
        <f t="shared" si="158"/>
        <v>0</v>
      </c>
      <c r="BX831" s="16" t="str">
        <f t="shared" si="159"/>
        <v>Fiche info Avenant 9G4</v>
      </c>
      <c r="BY831" s="449">
        <f>'Fiche info Avenant 9'!$BP$10</f>
        <v>0</v>
      </c>
      <c r="BZ831" s="449">
        <f>'Fiche info Avenant 9'!$BQ$10</f>
        <v>0</v>
      </c>
      <c r="CA831" s="449">
        <f>'Fiche info Avenant 9'!$BR$10</f>
        <v>0</v>
      </c>
      <c r="CB831" s="449">
        <f>'Fiche info Avenant 9'!$BS$10</f>
        <v>0</v>
      </c>
      <c r="CC831" s="449">
        <f>'Fiche info Avenant 9'!$BT$10</f>
        <v>0</v>
      </c>
      <c r="CD831" s="449">
        <f>'Fiche info Avenant 9'!$BU$10</f>
        <v>0</v>
      </c>
      <c r="CE831" s="449">
        <f>'Fiche info Avenant 9'!$BV$10</f>
        <v>0</v>
      </c>
      <c r="CF831" s="449">
        <f>'Fiche info Avenant 9'!$BW$10</f>
        <v>0</v>
      </c>
      <c r="ED831" s="16" t="str">
        <f t="shared" si="162"/>
        <v>Fiche info Avenant 9G</v>
      </c>
      <c r="EE831" s="16" t="str">
        <f t="shared" si="153"/>
        <v>Fiche info Avenant 9</v>
      </c>
      <c r="EF831" s="16" t="str">
        <f t="shared" si="154"/>
        <v>G</v>
      </c>
      <c r="EG831" s="16">
        <f t="shared" si="155"/>
        <v>4</v>
      </c>
      <c r="EH831" s="16" t="str">
        <f t="shared" si="156"/>
        <v>Jeudi</v>
      </c>
      <c r="EI831" s="16" t="str">
        <f t="shared" si="157"/>
        <v/>
      </c>
    </row>
    <row r="832" spans="1:139" x14ac:dyDescent="0.2">
      <c r="A832" s="16" t="str">
        <f t="shared" si="160"/>
        <v>Fiche info Avenant 9G5</v>
      </c>
      <c r="B832" s="16" t="str">
        <f t="shared" si="161"/>
        <v>Fiche info Avenant 9</v>
      </c>
      <c r="C832" s="27" t="s">
        <v>245</v>
      </c>
      <c r="D832" s="27">
        <v>5</v>
      </c>
      <c r="E832" s="16" t="s">
        <v>21</v>
      </c>
      <c r="F832" s="34" t="str">
        <f>+IF('Fiche info Avenant 9'!$BY$11=0,"",'Fiche info Avenant 9'!$BY$11)</f>
        <v/>
      </c>
      <c r="G832" s="16">
        <f t="shared" si="158"/>
        <v>0</v>
      </c>
      <c r="BX832" s="16" t="str">
        <f t="shared" si="159"/>
        <v>Fiche info Avenant 9G5</v>
      </c>
      <c r="BY832" s="449">
        <f>'Fiche info Avenant 9'!$BP$11</f>
        <v>0</v>
      </c>
      <c r="BZ832" s="449">
        <f>'Fiche info Avenant 9'!$BQ$11</f>
        <v>0</v>
      </c>
      <c r="CA832" s="449">
        <f>'Fiche info Avenant 9'!$BR$11</f>
        <v>0</v>
      </c>
      <c r="CB832" s="449">
        <f>'Fiche info Avenant 9'!$BS$11</f>
        <v>0</v>
      </c>
      <c r="CC832" s="449">
        <f>'Fiche info Avenant 9'!$BT$11</f>
        <v>0</v>
      </c>
      <c r="CD832" s="449">
        <f>'Fiche info Avenant 9'!$BU$11</f>
        <v>0</v>
      </c>
      <c r="CE832" s="449">
        <f>'Fiche info Avenant 9'!$BV$11</f>
        <v>0</v>
      </c>
      <c r="CF832" s="449">
        <f>'Fiche info Avenant 9'!$BW$11</f>
        <v>0</v>
      </c>
      <c r="ED832" s="16" t="str">
        <f t="shared" si="162"/>
        <v>Fiche info Avenant 9G</v>
      </c>
      <c r="EE832" s="16" t="str">
        <f t="shared" si="153"/>
        <v>Fiche info Avenant 9</v>
      </c>
      <c r="EF832" s="16" t="str">
        <f t="shared" si="154"/>
        <v>G</v>
      </c>
      <c r="EG832" s="16">
        <f t="shared" si="155"/>
        <v>5</v>
      </c>
      <c r="EH832" s="16" t="str">
        <f t="shared" si="156"/>
        <v>Vendredi</v>
      </c>
      <c r="EI832" s="16" t="str">
        <f t="shared" si="157"/>
        <v/>
      </c>
    </row>
    <row r="833" spans="1:139" x14ac:dyDescent="0.2">
      <c r="A833" s="16" t="str">
        <f t="shared" si="160"/>
        <v>Fiche info Avenant 9G6</v>
      </c>
      <c r="B833" s="16" t="str">
        <f t="shared" si="161"/>
        <v>Fiche info Avenant 9</v>
      </c>
      <c r="C833" s="27" t="s">
        <v>245</v>
      </c>
      <c r="D833" s="27">
        <v>6</v>
      </c>
      <c r="E833" s="16" t="s">
        <v>193</v>
      </c>
      <c r="F833" s="34" t="str">
        <f>+IF('Fiche info Avenant 9'!$BY$12=0,"",'Fiche info Avenant 9'!$BY$12)</f>
        <v/>
      </c>
      <c r="G833" s="16">
        <f t="shared" si="158"/>
        <v>0</v>
      </c>
      <c r="BX833" s="16" t="str">
        <f t="shared" si="159"/>
        <v>Fiche info Avenant 9G6</v>
      </c>
      <c r="BY833" s="449">
        <f>'Fiche info Avenant 9'!$BP$12</f>
        <v>0</v>
      </c>
      <c r="BZ833" s="449">
        <f>'Fiche info Avenant 9'!$BQ$12</f>
        <v>0</v>
      </c>
      <c r="CA833" s="449">
        <f>'Fiche info Avenant 9'!$BR$12</f>
        <v>0</v>
      </c>
      <c r="CB833" s="449">
        <f>'Fiche info Avenant 9'!$BS$12</f>
        <v>0</v>
      </c>
      <c r="CC833" s="449">
        <f>'Fiche info Avenant 9'!$BT$12</f>
        <v>0</v>
      </c>
      <c r="CD833" s="449">
        <f>'Fiche info Avenant 9'!$BU$12</f>
        <v>0</v>
      </c>
      <c r="CE833" s="449">
        <f>'Fiche info Avenant 9'!$BV$12</f>
        <v>0</v>
      </c>
      <c r="CF833" s="449">
        <f>'Fiche info Avenant 9'!$BW$12</f>
        <v>0</v>
      </c>
      <c r="ED833" s="16" t="str">
        <f t="shared" si="162"/>
        <v>Fiche info Avenant 9G</v>
      </c>
      <c r="EE833" s="16" t="str">
        <f t="shared" ref="EE833:EE896" si="163">B833</f>
        <v>Fiche info Avenant 9</v>
      </c>
      <c r="EF833" s="16" t="str">
        <f t="shared" ref="EF833:EF896" si="164">C833</f>
        <v>G</v>
      </c>
      <c r="EG833" s="16">
        <f t="shared" ref="EG833:EG896" si="165">D833</f>
        <v>6</v>
      </c>
      <c r="EH833" s="16" t="str">
        <f t="shared" ref="EH833:EH896" si="166">E833</f>
        <v>Samedi</v>
      </c>
      <c r="EI833" s="16" t="str">
        <f t="shared" ref="EI833:EI896" si="167">F833</f>
        <v/>
      </c>
    </row>
    <row r="834" spans="1:139" x14ac:dyDescent="0.2">
      <c r="A834" s="16" t="str">
        <f t="shared" si="160"/>
        <v>Fiche info Avenant 9G7</v>
      </c>
      <c r="B834" s="16" t="str">
        <f t="shared" si="161"/>
        <v>Fiche info Avenant 9</v>
      </c>
      <c r="C834" s="27" t="s">
        <v>245</v>
      </c>
      <c r="D834" s="27">
        <v>7</v>
      </c>
      <c r="E834" s="16" t="s">
        <v>194</v>
      </c>
      <c r="F834" s="34" t="str">
        <f>+IF('Fiche info Avenant 9'!$BY$13=0,"",'Fiche info Avenant 9'!$BY$13)</f>
        <v/>
      </c>
      <c r="G834" s="16">
        <f t="shared" ref="G834:G897" si="168">+IF(OR(F834=0,F834=""),0,1)</f>
        <v>0</v>
      </c>
      <c r="BX834" s="16" t="str">
        <f t="shared" ref="BX834:BX897" si="169">A834</f>
        <v>Fiche info Avenant 9G7</v>
      </c>
      <c r="BY834" s="449">
        <f>'Fiche info Avenant 9'!$BP$13</f>
        <v>0</v>
      </c>
      <c r="BZ834" s="449">
        <f>'Fiche info Avenant 9'!$BQ$13</f>
        <v>0</v>
      </c>
      <c r="CA834" s="449">
        <f>'Fiche info Avenant 9'!$BR$13</f>
        <v>0</v>
      </c>
      <c r="CB834" s="449">
        <f>'Fiche info Avenant 9'!$BS$13</f>
        <v>0</v>
      </c>
      <c r="CC834" s="449">
        <f>'Fiche info Avenant 9'!$BT$13</f>
        <v>0</v>
      </c>
      <c r="CD834" s="449">
        <f>'Fiche info Avenant 9'!$BU$13</f>
        <v>0</v>
      </c>
      <c r="CE834" s="449">
        <f>'Fiche info Avenant 9'!$BV$13</f>
        <v>0</v>
      </c>
      <c r="CF834" s="449">
        <f>'Fiche info Avenant 9'!$BW$13</f>
        <v>0</v>
      </c>
      <c r="ED834" s="16" t="str">
        <f t="shared" si="162"/>
        <v>Fiche info Avenant 9G</v>
      </c>
      <c r="EE834" s="16" t="str">
        <f t="shared" si="163"/>
        <v>Fiche info Avenant 9</v>
      </c>
      <c r="EF834" s="16" t="str">
        <f t="shared" si="164"/>
        <v>G</v>
      </c>
      <c r="EG834" s="16">
        <f t="shared" si="165"/>
        <v>7</v>
      </c>
      <c r="EH834" s="16" t="str">
        <f t="shared" si="166"/>
        <v>Dimanche</v>
      </c>
      <c r="EI834" s="16" t="str">
        <f t="shared" si="167"/>
        <v/>
      </c>
    </row>
    <row r="835" spans="1:139" x14ac:dyDescent="0.2">
      <c r="A835" s="16" t="str">
        <f t="shared" si="160"/>
        <v>Fiche info Avenant 9H1</v>
      </c>
      <c r="B835" s="16" t="str">
        <f t="shared" si="161"/>
        <v>Fiche info Avenant 9</v>
      </c>
      <c r="C835" s="27" t="s">
        <v>246</v>
      </c>
      <c r="D835" s="27">
        <v>1</v>
      </c>
      <c r="E835" s="16" t="s">
        <v>17</v>
      </c>
      <c r="F835" s="34" t="str">
        <f>+IF('Fiche info Avenant 9'!$CJ$7=0,"",'Fiche info Avenant 9'!$CJ$7)</f>
        <v/>
      </c>
      <c r="G835" s="16">
        <f t="shared" si="168"/>
        <v>0</v>
      </c>
      <c r="BX835" s="16" t="str">
        <f t="shared" si="169"/>
        <v>Fiche info Avenant 9H1</v>
      </c>
      <c r="BY835" s="449">
        <f>'Fiche info Avenant 9'!$CA$7</f>
        <v>0</v>
      </c>
      <c r="BZ835" s="449">
        <f>'Fiche info Avenant 9'!$CB$7</f>
        <v>0</v>
      </c>
      <c r="CA835" s="449">
        <f>'Fiche info Avenant 9'!$CC$7</f>
        <v>0</v>
      </c>
      <c r="CB835" s="449">
        <f>'Fiche info Avenant 9'!$CD$7</f>
        <v>0</v>
      </c>
      <c r="CC835" s="449">
        <f>'Fiche info Avenant 9'!$CE$7</f>
        <v>0</v>
      </c>
      <c r="CD835" s="449">
        <f>'Fiche info Avenant 9'!$CF$7</f>
        <v>0</v>
      </c>
      <c r="CE835" s="449">
        <f>'Fiche info Avenant 9'!$CG$7</f>
        <v>0</v>
      </c>
      <c r="CF835" s="449">
        <f>'Fiche info Avenant 9'!$CH$7</f>
        <v>0</v>
      </c>
      <c r="ED835" s="16" t="str">
        <f t="shared" si="162"/>
        <v>Fiche info Avenant 9H</v>
      </c>
      <c r="EE835" s="16" t="str">
        <f t="shared" si="163"/>
        <v>Fiche info Avenant 9</v>
      </c>
      <c r="EF835" s="16" t="str">
        <f t="shared" si="164"/>
        <v>H</v>
      </c>
      <c r="EG835" s="16">
        <f t="shared" si="165"/>
        <v>1</v>
      </c>
      <c r="EH835" s="16" t="str">
        <f t="shared" si="166"/>
        <v>Lundi</v>
      </c>
      <c r="EI835" s="16" t="str">
        <f t="shared" si="167"/>
        <v/>
      </c>
    </row>
    <row r="836" spans="1:139" x14ac:dyDescent="0.2">
      <c r="A836" s="16" t="str">
        <f t="shared" si="160"/>
        <v>Fiche info Avenant 9H2</v>
      </c>
      <c r="B836" s="16" t="str">
        <f t="shared" si="161"/>
        <v>Fiche info Avenant 9</v>
      </c>
      <c r="C836" s="27" t="s">
        <v>246</v>
      </c>
      <c r="D836" s="27">
        <v>2</v>
      </c>
      <c r="E836" s="16" t="s">
        <v>18</v>
      </c>
      <c r="F836" s="34" t="str">
        <f>+IF('Fiche info Avenant 9'!$CJ$8=0,"",'Fiche info Avenant 9'!$CJ$8)</f>
        <v/>
      </c>
      <c r="G836" s="16">
        <f t="shared" si="168"/>
        <v>0</v>
      </c>
      <c r="BX836" s="16" t="str">
        <f t="shared" si="169"/>
        <v>Fiche info Avenant 9H2</v>
      </c>
      <c r="BY836" s="449">
        <f>'Fiche info Avenant 9'!$CA$8</f>
        <v>0</v>
      </c>
      <c r="BZ836" s="449">
        <f>'Fiche info Avenant 9'!$CB$8</f>
        <v>0</v>
      </c>
      <c r="CA836" s="449">
        <f>'Fiche info Avenant 9'!$CC$8</f>
        <v>0</v>
      </c>
      <c r="CB836" s="449">
        <f>'Fiche info Avenant 9'!$CD$8</f>
        <v>0</v>
      </c>
      <c r="CC836" s="449">
        <f>'Fiche info Avenant 9'!$CE$8</f>
        <v>0</v>
      </c>
      <c r="CD836" s="449">
        <f>'Fiche info Avenant 9'!$CF$8</f>
        <v>0</v>
      </c>
      <c r="CE836" s="449">
        <f>'Fiche info Avenant 9'!$CG$8</f>
        <v>0</v>
      </c>
      <c r="CF836" s="449">
        <f>'Fiche info Avenant 9'!$CH$8</f>
        <v>0</v>
      </c>
      <c r="ED836" s="16" t="str">
        <f t="shared" si="162"/>
        <v>Fiche info Avenant 9H</v>
      </c>
      <c r="EE836" s="16" t="str">
        <f t="shared" si="163"/>
        <v>Fiche info Avenant 9</v>
      </c>
      <c r="EF836" s="16" t="str">
        <f t="shared" si="164"/>
        <v>H</v>
      </c>
      <c r="EG836" s="16">
        <f t="shared" si="165"/>
        <v>2</v>
      </c>
      <c r="EH836" s="16" t="str">
        <f t="shared" si="166"/>
        <v>Mardi</v>
      </c>
      <c r="EI836" s="16" t="str">
        <f t="shared" si="167"/>
        <v/>
      </c>
    </row>
    <row r="837" spans="1:139" x14ac:dyDescent="0.2">
      <c r="A837" s="16" t="str">
        <f t="shared" si="160"/>
        <v>Fiche info Avenant 9H3</v>
      </c>
      <c r="B837" s="16" t="str">
        <f t="shared" si="161"/>
        <v>Fiche info Avenant 9</v>
      </c>
      <c r="C837" s="27" t="s">
        <v>246</v>
      </c>
      <c r="D837" s="27">
        <v>3</v>
      </c>
      <c r="E837" s="16" t="s">
        <v>19</v>
      </c>
      <c r="F837" s="34" t="str">
        <f>+IF('Fiche info Avenant 9'!$CJ$9=0,"",'Fiche info Avenant 9'!$CJ$9)</f>
        <v/>
      </c>
      <c r="G837" s="16">
        <f t="shared" si="168"/>
        <v>0</v>
      </c>
      <c r="BX837" s="16" t="str">
        <f t="shared" si="169"/>
        <v>Fiche info Avenant 9H3</v>
      </c>
      <c r="BY837" s="449">
        <f>'Fiche info Avenant 9'!$CA$9</f>
        <v>0</v>
      </c>
      <c r="BZ837" s="449">
        <f>'Fiche info Avenant 9'!$CB$9</f>
        <v>0</v>
      </c>
      <c r="CA837" s="449">
        <f>'Fiche info Avenant 9'!$CC$9</f>
        <v>0</v>
      </c>
      <c r="CB837" s="449">
        <f>'Fiche info Avenant 9'!$CD$9</f>
        <v>0</v>
      </c>
      <c r="CC837" s="449">
        <f>'Fiche info Avenant 9'!$CE$9</f>
        <v>0</v>
      </c>
      <c r="CD837" s="449">
        <f>'Fiche info Avenant 9'!$CF$9</f>
        <v>0</v>
      </c>
      <c r="CE837" s="449">
        <f>'Fiche info Avenant 9'!$CG$9</f>
        <v>0</v>
      </c>
      <c r="CF837" s="449">
        <f>'Fiche info Avenant 9'!$CH$9</f>
        <v>0</v>
      </c>
      <c r="ED837" s="16" t="str">
        <f t="shared" si="162"/>
        <v>Fiche info Avenant 9H</v>
      </c>
      <c r="EE837" s="16" t="str">
        <f t="shared" si="163"/>
        <v>Fiche info Avenant 9</v>
      </c>
      <c r="EF837" s="16" t="str">
        <f t="shared" si="164"/>
        <v>H</v>
      </c>
      <c r="EG837" s="16">
        <f t="shared" si="165"/>
        <v>3</v>
      </c>
      <c r="EH837" s="16" t="str">
        <f t="shared" si="166"/>
        <v>Mercredi</v>
      </c>
      <c r="EI837" s="16" t="str">
        <f t="shared" si="167"/>
        <v/>
      </c>
    </row>
    <row r="838" spans="1:139" x14ac:dyDescent="0.2">
      <c r="A838" s="16" t="str">
        <f t="shared" si="160"/>
        <v>Fiche info Avenant 9H4</v>
      </c>
      <c r="B838" s="16" t="str">
        <f t="shared" si="161"/>
        <v>Fiche info Avenant 9</v>
      </c>
      <c r="C838" s="27" t="s">
        <v>246</v>
      </c>
      <c r="D838" s="27">
        <v>4</v>
      </c>
      <c r="E838" s="16" t="s">
        <v>20</v>
      </c>
      <c r="F838" s="34" t="str">
        <f>+IF('Fiche info Avenant 9'!$CJ$10=0,"",'Fiche info Avenant 9'!$CJ$10)</f>
        <v/>
      </c>
      <c r="G838" s="16">
        <f t="shared" si="168"/>
        <v>0</v>
      </c>
      <c r="BX838" s="16" t="str">
        <f t="shared" si="169"/>
        <v>Fiche info Avenant 9H4</v>
      </c>
      <c r="BY838" s="449">
        <f>'Fiche info Avenant 9'!$CA$10</f>
        <v>0</v>
      </c>
      <c r="BZ838" s="449">
        <f>'Fiche info Avenant 9'!$CB$10</f>
        <v>0</v>
      </c>
      <c r="CA838" s="449">
        <f>'Fiche info Avenant 9'!$CC$10</f>
        <v>0</v>
      </c>
      <c r="CB838" s="449">
        <f>'Fiche info Avenant 9'!$CD$10</f>
        <v>0</v>
      </c>
      <c r="CC838" s="449">
        <f>'Fiche info Avenant 9'!$CE$10</f>
        <v>0</v>
      </c>
      <c r="CD838" s="449">
        <f>'Fiche info Avenant 9'!$CF$10</f>
        <v>0</v>
      </c>
      <c r="CE838" s="449">
        <f>'Fiche info Avenant 9'!$CG$10</f>
        <v>0</v>
      </c>
      <c r="CF838" s="449">
        <f>'Fiche info Avenant 9'!$CH$10</f>
        <v>0</v>
      </c>
      <c r="ED838" s="16" t="str">
        <f t="shared" si="162"/>
        <v>Fiche info Avenant 9H</v>
      </c>
      <c r="EE838" s="16" t="str">
        <f t="shared" si="163"/>
        <v>Fiche info Avenant 9</v>
      </c>
      <c r="EF838" s="16" t="str">
        <f t="shared" si="164"/>
        <v>H</v>
      </c>
      <c r="EG838" s="16">
        <f t="shared" si="165"/>
        <v>4</v>
      </c>
      <c r="EH838" s="16" t="str">
        <f t="shared" si="166"/>
        <v>Jeudi</v>
      </c>
      <c r="EI838" s="16" t="str">
        <f t="shared" si="167"/>
        <v/>
      </c>
    </row>
    <row r="839" spans="1:139" x14ac:dyDescent="0.2">
      <c r="A839" s="16" t="str">
        <f t="shared" si="160"/>
        <v>Fiche info Avenant 9H5</v>
      </c>
      <c r="B839" s="16" t="str">
        <f t="shared" si="161"/>
        <v>Fiche info Avenant 9</v>
      </c>
      <c r="C839" s="27" t="s">
        <v>246</v>
      </c>
      <c r="D839" s="27">
        <v>5</v>
      </c>
      <c r="E839" s="16" t="s">
        <v>21</v>
      </c>
      <c r="F839" s="34" t="str">
        <f>+IF('Fiche info Avenant 9'!$CJ$11=0,"",'Fiche info Avenant 9'!$CJ$11)</f>
        <v/>
      </c>
      <c r="G839" s="16">
        <f t="shared" si="168"/>
        <v>0</v>
      </c>
      <c r="BX839" s="16" t="str">
        <f t="shared" si="169"/>
        <v>Fiche info Avenant 9H5</v>
      </c>
      <c r="BY839" s="449">
        <f>'Fiche info Avenant 9'!$CA$11</f>
        <v>0</v>
      </c>
      <c r="BZ839" s="449">
        <f>'Fiche info Avenant 9'!$CB$11</f>
        <v>0</v>
      </c>
      <c r="CA839" s="449">
        <f>'Fiche info Avenant 9'!$CC$11</f>
        <v>0</v>
      </c>
      <c r="CB839" s="449">
        <f>'Fiche info Avenant 9'!$CD$11</f>
        <v>0</v>
      </c>
      <c r="CC839" s="449">
        <f>'Fiche info Avenant 9'!$CE$11</f>
        <v>0</v>
      </c>
      <c r="CD839" s="449">
        <f>'Fiche info Avenant 9'!$CF$11</f>
        <v>0</v>
      </c>
      <c r="CE839" s="449">
        <f>'Fiche info Avenant 9'!$CG$11</f>
        <v>0</v>
      </c>
      <c r="CF839" s="449">
        <f>'Fiche info Avenant 9'!$CH$11</f>
        <v>0</v>
      </c>
      <c r="ED839" s="16" t="str">
        <f t="shared" si="162"/>
        <v>Fiche info Avenant 9H</v>
      </c>
      <c r="EE839" s="16" t="str">
        <f t="shared" si="163"/>
        <v>Fiche info Avenant 9</v>
      </c>
      <c r="EF839" s="16" t="str">
        <f t="shared" si="164"/>
        <v>H</v>
      </c>
      <c r="EG839" s="16">
        <f t="shared" si="165"/>
        <v>5</v>
      </c>
      <c r="EH839" s="16" t="str">
        <f t="shared" si="166"/>
        <v>Vendredi</v>
      </c>
      <c r="EI839" s="16" t="str">
        <f t="shared" si="167"/>
        <v/>
      </c>
    </row>
    <row r="840" spans="1:139" x14ac:dyDescent="0.2">
      <c r="A840" s="16" t="str">
        <f t="shared" si="160"/>
        <v>Fiche info Avenant 9H6</v>
      </c>
      <c r="B840" s="16" t="str">
        <f t="shared" si="161"/>
        <v>Fiche info Avenant 9</v>
      </c>
      <c r="C840" s="27" t="s">
        <v>246</v>
      </c>
      <c r="D840" s="27">
        <v>6</v>
      </c>
      <c r="E840" s="16" t="s">
        <v>193</v>
      </c>
      <c r="F840" s="34" t="str">
        <f>+IF('Fiche info Avenant 9'!$CJ$12=0,"",'Fiche info Avenant 9'!$CJ$12)</f>
        <v/>
      </c>
      <c r="G840" s="16">
        <f t="shared" si="168"/>
        <v>0</v>
      </c>
      <c r="BX840" s="16" t="str">
        <f t="shared" si="169"/>
        <v>Fiche info Avenant 9H6</v>
      </c>
      <c r="BY840" s="449">
        <f>'Fiche info Avenant 9'!$CA$12</f>
        <v>0</v>
      </c>
      <c r="BZ840" s="449">
        <f>'Fiche info Avenant 9'!$CB$12</f>
        <v>0</v>
      </c>
      <c r="CA840" s="449">
        <f>'Fiche info Avenant 9'!$CC$12</f>
        <v>0</v>
      </c>
      <c r="CB840" s="449">
        <f>'Fiche info Avenant 9'!$CD$12</f>
        <v>0</v>
      </c>
      <c r="CC840" s="449">
        <f>'Fiche info Avenant 9'!$CE$12</f>
        <v>0</v>
      </c>
      <c r="CD840" s="449">
        <f>'Fiche info Avenant 9'!$CF$12</f>
        <v>0</v>
      </c>
      <c r="CE840" s="449">
        <f>'Fiche info Avenant 9'!$CG$12</f>
        <v>0</v>
      </c>
      <c r="CF840" s="449">
        <f>'Fiche info Avenant 9'!$CH$12</f>
        <v>0</v>
      </c>
      <c r="ED840" s="16" t="str">
        <f t="shared" si="162"/>
        <v>Fiche info Avenant 9H</v>
      </c>
      <c r="EE840" s="16" t="str">
        <f t="shared" si="163"/>
        <v>Fiche info Avenant 9</v>
      </c>
      <c r="EF840" s="16" t="str">
        <f t="shared" si="164"/>
        <v>H</v>
      </c>
      <c r="EG840" s="16">
        <f t="shared" si="165"/>
        <v>6</v>
      </c>
      <c r="EH840" s="16" t="str">
        <f t="shared" si="166"/>
        <v>Samedi</v>
      </c>
      <c r="EI840" s="16" t="str">
        <f t="shared" si="167"/>
        <v/>
      </c>
    </row>
    <row r="841" spans="1:139" x14ac:dyDescent="0.2">
      <c r="A841" s="16" t="str">
        <f t="shared" si="160"/>
        <v>Fiche info Avenant 9H7</v>
      </c>
      <c r="B841" s="16" t="str">
        <f t="shared" si="161"/>
        <v>Fiche info Avenant 9</v>
      </c>
      <c r="C841" s="27" t="s">
        <v>246</v>
      </c>
      <c r="D841" s="27">
        <v>7</v>
      </c>
      <c r="E841" s="16" t="s">
        <v>194</v>
      </c>
      <c r="F841" s="34" t="str">
        <f>+IF('Fiche info'!$CJ$13=0,"",'Fiche info'!$CJ$13)</f>
        <v/>
      </c>
      <c r="G841" s="16">
        <f t="shared" si="168"/>
        <v>0</v>
      </c>
      <c r="BX841" s="16" t="str">
        <f t="shared" si="169"/>
        <v>Fiche info Avenant 9H7</v>
      </c>
      <c r="BY841" s="449">
        <f>'Fiche info Avenant 9'!$CA$13</f>
        <v>0</v>
      </c>
      <c r="BZ841" s="449">
        <f>'Fiche info Avenant 9'!$CB$13</f>
        <v>0</v>
      </c>
      <c r="CA841" s="449">
        <f>'Fiche info Avenant 9'!$CC$13</f>
        <v>0</v>
      </c>
      <c r="CB841" s="449">
        <f>'Fiche info Avenant 9'!$CD$13</f>
        <v>0</v>
      </c>
      <c r="CC841" s="449">
        <f>'Fiche info Avenant 9'!$CE$13</f>
        <v>0</v>
      </c>
      <c r="CD841" s="449">
        <f>'Fiche info Avenant 9'!$CF$13</f>
        <v>0</v>
      </c>
      <c r="CE841" s="449">
        <f>'Fiche info Avenant 9'!$CG$13</f>
        <v>0</v>
      </c>
      <c r="CF841" s="449">
        <f>'Fiche info Avenant 9'!$CH$13</f>
        <v>0</v>
      </c>
      <c r="ED841" s="16" t="str">
        <f t="shared" si="162"/>
        <v>Fiche info Avenant 9H</v>
      </c>
      <c r="EE841" s="16" t="str">
        <f t="shared" si="163"/>
        <v>Fiche info Avenant 9</v>
      </c>
      <c r="EF841" s="16" t="str">
        <f t="shared" si="164"/>
        <v>H</v>
      </c>
      <c r="EG841" s="16">
        <f t="shared" si="165"/>
        <v>7</v>
      </c>
      <c r="EH841" s="16" t="str">
        <f t="shared" si="166"/>
        <v>Dimanche</v>
      </c>
      <c r="EI841" s="16" t="str">
        <f t="shared" si="167"/>
        <v/>
      </c>
    </row>
    <row r="842" spans="1:139" x14ac:dyDescent="0.2">
      <c r="A842" s="16" t="str">
        <f t="shared" si="160"/>
        <v>Fiche info Avenant 10A1</v>
      </c>
      <c r="B842" s="16" t="str">
        <f>+$P$17</f>
        <v>Fiche info Avenant 10</v>
      </c>
      <c r="C842" s="27" t="s">
        <v>235</v>
      </c>
      <c r="D842" s="27">
        <v>1</v>
      </c>
      <c r="E842" s="16" t="s">
        <v>17</v>
      </c>
      <c r="F842" s="34" t="str">
        <f>IF('Fiche info Avenant 10'!$K$7=0,"",'Fiche info Avenant 10'!$K$7)</f>
        <v/>
      </c>
      <c r="G842" s="16">
        <f t="shared" si="168"/>
        <v>0</v>
      </c>
      <c r="BX842" s="16" t="str">
        <f t="shared" si="169"/>
        <v>Fiche info Avenant 10A1</v>
      </c>
      <c r="BY842" s="449">
        <f>'Fiche info Avenant 10'!$B$7</f>
        <v>0</v>
      </c>
      <c r="BZ842" s="449">
        <f>'Fiche info Avenant 10'!$C$7</f>
        <v>0</v>
      </c>
      <c r="CA842" s="449">
        <f>'Fiche info Avenant 10'!$D$7</f>
        <v>0</v>
      </c>
      <c r="CB842" s="449">
        <f>'Fiche info Avenant 10'!$E$7</f>
        <v>0</v>
      </c>
      <c r="CC842" s="449">
        <f>'Fiche info Avenant 10'!$F$7</f>
        <v>0</v>
      </c>
      <c r="CD842" s="449">
        <f>'Fiche info Avenant 10'!$G$7</f>
        <v>0</v>
      </c>
      <c r="CE842" s="449">
        <f>'Fiche info Avenant 10'!$H$7</f>
        <v>0</v>
      </c>
      <c r="CF842" s="449">
        <f>'Fiche info Avenant 10'!$I$7</f>
        <v>0</v>
      </c>
      <c r="ED842" s="16" t="str">
        <f t="shared" si="162"/>
        <v>Fiche info Avenant 10A</v>
      </c>
      <c r="EE842" s="16" t="str">
        <f t="shared" si="163"/>
        <v>Fiche info Avenant 10</v>
      </c>
      <c r="EF842" s="16" t="str">
        <f t="shared" si="164"/>
        <v>A</v>
      </c>
      <c r="EG842" s="16">
        <f t="shared" si="165"/>
        <v>1</v>
      </c>
      <c r="EH842" s="16" t="str">
        <f t="shared" si="166"/>
        <v>Lundi</v>
      </c>
      <c r="EI842" s="16" t="str">
        <f t="shared" si="167"/>
        <v/>
      </c>
    </row>
    <row r="843" spans="1:139" x14ac:dyDescent="0.2">
      <c r="A843" s="16" t="str">
        <f t="shared" ref="A843:A897" si="170">+B843&amp;C843&amp;D843</f>
        <v>Fiche info Avenant 10A2</v>
      </c>
      <c r="B843" s="16" t="str">
        <f t="shared" ref="B843:B897" si="171">+$P$17</f>
        <v>Fiche info Avenant 10</v>
      </c>
      <c r="C843" s="27" t="s">
        <v>235</v>
      </c>
      <c r="D843" s="27">
        <v>2</v>
      </c>
      <c r="E843" s="16" t="s">
        <v>18</v>
      </c>
      <c r="F843" s="34" t="str">
        <f>IF('Fiche info Avenant 10'!$K$8=0,"",'Fiche info Avenant 10'!$K$8)</f>
        <v/>
      </c>
      <c r="G843" s="16">
        <f t="shared" si="168"/>
        <v>0</v>
      </c>
      <c r="BX843" s="16" t="str">
        <f t="shared" si="169"/>
        <v>Fiche info Avenant 10A2</v>
      </c>
      <c r="BY843" s="449">
        <f>'Fiche info Avenant 10'!$B$8</f>
        <v>0</v>
      </c>
      <c r="BZ843" s="449">
        <f>'Fiche info Avenant 10'!$C$8</f>
        <v>0</v>
      </c>
      <c r="CA843" s="449">
        <f>'Fiche info Avenant 10'!$D$8</f>
        <v>0</v>
      </c>
      <c r="CB843" s="449">
        <f>'Fiche info Avenant 10'!$E$8</f>
        <v>0</v>
      </c>
      <c r="CC843" s="449">
        <f>'Fiche info Avenant 10'!$F$8</f>
        <v>0</v>
      </c>
      <c r="CD843" s="449">
        <f>'Fiche info Avenant 10'!$G$8</f>
        <v>0</v>
      </c>
      <c r="CE843" s="449">
        <f>'Fiche info Avenant 10'!$H$8</f>
        <v>0</v>
      </c>
      <c r="CF843" s="449">
        <f>'Fiche info Avenant 10'!$I$8</f>
        <v>0</v>
      </c>
      <c r="ED843" s="16" t="str">
        <f t="shared" si="162"/>
        <v>Fiche info Avenant 10A</v>
      </c>
      <c r="EE843" s="16" t="str">
        <f t="shared" si="163"/>
        <v>Fiche info Avenant 10</v>
      </c>
      <c r="EF843" s="16" t="str">
        <f t="shared" si="164"/>
        <v>A</v>
      </c>
      <c r="EG843" s="16">
        <f t="shared" si="165"/>
        <v>2</v>
      </c>
      <c r="EH843" s="16" t="str">
        <f t="shared" si="166"/>
        <v>Mardi</v>
      </c>
      <c r="EI843" s="16" t="str">
        <f t="shared" si="167"/>
        <v/>
      </c>
    </row>
    <row r="844" spans="1:139" x14ac:dyDescent="0.2">
      <c r="A844" s="16" t="str">
        <f t="shared" si="170"/>
        <v>Fiche info Avenant 10A3</v>
      </c>
      <c r="B844" s="16" t="str">
        <f t="shared" si="171"/>
        <v>Fiche info Avenant 10</v>
      </c>
      <c r="C844" s="27" t="s">
        <v>235</v>
      </c>
      <c r="D844" s="27">
        <v>3</v>
      </c>
      <c r="E844" s="16" t="s">
        <v>19</v>
      </c>
      <c r="F844" s="34" t="str">
        <f>IF('Fiche info Avenant 10'!$K$9=0,"",'Fiche info Avenant 10'!$K$9)</f>
        <v/>
      </c>
      <c r="G844" s="16">
        <f t="shared" si="168"/>
        <v>0</v>
      </c>
      <c r="BX844" s="16" t="str">
        <f t="shared" si="169"/>
        <v>Fiche info Avenant 10A3</v>
      </c>
      <c r="BY844" s="449">
        <f>'Fiche info Avenant 10'!$B$9</f>
        <v>0</v>
      </c>
      <c r="BZ844" s="449">
        <f>'Fiche info Avenant 10'!$C$9</f>
        <v>0</v>
      </c>
      <c r="CA844" s="449">
        <f>'Fiche info Avenant 10'!$D$9</f>
        <v>0</v>
      </c>
      <c r="CB844" s="449">
        <f>'Fiche info Avenant 10'!$E$9</f>
        <v>0</v>
      </c>
      <c r="CC844" s="449">
        <f>'Fiche info Avenant 10'!$F$9</f>
        <v>0</v>
      </c>
      <c r="CD844" s="449">
        <f>'Fiche info Avenant 10'!$G$9</f>
        <v>0</v>
      </c>
      <c r="CE844" s="449">
        <f>'Fiche info Avenant 10'!$H$9</f>
        <v>0</v>
      </c>
      <c r="CF844" s="449">
        <f>'Fiche info Avenant 10'!$I$9</f>
        <v>0</v>
      </c>
      <c r="ED844" s="16" t="str">
        <f t="shared" si="162"/>
        <v>Fiche info Avenant 10A</v>
      </c>
      <c r="EE844" s="16" t="str">
        <f t="shared" si="163"/>
        <v>Fiche info Avenant 10</v>
      </c>
      <c r="EF844" s="16" t="str">
        <f t="shared" si="164"/>
        <v>A</v>
      </c>
      <c r="EG844" s="16">
        <f t="shared" si="165"/>
        <v>3</v>
      </c>
      <c r="EH844" s="16" t="str">
        <f t="shared" si="166"/>
        <v>Mercredi</v>
      </c>
      <c r="EI844" s="16" t="str">
        <f t="shared" si="167"/>
        <v/>
      </c>
    </row>
    <row r="845" spans="1:139" x14ac:dyDescent="0.2">
      <c r="A845" s="16" t="str">
        <f t="shared" si="170"/>
        <v>Fiche info Avenant 10A4</v>
      </c>
      <c r="B845" s="16" t="str">
        <f t="shared" si="171"/>
        <v>Fiche info Avenant 10</v>
      </c>
      <c r="C845" s="27" t="s">
        <v>235</v>
      </c>
      <c r="D845" s="27">
        <v>4</v>
      </c>
      <c r="E845" s="16" t="s">
        <v>20</v>
      </c>
      <c r="F845" s="34" t="str">
        <f>IF('Fiche info Avenant 10'!$K$10=0,"",'Fiche info Avenant 10'!$K$10)</f>
        <v/>
      </c>
      <c r="G845" s="16">
        <f t="shared" si="168"/>
        <v>0</v>
      </c>
      <c r="BX845" s="16" t="str">
        <f t="shared" si="169"/>
        <v>Fiche info Avenant 10A4</v>
      </c>
      <c r="BY845" s="449">
        <f>'Fiche info Avenant 10'!$B$10</f>
        <v>0</v>
      </c>
      <c r="BZ845" s="449">
        <f>'Fiche info Avenant 10'!$C$10</f>
        <v>0</v>
      </c>
      <c r="CA845" s="449">
        <f>'Fiche info Avenant 10'!$D$10</f>
        <v>0</v>
      </c>
      <c r="CB845" s="449">
        <f>'Fiche info Avenant 10'!$E$10</f>
        <v>0</v>
      </c>
      <c r="CC845" s="449">
        <f>'Fiche info Avenant 10'!$F$10</f>
        <v>0</v>
      </c>
      <c r="CD845" s="449">
        <f>'Fiche info Avenant 10'!$G$10</f>
        <v>0</v>
      </c>
      <c r="CE845" s="449">
        <f>'Fiche info Avenant 10'!$H$10</f>
        <v>0</v>
      </c>
      <c r="CF845" s="449">
        <f>'Fiche info Avenant 10'!$I$10</f>
        <v>0</v>
      </c>
      <c r="ED845" s="16" t="str">
        <f t="shared" si="162"/>
        <v>Fiche info Avenant 10A</v>
      </c>
      <c r="EE845" s="16" t="str">
        <f t="shared" si="163"/>
        <v>Fiche info Avenant 10</v>
      </c>
      <c r="EF845" s="16" t="str">
        <f t="shared" si="164"/>
        <v>A</v>
      </c>
      <c r="EG845" s="16">
        <f t="shared" si="165"/>
        <v>4</v>
      </c>
      <c r="EH845" s="16" t="str">
        <f t="shared" si="166"/>
        <v>Jeudi</v>
      </c>
      <c r="EI845" s="16" t="str">
        <f t="shared" si="167"/>
        <v/>
      </c>
    </row>
    <row r="846" spans="1:139" x14ac:dyDescent="0.2">
      <c r="A846" s="16" t="str">
        <f t="shared" si="170"/>
        <v>Fiche info Avenant 10A5</v>
      </c>
      <c r="B846" s="16" t="str">
        <f t="shared" si="171"/>
        <v>Fiche info Avenant 10</v>
      </c>
      <c r="C846" s="27" t="s">
        <v>235</v>
      </c>
      <c r="D846" s="27">
        <v>5</v>
      </c>
      <c r="E846" s="16" t="s">
        <v>21</v>
      </c>
      <c r="F846" s="34" t="str">
        <f>IF('Fiche info Avenant 10'!$K$11=0,"",'Fiche info Avenant 10'!$K$11)</f>
        <v/>
      </c>
      <c r="G846" s="16">
        <f t="shared" si="168"/>
        <v>0</v>
      </c>
      <c r="BX846" s="16" t="str">
        <f t="shared" si="169"/>
        <v>Fiche info Avenant 10A5</v>
      </c>
      <c r="BY846" s="449">
        <f>'Fiche info Avenant 10'!$B$11</f>
        <v>0</v>
      </c>
      <c r="BZ846" s="449">
        <f>'Fiche info Avenant 10'!$C$11</f>
        <v>0</v>
      </c>
      <c r="CA846" s="449">
        <f>'Fiche info Avenant 10'!$D$11</f>
        <v>0</v>
      </c>
      <c r="CB846" s="449">
        <f>'Fiche info Avenant 10'!$E$11</f>
        <v>0</v>
      </c>
      <c r="CC846" s="449">
        <f>'Fiche info Avenant 10'!$F$11</f>
        <v>0</v>
      </c>
      <c r="CD846" s="449">
        <f>'Fiche info Avenant 10'!$G$11</f>
        <v>0</v>
      </c>
      <c r="CE846" s="449">
        <f>'Fiche info Avenant 10'!$H$11</f>
        <v>0</v>
      </c>
      <c r="CF846" s="449">
        <f>'Fiche info Avenant 10'!$I$11</f>
        <v>0</v>
      </c>
      <c r="ED846" s="16" t="str">
        <f t="shared" si="162"/>
        <v>Fiche info Avenant 10A</v>
      </c>
      <c r="EE846" s="16" t="str">
        <f t="shared" si="163"/>
        <v>Fiche info Avenant 10</v>
      </c>
      <c r="EF846" s="16" t="str">
        <f t="shared" si="164"/>
        <v>A</v>
      </c>
      <c r="EG846" s="16">
        <f t="shared" si="165"/>
        <v>5</v>
      </c>
      <c r="EH846" s="16" t="str">
        <f t="shared" si="166"/>
        <v>Vendredi</v>
      </c>
      <c r="EI846" s="16" t="str">
        <f t="shared" si="167"/>
        <v/>
      </c>
    </row>
    <row r="847" spans="1:139" x14ac:dyDescent="0.2">
      <c r="A847" s="16" t="str">
        <f t="shared" si="170"/>
        <v>Fiche info Avenant 10A6</v>
      </c>
      <c r="B847" s="16" t="str">
        <f t="shared" si="171"/>
        <v>Fiche info Avenant 10</v>
      </c>
      <c r="C847" s="27" t="s">
        <v>235</v>
      </c>
      <c r="D847" s="27">
        <v>6</v>
      </c>
      <c r="E847" s="16" t="s">
        <v>193</v>
      </c>
      <c r="F847" s="34" t="str">
        <f>IF('Fiche info Avenant 10'!$K$12=0,"",'Fiche info Avenant 10'!$K$12)</f>
        <v/>
      </c>
      <c r="G847" s="16">
        <f t="shared" si="168"/>
        <v>0</v>
      </c>
      <c r="BX847" s="16" t="str">
        <f t="shared" si="169"/>
        <v>Fiche info Avenant 10A6</v>
      </c>
      <c r="BY847" s="449">
        <f>'Fiche info Avenant 10'!$B$12</f>
        <v>0</v>
      </c>
      <c r="BZ847" s="449">
        <f>'Fiche info Avenant 10'!$C$12</f>
        <v>0</v>
      </c>
      <c r="CA847" s="449">
        <f>'Fiche info Avenant 10'!$D$12</f>
        <v>0</v>
      </c>
      <c r="CB847" s="449">
        <f>'Fiche info Avenant 10'!$E$12</f>
        <v>0</v>
      </c>
      <c r="CC847" s="449">
        <f>'Fiche info Avenant 10'!$F$12</f>
        <v>0</v>
      </c>
      <c r="CD847" s="449">
        <f>'Fiche info Avenant 10'!$G$12</f>
        <v>0</v>
      </c>
      <c r="CE847" s="449">
        <f>'Fiche info Avenant 10'!$H$12</f>
        <v>0</v>
      </c>
      <c r="CF847" s="449">
        <f>'Fiche info Avenant 10'!$I$12</f>
        <v>0</v>
      </c>
      <c r="ED847" s="16" t="str">
        <f t="shared" si="162"/>
        <v>Fiche info Avenant 10A</v>
      </c>
      <c r="EE847" s="16" t="str">
        <f t="shared" si="163"/>
        <v>Fiche info Avenant 10</v>
      </c>
      <c r="EF847" s="16" t="str">
        <f t="shared" si="164"/>
        <v>A</v>
      </c>
      <c r="EG847" s="16">
        <f t="shared" si="165"/>
        <v>6</v>
      </c>
      <c r="EH847" s="16" t="str">
        <f t="shared" si="166"/>
        <v>Samedi</v>
      </c>
      <c r="EI847" s="16" t="str">
        <f t="shared" si="167"/>
        <v/>
      </c>
    </row>
    <row r="848" spans="1:139" x14ac:dyDescent="0.2">
      <c r="A848" s="16" t="str">
        <f t="shared" si="170"/>
        <v>Fiche info Avenant 10A7</v>
      </c>
      <c r="B848" s="16" t="str">
        <f t="shared" si="171"/>
        <v>Fiche info Avenant 10</v>
      </c>
      <c r="C848" s="27" t="s">
        <v>235</v>
      </c>
      <c r="D848" s="27">
        <v>7</v>
      </c>
      <c r="E848" s="16" t="s">
        <v>194</v>
      </c>
      <c r="F848" s="34" t="str">
        <f>IF('Fiche info Avenant 10'!$K$13=0,"",'Fiche info Avenant 10'!$K$13)</f>
        <v/>
      </c>
      <c r="G848" s="16">
        <f t="shared" si="168"/>
        <v>0</v>
      </c>
      <c r="BX848" s="16" t="str">
        <f t="shared" si="169"/>
        <v>Fiche info Avenant 10A7</v>
      </c>
      <c r="BY848" s="449">
        <f>'Fiche info Avenant 10'!$B$13</f>
        <v>0</v>
      </c>
      <c r="BZ848" s="449">
        <f>'Fiche info Avenant 10'!$C$13</f>
        <v>0</v>
      </c>
      <c r="CA848" s="449">
        <f>'Fiche info Avenant 10'!$D$13</f>
        <v>0</v>
      </c>
      <c r="CB848" s="449">
        <f>'Fiche info Avenant 10'!$E$13</f>
        <v>0</v>
      </c>
      <c r="CC848" s="449">
        <f>'Fiche info Avenant 10'!$F$13</f>
        <v>0</v>
      </c>
      <c r="CD848" s="449">
        <f>'Fiche info Avenant 10'!$G$13</f>
        <v>0</v>
      </c>
      <c r="CE848" s="449">
        <f>'Fiche info Avenant 10'!$H$13</f>
        <v>0</v>
      </c>
      <c r="CF848" s="449">
        <f>'Fiche info Avenant 10'!$I$13</f>
        <v>0</v>
      </c>
      <c r="ED848" s="16" t="str">
        <f t="shared" si="162"/>
        <v>Fiche info Avenant 10A</v>
      </c>
      <c r="EE848" s="16" t="str">
        <f t="shared" si="163"/>
        <v>Fiche info Avenant 10</v>
      </c>
      <c r="EF848" s="16" t="str">
        <f t="shared" si="164"/>
        <v>A</v>
      </c>
      <c r="EG848" s="16">
        <f t="shared" si="165"/>
        <v>7</v>
      </c>
      <c r="EH848" s="16" t="str">
        <f t="shared" si="166"/>
        <v>Dimanche</v>
      </c>
      <c r="EI848" s="16" t="str">
        <f t="shared" si="167"/>
        <v/>
      </c>
    </row>
    <row r="849" spans="1:139" x14ac:dyDescent="0.2">
      <c r="A849" s="16" t="str">
        <f t="shared" si="170"/>
        <v>Fiche info Avenant 10B1</v>
      </c>
      <c r="B849" s="16" t="str">
        <f t="shared" si="171"/>
        <v>Fiche info Avenant 10</v>
      </c>
      <c r="C849" s="27" t="s">
        <v>236</v>
      </c>
      <c r="D849" s="27">
        <v>1</v>
      </c>
      <c r="E849" s="16" t="s">
        <v>17</v>
      </c>
      <c r="F849" s="34" t="str">
        <f>+IF('Fiche info Avenant 10'!$V$7=0,"",'Fiche info Avenant 10'!$V$7)</f>
        <v/>
      </c>
      <c r="G849" s="16">
        <f t="shared" si="168"/>
        <v>0</v>
      </c>
      <c r="BX849" s="16" t="str">
        <f t="shared" si="169"/>
        <v>Fiche info Avenant 10B1</v>
      </c>
      <c r="BY849" s="449">
        <f>'Fiche info Avenant 10'!$M$7</f>
        <v>0</v>
      </c>
      <c r="BZ849" s="449">
        <f>'Fiche info Avenant 10'!$N$7</f>
        <v>0</v>
      </c>
      <c r="CA849" s="449">
        <f>'Fiche info Avenant 10'!$O$7</f>
        <v>0</v>
      </c>
      <c r="CB849" s="449">
        <f>'Fiche info Avenant 10'!$P$7</f>
        <v>0</v>
      </c>
      <c r="CC849" s="449">
        <f>'Fiche info Avenant 10'!$Q$7</f>
        <v>0</v>
      </c>
      <c r="CD849" s="449">
        <f>'Fiche info Avenant 10'!$R$7</f>
        <v>0</v>
      </c>
      <c r="CE849" s="449">
        <f>'Fiche info Avenant 10'!$S$7</f>
        <v>0</v>
      </c>
      <c r="CF849" s="449">
        <f>'Fiche info Avenant 10'!$T$7</f>
        <v>0</v>
      </c>
      <c r="ED849" s="16" t="str">
        <f t="shared" si="162"/>
        <v>Fiche info Avenant 10B</v>
      </c>
      <c r="EE849" s="16" t="str">
        <f t="shared" si="163"/>
        <v>Fiche info Avenant 10</v>
      </c>
      <c r="EF849" s="16" t="str">
        <f t="shared" si="164"/>
        <v>B</v>
      </c>
      <c r="EG849" s="16">
        <f t="shared" si="165"/>
        <v>1</v>
      </c>
      <c r="EH849" s="16" t="str">
        <f t="shared" si="166"/>
        <v>Lundi</v>
      </c>
      <c r="EI849" s="16" t="str">
        <f t="shared" si="167"/>
        <v/>
      </c>
    </row>
    <row r="850" spans="1:139" x14ac:dyDescent="0.2">
      <c r="A850" s="16" t="str">
        <f t="shared" si="170"/>
        <v>Fiche info Avenant 10B2</v>
      </c>
      <c r="B850" s="16" t="str">
        <f t="shared" si="171"/>
        <v>Fiche info Avenant 10</v>
      </c>
      <c r="C850" s="27" t="s">
        <v>236</v>
      </c>
      <c r="D850" s="27">
        <v>2</v>
      </c>
      <c r="E850" s="16" t="s">
        <v>18</v>
      </c>
      <c r="F850" s="34" t="str">
        <f>+IF('Fiche info Avenant 10'!$V$8=0,"",'Fiche info Avenant 10'!$V$8)</f>
        <v/>
      </c>
      <c r="G850" s="16">
        <f t="shared" si="168"/>
        <v>0</v>
      </c>
      <c r="BX850" s="16" t="str">
        <f t="shared" si="169"/>
        <v>Fiche info Avenant 10B2</v>
      </c>
      <c r="BY850" s="449">
        <f>'Fiche info Avenant 10'!$M$8</f>
        <v>0</v>
      </c>
      <c r="BZ850" s="449">
        <f>'Fiche info Avenant 10'!$N$8</f>
        <v>0</v>
      </c>
      <c r="CA850" s="449">
        <f>'Fiche info Avenant 10'!$O$8</f>
        <v>0</v>
      </c>
      <c r="CB850" s="449">
        <f>'Fiche info Avenant 10'!$P$8</f>
        <v>0</v>
      </c>
      <c r="CC850" s="449">
        <f>'Fiche info Avenant 10'!$Q$8</f>
        <v>0</v>
      </c>
      <c r="CD850" s="449">
        <f>'Fiche info Avenant 10'!$R$8</f>
        <v>0</v>
      </c>
      <c r="CE850" s="449">
        <f>'Fiche info Avenant 10'!$S$8</f>
        <v>0</v>
      </c>
      <c r="CF850" s="449">
        <f>'Fiche info Avenant 10'!$T$8</f>
        <v>0</v>
      </c>
      <c r="ED850" s="16" t="str">
        <f t="shared" si="162"/>
        <v>Fiche info Avenant 10B</v>
      </c>
      <c r="EE850" s="16" t="str">
        <f t="shared" si="163"/>
        <v>Fiche info Avenant 10</v>
      </c>
      <c r="EF850" s="16" t="str">
        <f t="shared" si="164"/>
        <v>B</v>
      </c>
      <c r="EG850" s="16">
        <f t="shared" si="165"/>
        <v>2</v>
      </c>
      <c r="EH850" s="16" t="str">
        <f t="shared" si="166"/>
        <v>Mardi</v>
      </c>
      <c r="EI850" s="16" t="str">
        <f t="shared" si="167"/>
        <v/>
      </c>
    </row>
    <row r="851" spans="1:139" x14ac:dyDescent="0.2">
      <c r="A851" s="16" t="str">
        <f t="shared" si="170"/>
        <v>Fiche info Avenant 10B3</v>
      </c>
      <c r="B851" s="16" t="str">
        <f t="shared" si="171"/>
        <v>Fiche info Avenant 10</v>
      </c>
      <c r="C851" s="27" t="s">
        <v>236</v>
      </c>
      <c r="D851" s="27">
        <v>3</v>
      </c>
      <c r="E851" s="16" t="s">
        <v>19</v>
      </c>
      <c r="F851" s="34" t="str">
        <f>+IF('Fiche info Avenant 10'!$V$9=0,"",'Fiche info Avenant 10'!$V$9)</f>
        <v/>
      </c>
      <c r="G851" s="16">
        <f t="shared" si="168"/>
        <v>0</v>
      </c>
      <c r="BX851" s="16" t="str">
        <f t="shared" si="169"/>
        <v>Fiche info Avenant 10B3</v>
      </c>
      <c r="BY851" s="449">
        <f>'Fiche info Avenant 10'!$M$9</f>
        <v>0</v>
      </c>
      <c r="BZ851" s="449">
        <f>'Fiche info Avenant 10'!$N$9</f>
        <v>0</v>
      </c>
      <c r="CA851" s="449">
        <f>'Fiche info Avenant 10'!$O$9</f>
        <v>0</v>
      </c>
      <c r="CB851" s="449">
        <f>'Fiche info Avenant 10'!$P$9</f>
        <v>0</v>
      </c>
      <c r="CC851" s="449">
        <f>'Fiche info Avenant 10'!$Q$9</f>
        <v>0</v>
      </c>
      <c r="CD851" s="449">
        <f>'Fiche info Avenant 10'!$R$9</f>
        <v>0</v>
      </c>
      <c r="CE851" s="449">
        <f>'Fiche info Avenant 10'!$S$9</f>
        <v>0</v>
      </c>
      <c r="CF851" s="449">
        <f>'Fiche info Avenant 10'!$T$9</f>
        <v>0</v>
      </c>
      <c r="ED851" s="16" t="str">
        <f t="shared" si="162"/>
        <v>Fiche info Avenant 10B</v>
      </c>
      <c r="EE851" s="16" t="str">
        <f t="shared" si="163"/>
        <v>Fiche info Avenant 10</v>
      </c>
      <c r="EF851" s="16" t="str">
        <f t="shared" si="164"/>
        <v>B</v>
      </c>
      <c r="EG851" s="16">
        <f t="shared" si="165"/>
        <v>3</v>
      </c>
      <c r="EH851" s="16" t="str">
        <f t="shared" si="166"/>
        <v>Mercredi</v>
      </c>
      <c r="EI851" s="16" t="str">
        <f t="shared" si="167"/>
        <v/>
      </c>
    </row>
    <row r="852" spans="1:139" x14ac:dyDescent="0.2">
      <c r="A852" s="16" t="str">
        <f t="shared" si="170"/>
        <v>Fiche info Avenant 10B4</v>
      </c>
      <c r="B852" s="16" t="str">
        <f t="shared" si="171"/>
        <v>Fiche info Avenant 10</v>
      </c>
      <c r="C852" s="27" t="s">
        <v>236</v>
      </c>
      <c r="D852" s="27">
        <v>4</v>
      </c>
      <c r="E852" s="16" t="s">
        <v>20</v>
      </c>
      <c r="F852" s="34" t="str">
        <f>+IF('Fiche info Avenant 10'!$V$10=0,"",'Fiche info Avenant 10'!$V$10)</f>
        <v/>
      </c>
      <c r="G852" s="16">
        <f t="shared" si="168"/>
        <v>0</v>
      </c>
      <c r="BX852" s="16" t="str">
        <f t="shared" si="169"/>
        <v>Fiche info Avenant 10B4</v>
      </c>
      <c r="BY852" s="449">
        <f>'Fiche info Avenant 10'!$M$10</f>
        <v>0</v>
      </c>
      <c r="BZ852" s="449">
        <f>'Fiche info Avenant 10'!$N$10</f>
        <v>0</v>
      </c>
      <c r="CA852" s="449">
        <f>'Fiche info Avenant 10'!$O$10</f>
        <v>0</v>
      </c>
      <c r="CB852" s="449">
        <f>'Fiche info Avenant 10'!$P$10</f>
        <v>0</v>
      </c>
      <c r="CC852" s="449">
        <f>'Fiche info Avenant 10'!$Q$10</f>
        <v>0</v>
      </c>
      <c r="CD852" s="449">
        <f>'Fiche info Avenant 10'!$R$10</f>
        <v>0</v>
      </c>
      <c r="CE852" s="449">
        <f>'Fiche info Avenant 10'!$S$10</f>
        <v>0</v>
      </c>
      <c r="CF852" s="449">
        <f>'Fiche info Avenant 10'!$T$10</f>
        <v>0</v>
      </c>
      <c r="ED852" s="16" t="str">
        <f t="shared" si="162"/>
        <v>Fiche info Avenant 10B</v>
      </c>
      <c r="EE852" s="16" t="str">
        <f t="shared" si="163"/>
        <v>Fiche info Avenant 10</v>
      </c>
      <c r="EF852" s="16" t="str">
        <f t="shared" si="164"/>
        <v>B</v>
      </c>
      <c r="EG852" s="16">
        <f t="shared" si="165"/>
        <v>4</v>
      </c>
      <c r="EH852" s="16" t="str">
        <f t="shared" si="166"/>
        <v>Jeudi</v>
      </c>
      <c r="EI852" s="16" t="str">
        <f t="shared" si="167"/>
        <v/>
      </c>
    </row>
    <row r="853" spans="1:139" x14ac:dyDescent="0.2">
      <c r="A853" s="16" t="str">
        <f t="shared" si="170"/>
        <v>Fiche info Avenant 10B5</v>
      </c>
      <c r="B853" s="16" t="str">
        <f t="shared" si="171"/>
        <v>Fiche info Avenant 10</v>
      </c>
      <c r="C853" s="27" t="s">
        <v>236</v>
      </c>
      <c r="D853" s="27">
        <v>5</v>
      </c>
      <c r="E853" s="16" t="s">
        <v>21</v>
      </c>
      <c r="F853" s="34" t="str">
        <f>+IF('Fiche info Avenant 10'!$V$11=0,"",'Fiche info Avenant 10'!$V$11)</f>
        <v/>
      </c>
      <c r="G853" s="16">
        <f t="shared" si="168"/>
        <v>0</v>
      </c>
      <c r="BX853" s="16" t="str">
        <f t="shared" si="169"/>
        <v>Fiche info Avenant 10B5</v>
      </c>
      <c r="BY853" s="449">
        <f>'Fiche info Avenant 10'!$M$11</f>
        <v>0</v>
      </c>
      <c r="BZ853" s="449">
        <f>'Fiche info Avenant 10'!$N$11</f>
        <v>0</v>
      </c>
      <c r="CA853" s="449">
        <f>'Fiche info Avenant 10'!$O$11</f>
        <v>0</v>
      </c>
      <c r="CB853" s="449">
        <f>'Fiche info Avenant 10'!$P$11</f>
        <v>0</v>
      </c>
      <c r="CC853" s="449">
        <f>'Fiche info Avenant 10'!$Q$11</f>
        <v>0</v>
      </c>
      <c r="CD853" s="449">
        <f>'Fiche info Avenant 10'!$R$11</f>
        <v>0</v>
      </c>
      <c r="CE853" s="449">
        <f>'Fiche info Avenant 10'!$S$11</f>
        <v>0</v>
      </c>
      <c r="CF853" s="449">
        <f>'Fiche info Avenant 10'!$T$11</f>
        <v>0</v>
      </c>
      <c r="ED853" s="16" t="str">
        <f t="shared" si="162"/>
        <v>Fiche info Avenant 10B</v>
      </c>
      <c r="EE853" s="16" t="str">
        <f t="shared" si="163"/>
        <v>Fiche info Avenant 10</v>
      </c>
      <c r="EF853" s="16" t="str">
        <f t="shared" si="164"/>
        <v>B</v>
      </c>
      <c r="EG853" s="16">
        <f t="shared" si="165"/>
        <v>5</v>
      </c>
      <c r="EH853" s="16" t="str">
        <f t="shared" si="166"/>
        <v>Vendredi</v>
      </c>
      <c r="EI853" s="16" t="str">
        <f t="shared" si="167"/>
        <v/>
      </c>
    </row>
    <row r="854" spans="1:139" x14ac:dyDescent="0.2">
      <c r="A854" s="16" t="str">
        <f t="shared" si="170"/>
        <v>Fiche info Avenant 10B6</v>
      </c>
      <c r="B854" s="16" t="str">
        <f t="shared" si="171"/>
        <v>Fiche info Avenant 10</v>
      </c>
      <c r="C854" s="27" t="s">
        <v>236</v>
      </c>
      <c r="D854" s="27">
        <v>6</v>
      </c>
      <c r="E854" s="16" t="s">
        <v>193</v>
      </c>
      <c r="F854" s="34" t="str">
        <f>+IF('Fiche info Avenant 10'!$V$12=0,"",'Fiche info Avenant 10'!$V$12)</f>
        <v/>
      </c>
      <c r="G854" s="16">
        <f t="shared" si="168"/>
        <v>0</v>
      </c>
      <c r="BX854" s="16" t="str">
        <f t="shared" si="169"/>
        <v>Fiche info Avenant 10B6</v>
      </c>
      <c r="BY854" s="449">
        <f>'Fiche info Avenant 10'!$M$12</f>
        <v>0</v>
      </c>
      <c r="BZ854" s="449">
        <f>'Fiche info Avenant 10'!$N$12</f>
        <v>0</v>
      </c>
      <c r="CA854" s="449">
        <f>'Fiche info Avenant 10'!$O$12</f>
        <v>0</v>
      </c>
      <c r="CB854" s="449">
        <f>'Fiche info Avenant 10'!$P$12</f>
        <v>0</v>
      </c>
      <c r="CC854" s="449">
        <f>'Fiche info Avenant 10'!$Q$12</f>
        <v>0</v>
      </c>
      <c r="CD854" s="449">
        <f>'Fiche info Avenant 10'!$R$12</f>
        <v>0</v>
      </c>
      <c r="CE854" s="449">
        <f>'Fiche info Avenant 10'!$S$12</f>
        <v>0</v>
      </c>
      <c r="CF854" s="449">
        <f>'Fiche info Avenant 10'!$T$12</f>
        <v>0</v>
      </c>
      <c r="ED854" s="16" t="str">
        <f t="shared" si="162"/>
        <v>Fiche info Avenant 10B</v>
      </c>
      <c r="EE854" s="16" t="str">
        <f t="shared" si="163"/>
        <v>Fiche info Avenant 10</v>
      </c>
      <c r="EF854" s="16" t="str">
        <f t="shared" si="164"/>
        <v>B</v>
      </c>
      <c r="EG854" s="16">
        <f t="shared" si="165"/>
        <v>6</v>
      </c>
      <c r="EH854" s="16" t="str">
        <f t="shared" si="166"/>
        <v>Samedi</v>
      </c>
      <c r="EI854" s="16" t="str">
        <f t="shared" si="167"/>
        <v/>
      </c>
    </row>
    <row r="855" spans="1:139" x14ac:dyDescent="0.2">
      <c r="A855" s="16" t="str">
        <f t="shared" si="170"/>
        <v>Fiche info Avenant 10B7</v>
      </c>
      <c r="B855" s="16" t="str">
        <f t="shared" si="171"/>
        <v>Fiche info Avenant 10</v>
      </c>
      <c r="C855" s="27" t="s">
        <v>236</v>
      </c>
      <c r="D855" s="27">
        <v>7</v>
      </c>
      <c r="E855" s="16" t="s">
        <v>194</v>
      </c>
      <c r="F855" s="34" t="str">
        <f>+IF('Fiche info Avenant 10'!$V$13=0,"",'Fiche info Avenant 10'!$V$13)</f>
        <v/>
      </c>
      <c r="G855" s="16">
        <f t="shared" si="168"/>
        <v>0</v>
      </c>
      <c r="BX855" s="16" t="str">
        <f t="shared" si="169"/>
        <v>Fiche info Avenant 10B7</v>
      </c>
      <c r="BY855" s="449">
        <f>'Fiche info Avenant 10'!$M$13</f>
        <v>0</v>
      </c>
      <c r="BZ855" s="449">
        <f>'Fiche info Avenant 10'!$N$13</f>
        <v>0</v>
      </c>
      <c r="CA855" s="449">
        <f>'Fiche info Avenant 10'!$O$13</f>
        <v>0</v>
      </c>
      <c r="CB855" s="449">
        <f>'Fiche info Avenant 10'!$P$13</f>
        <v>0</v>
      </c>
      <c r="CC855" s="449">
        <f>'Fiche info Avenant 10'!$Q$13</f>
        <v>0</v>
      </c>
      <c r="CD855" s="449">
        <f>'Fiche info Avenant 10'!$R$13</f>
        <v>0</v>
      </c>
      <c r="CE855" s="449">
        <f>'Fiche info Avenant 10'!$S$13</f>
        <v>0</v>
      </c>
      <c r="CF855" s="449">
        <f>'Fiche info Avenant 10'!$T$13</f>
        <v>0</v>
      </c>
      <c r="ED855" s="16" t="str">
        <f t="shared" si="162"/>
        <v>Fiche info Avenant 10B</v>
      </c>
      <c r="EE855" s="16" t="str">
        <f t="shared" si="163"/>
        <v>Fiche info Avenant 10</v>
      </c>
      <c r="EF855" s="16" t="str">
        <f t="shared" si="164"/>
        <v>B</v>
      </c>
      <c r="EG855" s="16">
        <f t="shared" si="165"/>
        <v>7</v>
      </c>
      <c r="EH855" s="16" t="str">
        <f t="shared" si="166"/>
        <v>Dimanche</v>
      </c>
      <c r="EI855" s="16" t="str">
        <f t="shared" si="167"/>
        <v/>
      </c>
    </row>
    <row r="856" spans="1:139" x14ac:dyDescent="0.2">
      <c r="A856" s="16" t="str">
        <f t="shared" si="170"/>
        <v>Fiche info Avenant 10C1</v>
      </c>
      <c r="B856" s="16" t="str">
        <f t="shared" si="171"/>
        <v>Fiche info Avenant 10</v>
      </c>
      <c r="C856" s="27" t="s">
        <v>241</v>
      </c>
      <c r="D856" s="27">
        <v>1</v>
      </c>
      <c r="E856" s="16" t="s">
        <v>17</v>
      </c>
      <c r="F856" s="34" t="str">
        <f>+IF('Fiche info Avenant 10'!$AG$7=0,"",'Fiche info Avenant 10'!$AG$7)</f>
        <v/>
      </c>
      <c r="G856" s="16">
        <f t="shared" si="168"/>
        <v>0</v>
      </c>
      <c r="BX856" s="16" t="str">
        <f t="shared" si="169"/>
        <v>Fiche info Avenant 10C1</v>
      </c>
      <c r="BY856" s="449">
        <f>'Fiche info Avenant 10'!$X$7</f>
        <v>0</v>
      </c>
      <c r="BZ856" s="449">
        <f>'Fiche info Avenant 10'!$Y$7</f>
        <v>0</v>
      </c>
      <c r="CA856" s="449">
        <f>'Fiche info Avenant 10'!$Z$7</f>
        <v>0</v>
      </c>
      <c r="CB856" s="449">
        <f>'Fiche info Avenant 10'!$AA$7</f>
        <v>0</v>
      </c>
      <c r="CC856" s="449">
        <f>'Fiche info Avenant 10'!$AB$7</f>
        <v>0</v>
      </c>
      <c r="CD856" s="449">
        <f>'Fiche info Avenant 10'!$AC$7</f>
        <v>0</v>
      </c>
      <c r="CE856" s="449">
        <f>'Fiche info Avenant 10'!$AD$7</f>
        <v>0</v>
      </c>
      <c r="CF856" s="449">
        <f>'Fiche info Avenant 10'!$AE$7</f>
        <v>0</v>
      </c>
      <c r="ED856" s="16" t="str">
        <f t="shared" si="162"/>
        <v>Fiche info Avenant 10C</v>
      </c>
      <c r="EE856" s="16" t="str">
        <f t="shared" si="163"/>
        <v>Fiche info Avenant 10</v>
      </c>
      <c r="EF856" s="16" t="str">
        <f t="shared" si="164"/>
        <v>C</v>
      </c>
      <c r="EG856" s="16">
        <f t="shared" si="165"/>
        <v>1</v>
      </c>
      <c r="EH856" s="16" t="str">
        <f t="shared" si="166"/>
        <v>Lundi</v>
      </c>
      <c r="EI856" s="16" t="str">
        <f t="shared" si="167"/>
        <v/>
      </c>
    </row>
    <row r="857" spans="1:139" x14ac:dyDescent="0.2">
      <c r="A857" s="16" t="str">
        <f t="shared" si="170"/>
        <v>Fiche info Avenant 10C2</v>
      </c>
      <c r="B857" s="16" t="str">
        <f t="shared" si="171"/>
        <v>Fiche info Avenant 10</v>
      </c>
      <c r="C857" s="27" t="s">
        <v>241</v>
      </c>
      <c r="D857" s="27">
        <v>2</v>
      </c>
      <c r="E857" s="16" t="s">
        <v>18</v>
      </c>
      <c r="F857" s="34" t="str">
        <f>+IF('Fiche info Avenant 10'!$AG$8=0,"",'Fiche info Avenant 10'!$AG$8)</f>
        <v/>
      </c>
      <c r="G857" s="16">
        <f t="shared" si="168"/>
        <v>0</v>
      </c>
      <c r="BX857" s="16" t="str">
        <f t="shared" si="169"/>
        <v>Fiche info Avenant 10C2</v>
      </c>
      <c r="BY857" s="449">
        <f>'Fiche info Avenant 10'!$X$8</f>
        <v>0</v>
      </c>
      <c r="BZ857" s="449">
        <f>'Fiche info Avenant 10'!$Y$8</f>
        <v>0</v>
      </c>
      <c r="CA857" s="449">
        <f>'Fiche info Avenant 10'!$Z$8</f>
        <v>0</v>
      </c>
      <c r="CB857" s="449">
        <f>'Fiche info Avenant 10'!$AA$8</f>
        <v>0</v>
      </c>
      <c r="CC857" s="449">
        <f>'Fiche info Avenant 10'!$AB$8</f>
        <v>0</v>
      </c>
      <c r="CD857" s="449">
        <f>'Fiche info Avenant 10'!$AC$8</f>
        <v>0</v>
      </c>
      <c r="CE857" s="449">
        <f>'Fiche info Avenant 10'!$AD$8</f>
        <v>0</v>
      </c>
      <c r="CF857" s="449">
        <f>'Fiche info Avenant 10'!$AE$8</f>
        <v>0</v>
      </c>
      <c r="ED857" s="16" t="str">
        <f t="shared" si="162"/>
        <v>Fiche info Avenant 10C</v>
      </c>
      <c r="EE857" s="16" t="str">
        <f t="shared" si="163"/>
        <v>Fiche info Avenant 10</v>
      </c>
      <c r="EF857" s="16" t="str">
        <f t="shared" si="164"/>
        <v>C</v>
      </c>
      <c r="EG857" s="16">
        <f t="shared" si="165"/>
        <v>2</v>
      </c>
      <c r="EH857" s="16" t="str">
        <f t="shared" si="166"/>
        <v>Mardi</v>
      </c>
      <c r="EI857" s="16" t="str">
        <f t="shared" si="167"/>
        <v/>
      </c>
    </row>
    <row r="858" spans="1:139" x14ac:dyDescent="0.2">
      <c r="A858" s="16" t="str">
        <f t="shared" si="170"/>
        <v>Fiche info Avenant 10C3</v>
      </c>
      <c r="B858" s="16" t="str">
        <f t="shared" si="171"/>
        <v>Fiche info Avenant 10</v>
      </c>
      <c r="C858" s="27" t="s">
        <v>241</v>
      </c>
      <c r="D858" s="27">
        <v>3</v>
      </c>
      <c r="E858" s="16" t="s">
        <v>19</v>
      </c>
      <c r="F858" s="34" t="str">
        <f>+IF('Fiche info Avenant 10'!$AG$9=0,"",'Fiche info Avenant 10'!$AG$9)</f>
        <v/>
      </c>
      <c r="G858" s="16">
        <f t="shared" si="168"/>
        <v>0</v>
      </c>
      <c r="BX858" s="16" t="str">
        <f t="shared" si="169"/>
        <v>Fiche info Avenant 10C3</v>
      </c>
      <c r="BY858" s="449">
        <f>'Fiche info Avenant 10'!$X$9</f>
        <v>0</v>
      </c>
      <c r="BZ858" s="449">
        <f>'Fiche info Avenant 10'!$Y$9</f>
        <v>0</v>
      </c>
      <c r="CA858" s="449">
        <f>'Fiche info Avenant 10'!$Z$9</f>
        <v>0</v>
      </c>
      <c r="CB858" s="449">
        <f>'Fiche info Avenant 10'!$AA$9</f>
        <v>0</v>
      </c>
      <c r="CC858" s="449">
        <f>'Fiche info Avenant 10'!$AB$9</f>
        <v>0</v>
      </c>
      <c r="CD858" s="449">
        <f>'Fiche info Avenant 10'!$AC$9</f>
        <v>0</v>
      </c>
      <c r="CE858" s="449">
        <f>'Fiche info Avenant 10'!$AD$9</f>
        <v>0</v>
      </c>
      <c r="CF858" s="449">
        <f>'Fiche info Avenant 10'!$AE$9</f>
        <v>0</v>
      </c>
      <c r="ED858" s="16" t="str">
        <f t="shared" si="162"/>
        <v>Fiche info Avenant 10C</v>
      </c>
      <c r="EE858" s="16" t="str">
        <f t="shared" si="163"/>
        <v>Fiche info Avenant 10</v>
      </c>
      <c r="EF858" s="16" t="str">
        <f t="shared" si="164"/>
        <v>C</v>
      </c>
      <c r="EG858" s="16">
        <f t="shared" si="165"/>
        <v>3</v>
      </c>
      <c r="EH858" s="16" t="str">
        <f t="shared" si="166"/>
        <v>Mercredi</v>
      </c>
      <c r="EI858" s="16" t="str">
        <f t="shared" si="167"/>
        <v/>
      </c>
    </row>
    <row r="859" spans="1:139" x14ac:dyDescent="0.2">
      <c r="A859" s="16" t="str">
        <f t="shared" si="170"/>
        <v>Fiche info Avenant 10C4</v>
      </c>
      <c r="B859" s="16" t="str">
        <f t="shared" si="171"/>
        <v>Fiche info Avenant 10</v>
      </c>
      <c r="C859" s="27" t="s">
        <v>241</v>
      </c>
      <c r="D859" s="27">
        <v>4</v>
      </c>
      <c r="E859" s="16" t="s">
        <v>20</v>
      </c>
      <c r="F859" s="34" t="str">
        <f>+IF('Fiche info Avenant 10'!$AG$10=0,"",'Fiche info Avenant 10'!$AG$10)</f>
        <v/>
      </c>
      <c r="G859" s="16">
        <f t="shared" si="168"/>
        <v>0</v>
      </c>
      <c r="BX859" s="16" t="str">
        <f t="shared" si="169"/>
        <v>Fiche info Avenant 10C4</v>
      </c>
      <c r="BY859" s="449">
        <f>'Fiche info Avenant 10'!$X$10</f>
        <v>0</v>
      </c>
      <c r="BZ859" s="449">
        <f>'Fiche info Avenant 10'!$Y$10</f>
        <v>0</v>
      </c>
      <c r="CA859" s="449">
        <f>'Fiche info Avenant 10'!$Z$10</f>
        <v>0</v>
      </c>
      <c r="CB859" s="449">
        <f>'Fiche info Avenant 10'!$AA$10</f>
        <v>0</v>
      </c>
      <c r="CC859" s="449">
        <f>'Fiche info Avenant 10'!$AB$10</f>
        <v>0</v>
      </c>
      <c r="CD859" s="449">
        <f>'Fiche info Avenant 10'!$AC$10</f>
        <v>0</v>
      </c>
      <c r="CE859" s="449">
        <f>'Fiche info Avenant 10'!$AD$10</f>
        <v>0</v>
      </c>
      <c r="CF859" s="449">
        <f>'Fiche info Avenant 10'!$AE$10</f>
        <v>0</v>
      </c>
      <c r="ED859" s="16" t="str">
        <f t="shared" si="162"/>
        <v>Fiche info Avenant 10C</v>
      </c>
      <c r="EE859" s="16" t="str">
        <f t="shared" si="163"/>
        <v>Fiche info Avenant 10</v>
      </c>
      <c r="EF859" s="16" t="str">
        <f t="shared" si="164"/>
        <v>C</v>
      </c>
      <c r="EG859" s="16">
        <f t="shared" si="165"/>
        <v>4</v>
      </c>
      <c r="EH859" s="16" t="str">
        <f t="shared" si="166"/>
        <v>Jeudi</v>
      </c>
      <c r="EI859" s="16" t="str">
        <f t="shared" si="167"/>
        <v/>
      </c>
    </row>
    <row r="860" spans="1:139" x14ac:dyDescent="0.2">
      <c r="A860" s="16" t="str">
        <f t="shared" si="170"/>
        <v>Fiche info Avenant 10C5</v>
      </c>
      <c r="B860" s="16" t="str">
        <f t="shared" si="171"/>
        <v>Fiche info Avenant 10</v>
      </c>
      <c r="C860" s="27" t="s">
        <v>241</v>
      </c>
      <c r="D860" s="27">
        <v>5</v>
      </c>
      <c r="E860" s="16" t="s">
        <v>21</v>
      </c>
      <c r="F860" s="34" t="str">
        <f>+IF('Fiche info Avenant 10'!$AG$11=0,"",'Fiche info Avenant 10'!$AG$11)</f>
        <v/>
      </c>
      <c r="G860" s="16">
        <f t="shared" si="168"/>
        <v>0</v>
      </c>
      <c r="BX860" s="16" t="str">
        <f t="shared" si="169"/>
        <v>Fiche info Avenant 10C5</v>
      </c>
      <c r="BY860" s="449">
        <f>'Fiche info Avenant 10'!$X$11</f>
        <v>0</v>
      </c>
      <c r="BZ860" s="449">
        <f>'Fiche info Avenant 10'!$Y$11</f>
        <v>0</v>
      </c>
      <c r="CA860" s="449">
        <f>'Fiche info Avenant 10'!$Z$11</f>
        <v>0</v>
      </c>
      <c r="CB860" s="449">
        <f>'Fiche info Avenant 10'!$AA$11</f>
        <v>0</v>
      </c>
      <c r="CC860" s="449">
        <f>'Fiche info Avenant 10'!$AB$11</f>
        <v>0</v>
      </c>
      <c r="CD860" s="449">
        <f>'Fiche info Avenant 10'!$AC$11</f>
        <v>0</v>
      </c>
      <c r="CE860" s="449">
        <f>'Fiche info Avenant 10'!$AD$11</f>
        <v>0</v>
      </c>
      <c r="CF860" s="449">
        <f>'Fiche info Avenant 10'!$AE$11</f>
        <v>0</v>
      </c>
      <c r="ED860" s="16" t="str">
        <f t="shared" si="162"/>
        <v>Fiche info Avenant 10C</v>
      </c>
      <c r="EE860" s="16" t="str">
        <f t="shared" si="163"/>
        <v>Fiche info Avenant 10</v>
      </c>
      <c r="EF860" s="16" t="str">
        <f t="shared" si="164"/>
        <v>C</v>
      </c>
      <c r="EG860" s="16">
        <f t="shared" si="165"/>
        <v>5</v>
      </c>
      <c r="EH860" s="16" t="str">
        <f t="shared" si="166"/>
        <v>Vendredi</v>
      </c>
      <c r="EI860" s="16" t="str">
        <f t="shared" si="167"/>
        <v/>
      </c>
    </row>
    <row r="861" spans="1:139" x14ac:dyDescent="0.2">
      <c r="A861" s="16" t="str">
        <f t="shared" si="170"/>
        <v>Fiche info Avenant 10C6</v>
      </c>
      <c r="B861" s="16" t="str">
        <f t="shared" si="171"/>
        <v>Fiche info Avenant 10</v>
      </c>
      <c r="C861" s="27" t="s">
        <v>241</v>
      </c>
      <c r="D861" s="27">
        <v>6</v>
      </c>
      <c r="E861" s="16" t="s">
        <v>193</v>
      </c>
      <c r="F861" s="34" t="str">
        <f>+IF('Fiche info Avenant 10'!$AG$12=0,"",'Fiche info Avenant 10'!$AG$12)</f>
        <v/>
      </c>
      <c r="G861" s="16">
        <f t="shared" si="168"/>
        <v>0</v>
      </c>
      <c r="BX861" s="16" t="str">
        <f t="shared" si="169"/>
        <v>Fiche info Avenant 10C6</v>
      </c>
      <c r="BY861" s="449">
        <f>'Fiche info Avenant 10'!$X$12</f>
        <v>0</v>
      </c>
      <c r="BZ861" s="449">
        <f>'Fiche info Avenant 10'!$Y$12</f>
        <v>0</v>
      </c>
      <c r="CA861" s="449">
        <f>'Fiche info Avenant 10'!$Z$12</f>
        <v>0</v>
      </c>
      <c r="CB861" s="449">
        <f>'Fiche info Avenant 10'!$AA$12</f>
        <v>0</v>
      </c>
      <c r="CC861" s="449">
        <f>'Fiche info Avenant 10'!$AB$12</f>
        <v>0</v>
      </c>
      <c r="CD861" s="449">
        <f>'Fiche info Avenant 10'!$AC$12</f>
        <v>0</v>
      </c>
      <c r="CE861" s="449">
        <f>'Fiche info Avenant 10'!$AD$12</f>
        <v>0</v>
      </c>
      <c r="CF861" s="449">
        <f>'Fiche info Avenant 10'!$AE$12</f>
        <v>0</v>
      </c>
      <c r="ED861" s="16" t="str">
        <f t="shared" si="162"/>
        <v>Fiche info Avenant 10C</v>
      </c>
      <c r="EE861" s="16" t="str">
        <f t="shared" si="163"/>
        <v>Fiche info Avenant 10</v>
      </c>
      <c r="EF861" s="16" t="str">
        <f t="shared" si="164"/>
        <v>C</v>
      </c>
      <c r="EG861" s="16">
        <f t="shared" si="165"/>
        <v>6</v>
      </c>
      <c r="EH861" s="16" t="str">
        <f t="shared" si="166"/>
        <v>Samedi</v>
      </c>
      <c r="EI861" s="16" t="str">
        <f t="shared" si="167"/>
        <v/>
      </c>
    </row>
    <row r="862" spans="1:139" x14ac:dyDescent="0.2">
      <c r="A862" s="16" t="str">
        <f t="shared" si="170"/>
        <v>Fiche info Avenant 10C7</v>
      </c>
      <c r="B862" s="16" t="str">
        <f t="shared" si="171"/>
        <v>Fiche info Avenant 10</v>
      </c>
      <c r="C862" s="27" t="s">
        <v>241</v>
      </c>
      <c r="D862" s="27">
        <v>7</v>
      </c>
      <c r="E862" s="16" t="s">
        <v>194</v>
      </c>
      <c r="F862" s="34" t="str">
        <f>+IF('Fiche info Avenant 10'!$AG$13=0,"",'Fiche info Avenant 10'!$AG$13)</f>
        <v/>
      </c>
      <c r="G862" s="16">
        <f t="shared" si="168"/>
        <v>0</v>
      </c>
      <c r="BX862" s="16" t="str">
        <f t="shared" si="169"/>
        <v>Fiche info Avenant 10C7</v>
      </c>
      <c r="BY862" s="449">
        <f>'Fiche info Avenant 10'!$X$13</f>
        <v>0</v>
      </c>
      <c r="BZ862" s="449">
        <f>'Fiche info Avenant 10'!$Y$13</f>
        <v>0</v>
      </c>
      <c r="CA862" s="449">
        <f>'Fiche info Avenant 10'!$Z$13</f>
        <v>0</v>
      </c>
      <c r="CB862" s="449">
        <f>'Fiche info Avenant 10'!$AA$13</f>
        <v>0</v>
      </c>
      <c r="CC862" s="449">
        <f>'Fiche info Avenant 10'!$AB$13</f>
        <v>0</v>
      </c>
      <c r="CD862" s="449">
        <f>'Fiche info Avenant 10'!$AC$13</f>
        <v>0</v>
      </c>
      <c r="CE862" s="449">
        <f>'Fiche info Avenant 10'!$AD$13</f>
        <v>0</v>
      </c>
      <c r="CF862" s="449">
        <f>'Fiche info Avenant 10'!$AE$13</f>
        <v>0</v>
      </c>
      <c r="ED862" s="16" t="str">
        <f t="shared" si="162"/>
        <v>Fiche info Avenant 10C</v>
      </c>
      <c r="EE862" s="16" t="str">
        <f t="shared" si="163"/>
        <v>Fiche info Avenant 10</v>
      </c>
      <c r="EF862" s="16" t="str">
        <f t="shared" si="164"/>
        <v>C</v>
      </c>
      <c r="EG862" s="16">
        <f t="shared" si="165"/>
        <v>7</v>
      </c>
      <c r="EH862" s="16" t="str">
        <f t="shared" si="166"/>
        <v>Dimanche</v>
      </c>
      <c r="EI862" s="16" t="str">
        <f t="shared" si="167"/>
        <v/>
      </c>
    </row>
    <row r="863" spans="1:139" x14ac:dyDescent="0.2">
      <c r="A863" s="16" t="str">
        <f t="shared" si="170"/>
        <v>Fiche info Avenant 10D1</v>
      </c>
      <c r="B863" s="16" t="str">
        <f t="shared" si="171"/>
        <v>Fiche info Avenant 10</v>
      </c>
      <c r="C863" s="27" t="s">
        <v>242</v>
      </c>
      <c r="D863" s="27">
        <v>1</v>
      </c>
      <c r="E863" s="16" t="s">
        <v>17</v>
      </c>
      <c r="F863" s="34" t="str">
        <f>+IF('Fiche info Avenant 10'!$AR$7=0,"",'Fiche info Avenant 10'!$AR$7)</f>
        <v/>
      </c>
      <c r="G863" s="16">
        <f t="shared" si="168"/>
        <v>0</v>
      </c>
      <c r="BX863" s="16" t="str">
        <f t="shared" si="169"/>
        <v>Fiche info Avenant 10D1</v>
      </c>
      <c r="BY863" s="449">
        <f>'Fiche info Avenant 10'!$AI$7</f>
        <v>0</v>
      </c>
      <c r="BZ863" s="449">
        <f>'Fiche info Avenant 10'!$AJ$7</f>
        <v>0</v>
      </c>
      <c r="CA863" s="449">
        <f>'Fiche info Avenant 10'!$AK$7</f>
        <v>0</v>
      </c>
      <c r="CB863" s="449">
        <f>'Fiche info Avenant 10'!$AL$7</f>
        <v>0</v>
      </c>
      <c r="CC863" s="449">
        <f>'Fiche info Avenant 10'!$AM$7</f>
        <v>0</v>
      </c>
      <c r="CD863" s="449">
        <f>'Fiche info Avenant 10'!$AN$7</f>
        <v>0</v>
      </c>
      <c r="CE863" s="449">
        <f>'Fiche info Avenant 10'!$AO$7</f>
        <v>0</v>
      </c>
      <c r="CF863" s="449">
        <f>'Fiche info Avenant 10'!$AP$7</f>
        <v>0</v>
      </c>
      <c r="ED863" s="16" t="str">
        <f t="shared" si="162"/>
        <v>Fiche info Avenant 10D</v>
      </c>
      <c r="EE863" s="16" t="str">
        <f t="shared" si="163"/>
        <v>Fiche info Avenant 10</v>
      </c>
      <c r="EF863" s="16" t="str">
        <f t="shared" si="164"/>
        <v>D</v>
      </c>
      <c r="EG863" s="16">
        <f t="shared" si="165"/>
        <v>1</v>
      </c>
      <c r="EH863" s="16" t="str">
        <f t="shared" si="166"/>
        <v>Lundi</v>
      </c>
      <c r="EI863" s="16" t="str">
        <f t="shared" si="167"/>
        <v/>
      </c>
    </row>
    <row r="864" spans="1:139" x14ac:dyDescent="0.2">
      <c r="A864" s="16" t="str">
        <f t="shared" si="170"/>
        <v>Fiche info Avenant 10D2</v>
      </c>
      <c r="B864" s="16" t="str">
        <f t="shared" si="171"/>
        <v>Fiche info Avenant 10</v>
      </c>
      <c r="C864" s="27" t="s">
        <v>242</v>
      </c>
      <c r="D864" s="27">
        <v>2</v>
      </c>
      <c r="E864" s="16" t="s">
        <v>18</v>
      </c>
      <c r="F864" s="34" t="str">
        <f>IF(+'Fiche info Avenant 10'!$AR$8=0,"",'Fiche info Avenant 10'!$AR$8)</f>
        <v/>
      </c>
      <c r="G864" s="16">
        <f t="shared" si="168"/>
        <v>0</v>
      </c>
      <c r="BX864" s="16" t="str">
        <f t="shared" si="169"/>
        <v>Fiche info Avenant 10D2</v>
      </c>
      <c r="BY864" s="449">
        <f>'Fiche info Avenant 10'!$AI$8</f>
        <v>0</v>
      </c>
      <c r="BZ864" s="449">
        <f>'Fiche info Avenant 10'!$AJ$8</f>
        <v>0</v>
      </c>
      <c r="CA864" s="449">
        <f>'Fiche info Avenant 10'!$AK$8</f>
        <v>0</v>
      </c>
      <c r="CB864" s="449">
        <f>'Fiche info Avenant 10'!$AL$8</f>
        <v>0</v>
      </c>
      <c r="CC864" s="449">
        <f>'Fiche info Avenant 10'!$AM$8</f>
        <v>0</v>
      </c>
      <c r="CD864" s="449">
        <f>'Fiche info Avenant 10'!$AN$8</f>
        <v>0</v>
      </c>
      <c r="CE864" s="449">
        <f>'Fiche info Avenant 10'!$AO$8</f>
        <v>0</v>
      </c>
      <c r="CF864" s="449">
        <f>'Fiche info Avenant 10'!$AP$8</f>
        <v>0</v>
      </c>
      <c r="ED864" s="16" t="str">
        <f t="shared" si="162"/>
        <v>Fiche info Avenant 10D</v>
      </c>
      <c r="EE864" s="16" t="str">
        <f t="shared" si="163"/>
        <v>Fiche info Avenant 10</v>
      </c>
      <c r="EF864" s="16" t="str">
        <f t="shared" si="164"/>
        <v>D</v>
      </c>
      <c r="EG864" s="16">
        <f t="shared" si="165"/>
        <v>2</v>
      </c>
      <c r="EH864" s="16" t="str">
        <f t="shared" si="166"/>
        <v>Mardi</v>
      </c>
      <c r="EI864" s="16" t="str">
        <f t="shared" si="167"/>
        <v/>
      </c>
    </row>
    <row r="865" spans="1:139" x14ac:dyDescent="0.2">
      <c r="A865" s="16" t="str">
        <f t="shared" si="170"/>
        <v>Fiche info Avenant 10D3</v>
      </c>
      <c r="B865" s="16" t="str">
        <f t="shared" si="171"/>
        <v>Fiche info Avenant 10</v>
      </c>
      <c r="C865" s="27" t="s">
        <v>242</v>
      </c>
      <c r="D865" s="27">
        <v>3</v>
      </c>
      <c r="E865" s="16" t="s">
        <v>19</v>
      </c>
      <c r="F865" s="34" t="str">
        <f>IF(+'Fiche info Avenant 10'!$AR$9=0,"",'Fiche info Avenant 10'!$AR$9)</f>
        <v/>
      </c>
      <c r="G865" s="16">
        <f t="shared" si="168"/>
        <v>0</v>
      </c>
      <c r="BX865" s="16" t="str">
        <f t="shared" si="169"/>
        <v>Fiche info Avenant 10D3</v>
      </c>
      <c r="BY865" s="449">
        <f>'Fiche info Avenant 10'!$AI$9</f>
        <v>0</v>
      </c>
      <c r="BZ865" s="449">
        <f>'Fiche info Avenant 10'!$AJ$9</f>
        <v>0</v>
      </c>
      <c r="CA865" s="449">
        <f>'Fiche info Avenant 10'!$AK$9</f>
        <v>0</v>
      </c>
      <c r="CB865" s="449">
        <f>'Fiche info Avenant 10'!$AL$9</f>
        <v>0</v>
      </c>
      <c r="CC865" s="449">
        <f>'Fiche info Avenant 10'!$AM$9</f>
        <v>0</v>
      </c>
      <c r="CD865" s="449">
        <f>'Fiche info Avenant 10'!$AN$9</f>
        <v>0</v>
      </c>
      <c r="CE865" s="449">
        <f>'Fiche info Avenant 10'!$AO$9</f>
        <v>0</v>
      </c>
      <c r="CF865" s="449">
        <f>'Fiche info Avenant 10'!$AP$9</f>
        <v>0</v>
      </c>
      <c r="ED865" s="16" t="str">
        <f t="shared" si="162"/>
        <v>Fiche info Avenant 10D</v>
      </c>
      <c r="EE865" s="16" t="str">
        <f t="shared" si="163"/>
        <v>Fiche info Avenant 10</v>
      </c>
      <c r="EF865" s="16" t="str">
        <f t="shared" si="164"/>
        <v>D</v>
      </c>
      <c r="EG865" s="16">
        <f t="shared" si="165"/>
        <v>3</v>
      </c>
      <c r="EH865" s="16" t="str">
        <f t="shared" si="166"/>
        <v>Mercredi</v>
      </c>
      <c r="EI865" s="16" t="str">
        <f t="shared" si="167"/>
        <v/>
      </c>
    </row>
    <row r="866" spans="1:139" x14ac:dyDescent="0.2">
      <c r="A866" s="16" t="str">
        <f t="shared" si="170"/>
        <v>Fiche info Avenant 10D4</v>
      </c>
      <c r="B866" s="16" t="str">
        <f t="shared" si="171"/>
        <v>Fiche info Avenant 10</v>
      </c>
      <c r="C866" s="27" t="s">
        <v>242</v>
      </c>
      <c r="D866" s="27">
        <v>4</v>
      </c>
      <c r="E866" s="16" t="s">
        <v>20</v>
      </c>
      <c r="F866" s="34" t="str">
        <f>IF(+'Fiche info Avenant 10'!$AR$10=0,"",'Fiche info Avenant 10'!$AR$10)</f>
        <v/>
      </c>
      <c r="G866" s="16">
        <f t="shared" si="168"/>
        <v>0</v>
      </c>
      <c r="BX866" s="16" t="str">
        <f t="shared" si="169"/>
        <v>Fiche info Avenant 10D4</v>
      </c>
      <c r="BY866" s="449">
        <f>'Fiche info Avenant 10'!$AI$10</f>
        <v>0</v>
      </c>
      <c r="BZ866" s="449">
        <f>'Fiche info Avenant 10'!$AJ$10</f>
        <v>0</v>
      </c>
      <c r="CA866" s="449">
        <f>'Fiche info Avenant 10'!$AK$10</f>
        <v>0</v>
      </c>
      <c r="CB866" s="449">
        <f>'Fiche info Avenant 10'!$AL$10</f>
        <v>0</v>
      </c>
      <c r="CC866" s="449">
        <f>'Fiche info Avenant 10'!$AM$10</f>
        <v>0</v>
      </c>
      <c r="CD866" s="449">
        <f>'Fiche info Avenant 10'!$AN$10</f>
        <v>0</v>
      </c>
      <c r="CE866" s="449">
        <f>'Fiche info Avenant 10'!$AO$10</f>
        <v>0</v>
      </c>
      <c r="CF866" s="449">
        <f>'Fiche info Avenant 10'!$AP$10</f>
        <v>0</v>
      </c>
      <c r="ED866" s="16" t="str">
        <f t="shared" si="162"/>
        <v>Fiche info Avenant 10D</v>
      </c>
      <c r="EE866" s="16" t="str">
        <f t="shared" si="163"/>
        <v>Fiche info Avenant 10</v>
      </c>
      <c r="EF866" s="16" t="str">
        <f t="shared" si="164"/>
        <v>D</v>
      </c>
      <c r="EG866" s="16">
        <f t="shared" si="165"/>
        <v>4</v>
      </c>
      <c r="EH866" s="16" t="str">
        <f t="shared" si="166"/>
        <v>Jeudi</v>
      </c>
      <c r="EI866" s="16" t="str">
        <f t="shared" si="167"/>
        <v/>
      </c>
    </row>
    <row r="867" spans="1:139" x14ac:dyDescent="0.2">
      <c r="A867" s="16" t="str">
        <f t="shared" si="170"/>
        <v>Fiche info Avenant 10D5</v>
      </c>
      <c r="B867" s="16" t="str">
        <f t="shared" si="171"/>
        <v>Fiche info Avenant 10</v>
      </c>
      <c r="C867" s="27" t="s">
        <v>242</v>
      </c>
      <c r="D867" s="27">
        <v>5</v>
      </c>
      <c r="E867" s="16" t="s">
        <v>21</v>
      </c>
      <c r="F867" s="34" t="str">
        <f>IF(+'Fiche info Avenant 10'!$AR$11=0,"",'Fiche info Avenant 10'!$AR$11)</f>
        <v/>
      </c>
      <c r="G867" s="16">
        <f t="shared" si="168"/>
        <v>0</v>
      </c>
      <c r="BX867" s="16" t="str">
        <f t="shared" si="169"/>
        <v>Fiche info Avenant 10D5</v>
      </c>
      <c r="BY867" s="449">
        <f>'Fiche info Avenant 10'!$AI$11</f>
        <v>0</v>
      </c>
      <c r="BZ867" s="449">
        <f>'Fiche info Avenant 10'!$AJ$11</f>
        <v>0</v>
      </c>
      <c r="CA867" s="449">
        <f>'Fiche info Avenant 10'!$AK$11</f>
        <v>0</v>
      </c>
      <c r="CB867" s="449">
        <f>'Fiche info Avenant 10'!$AL$11</f>
        <v>0</v>
      </c>
      <c r="CC867" s="449">
        <f>'Fiche info Avenant 10'!$AM$11</f>
        <v>0</v>
      </c>
      <c r="CD867" s="449">
        <f>'Fiche info Avenant 10'!$AN$11</f>
        <v>0</v>
      </c>
      <c r="CE867" s="449">
        <f>'Fiche info Avenant 10'!$AO$11</f>
        <v>0</v>
      </c>
      <c r="CF867" s="449">
        <f>'Fiche info Avenant 10'!$AP$11</f>
        <v>0</v>
      </c>
      <c r="ED867" s="16" t="str">
        <f t="shared" si="162"/>
        <v>Fiche info Avenant 10D</v>
      </c>
      <c r="EE867" s="16" t="str">
        <f t="shared" si="163"/>
        <v>Fiche info Avenant 10</v>
      </c>
      <c r="EF867" s="16" t="str">
        <f t="shared" si="164"/>
        <v>D</v>
      </c>
      <c r="EG867" s="16">
        <f t="shared" si="165"/>
        <v>5</v>
      </c>
      <c r="EH867" s="16" t="str">
        <f t="shared" si="166"/>
        <v>Vendredi</v>
      </c>
      <c r="EI867" s="16" t="str">
        <f t="shared" si="167"/>
        <v/>
      </c>
    </row>
    <row r="868" spans="1:139" x14ac:dyDescent="0.2">
      <c r="A868" s="16" t="str">
        <f t="shared" si="170"/>
        <v>Fiche info Avenant 10D6</v>
      </c>
      <c r="B868" s="16" t="str">
        <f t="shared" si="171"/>
        <v>Fiche info Avenant 10</v>
      </c>
      <c r="C868" s="27" t="s">
        <v>242</v>
      </c>
      <c r="D868" s="27">
        <v>6</v>
      </c>
      <c r="E868" s="16" t="s">
        <v>193</v>
      </c>
      <c r="F868" s="34" t="str">
        <f>IF(+'Fiche info Avenant 10'!$AR$12=0,"",'Fiche info Avenant 10'!$AR$12)</f>
        <v/>
      </c>
      <c r="G868" s="16">
        <f t="shared" si="168"/>
        <v>0</v>
      </c>
      <c r="BX868" s="16" t="str">
        <f t="shared" si="169"/>
        <v>Fiche info Avenant 10D6</v>
      </c>
      <c r="BY868" s="449">
        <f>'Fiche info Avenant 10'!$AI$12</f>
        <v>0</v>
      </c>
      <c r="BZ868" s="449">
        <f>'Fiche info Avenant 10'!$AJ$12</f>
        <v>0</v>
      </c>
      <c r="CA868" s="449">
        <f>'Fiche info Avenant 10'!$AK$12</f>
        <v>0</v>
      </c>
      <c r="CB868" s="449">
        <f>'Fiche info Avenant 10'!$AL$12</f>
        <v>0</v>
      </c>
      <c r="CC868" s="449">
        <f>'Fiche info Avenant 10'!$AM$12</f>
        <v>0</v>
      </c>
      <c r="CD868" s="449">
        <f>'Fiche info Avenant 10'!$AN$12</f>
        <v>0</v>
      </c>
      <c r="CE868" s="449">
        <f>'Fiche info Avenant 10'!$AO$12</f>
        <v>0</v>
      </c>
      <c r="CF868" s="449">
        <f>'Fiche info Avenant 10'!$AP$12</f>
        <v>0</v>
      </c>
      <c r="ED868" s="16" t="str">
        <f t="shared" si="162"/>
        <v>Fiche info Avenant 10D</v>
      </c>
      <c r="EE868" s="16" t="str">
        <f t="shared" si="163"/>
        <v>Fiche info Avenant 10</v>
      </c>
      <c r="EF868" s="16" t="str">
        <f t="shared" si="164"/>
        <v>D</v>
      </c>
      <c r="EG868" s="16">
        <f t="shared" si="165"/>
        <v>6</v>
      </c>
      <c r="EH868" s="16" t="str">
        <f t="shared" si="166"/>
        <v>Samedi</v>
      </c>
      <c r="EI868" s="16" t="str">
        <f t="shared" si="167"/>
        <v/>
      </c>
    </row>
    <row r="869" spans="1:139" x14ac:dyDescent="0.2">
      <c r="A869" s="16" t="str">
        <f t="shared" si="170"/>
        <v>Fiche info Avenant 10D7</v>
      </c>
      <c r="B869" s="16" t="str">
        <f t="shared" si="171"/>
        <v>Fiche info Avenant 10</v>
      </c>
      <c r="C869" s="27" t="s">
        <v>242</v>
      </c>
      <c r="D869" s="27">
        <v>7</v>
      </c>
      <c r="E869" s="16" t="s">
        <v>194</v>
      </c>
      <c r="F869" s="34" t="str">
        <f>IF(+'Fiche info Avenant 10'!$AR$13=0,"",'Fiche info Avenant 10'!$AR$13)</f>
        <v/>
      </c>
      <c r="G869" s="16">
        <f t="shared" si="168"/>
        <v>0</v>
      </c>
      <c r="BX869" s="16" t="str">
        <f t="shared" si="169"/>
        <v>Fiche info Avenant 10D7</v>
      </c>
      <c r="BY869" s="449">
        <f>'Fiche info Avenant 10'!$AI$13</f>
        <v>0</v>
      </c>
      <c r="BZ869" s="449">
        <f>'Fiche info Avenant 10'!$AJ$13</f>
        <v>0</v>
      </c>
      <c r="CA869" s="449">
        <f>'Fiche info Avenant 10'!$AK$13</f>
        <v>0</v>
      </c>
      <c r="CB869" s="449">
        <f>'Fiche info Avenant 10'!$AL$13</f>
        <v>0</v>
      </c>
      <c r="CC869" s="449">
        <f>'Fiche info Avenant 10'!$AM$13</f>
        <v>0</v>
      </c>
      <c r="CD869" s="449">
        <f>'Fiche info Avenant 10'!$AN$13</f>
        <v>0</v>
      </c>
      <c r="CE869" s="449">
        <f>'Fiche info Avenant 10'!$AO$13</f>
        <v>0</v>
      </c>
      <c r="CF869" s="449">
        <f>'Fiche info Avenant 10'!$AP$13</f>
        <v>0</v>
      </c>
      <c r="ED869" s="16" t="str">
        <f t="shared" si="162"/>
        <v>Fiche info Avenant 10D</v>
      </c>
      <c r="EE869" s="16" t="str">
        <f t="shared" si="163"/>
        <v>Fiche info Avenant 10</v>
      </c>
      <c r="EF869" s="16" t="str">
        <f t="shared" si="164"/>
        <v>D</v>
      </c>
      <c r="EG869" s="16">
        <f t="shared" si="165"/>
        <v>7</v>
      </c>
      <c r="EH869" s="16" t="str">
        <f t="shared" si="166"/>
        <v>Dimanche</v>
      </c>
      <c r="EI869" s="16" t="str">
        <f t="shared" si="167"/>
        <v/>
      </c>
    </row>
    <row r="870" spans="1:139" x14ac:dyDescent="0.2">
      <c r="A870" s="16" t="str">
        <f t="shared" si="170"/>
        <v>Fiche info Avenant 10E1</v>
      </c>
      <c r="B870" s="16" t="str">
        <f t="shared" si="171"/>
        <v>Fiche info Avenant 10</v>
      </c>
      <c r="C870" s="27" t="s">
        <v>243</v>
      </c>
      <c r="D870" s="27">
        <v>1</v>
      </c>
      <c r="E870" s="16" t="s">
        <v>17</v>
      </c>
      <c r="F870" s="34" t="str">
        <f>IF(+'Fiche info Avenant 10'!$BC$7=0,"",'Fiche info Avenant 10'!$BC$7)</f>
        <v/>
      </c>
      <c r="G870" s="16">
        <f t="shared" si="168"/>
        <v>0</v>
      </c>
      <c r="BX870" s="16" t="str">
        <f t="shared" si="169"/>
        <v>Fiche info Avenant 10E1</v>
      </c>
      <c r="BY870" s="449">
        <f>'Fiche info Avenant 10'!$AT$7</f>
        <v>0</v>
      </c>
      <c r="BZ870" s="449">
        <f>'Fiche info Avenant 10'!$AU$7</f>
        <v>0</v>
      </c>
      <c r="CA870" s="449">
        <f>'Fiche info Avenant 10'!$AV$7</f>
        <v>0</v>
      </c>
      <c r="CB870" s="449">
        <f>'Fiche info Avenant 10'!$AW$7</f>
        <v>0</v>
      </c>
      <c r="CC870" s="449">
        <f>'Fiche info Avenant 10'!$AX$7</f>
        <v>0</v>
      </c>
      <c r="CD870" s="449">
        <f>'Fiche info Avenant 10'!$AY$7</f>
        <v>0</v>
      </c>
      <c r="CE870" s="449">
        <f>'Fiche info Avenant 10'!$AZ$7</f>
        <v>0</v>
      </c>
      <c r="CF870" s="449">
        <f>'Fiche info Avenant 10'!$BA$7</f>
        <v>0</v>
      </c>
      <c r="ED870" s="16" t="str">
        <f t="shared" si="162"/>
        <v>Fiche info Avenant 10E</v>
      </c>
      <c r="EE870" s="16" t="str">
        <f t="shared" si="163"/>
        <v>Fiche info Avenant 10</v>
      </c>
      <c r="EF870" s="16" t="str">
        <f t="shared" si="164"/>
        <v>E</v>
      </c>
      <c r="EG870" s="16">
        <f t="shared" si="165"/>
        <v>1</v>
      </c>
      <c r="EH870" s="16" t="str">
        <f t="shared" si="166"/>
        <v>Lundi</v>
      </c>
      <c r="EI870" s="16" t="str">
        <f t="shared" si="167"/>
        <v/>
      </c>
    </row>
    <row r="871" spans="1:139" x14ac:dyDescent="0.2">
      <c r="A871" s="16" t="str">
        <f t="shared" si="170"/>
        <v>Fiche info Avenant 10E2</v>
      </c>
      <c r="B871" s="16" t="str">
        <f t="shared" si="171"/>
        <v>Fiche info Avenant 10</v>
      </c>
      <c r="C871" s="27" t="s">
        <v>243</v>
      </c>
      <c r="D871" s="27">
        <v>2</v>
      </c>
      <c r="E871" s="16" t="s">
        <v>18</v>
      </c>
      <c r="F871" s="34" t="str">
        <f>IF(+'Fiche info Avenant 10'!$BC$8=0,"",'Fiche info Avenant 10'!$BC$8)</f>
        <v/>
      </c>
      <c r="G871" s="16">
        <f t="shared" si="168"/>
        <v>0</v>
      </c>
      <c r="BX871" s="16" t="str">
        <f t="shared" si="169"/>
        <v>Fiche info Avenant 10E2</v>
      </c>
      <c r="BY871" s="449">
        <f>'Fiche info Avenant 10'!$AT$8</f>
        <v>0</v>
      </c>
      <c r="BZ871" s="449">
        <f>'Fiche info Avenant 10'!$AU$8</f>
        <v>0</v>
      </c>
      <c r="CA871" s="449">
        <f>'Fiche info Avenant 10'!$AV$8</f>
        <v>0</v>
      </c>
      <c r="CB871" s="449">
        <f>'Fiche info Avenant 10'!$AW$8</f>
        <v>0</v>
      </c>
      <c r="CC871" s="449">
        <f>'Fiche info Avenant 10'!$AX$8</f>
        <v>0</v>
      </c>
      <c r="CD871" s="449">
        <f>'Fiche info Avenant 10'!$AY$8</f>
        <v>0</v>
      </c>
      <c r="CE871" s="449">
        <f>'Fiche info Avenant 10'!$AZ$8</f>
        <v>0</v>
      </c>
      <c r="CF871" s="449">
        <f>'Fiche info Avenant 10'!$BA$8</f>
        <v>0</v>
      </c>
      <c r="ED871" s="16" t="str">
        <f t="shared" si="162"/>
        <v>Fiche info Avenant 10E</v>
      </c>
      <c r="EE871" s="16" t="str">
        <f t="shared" si="163"/>
        <v>Fiche info Avenant 10</v>
      </c>
      <c r="EF871" s="16" t="str">
        <f t="shared" si="164"/>
        <v>E</v>
      </c>
      <c r="EG871" s="16">
        <f t="shared" si="165"/>
        <v>2</v>
      </c>
      <c r="EH871" s="16" t="str">
        <f t="shared" si="166"/>
        <v>Mardi</v>
      </c>
      <c r="EI871" s="16" t="str">
        <f t="shared" si="167"/>
        <v/>
      </c>
    </row>
    <row r="872" spans="1:139" x14ac:dyDescent="0.2">
      <c r="A872" s="16" t="str">
        <f t="shared" si="170"/>
        <v>Fiche info Avenant 10E3</v>
      </c>
      <c r="B872" s="16" t="str">
        <f t="shared" si="171"/>
        <v>Fiche info Avenant 10</v>
      </c>
      <c r="C872" s="27" t="s">
        <v>243</v>
      </c>
      <c r="D872" s="27">
        <v>3</v>
      </c>
      <c r="E872" s="16" t="s">
        <v>19</v>
      </c>
      <c r="F872" s="34" t="str">
        <f>IF(+'Fiche info Avenant 10'!$BC$9=0,"",'Fiche info Avenant 10'!$BC$9)</f>
        <v/>
      </c>
      <c r="G872" s="16">
        <f t="shared" si="168"/>
        <v>0</v>
      </c>
      <c r="BX872" s="16" t="str">
        <f t="shared" si="169"/>
        <v>Fiche info Avenant 10E3</v>
      </c>
      <c r="BY872" s="449">
        <f>'Fiche info Avenant 10'!$AT$9</f>
        <v>0</v>
      </c>
      <c r="BZ872" s="449">
        <f>'Fiche info Avenant 10'!$AU$9</f>
        <v>0</v>
      </c>
      <c r="CA872" s="449">
        <f>'Fiche info Avenant 10'!$AV$9</f>
        <v>0</v>
      </c>
      <c r="CB872" s="449">
        <f>'Fiche info Avenant 10'!$AW$9</f>
        <v>0</v>
      </c>
      <c r="CC872" s="449">
        <f>'Fiche info Avenant 10'!$AX$9</f>
        <v>0</v>
      </c>
      <c r="CD872" s="449">
        <f>'Fiche info Avenant 10'!$AY$9</f>
        <v>0</v>
      </c>
      <c r="CE872" s="449">
        <f>'Fiche info Avenant 10'!$AZ$9</f>
        <v>0</v>
      </c>
      <c r="CF872" s="449">
        <f>'Fiche info Avenant 10'!$BA$9</f>
        <v>0</v>
      </c>
      <c r="ED872" s="16" t="str">
        <f t="shared" si="162"/>
        <v>Fiche info Avenant 10E</v>
      </c>
      <c r="EE872" s="16" t="str">
        <f t="shared" si="163"/>
        <v>Fiche info Avenant 10</v>
      </c>
      <c r="EF872" s="16" t="str">
        <f t="shared" si="164"/>
        <v>E</v>
      </c>
      <c r="EG872" s="16">
        <f t="shared" si="165"/>
        <v>3</v>
      </c>
      <c r="EH872" s="16" t="str">
        <f t="shared" si="166"/>
        <v>Mercredi</v>
      </c>
      <c r="EI872" s="16" t="str">
        <f t="shared" si="167"/>
        <v/>
      </c>
    </row>
    <row r="873" spans="1:139" x14ac:dyDescent="0.2">
      <c r="A873" s="16" t="str">
        <f t="shared" si="170"/>
        <v>Fiche info Avenant 10E4</v>
      </c>
      <c r="B873" s="16" t="str">
        <f t="shared" si="171"/>
        <v>Fiche info Avenant 10</v>
      </c>
      <c r="C873" s="27" t="s">
        <v>243</v>
      </c>
      <c r="D873" s="27">
        <v>4</v>
      </c>
      <c r="E873" s="16" t="s">
        <v>20</v>
      </c>
      <c r="F873" s="34" t="str">
        <f>IF(+'Fiche info Avenant 10'!$BC$10=0,"",'Fiche info Avenant 10'!$BC$10)</f>
        <v/>
      </c>
      <c r="G873" s="16">
        <f t="shared" si="168"/>
        <v>0</v>
      </c>
      <c r="BX873" s="16" t="str">
        <f t="shared" si="169"/>
        <v>Fiche info Avenant 10E4</v>
      </c>
      <c r="BY873" s="449">
        <f>'Fiche info Avenant 10'!$AT$10</f>
        <v>0</v>
      </c>
      <c r="BZ873" s="449">
        <f>'Fiche info Avenant 10'!$AU$10</f>
        <v>0</v>
      </c>
      <c r="CA873" s="449">
        <f>'Fiche info Avenant 10'!$AV$10</f>
        <v>0</v>
      </c>
      <c r="CB873" s="449">
        <f>'Fiche info Avenant 10'!$AW$10</f>
        <v>0</v>
      </c>
      <c r="CC873" s="449">
        <f>'Fiche info Avenant 10'!$AX$10</f>
        <v>0</v>
      </c>
      <c r="CD873" s="449">
        <f>'Fiche info Avenant 10'!$AY$10</f>
        <v>0</v>
      </c>
      <c r="CE873" s="449">
        <f>'Fiche info Avenant 10'!$AZ$10</f>
        <v>0</v>
      </c>
      <c r="CF873" s="449">
        <f>'Fiche info Avenant 10'!$BA$10</f>
        <v>0</v>
      </c>
      <c r="ED873" s="16" t="str">
        <f t="shared" si="162"/>
        <v>Fiche info Avenant 10E</v>
      </c>
      <c r="EE873" s="16" t="str">
        <f t="shared" si="163"/>
        <v>Fiche info Avenant 10</v>
      </c>
      <c r="EF873" s="16" t="str">
        <f t="shared" si="164"/>
        <v>E</v>
      </c>
      <c r="EG873" s="16">
        <f t="shared" si="165"/>
        <v>4</v>
      </c>
      <c r="EH873" s="16" t="str">
        <f t="shared" si="166"/>
        <v>Jeudi</v>
      </c>
      <c r="EI873" s="16" t="str">
        <f t="shared" si="167"/>
        <v/>
      </c>
    </row>
    <row r="874" spans="1:139" x14ac:dyDescent="0.2">
      <c r="A874" s="16" t="str">
        <f t="shared" si="170"/>
        <v>Fiche info Avenant 10E5</v>
      </c>
      <c r="B874" s="16" t="str">
        <f t="shared" si="171"/>
        <v>Fiche info Avenant 10</v>
      </c>
      <c r="C874" s="27" t="s">
        <v>243</v>
      </c>
      <c r="D874" s="27">
        <v>5</v>
      </c>
      <c r="E874" s="16" t="s">
        <v>21</v>
      </c>
      <c r="F874" s="34" t="str">
        <f>IF(+'Fiche info Avenant 10'!$BC$11=0,"",'Fiche info Avenant 10'!$BC$11)</f>
        <v/>
      </c>
      <c r="G874" s="16">
        <f t="shared" si="168"/>
        <v>0</v>
      </c>
      <c r="BX874" s="16" t="str">
        <f t="shared" si="169"/>
        <v>Fiche info Avenant 10E5</v>
      </c>
      <c r="BY874" s="449">
        <f>'Fiche info Avenant 10'!$AT$11</f>
        <v>0</v>
      </c>
      <c r="BZ874" s="449">
        <f>'Fiche info Avenant 10'!$AU$11</f>
        <v>0</v>
      </c>
      <c r="CA874" s="449">
        <f>'Fiche info Avenant 10'!$AV$11</f>
        <v>0</v>
      </c>
      <c r="CB874" s="449">
        <f>'Fiche info Avenant 10'!$AW$11</f>
        <v>0</v>
      </c>
      <c r="CC874" s="449">
        <f>'Fiche info Avenant 10'!$AX$11</f>
        <v>0</v>
      </c>
      <c r="CD874" s="449">
        <f>'Fiche info Avenant 10'!$AY$11</f>
        <v>0</v>
      </c>
      <c r="CE874" s="449">
        <f>'Fiche info Avenant 10'!$AZ$11</f>
        <v>0</v>
      </c>
      <c r="CF874" s="449">
        <f>'Fiche info Avenant 10'!$BA$11</f>
        <v>0</v>
      </c>
      <c r="ED874" s="16" t="str">
        <f t="shared" si="162"/>
        <v>Fiche info Avenant 10E</v>
      </c>
      <c r="EE874" s="16" t="str">
        <f t="shared" si="163"/>
        <v>Fiche info Avenant 10</v>
      </c>
      <c r="EF874" s="16" t="str">
        <f t="shared" si="164"/>
        <v>E</v>
      </c>
      <c r="EG874" s="16">
        <f t="shared" si="165"/>
        <v>5</v>
      </c>
      <c r="EH874" s="16" t="str">
        <f t="shared" si="166"/>
        <v>Vendredi</v>
      </c>
      <c r="EI874" s="16" t="str">
        <f t="shared" si="167"/>
        <v/>
      </c>
    </row>
    <row r="875" spans="1:139" x14ac:dyDescent="0.2">
      <c r="A875" s="16" t="str">
        <f t="shared" si="170"/>
        <v>Fiche info Avenant 10E6</v>
      </c>
      <c r="B875" s="16" t="str">
        <f t="shared" si="171"/>
        <v>Fiche info Avenant 10</v>
      </c>
      <c r="C875" s="27" t="s">
        <v>243</v>
      </c>
      <c r="D875" s="27">
        <v>6</v>
      </c>
      <c r="E875" s="16" t="s">
        <v>193</v>
      </c>
      <c r="F875" s="34" t="str">
        <f>IF(+'Fiche info Avenant 10'!$BC$12=0,"",'Fiche info Avenant 10'!$BC$12)</f>
        <v/>
      </c>
      <c r="G875" s="16">
        <f t="shared" si="168"/>
        <v>0</v>
      </c>
      <c r="BX875" s="16" t="str">
        <f t="shared" si="169"/>
        <v>Fiche info Avenant 10E6</v>
      </c>
      <c r="BY875" s="449">
        <f>'Fiche info Avenant 10'!$AT$12</f>
        <v>0</v>
      </c>
      <c r="BZ875" s="449">
        <f>'Fiche info Avenant 10'!$AU$12</f>
        <v>0</v>
      </c>
      <c r="CA875" s="449">
        <f>'Fiche info Avenant 10'!$AV$12</f>
        <v>0</v>
      </c>
      <c r="CB875" s="449">
        <f>'Fiche info Avenant 10'!$AW$12</f>
        <v>0</v>
      </c>
      <c r="CC875" s="449">
        <f>'Fiche info Avenant 10'!$AX$12</f>
        <v>0</v>
      </c>
      <c r="CD875" s="449">
        <f>'Fiche info Avenant 10'!$AY$12</f>
        <v>0</v>
      </c>
      <c r="CE875" s="449">
        <f>'Fiche info Avenant 10'!$AZ$12</f>
        <v>0</v>
      </c>
      <c r="CF875" s="449">
        <f>'Fiche info Avenant 10'!$BA$12</f>
        <v>0</v>
      </c>
      <c r="ED875" s="16" t="str">
        <f t="shared" si="162"/>
        <v>Fiche info Avenant 10E</v>
      </c>
      <c r="EE875" s="16" t="str">
        <f t="shared" si="163"/>
        <v>Fiche info Avenant 10</v>
      </c>
      <c r="EF875" s="16" t="str">
        <f t="shared" si="164"/>
        <v>E</v>
      </c>
      <c r="EG875" s="16">
        <f t="shared" si="165"/>
        <v>6</v>
      </c>
      <c r="EH875" s="16" t="str">
        <f t="shared" si="166"/>
        <v>Samedi</v>
      </c>
      <c r="EI875" s="16" t="str">
        <f t="shared" si="167"/>
        <v/>
      </c>
    </row>
    <row r="876" spans="1:139" x14ac:dyDescent="0.2">
      <c r="A876" s="16" t="str">
        <f t="shared" si="170"/>
        <v>Fiche info Avenant 10E7</v>
      </c>
      <c r="B876" s="16" t="str">
        <f t="shared" si="171"/>
        <v>Fiche info Avenant 10</v>
      </c>
      <c r="C876" s="27" t="s">
        <v>243</v>
      </c>
      <c r="D876" s="27">
        <v>7</v>
      </c>
      <c r="E876" s="16" t="s">
        <v>194</v>
      </c>
      <c r="F876" s="34" t="str">
        <f>IF(+'Fiche info Avenant 10'!$BC$13=0,"",'Fiche info Avenant 10'!$BC$13)</f>
        <v/>
      </c>
      <c r="G876" s="16">
        <f t="shared" si="168"/>
        <v>0</v>
      </c>
      <c r="BX876" s="16" t="str">
        <f t="shared" si="169"/>
        <v>Fiche info Avenant 10E7</v>
      </c>
      <c r="BY876" s="449">
        <f>'Fiche info Avenant 10'!$AT$13</f>
        <v>0</v>
      </c>
      <c r="BZ876" s="449">
        <f>'Fiche info Avenant 10'!$AU$13</f>
        <v>0</v>
      </c>
      <c r="CA876" s="449">
        <f>'Fiche info Avenant 10'!$AV$13</f>
        <v>0</v>
      </c>
      <c r="CB876" s="449">
        <f>'Fiche info Avenant 10'!$AW$13</f>
        <v>0</v>
      </c>
      <c r="CC876" s="449">
        <f>'Fiche info Avenant 10'!$AX$13</f>
        <v>0</v>
      </c>
      <c r="CD876" s="449">
        <f>'Fiche info Avenant 10'!$AY$13</f>
        <v>0</v>
      </c>
      <c r="CE876" s="449">
        <f>'Fiche info Avenant 10'!$AZ$13</f>
        <v>0</v>
      </c>
      <c r="CF876" s="449">
        <f>'Fiche info Avenant 10'!$BA$13</f>
        <v>0</v>
      </c>
      <c r="ED876" s="16" t="str">
        <f t="shared" si="162"/>
        <v>Fiche info Avenant 10E</v>
      </c>
      <c r="EE876" s="16" t="str">
        <f t="shared" si="163"/>
        <v>Fiche info Avenant 10</v>
      </c>
      <c r="EF876" s="16" t="str">
        <f t="shared" si="164"/>
        <v>E</v>
      </c>
      <c r="EG876" s="16">
        <f t="shared" si="165"/>
        <v>7</v>
      </c>
      <c r="EH876" s="16" t="str">
        <f t="shared" si="166"/>
        <v>Dimanche</v>
      </c>
      <c r="EI876" s="16" t="str">
        <f t="shared" si="167"/>
        <v/>
      </c>
    </row>
    <row r="877" spans="1:139" x14ac:dyDescent="0.2">
      <c r="A877" s="16" t="str">
        <f t="shared" si="170"/>
        <v>Fiche info Avenant 10F1</v>
      </c>
      <c r="B877" s="16" t="str">
        <f t="shared" si="171"/>
        <v>Fiche info Avenant 10</v>
      </c>
      <c r="C877" s="27" t="s">
        <v>244</v>
      </c>
      <c r="D877" s="27">
        <v>1</v>
      </c>
      <c r="E877" s="16" t="s">
        <v>17</v>
      </c>
      <c r="F877" s="34" t="str">
        <f>+IF('Fiche info Avenant 10'!$BN$7=0,"",'Fiche info Avenant 10'!$BN$7)</f>
        <v/>
      </c>
      <c r="G877" s="16">
        <f t="shared" si="168"/>
        <v>0</v>
      </c>
      <c r="BX877" s="16" t="str">
        <f t="shared" si="169"/>
        <v>Fiche info Avenant 10F1</v>
      </c>
      <c r="BY877" s="449">
        <f>'Fiche info Avenant 10'!$BE$7</f>
        <v>0</v>
      </c>
      <c r="BZ877" s="449">
        <f>'Fiche info Avenant 10'!$BF$7</f>
        <v>0</v>
      </c>
      <c r="CA877" s="449">
        <f>'Fiche info Avenant 10'!$BG$7</f>
        <v>0</v>
      </c>
      <c r="CB877" s="449">
        <f>'Fiche info Avenant 10'!$BH$7</f>
        <v>0</v>
      </c>
      <c r="CC877" s="449">
        <f>'Fiche info Avenant 10'!$BI$7</f>
        <v>0</v>
      </c>
      <c r="CD877" s="449">
        <f>'Fiche info Avenant 10'!$BJ$7</f>
        <v>0</v>
      </c>
      <c r="CE877" s="449">
        <f>'Fiche info Avenant 10'!$BK$7</f>
        <v>0</v>
      </c>
      <c r="CF877" s="449">
        <f>'Fiche info Avenant 10'!$BL$7</f>
        <v>0</v>
      </c>
      <c r="ED877" s="16" t="str">
        <f t="shared" si="162"/>
        <v>Fiche info Avenant 10F</v>
      </c>
      <c r="EE877" s="16" t="str">
        <f t="shared" si="163"/>
        <v>Fiche info Avenant 10</v>
      </c>
      <c r="EF877" s="16" t="str">
        <f t="shared" si="164"/>
        <v>F</v>
      </c>
      <c r="EG877" s="16">
        <f t="shared" si="165"/>
        <v>1</v>
      </c>
      <c r="EH877" s="16" t="str">
        <f t="shared" si="166"/>
        <v>Lundi</v>
      </c>
      <c r="EI877" s="16" t="str">
        <f t="shared" si="167"/>
        <v/>
      </c>
    </row>
    <row r="878" spans="1:139" x14ac:dyDescent="0.2">
      <c r="A878" s="16" t="str">
        <f t="shared" si="170"/>
        <v>Fiche info Avenant 10F2</v>
      </c>
      <c r="B878" s="16" t="str">
        <f t="shared" si="171"/>
        <v>Fiche info Avenant 10</v>
      </c>
      <c r="C878" s="27" t="s">
        <v>244</v>
      </c>
      <c r="D878" s="27">
        <v>2</v>
      </c>
      <c r="E878" s="16" t="s">
        <v>18</v>
      </c>
      <c r="F878" s="34" t="str">
        <f>+IF('Fiche info Avenant 10'!$BN$8=0,"",'Fiche info Avenant 10'!$BN$8)</f>
        <v/>
      </c>
      <c r="G878" s="16">
        <f t="shared" si="168"/>
        <v>0</v>
      </c>
      <c r="BX878" s="16" t="str">
        <f t="shared" si="169"/>
        <v>Fiche info Avenant 10F2</v>
      </c>
      <c r="BY878" s="449">
        <f>'Fiche info Avenant 10'!$BE$8</f>
        <v>0</v>
      </c>
      <c r="BZ878" s="449">
        <f>'Fiche info Avenant 10'!$BF$8</f>
        <v>0</v>
      </c>
      <c r="CA878" s="449">
        <f>'Fiche info Avenant 10'!$BG$8</f>
        <v>0</v>
      </c>
      <c r="CB878" s="449">
        <f>'Fiche info Avenant 10'!$BH$8</f>
        <v>0</v>
      </c>
      <c r="CC878" s="449">
        <f>'Fiche info Avenant 10'!$BI$8</f>
        <v>0</v>
      </c>
      <c r="CD878" s="449">
        <f>'Fiche info Avenant 10'!$BJ$8</f>
        <v>0</v>
      </c>
      <c r="CE878" s="449">
        <f>'Fiche info Avenant 10'!$BK$8</f>
        <v>0</v>
      </c>
      <c r="CF878" s="449">
        <f>'Fiche info Avenant 10'!$BL$8</f>
        <v>0</v>
      </c>
      <c r="ED878" s="16" t="str">
        <f t="shared" si="162"/>
        <v>Fiche info Avenant 10F</v>
      </c>
      <c r="EE878" s="16" t="str">
        <f t="shared" si="163"/>
        <v>Fiche info Avenant 10</v>
      </c>
      <c r="EF878" s="16" t="str">
        <f t="shared" si="164"/>
        <v>F</v>
      </c>
      <c r="EG878" s="16">
        <f t="shared" si="165"/>
        <v>2</v>
      </c>
      <c r="EH878" s="16" t="str">
        <f t="shared" si="166"/>
        <v>Mardi</v>
      </c>
      <c r="EI878" s="16" t="str">
        <f t="shared" si="167"/>
        <v/>
      </c>
    </row>
    <row r="879" spans="1:139" x14ac:dyDescent="0.2">
      <c r="A879" s="16" t="str">
        <f t="shared" si="170"/>
        <v>Fiche info Avenant 10F3</v>
      </c>
      <c r="B879" s="16" t="str">
        <f t="shared" si="171"/>
        <v>Fiche info Avenant 10</v>
      </c>
      <c r="C879" s="27" t="s">
        <v>244</v>
      </c>
      <c r="D879" s="27">
        <v>3</v>
      </c>
      <c r="E879" s="16" t="s">
        <v>19</v>
      </c>
      <c r="F879" s="34" t="str">
        <f>+IF('Fiche info Avenant 10'!$BN$9=0,"",'Fiche info Avenant 10'!$BN$9)</f>
        <v/>
      </c>
      <c r="G879" s="16">
        <f t="shared" si="168"/>
        <v>0</v>
      </c>
      <c r="BX879" s="16" t="str">
        <f t="shared" si="169"/>
        <v>Fiche info Avenant 10F3</v>
      </c>
      <c r="BY879" s="449">
        <f>'Fiche info Avenant 10'!$BE$9</f>
        <v>0</v>
      </c>
      <c r="BZ879" s="449">
        <f>'Fiche info Avenant 10'!$BF$9</f>
        <v>0</v>
      </c>
      <c r="CA879" s="449">
        <f>'Fiche info Avenant 10'!$BG$9</f>
        <v>0</v>
      </c>
      <c r="CB879" s="449">
        <f>'Fiche info Avenant 10'!$BH$9</f>
        <v>0</v>
      </c>
      <c r="CC879" s="449">
        <f>'Fiche info Avenant 10'!$BI$9</f>
        <v>0</v>
      </c>
      <c r="CD879" s="449">
        <f>'Fiche info Avenant 10'!$BJ$9</f>
        <v>0</v>
      </c>
      <c r="CE879" s="449">
        <f>'Fiche info Avenant 10'!$BK$9</f>
        <v>0</v>
      </c>
      <c r="CF879" s="449">
        <f>'Fiche info Avenant 10'!$BL$9</f>
        <v>0</v>
      </c>
      <c r="ED879" s="16" t="str">
        <f t="shared" si="162"/>
        <v>Fiche info Avenant 10F</v>
      </c>
      <c r="EE879" s="16" t="str">
        <f t="shared" si="163"/>
        <v>Fiche info Avenant 10</v>
      </c>
      <c r="EF879" s="16" t="str">
        <f t="shared" si="164"/>
        <v>F</v>
      </c>
      <c r="EG879" s="16">
        <f t="shared" si="165"/>
        <v>3</v>
      </c>
      <c r="EH879" s="16" t="str">
        <f t="shared" si="166"/>
        <v>Mercredi</v>
      </c>
      <c r="EI879" s="16" t="str">
        <f t="shared" si="167"/>
        <v/>
      </c>
    </row>
    <row r="880" spans="1:139" x14ac:dyDescent="0.2">
      <c r="A880" s="16" t="str">
        <f t="shared" si="170"/>
        <v>Fiche info Avenant 10F4</v>
      </c>
      <c r="B880" s="16" t="str">
        <f t="shared" si="171"/>
        <v>Fiche info Avenant 10</v>
      </c>
      <c r="C880" s="27" t="s">
        <v>244</v>
      </c>
      <c r="D880" s="27">
        <v>4</v>
      </c>
      <c r="E880" s="16" t="s">
        <v>20</v>
      </c>
      <c r="F880" s="34" t="str">
        <f>+IF('Fiche info Avenant 10'!$BN$10=0,"",'Fiche info Avenant 10'!$BN$10)</f>
        <v/>
      </c>
      <c r="G880" s="16">
        <f t="shared" si="168"/>
        <v>0</v>
      </c>
      <c r="BX880" s="16" t="str">
        <f t="shared" si="169"/>
        <v>Fiche info Avenant 10F4</v>
      </c>
      <c r="BY880" s="449">
        <f>'Fiche info Avenant 10'!$BE$10</f>
        <v>0</v>
      </c>
      <c r="BZ880" s="449">
        <f>'Fiche info Avenant 10'!$BF$10</f>
        <v>0</v>
      </c>
      <c r="CA880" s="449">
        <f>'Fiche info Avenant 10'!$BG$10</f>
        <v>0</v>
      </c>
      <c r="CB880" s="449">
        <f>'Fiche info Avenant 10'!$BH$10</f>
        <v>0</v>
      </c>
      <c r="CC880" s="449">
        <f>'Fiche info Avenant 10'!$BI$10</f>
        <v>0</v>
      </c>
      <c r="CD880" s="449">
        <f>'Fiche info Avenant 10'!$BJ$10</f>
        <v>0</v>
      </c>
      <c r="CE880" s="449">
        <f>'Fiche info Avenant 10'!$BK$10</f>
        <v>0</v>
      </c>
      <c r="CF880" s="449">
        <f>'Fiche info Avenant 10'!$BL$10</f>
        <v>0</v>
      </c>
      <c r="ED880" s="16" t="str">
        <f t="shared" si="162"/>
        <v>Fiche info Avenant 10F</v>
      </c>
      <c r="EE880" s="16" t="str">
        <f t="shared" si="163"/>
        <v>Fiche info Avenant 10</v>
      </c>
      <c r="EF880" s="16" t="str">
        <f t="shared" si="164"/>
        <v>F</v>
      </c>
      <c r="EG880" s="16">
        <f t="shared" si="165"/>
        <v>4</v>
      </c>
      <c r="EH880" s="16" t="str">
        <f t="shared" si="166"/>
        <v>Jeudi</v>
      </c>
      <c r="EI880" s="16" t="str">
        <f t="shared" si="167"/>
        <v/>
      </c>
    </row>
    <row r="881" spans="1:139" x14ac:dyDescent="0.2">
      <c r="A881" s="16" t="str">
        <f t="shared" si="170"/>
        <v>Fiche info Avenant 10F5</v>
      </c>
      <c r="B881" s="16" t="str">
        <f t="shared" si="171"/>
        <v>Fiche info Avenant 10</v>
      </c>
      <c r="C881" s="27" t="s">
        <v>244</v>
      </c>
      <c r="D881" s="27">
        <v>5</v>
      </c>
      <c r="E881" s="16" t="s">
        <v>21</v>
      </c>
      <c r="F881" s="34" t="str">
        <f>+IF('Fiche info Avenant 10'!$BN$11=0,"",'Fiche info Avenant 10'!$BN$11)</f>
        <v/>
      </c>
      <c r="G881" s="16">
        <f t="shared" si="168"/>
        <v>0</v>
      </c>
      <c r="BX881" s="16" t="str">
        <f t="shared" si="169"/>
        <v>Fiche info Avenant 10F5</v>
      </c>
      <c r="BY881" s="449">
        <f>'Fiche info Avenant 10'!$BE$11</f>
        <v>0</v>
      </c>
      <c r="BZ881" s="449">
        <f>'Fiche info Avenant 10'!$BF$11</f>
        <v>0</v>
      </c>
      <c r="CA881" s="449">
        <f>'Fiche info Avenant 10'!$BG$11</f>
        <v>0</v>
      </c>
      <c r="CB881" s="449">
        <f>'Fiche info Avenant 10'!$BH$11</f>
        <v>0</v>
      </c>
      <c r="CC881" s="449">
        <f>'Fiche info Avenant 10'!$BI$11</f>
        <v>0</v>
      </c>
      <c r="CD881" s="449">
        <f>'Fiche info Avenant 10'!$BJ$11</f>
        <v>0</v>
      </c>
      <c r="CE881" s="449">
        <f>'Fiche info Avenant 10'!$BK$11</f>
        <v>0</v>
      </c>
      <c r="CF881" s="449">
        <f>'Fiche info Avenant 10'!$BL$11</f>
        <v>0</v>
      </c>
      <c r="ED881" s="16" t="str">
        <f t="shared" si="162"/>
        <v>Fiche info Avenant 10F</v>
      </c>
      <c r="EE881" s="16" t="str">
        <f t="shared" si="163"/>
        <v>Fiche info Avenant 10</v>
      </c>
      <c r="EF881" s="16" t="str">
        <f t="shared" si="164"/>
        <v>F</v>
      </c>
      <c r="EG881" s="16">
        <f t="shared" si="165"/>
        <v>5</v>
      </c>
      <c r="EH881" s="16" t="str">
        <f t="shared" si="166"/>
        <v>Vendredi</v>
      </c>
      <c r="EI881" s="16" t="str">
        <f t="shared" si="167"/>
        <v/>
      </c>
    </row>
    <row r="882" spans="1:139" x14ac:dyDescent="0.2">
      <c r="A882" s="16" t="str">
        <f t="shared" si="170"/>
        <v>Fiche info Avenant 10F6</v>
      </c>
      <c r="B882" s="16" t="str">
        <f t="shared" si="171"/>
        <v>Fiche info Avenant 10</v>
      </c>
      <c r="C882" s="27" t="s">
        <v>244</v>
      </c>
      <c r="D882" s="27">
        <v>6</v>
      </c>
      <c r="E882" s="16" t="s">
        <v>193</v>
      </c>
      <c r="F882" s="34" t="str">
        <f>+IF('Fiche info Avenant 10'!$BN$12=0,"",'Fiche info Avenant 10'!$BN$12)</f>
        <v/>
      </c>
      <c r="G882" s="16">
        <f t="shared" si="168"/>
        <v>0</v>
      </c>
      <c r="BX882" s="16" t="str">
        <f t="shared" si="169"/>
        <v>Fiche info Avenant 10F6</v>
      </c>
      <c r="BY882" s="449">
        <f>'Fiche info Avenant 10'!$BE$12</f>
        <v>0</v>
      </c>
      <c r="BZ882" s="449">
        <f>'Fiche info Avenant 10'!$BF$12</f>
        <v>0</v>
      </c>
      <c r="CA882" s="449">
        <f>'Fiche info Avenant 10'!$BG$12</f>
        <v>0</v>
      </c>
      <c r="CB882" s="449">
        <f>'Fiche info Avenant 10'!$BH$12</f>
        <v>0</v>
      </c>
      <c r="CC882" s="449">
        <f>'Fiche info Avenant 10'!$BI$12</f>
        <v>0</v>
      </c>
      <c r="CD882" s="449">
        <f>'Fiche info Avenant 10'!$BJ$12</f>
        <v>0</v>
      </c>
      <c r="CE882" s="449">
        <f>'Fiche info Avenant 10'!$BK$12</f>
        <v>0</v>
      </c>
      <c r="CF882" s="449">
        <f>'Fiche info Avenant 10'!$BL$12</f>
        <v>0</v>
      </c>
      <c r="ED882" s="16" t="str">
        <f t="shared" si="162"/>
        <v>Fiche info Avenant 10F</v>
      </c>
      <c r="EE882" s="16" t="str">
        <f t="shared" si="163"/>
        <v>Fiche info Avenant 10</v>
      </c>
      <c r="EF882" s="16" t="str">
        <f t="shared" si="164"/>
        <v>F</v>
      </c>
      <c r="EG882" s="16">
        <f t="shared" si="165"/>
        <v>6</v>
      </c>
      <c r="EH882" s="16" t="str">
        <f t="shared" si="166"/>
        <v>Samedi</v>
      </c>
      <c r="EI882" s="16" t="str">
        <f t="shared" si="167"/>
        <v/>
      </c>
    </row>
    <row r="883" spans="1:139" x14ac:dyDescent="0.2">
      <c r="A883" s="16" t="str">
        <f t="shared" si="170"/>
        <v>Fiche info Avenant 10F7</v>
      </c>
      <c r="B883" s="16" t="str">
        <f t="shared" si="171"/>
        <v>Fiche info Avenant 10</v>
      </c>
      <c r="C883" s="27" t="s">
        <v>244</v>
      </c>
      <c r="D883" s="27">
        <v>7</v>
      </c>
      <c r="E883" s="16" t="s">
        <v>194</v>
      </c>
      <c r="F883" s="34" t="str">
        <f>+IF('Fiche info Avenant 10'!$BN$13=0,"",'Fiche info Avenant 10'!$BN$13)</f>
        <v/>
      </c>
      <c r="G883" s="16">
        <f t="shared" si="168"/>
        <v>0</v>
      </c>
      <c r="BX883" s="16" t="str">
        <f t="shared" si="169"/>
        <v>Fiche info Avenant 10F7</v>
      </c>
      <c r="BY883" s="449">
        <f>'Fiche info Avenant 10'!$BE$13</f>
        <v>0</v>
      </c>
      <c r="BZ883" s="449">
        <f>'Fiche info Avenant 10'!$BF$13</f>
        <v>0</v>
      </c>
      <c r="CA883" s="449">
        <f>'Fiche info Avenant 10'!$BG$13</f>
        <v>0</v>
      </c>
      <c r="CB883" s="449">
        <f>'Fiche info Avenant 10'!$BH$13</f>
        <v>0</v>
      </c>
      <c r="CC883" s="449">
        <f>'Fiche info Avenant 10'!$BI$13</f>
        <v>0</v>
      </c>
      <c r="CD883" s="449">
        <f>'Fiche info Avenant 10'!$BJ$13</f>
        <v>0</v>
      </c>
      <c r="CE883" s="449">
        <f>'Fiche info Avenant 10'!$BK$13</f>
        <v>0</v>
      </c>
      <c r="CF883" s="449">
        <f>'Fiche info Avenant 10'!$BL$13</f>
        <v>0</v>
      </c>
      <c r="ED883" s="16" t="str">
        <f t="shared" ref="ED883:ED897" si="172">+EE883&amp;EF883</f>
        <v>Fiche info Avenant 10F</v>
      </c>
      <c r="EE883" s="16" t="str">
        <f t="shared" si="163"/>
        <v>Fiche info Avenant 10</v>
      </c>
      <c r="EF883" s="16" t="str">
        <f t="shared" si="164"/>
        <v>F</v>
      </c>
      <c r="EG883" s="16">
        <f t="shared" si="165"/>
        <v>7</v>
      </c>
      <c r="EH883" s="16" t="str">
        <f t="shared" si="166"/>
        <v>Dimanche</v>
      </c>
      <c r="EI883" s="16" t="str">
        <f t="shared" si="167"/>
        <v/>
      </c>
    </row>
    <row r="884" spans="1:139" x14ac:dyDescent="0.2">
      <c r="A884" s="16" t="str">
        <f t="shared" si="170"/>
        <v>Fiche info Avenant 10G1</v>
      </c>
      <c r="B884" s="16" t="str">
        <f t="shared" si="171"/>
        <v>Fiche info Avenant 10</v>
      </c>
      <c r="C884" s="27" t="s">
        <v>245</v>
      </c>
      <c r="D884" s="27">
        <v>1</v>
      </c>
      <c r="E884" s="16" t="s">
        <v>17</v>
      </c>
      <c r="F884" s="34" t="str">
        <f>+IF('Fiche info Avenant 10'!$BY$7=0,"",'Fiche info Avenant 10'!$BY$7)</f>
        <v/>
      </c>
      <c r="G884" s="16">
        <f t="shared" si="168"/>
        <v>0</v>
      </c>
      <c r="BX884" s="16" t="str">
        <f t="shared" si="169"/>
        <v>Fiche info Avenant 10G1</v>
      </c>
      <c r="BY884" s="449">
        <f>'Fiche info Avenant 10'!$BP$7</f>
        <v>0</v>
      </c>
      <c r="BZ884" s="449">
        <f>'Fiche info Avenant 10'!$BQ$7</f>
        <v>0</v>
      </c>
      <c r="CA884" s="449">
        <f>'Fiche info Avenant 10'!$BR$7</f>
        <v>0</v>
      </c>
      <c r="CB884" s="449">
        <f>'Fiche info Avenant 10'!$BS$7</f>
        <v>0</v>
      </c>
      <c r="CC884" s="449">
        <f>'Fiche info Avenant 10'!$BT$7</f>
        <v>0</v>
      </c>
      <c r="CD884" s="449">
        <f>'Fiche info Avenant 10'!$BU$7</f>
        <v>0</v>
      </c>
      <c r="CE884" s="449">
        <f>'Fiche info Avenant 10'!$BV$7</f>
        <v>0</v>
      </c>
      <c r="CF884" s="449">
        <f>'Fiche info Avenant 10'!$BW$7</f>
        <v>0</v>
      </c>
      <c r="ED884" s="16" t="str">
        <f t="shared" si="172"/>
        <v>Fiche info Avenant 10G</v>
      </c>
      <c r="EE884" s="16" t="str">
        <f t="shared" si="163"/>
        <v>Fiche info Avenant 10</v>
      </c>
      <c r="EF884" s="16" t="str">
        <f t="shared" si="164"/>
        <v>G</v>
      </c>
      <c r="EG884" s="16">
        <f t="shared" si="165"/>
        <v>1</v>
      </c>
      <c r="EH884" s="16" t="str">
        <f t="shared" si="166"/>
        <v>Lundi</v>
      </c>
      <c r="EI884" s="16" t="str">
        <f t="shared" si="167"/>
        <v/>
      </c>
    </row>
    <row r="885" spans="1:139" x14ac:dyDescent="0.2">
      <c r="A885" s="16" t="str">
        <f t="shared" si="170"/>
        <v>Fiche info Avenant 10G2</v>
      </c>
      <c r="B885" s="16" t="str">
        <f t="shared" si="171"/>
        <v>Fiche info Avenant 10</v>
      </c>
      <c r="C885" s="27" t="s">
        <v>245</v>
      </c>
      <c r="D885" s="27">
        <v>2</v>
      </c>
      <c r="E885" s="16" t="s">
        <v>18</v>
      </c>
      <c r="F885" s="34" t="str">
        <f>+IF('Fiche info Avenant 10'!$BY$8=0,"",'Fiche info Avenant 10'!$BY$8)</f>
        <v/>
      </c>
      <c r="G885" s="16">
        <f t="shared" si="168"/>
        <v>0</v>
      </c>
      <c r="BX885" s="16" t="str">
        <f t="shared" si="169"/>
        <v>Fiche info Avenant 10G2</v>
      </c>
      <c r="BY885" s="449">
        <f>'Fiche info Avenant 10'!$BP$8</f>
        <v>0</v>
      </c>
      <c r="BZ885" s="449">
        <f>'Fiche info Avenant 10'!$BQ$8</f>
        <v>0</v>
      </c>
      <c r="CA885" s="449">
        <f>'Fiche info Avenant 10'!$BR$8</f>
        <v>0</v>
      </c>
      <c r="CB885" s="449">
        <f>'Fiche info Avenant 10'!$BS$8</f>
        <v>0</v>
      </c>
      <c r="CC885" s="449">
        <f>'Fiche info Avenant 10'!$BT$8</f>
        <v>0</v>
      </c>
      <c r="CD885" s="449">
        <f>'Fiche info Avenant 10'!$BU$8</f>
        <v>0</v>
      </c>
      <c r="CE885" s="449">
        <f>'Fiche info Avenant 10'!$BV$8</f>
        <v>0</v>
      </c>
      <c r="CF885" s="449">
        <f>'Fiche info Avenant 10'!$BW$8</f>
        <v>0</v>
      </c>
      <c r="ED885" s="16" t="str">
        <f t="shared" si="172"/>
        <v>Fiche info Avenant 10G</v>
      </c>
      <c r="EE885" s="16" t="str">
        <f t="shared" si="163"/>
        <v>Fiche info Avenant 10</v>
      </c>
      <c r="EF885" s="16" t="str">
        <f t="shared" si="164"/>
        <v>G</v>
      </c>
      <c r="EG885" s="16">
        <f t="shared" si="165"/>
        <v>2</v>
      </c>
      <c r="EH885" s="16" t="str">
        <f t="shared" si="166"/>
        <v>Mardi</v>
      </c>
      <c r="EI885" s="16" t="str">
        <f t="shared" si="167"/>
        <v/>
      </c>
    </row>
    <row r="886" spans="1:139" x14ac:dyDescent="0.2">
      <c r="A886" s="16" t="str">
        <f t="shared" si="170"/>
        <v>Fiche info Avenant 10G3</v>
      </c>
      <c r="B886" s="16" t="str">
        <f t="shared" si="171"/>
        <v>Fiche info Avenant 10</v>
      </c>
      <c r="C886" s="27" t="s">
        <v>245</v>
      </c>
      <c r="D886" s="27">
        <v>3</v>
      </c>
      <c r="E886" s="16" t="s">
        <v>19</v>
      </c>
      <c r="F886" s="34" t="str">
        <f>+IF('Fiche info Avenant 10'!$BY$9=0,"",'Fiche info Avenant 10'!$BY$9)</f>
        <v/>
      </c>
      <c r="G886" s="16">
        <f t="shared" si="168"/>
        <v>0</v>
      </c>
      <c r="BX886" s="16" t="str">
        <f t="shared" si="169"/>
        <v>Fiche info Avenant 10G3</v>
      </c>
      <c r="BY886" s="449">
        <f>'Fiche info Avenant 10'!$BP$9</f>
        <v>0</v>
      </c>
      <c r="BZ886" s="449">
        <f>'Fiche info Avenant 10'!$BQ$9</f>
        <v>0</v>
      </c>
      <c r="CA886" s="449">
        <f>'Fiche info Avenant 10'!$BR$9</f>
        <v>0</v>
      </c>
      <c r="CB886" s="449">
        <f>'Fiche info Avenant 10'!$BS$9</f>
        <v>0</v>
      </c>
      <c r="CC886" s="449">
        <f>'Fiche info Avenant 10'!$BT$9</f>
        <v>0</v>
      </c>
      <c r="CD886" s="449">
        <f>'Fiche info Avenant 10'!$BU$9</f>
        <v>0</v>
      </c>
      <c r="CE886" s="449">
        <f>'Fiche info Avenant 10'!$BV$9</f>
        <v>0</v>
      </c>
      <c r="CF886" s="449">
        <f>'Fiche info Avenant 10'!$BW$9</f>
        <v>0</v>
      </c>
      <c r="ED886" s="16" t="str">
        <f t="shared" si="172"/>
        <v>Fiche info Avenant 10G</v>
      </c>
      <c r="EE886" s="16" t="str">
        <f t="shared" si="163"/>
        <v>Fiche info Avenant 10</v>
      </c>
      <c r="EF886" s="16" t="str">
        <f t="shared" si="164"/>
        <v>G</v>
      </c>
      <c r="EG886" s="16">
        <f t="shared" si="165"/>
        <v>3</v>
      </c>
      <c r="EH886" s="16" t="str">
        <f t="shared" si="166"/>
        <v>Mercredi</v>
      </c>
      <c r="EI886" s="16" t="str">
        <f t="shared" si="167"/>
        <v/>
      </c>
    </row>
    <row r="887" spans="1:139" x14ac:dyDescent="0.2">
      <c r="A887" s="16" t="str">
        <f t="shared" si="170"/>
        <v>Fiche info Avenant 10G4</v>
      </c>
      <c r="B887" s="16" t="str">
        <f t="shared" si="171"/>
        <v>Fiche info Avenant 10</v>
      </c>
      <c r="C887" s="27" t="s">
        <v>245</v>
      </c>
      <c r="D887" s="27">
        <v>4</v>
      </c>
      <c r="E887" s="16" t="s">
        <v>20</v>
      </c>
      <c r="F887" s="34" t="str">
        <f>+IF('Fiche info Avenant 10'!$BY$10=0,"",'Fiche info Avenant 10'!$BY$10)</f>
        <v/>
      </c>
      <c r="G887" s="16">
        <f t="shared" si="168"/>
        <v>0</v>
      </c>
      <c r="BX887" s="16" t="str">
        <f t="shared" si="169"/>
        <v>Fiche info Avenant 10G4</v>
      </c>
      <c r="BY887" s="449">
        <f>'Fiche info Avenant 10'!$BP$10</f>
        <v>0</v>
      </c>
      <c r="BZ887" s="449">
        <f>'Fiche info Avenant 10'!$BQ$10</f>
        <v>0</v>
      </c>
      <c r="CA887" s="449">
        <f>'Fiche info Avenant 10'!$BR$10</f>
        <v>0</v>
      </c>
      <c r="CB887" s="449">
        <f>'Fiche info Avenant 10'!$BS$10</f>
        <v>0</v>
      </c>
      <c r="CC887" s="449">
        <f>'Fiche info Avenant 10'!$BT$10</f>
        <v>0</v>
      </c>
      <c r="CD887" s="449">
        <f>'Fiche info Avenant 10'!$BU$10</f>
        <v>0</v>
      </c>
      <c r="CE887" s="449">
        <f>'Fiche info Avenant 10'!$BV$10</f>
        <v>0</v>
      </c>
      <c r="CF887" s="449">
        <f>'Fiche info Avenant 10'!$BW$10</f>
        <v>0</v>
      </c>
      <c r="ED887" s="16" t="str">
        <f t="shared" si="172"/>
        <v>Fiche info Avenant 10G</v>
      </c>
      <c r="EE887" s="16" t="str">
        <f t="shared" si="163"/>
        <v>Fiche info Avenant 10</v>
      </c>
      <c r="EF887" s="16" t="str">
        <f t="shared" si="164"/>
        <v>G</v>
      </c>
      <c r="EG887" s="16">
        <f t="shared" si="165"/>
        <v>4</v>
      </c>
      <c r="EH887" s="16" t="str">
        <f t="shared" si="166"/>
        <v>Jeudi</v>
      </c>
      <c r="EI887" s="16" t="str">
        <f t="shared" si="167"/>
        <v/>
      </c>
    </row>
    <row r="888" spans="1:139" x14ac:dyDescent="0.2">
      <c r="A888" s="16" t="str">
        <f t="shared" si="170"/>
        <v>Fiche info Avenant 10G5</v>
      </c>
      <c r="B888" s="16" t="str">
        <f t="shared" si="171"/>
        <v>Fiche info Avenant 10</v>
      </c>
      <c r="C888" s="27" t="s">
        <v>245</v>
      </c>
      <c r="D888" s="27">
        <v>5</v>
      </c>
      <c r="E888" s="16" t="s">
        <v>21</v>
      </c>
      <c r="F888" s="34" t="str">
        <f>+IF('Fiche info Avenant 10'!$BY$11=0,"",'Fiche info Avenant 10'!$BY$11)</f>
        <v/>
      </c>
      <c r="G888" s="16">
        <f t="shared" si="168"/>
        <v>0</v>
      </c>
      <c r="BX888" s="16" t="str">
        <f t="shared" si="169"/>
        <v>Fiche info Avenant 10G5</v>
      </c>
      <c r="BY888" s="449">
        <f>'Fiche info Avenant 10'!$BP$11</f>
        <v>0</v>
      </c>
      <c r="BZ888" s="449">
        <f>'Fiche info Avenant 10'!$BQ$11</f>
        <v>0</v>
      </c>
      <c r="CA888" s="449">
        <f>'Fiche info Avenant 10'!$BR$11</f>
        <v>0</v>
      </c>
      <c r="CB888" s="449">
        <f>'Fiche info Avenant 10'!$BS$11</f>
        <v>0</v>
      </c>
      <c r="CC888" s="449">
        <f>'Fiche info Avenant 10'!$BT$11</f>
        <v>0</v>
      </c>
      <c r="CD888" s="449">
        <f>'Fiche info Avenant 10'!$BU$11</f>
        <v>0</v>
      </c>
      <c r="CE888" s="449">
        <f>'Fiche info Avenant 10'!$BV$11</f>
        <v>0</v>
      </c>
      <c r="CF888" s="449">
        <f>'Fiche info Avenant 10'!$BW$11</f>
        <v>0</v>
      </c>
      <c r="ED888" s="16" t="str">
        <f t="shared" si="172"/>
        <v>Fiche info Avenant 10G</v>
      </c>
      <c r="EE888" s="16" t="str">
        <f t="shared" si="163"/>
        <v>Fiche info Avenant 10</v>
      </c>
      <c r="EF888" s="16" t="str">
        <f t="shared" si="164"/>
        <v>G</v>
      </c>
      <c r="EG888" s="16">
        <f t="shared" si="165"/>
        <v>5</v>
      </c>
      <c r="EH888" s="16" t="str">
        <f t="shared" si="166"/>
        <v>Vendredi</v>
      </c>
      <c r="EI888" s="16" t="str">
        <f t="shared" si="167"/>
        <v/>
      </c>
    </row>
    <row r="889" spans="1:139" x14ac:dyDescent="0.2">
      <c r="A889" s="16" t="str">
        <f t="shared" si="170"/>
        <v>Fiche info Avenant 10G6</v>
      </c>
      <c r="B889" s="16" t="str">
        <f t="shared" si="171"/>
        <v>Fiche info Avenant 10</v>
      </c>
      <c r="C889" s="27" t="s">
        <v>245</v>
      </c>
      <c r="D889" s="27">
        <v>6</v>
      </c>
      <c r="E889" s="16" t="s">
        <v>193</v>
      </c>
      <c r="F889" s="34" t="str">
        <f>+IF('Fiche info Avenant 10'!$BY$12=0,"",'Fiche info Avenant 10'!$BY$12)</f>
        <v/>
      </c>
      <c r="G889" s="16">
        <f t="shared" si="168"/>
        <v>0</v>
      </c>
      <c r="BX889" s="16" t="str">
        <f t="shared" si="169"/>
        <v>Fiche info Avenant 10G6</v>
      </c>
      <c r="BY889" s="449">
        <f>'Fiche info Avenant 10'!$BP$12</f>
        <v>0</v>
      </c>
      <c r="BZ889" s="449">
        <f>'Fiche info Avenant 10'!$BQ$12</f>
        <v>0</v>
      </c>
      <c r="CA889" s="449">
        <f>'Fiche info Avenant 10'!$BR$12</f>
        <v>0</v>
      </c>
      <c r="CB889" s="449">
        <f>'Fiche info Avenant 10'!$BS$12</f>
        <v>0</v>
      </c>
      <c r="CC889" s="449">
        <f>'Fiche info Avenant 10'!$BT$12</f>
        <v>0</v>
      </c>
      <c r="CD889" s="449">
        <f>'Fiche info Avenant 10'!$BU$12</f>
        <v>0</v>
      </c>
      <c r="CE889" s="449">
        <f>'Fiche info Avenant 10'!$BV$12</f>
        <v>0</v>
      </c>
      <c r="CF889" s="449">
        <f>'Fiche info Avenant 10'!$BW$12</f>
        <v>0</v>
      </c>
      <c r="ED889" s="16" t="str">
        <f t="shared" si="172"/>
        <v>Fiche info Avenant 10G</v>
      </c>
      <c r="EE889" s="16" t="str">
        <f t="shared" si="163"/>
        <v>Fiche info Avenant 10</v>
      </c>
      <c r="EF889" s="16" t="str">
        <f t="shared" si="164"/>
        <v>G</v>
      </c>
      <c r="EG889" s="16">
        <f t="shared" si="165"/>
        <v>6</v>
      </c>
      <c r="EH889" s="16" t="str">
        <f t="shared" si="166"/>
        <v>Samedi</v>
      </c>
      <c r="EI889" s="16" t="str">
        <f t="shared" si="167"/>
        <v/>
      </c>
    </row>
    <row r="890" spans="1:139" x14ac:dyDescent="0.2">
      <c r="A890" s="16" t="str">
        <f t="shared" si="170"/>
        <v>Fiche info Avenant 10G7</v>
      </c>
      <c r="B890" s="16" t="str">
        <f t="shared" si="171"/>
        <v>Fiche info Avenant 10</v>
      </c>
      <c r="C890" s="27" t="s">
        <v>245</v>
      </c>
      <c r="D890" s="27">
        <v>7</v>
      </c>
      <c r="E890" s="16" t="s">
        <v>194</v>
      </c>
      <c r="F890" s="34" t="str">
        <f>+IF('Fiche info Avenant 10'!$BY$13=0,"",'Fiche info Avenant 10'!$BY$13)</f>
        <v/>
      </c>
      <c r="G890" s="16">
        <f t="shared" si="168"/>
        <v>0</v>
      </c>
      <c r="BX890" s="16" t="str">
        <f t="shared" si="169"/>
        <v>Fiche info Avenant 10G7</v>
      </c>
      <c r="BY890" s="449">
        <f>'Fiche info Avenant 10'!$BP$13</f>
        <v>0</v>
      </c>
      <c r="BZ890" s="449">
        <f>'Fiche info Avenant 10'!$BQ$13</f>
        <v>0</v>
      </c>
      <c r="CA890" s="449">
        <f>'Fiche info Avenant 10'!$BR$13</f>
        <v>0</v>
      </c>
      <c r="CB890" s="449">
        <f>'Fiche info Avenant 10'!$BS$13</f>
        <v>0</v>
      </c>
      <c r="CC890" s="449">
        <f>'Fiche info Avenant 10'!$BT$13</f>
        <v>0</v>
      </c>
      <c r="CD890" s="449">
        <f>'Fiche info Avenant 10'!$BU$13</f>
        <v>0</v>
      </c>
      <c r="CE890" s="449">
        <f>'Fiche info Avenant 10'!$BV$13</f>
        <v>0</v>
      </c>
      <c r="CF890" s="449">
        <f>'Fiche info Avenant 10'!$BW$13</f>
        <v>0</v>
      </c>
      <c r="ED890" s="16" t="str">
        <f t="shared" si="172"/>
        <v>Fiche info Avenant 10G</v>
      </c>
      <c r="EE890" s="16" t="str">
        <f t="shared" si="163"/>
        <v>Fiche info Avenant 10</v>
      </c>
      <c r="EF890" s="16" t="str">
        <f t="shared" si="164"/>
        <v>G</v>
      </c>
      <c r="EG890" s="16">
        <f t="shared" si="165"/>
        <v>7</v>
      </c>
      <c r="EH890" s="16" t="str">
        <f t="shared" si="166"/>
        <v>Dimanche</v>
      </c>
      <c r="EI890" s="16" t="str">
        <f t="shared" si="167"/>
        <v/>
      </c>
    </row>
    <row r="891" spans="1:139" x14ac:dyDescent="0.2">
      <c r="A891" s="16" t="str">
        <f t="shared" si="170"/>
        <v>Fiche info Avenant 10H1</v>
      </c>
      <c r="B891" s="16" t="str">
        <f t="shared" si="171"/>
        <v>Fiche info Avenant 10</v>
      </c>
      <c r="C891" s="27" t="s">
        <v>246</v>
      </c>
      <c r="D891" s="27">
        <v>1</v>
      </c>
      <c r="E891" s="16" t="s">
        <v>17</v>
      </c>
      <c r="F891" s="34" t="str">
        <f>+IF('Fiche info Avenant 10'!$CJ$7=0,"",'Fiche info Avenant 10'!$CJ$7)</f>
        <v/>
      </c>
      <c r="G891" s="16">
        <f t="shared" si="168"/>
        <v>0</v>
      </c>
      <c r="BX891" s="16" t="str">
        <f t="shared" si="169"/>
        <v>Fiche info Avenant 10H1</v>
      </c>
      <c r="BY891" s="449">
        <f>'Fiche info Avenant 10'!$CA$7</f>
        <v>0</v>
      </c>
      <c r="BZ891" s="449">
        <f>'Fiche info Avenant 10'!$CB$7</f>
        <v>0</v>
      </c>
      <c r="CA891" s="449">
        <f>'Fiche info Avenant 10'!$CC$7</f>
        <v>0</v>
      </c>
      <c r="CB891" s="449">
        <f>'Fiche info Avenant 10'!$CD$7</f>
        <v>0</v>
      </c>
      <c r="CC891" s="449">
        <f>'Fiche info Avenant 10'!$CE$7</f>
        <v>0</v>
      </c>
      <c r="CD891" s="449">
        <f>'Fiche info Avenant 10'!$CF$7</f>
        <v>0</v>
      </c>
      <c r="CE891" s="449">
        <f>'Fiche info Avenant 10'!$CG$7</f>
        <v>0</v>
      </c>
      <c r="CF891" s="449">
        <f>'Fiche info Avenant 10'!$CH$7</f>
        <v>0</v>
      </c>
      <c r="ED891" s="16" t="str">
        <f t="shared" si="172"/>
        <v>Fiche info Avenant 10H</v>
      </c>
      <c r="EE891" s="16" t="str">
        <f t="shared" si="163"/>
        <v>Fiche info Avenant 10</v>
      </c>
      <c r="EF891" s="16" t="str">
        <f t="shared" si="164"/>
        <v>H</v>
      </c>
      <c r="EG891" s="16">
        <f t="shared" si="165"/>
        <v>1</v>
      </c>
      <c r="EH891" s="16" t="str">
        <f t="shared" si="166"/>
        <v>Lundi</v>
      </c>
      <c r="EI891" s="16" t="str">
        <f t="shared" si="167"/>
        <v/>
      </c>
    </row>
    <row r="892" spans="1:139" x14ac:dyDescent="0.2">
      <c r="A892" s="16" t="str">
        <f t="shared" si="170"/>
        <v>Fiche info Avenant 10H2</v>
      </c>
      <c r="B892" s="16" t="str">
        <f t="shared" si="171"/>
        <v>Fiche info Avenant 10</v>
      </c>
      <c r="C892" s="27" t="s">
        <v>246</v>
      </c>
      <c r="D892" s="27">
        <v>2</v>
      </c>
      <c r="E892" s="16" t="s">
        <v>18</v>
      </c>
      <c r="F892" s="34" t="str">
        <f>+IF('Fiche info Avenant 10'!$CJ$8=0,"",'Fiche info Avenant 10'!$CJ$8)</f>
        <v/>
      </c>
      <c r="G892" s="16">
        <f t="shared" si="168"/>
        <v>0</v>
      </c>
      <c r="BX892" s="16" t="str">
        <f t="shared" si="169"/>
        <v>Fiche info Avenant 10H2</v>
      </c>
      <c r="BY892" s="449">
        <f>'Fiche info Avenant 10'!$CA$8</f>
        <v>0</v>
      </c>
      <c r="BZ892" s="449">
        <f>'Fiche info Avenant 10'!$CB$8</f>
        <v>0</v>
      </c>
      <c r="CA892" s="449">
        <f>'Fiche info Avenant 10'!$CC$8</f>
        <v>0</v>
      </c>
      <c r="CB892" s="449">
        <f>'Fiche info Avenant 10'!$CD$8</f>
        <v>0</v>
      </c>
      <c r="CC892" s="449">
        <f>'Fiche info Avenant 10'!$CE$8</f>
        <v>0</v>
      </c>
      <c r="CD892" s="449">
        <f>'Fiche info Avenant 10'!$CF$8</f>
        <v>0</v>
      </c>
      <c r="CE892" s="449">
        <f>'Fiche info Avenant 10'!$CG$8</f>
        <v>0</v>
      </c>
      <c r="CF892" s="449">
        <f>'Fiche info Avenant 10'!$CH$8</f>
        <v>0</v>
      </c>
      <c r="ED892" s="16" t="str">
        <f t="shared" si="172"/>
        <v>Fiche info Avenant 10H</v>
      </c>
      <c r="EE892" s="16" t="str">
        <f t="shared" si="163"/>
        <v>Fiche info Avenant 10</v>
      </c>
      <c r="EF892" s="16" t="str">
        <f t="shared" si="164"/>
        <v>H</v>
      </c>
      <c r="EG892" s="16">
        <f t="shared" si="165"/>
        <v>2</v>
      </c>
      <c r="EH892" s="16" t="str">
        <f t="shared" si="166"/>
        <v>Mardi</v>
      </c>
      <c r="EI892" s="16" t="str">
        <f t="shared" si="167"/>
        <v/>
      </c>
    </row>
    <row r="893" spans="1:139" x14ac:dyDescent="0.2">
      <c r="A893" s="16" t="str">
        <f t="shared" si="170"/>
        <v>Fiche info Avenant 10H3</v>
      </c>
      <c r="B893" s="16" t="str">
        <f t="shared" si="171"/>
        <v>Fiche info Avenant 10</v>
      </c>
      <c r="C893" s="27" t="s">
        <v>246</v>
      </c>
      <c r="D893" s="27">
        <v>3</v>
      </c>
      <c r="E893" s="16" t="s">
        <v>19</v>
      </c>
      <c r="F893" s="34" t="str">
        <f>+IF('Fiche info Avenant 10'!$CJ$9=0,"",'Fiche info Avenant 10'!$CJ$9)</f>
        <v/>
      </c>
      <c r="G893" s="16">
        <f t="shared" si="168"/>
        <v>0</v>
      </c>
      <c r="BX893" s="16" t="str">
        <f t="shared" si="169"/>
        <v>Fiche info Avenant 10H3</v>
      </c>
      <c r="BY893" s="449">
        <f>'Fiche info Avenant 10'!$CA$9</f>
        <v>0</v>
      </c>
      <c r="BZ893" s="449">
        <f>'Fiche info Avenant 10'!$CB$9</f>
        <v>0</v>
      </c>
      <c r="CA893" s="449">
        <f>'Fiche info Avenant 10'!$CC$9</f>
        <v>0</v>
      </c>
      <c r="CB893" s="449">
        <f>'Fiche info Avenant 10'!$CD$9</f>
        <v>0</v>
      </c>
      <c r="CC893" s="449">
        <f>'Fiche info Avenant 10'!$CE$9</f>
        <v>0</v>
      </c>
      <c r="CD893" s="449">
        <f>'Fiche info Avenant 10'!$CF$9</f>
        <v>0</v>
      </c>
      <c r="CE893" s="449">
        <f>'Fiche info Avenant 10'!$CG$9</f>
        <v>0</v>
      </c>
      <c r="CF893" s="449">
        <f>'Fiche info Avenant 10'!$CH$9</f>
        <v>0</v>
      </c>
      <c r="ED893" s="16" t="str">
        <f t="shared" si="172"/>
        <v>Fiche info Avenant 10H</v>
      </c>
      <c r="EE893" s="16" t="str">
        <f t="shared" si="163"/>
        <v>Fiche info Avenant 10</v>
      </c>
      <c r="EF893" s="16" t="str">
        <f t="shared" si="164"/>
        <v>H</v>
      </c>
      <c r="EG893" s="16">
        <f t="shared" si="165"/>
        <v>3</v>
      </c>
      <c r="EH893" s="16" t="str">
        <f t="shared" si="166"/>
        <v>Mercredi</v>
      </c>
      <c r="EI893" s="16" t="str">
        <f t="shared" si="167"/>
        <v/>
      </c>
    </row>
    <row r="894" spans="1:139" x14ac:dyDescent="0.2">
      <c r="A894" s="16" t="str">
        <f t="shared" si="170"/>
        <v>Fiche info Avenant 10H4</v>
      </c>
      <c r="B894" s="16" t="str">
        <f t="shared" si="171"/>
        <v>Fiche info Avenant 10</v>
      </c>
      <c r="C894" s="27" t="s">
        <v>246</v>
      </c>
      <c r="D894" s="27">
        <v>4</v>
      </c>
      <c r="E894" s="16" t="s">
        <v>20</v>
      </c>
      <c r="F894" s="34" t="str">
        <f>+IF('Fiche info Avenant 10'!$CJ$10=0,"",'Fiche info Avenant 10'!$CJ$10)</f>
        <v/>
      </c>
      <c r="G894" s="16">
        <f t="shared" si="168"/>
        <v>0</v>
      </c>
      <c r="BX894" s="16" t="str">
        <f t="shared" si="169"/>
        <v>Fiche info Avenant 10H4</v>
      </c>
      <c r="BY894" s="449">
        <f>'Fiche info Avenant 10'!$CA$10</f>
        <v>0</v>
      </c>
      <c r="BZ894" s="449">
        <f>'Fiche info Avenant 10'!$CB$10</f>
        <v>0</v>
      </c>
      <c r="CA894" s="449">
        <f>'Fiche info Avenant 10'!$CC$10</f>
        <v>0</v>
      </c>
      <c r="CB894" s="449">
        <f>'Fiche info Avenant 10'!$CD$10</f>
        <v>0</v>
      </c>
      <c r="CC894" s="449">
        <f>'Fiche info Avenant 10'!$CE$10</f>
        <v>0</v>
      </c>
      <c r="CD894" s="449">
        <f>'Fiche info Avenant 10'!$CF$10</f>
        <v>0</v>
      </c>
      <c r="CE894" s="449">
        <f>'Fiche info Avenant 10'!$CG$10</f>
        <v>0</v>
      </c>
      <c r="CF894" s="449">
        <f>'Fiche info Avenant 10'!$CH$10</f>
        <v>0</v>
      </c>
      <c r="ED894" s="16" t="str">
        <f t="shared" si="172"/>
        <v>Fiche info Avenant 10H</v>
      </c>
      <c r="EE894" s="16" t="str">
        <f t="shared" si="163"/>
        <v>Fiche info Avenant 10</v>
      </c>
      <c r="EF894" s="16" t="str">
        <f t="shared" si="164"/>
        <v>H</v>
      </c>
      <c r="EG894" s="16">
        <f t="shared" si="165"/>
        <v>4</v>
      </c>
      <c r="EH894" s="16" t="str">
        <f t="shared" si="166"/>
        <v>Jeudi</v>
      </c>
      <c r="EI894" s="16" t="str">
        <f t="shared" si="167"/>
        <v/>
      </c>
    </row>
    <row r="895" spans="1:139" x14ac:dyDescent="0.2">
      <c r="A895" s="16" t="str">
        <f t="shared" si="170"/>
        <v>Fiche info Avenant 10H5</v>
      </c>
      <c r="B895" s="16" t="str">
        <f t="shared" si="171"/>
        <v>Fiche info Avenant 10</v>
      </c>
      <c r="C895" s="27" t="s">
        <v>246</v>
      </c>
      <c r="D895" s="27">
        <v>5</v>
      </c>
      <c r="E895" s="16" t="s">
        <v>21</v>
      </c>
      <c r="F895" s="34" t="str">
        <f>+IF('Fiche info Avenant 10'!$CJ$11=0,"",'Fiche info Avenant 10'!$CJ$11)</f>
        <v/>
      </c>
      <c r="G895" s="16">
        <f t="shared" si="168"/>
        <v>0</v>
      </c>
      <c r="BX895" s="16" t="str">
        <f t="shared" si="169"/>
        <v>Fiche info Avenant 10H5</v>
      </c>
      <c r="BY895" s="449">
        <f>'Fiche info Avenant 10'!$CA$11</f>
        <v>0</v>
      </c>
      <c r="BZ895" s="449">
        <f>'Fiche info Avenant 10'!$CB$11</f>
        <v>0</v>
      </c>
      <c r="CA895" s="449">
        <f>'Fiche info Avenant 10'!$CC$11</f>
        <v>0</v>
      </c>
      <c r="CB895" s="449">
        <f>'Fiche info Avenant 10'!$CD$11</f>
        <v>0</v>
      </c>
      <c r="CC895" s="449">
        <f>'Fiche info Avenant 10'!$CE$11</f>
        <v>0</v>
      </c>
      <c r="CD895" s="449">
        <f>'Fiche info Avenant 10'!$CF$11</f>
        <v>0</v>
      </c>
      <c r="CE895" s="449">
        <f>'Fiche info Avenant 10'!$CG$11</f>
        <v>0</v>
      </c>
      <c r="CF895" s="449">
        <f>'Fiche info Avenant 10'!$CH$11</f>
        <v>0</v>
      </c>
      <c r="ED895" s="16" t="str">
        <f t="shared" si="172"/>
        <v>Fiche info Avenant 10H</v>
      </c>
      <c r="EE895" s="16" t="str">
        <f t="shared" si="163"/>
        <v>Fiche info Avenant 10</v>
      </c>
      <c r="EF895" s="16" t="str">
        <f t="shared" si="164"/>
        <v>H</v>
      </c>
      <c r="EG895" s="16">
        <f t="shared" si="165"/>
        <v>5</v>
      </c>
      <c r="EH895" s="16" t="str">
        <f t="shared" si="166"/>
        <v>Vendredi</v>
      </c>
      <c r="EI895" s="16" t="str">
        <f t="shared" si="167"/>
        <v/>
      </c>
    </row>
    <row r="896" spans="1:139" x14ac:dyDescent="0.2">
      <c r="A896" s="16" t="str">
        <f t="shared" si="170"/>
        <v>Fiche info Avenant 10H6</v>
      </c>
      <c r="B896" s="16" t="str">
        <f t="shared" si="171"/>
        <v>Fiche info Avenant 10</v>
      </c>
      <c r="C896" s="27" t="s">
        <v>246</v>
      </c>
      <c r="D896" s="27">
        <v>6</v>
      </c>
      <c r="E896" s="16" t="s">
        <v>193</v>
      </c>
      <c r="F896" s="34" t="str">
        <f>+IF('Fiche info Avenant 10'!$CJ$12=0,"",'Fiche info Avenant 10'!$CJ$12)</f>
        <v/>
      </c>
      <c r="G896" s="16">
        <f t="shared" si="168"/>
        <v>0</v>
      </c>
      <c r="BX896" s="16" t="str">
        <f t="shared" si="169"/>
        <v>Fiche info Avenant 10H6</v>
      </c>
      <c r="BY896" s="449">
        <f>'Fiche info Avenant 10'!$CA$12</f>
        <v>0</v>
      </c>
      <c r="BZ896" s="449">
        <f>'Fiche info Avenant 10'!$CB$12</f>
        <v>0</v>
      </c>
      <c r="CA896" s="449">
        <f>'Fiche info Avenant 10'!$CC$12</f>
        <v>0</v>
      </c>
      <c r="CB896" s="449">
        <f>'Fiche info Avenant 10'!$CD$12</f>
        <v>0</v>
      </c>
      <c r="CC896" s="449">
        <f>'Fiche info Avenant 10'!$CE$12</f>
        <v>0</v>
      </c>
      <c r="CD896" s="449">
        <f>'Fiche info Avenant 10'!$CF$12</f>
        <v>0</v>
      </c>
      <c r="CE896" s="449">
        <f>'Fiche info Avenant 10'!$CG$12</f>
        <v>0</v>
      </c>
      <c r="CF896" s="449">
        <f>'Fiche info Avenant 10'!$CH$12</f>
        <v>0</v>
      </c>
      <c r="ED896" s="16" t="str">
        <f t="shared" si="172"/>
        <v>Fiche info Avenant 10H</v>
      </c>
      <c r="EE896" s="16" t="str">
        <f t="shared" si="163"/>
        <v>Fiche info Avenant 10</v>
      </c>
      <c r="EF896" s="16" t="str">
        <f t="shared" si="164"/>
        <v>H</v>
      </c>
      <c r="EG896" s="16">
        <f t="shared" si="165"/>
        <v>6</v>
      </c>
      <c r="EH896" s="16" t="str">
        <f t="shared" si="166"/>
        <v>Samedi</v>
      </c>
      <c r="EI896" s="16" t="str">
        <f t="shared" si="167"/>
        <v/>
      </c>
    </row>
    <row r="897" spans="1:139" x14ac:dyDescent="0.2">
      <c r="A897" s="16" t="str">
        <f t="shared" si="170"/>
        <v>Fiche info Avenant 10H7</v>
      </c>
      <c r="B897" s="16" t="str">
        <f t="shared" si="171"/>
        <v>Fiche info Avenant 10</v>
      </c>
      <c r="C897" s="27" t="s">
        <v>246</v>
      </c>
      <c r="D897" s="27">
        <v>7</v>
      </c>
      <c r="E897" s="16" t="s">
        <v>194</v>
      </c>
      <c r="F897" s="34" t="str">
        <f>+IF('Fiche info'!$CJ$13=0,"",'Fiche info'!$CJ$13)</f>
        <v/>
      </c>
      <c r="G897" s="16">
        <f t="shared" si="168"/>
        <v>0</v>
      </c>
      <c r="BX897" s="16" t="str">
        <f t="shared" si="169"/>
        <v>Fiche info Avenant 10H7</v>
      </c>
      <c r="BY897" s="449">
        <f>'Fiche info Avenant 10'!$CA$13</f>
        <v>0</v>
      </c>
      <c r="BZ897" s="449">
        <f>'Fiche info Avenant 10'!$CB$13</f>
        <v>0</v>
      </c>
      <c r="CA897" s="449">
        <f>'Fiche info Avenant 10'!$CC$13</f>
        <v>0</v>
      </c>
      <c r="CB897" s="449">
        <f>'Fiche info Avenant 10'!$CD$13</f>
        <v>0</v>
      </c>
      <c r="CC897" s="449">
        <f>'Fiche info Avenant 10'!$CE$13</f>
        <v>0</v>
      </c>
      <c r="CD897" s="449">
        <f>'Fiche info Avenant 10'!$CF$13</f>
        <v>0</v>
      </c>
      <c r="CE897" s="449">
        <f>'Fiche info Avenant 10'!$CG$13</f>
        <v>0</v>
      </c>
      <c r="CF897" s="449">
        <f>'Fiche info Avenant 10'!$CH$13</f>
        <v>0</v>
      </c>
      <c r="ED897" s="16" t="str">
        <f t="shared" si="172"/>
        <v>Fiche info Avenant 10H</v>
      </c>
      <c r="EE897" s="16" t="str">
        <f t="shared" ref="EE897" si="173">B897</f>
        <v>Fiche info Avenant 10</v>
      </c>
      <c r="EF897" s="16" t="str">
        <f t="shared" ref="EF897" si="174">C897</f>
        <v>H</v>
      </c>
      <c r="EG897" s="16">
        <f t="shared" ref="EG897" si="175">D897</f>
        <v>7</v>
      </c>
      <c r="EH897" s="16" t="str">
        <f t="shared" ref="EH897" si="176">E897</f>
        <v>Dimanche</v>
      </c>
      <c r="EI897" s="16" t="str">
        <f t="shared" ref="EI897" si="177">F897</f>
        <v/>
      </c>
    </row>
  </sheetData>
  <sheetProtection algorithmName="SHA-512" hashValue="RMqX9ZfUdTC0zutMnp5TD65HY2TsTH+GLb73YB4q6ghffBcDtULRKNwKa6Rd6gzeVj6bLhCqiMvU4Qt5YktpWA==" saltValue="ZHH4BrDc9Wsjss+awwlgTA==" spinCount="100000" sheet="1" objects="1" scenarios="1" formatCells="0" formatColumns="0" formatRows="0" insertColumns="0" insertRows="0" insertHyperlinks="0" sort="0" autoFilter="0" pivotTables="0"/>
  <dataConsolidate/>
  <pageMargins left="0.7" right="0.7" top="0.75" bottom="0.75" header="0.3" footer="0.3"/>
  <pageSetup paperSize="9" orientation="portrait" horizontalDpi="1200" verticalDpi="1200"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FV1" sqref="FV1"/>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207</v>
      </c>
    </row>
    <row r="3" spans="1:13" x14ac:dyDescent="0.2">
      <c r="A3" s="1" t="str">
        <f>+"ENFANT : "&amp;Identification!B25</f>
        <v>ENFANT : 0</v>
      </c>
    </row>
    <row r="5" spans="1:13" s="2" customFormat="1" x14ac:dyDescent="0.2">
      <c r="A5" s="2" t="s">
        <v>97</v>
      </c>
      <c r="B5" s="3" t="s">
        <v>105</v>
      </c>
      <c r="C5" s="3" t="s">
        <v>101</v>
      </c>
      <c r="D5" s="3" t="s">
        <v>109</v>
      </c>
      <c r="E5" s="3" t="s">
        <v>99</v>
      </c>
      <c r="F5" s="3" t="s">
        <v>98</v>
      </c>
      <c r="G5" s="3" t="s">
        <v>104</v>
      </c>
      <c r="H5" s="3" t="s">
        <v>103</v>
      </c>
      <c r="I5" s="3" t="s">
        <v>102</v>
      </c>
      <c r="J5" s="3" t="s">
        <v>100</v>
      </c>
      <c r="K5" s="3" t="s">
        <v>108</v>
      </c>
      <c r="L5" s="3" t="s">
        <v>107</v>
      </c>
      <c r="M5" s="3" t="s">
        <v>106</v>
      </c>
    </row>
    <row r="6" spans="1:13" x14ac:dyDescent="0.2">
      <c r="A6" s="1" t="s">
        <v>61</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62</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71</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1372</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78</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80</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1373</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85</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87</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88</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475</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476</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477</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89</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478</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481</v>
      </c>
      <c r="B21" s="6" t="str">
        <f>+Aout!$CB$78</f>
        <v>OUI</v>
      </c>
      <c r="C21" s="6" t="str">
        <f>+Avril!$CB$78</f>
        <v>OUI</v>
      </c>
      <c r="D21" s="6" t="str">
        <f>+Décembre!$CB$78</f>
        <v>OUI</v>
      </c>
      <c r="E21" s="6" t="str">
        <f>+Février!$CB$78</f>
        <v>OUI</v>
      </c>
      <c r="F21" s="6" t="str">
        <f ca="1">+Janvier!$CB$78</f>
        <v>OUI</v>
      </c>
      <c r="G21" s="6" t="str">
        <f>+Juillet!$CB$78</f>
        <v>OUI</v>
      </c>
      <c r="H21" s="6" t="str">
        <f ca="1">+Juin!$CB$78</f>
        <v>OUI</v>
      </c>
      <c r="I21" s="6" t="str">
        <f>+Mai!$CB$78</f>
        <v>OUI</v>
      </c>
      <c r="J21" s="6" t="str">
        <f>+Mars!$CB$78</f>
        <v>OUI</v>
      </c>
      <c r="K21" s="6" t="str">
        <f>+Novembre!$CB$78</f>
        <v>OUI</v>
      </c>
      <c r="L21" s="6" t="str">
        <f>+Octobre!$CB$78</f>
        <v>OUI</v>
      </c>
      <c r="M21" s="6" t="str">
        <f>+Septembre!$CB$78</f>
        <v>OUI</v>
      </c>
    </row>
    <row r="22" spans="1:13" x14ac:dyDescent="0.2">
      <c r="A22" s="1" t="s">
        <v>487</v>
      </c>
      <c r="B22" s="9">
        <f>+Aout!$F$87</f>
        <v>45900</v>
      </c>
      <c r="C22" s="9">
        <f>+Avril!$F$87</f>
        <v>45777</v>
      </c>
      <c r="D22" s="9">
        <f>+Décembre!$F$87</f>
        <v>46022</v>
      </c>
      <c r="E22" s="9">
        <f>+Février!$F$87</f>
        <v>45716</v>
      </c>
      <c r="F22" s="9">
        <f>+Janvier!$F$87</f>
        <v>45688</v>
      </c>
      <c r="G22" s="9">
        <f>+Juillet!$F$87</f>
        <v>45869</v>
      </c>
      <c r="H22" s="9">
        <f>+Juin!$F$87</f>
        <v>45838</v>
      </c>
      <c r="I22" s="9">
        <f>+Mai!$F$87</f>
        <v>45808</v>
      </c>
      <c r="J22" s="9">
        <f>+Mars!$F$87</f>
        <v>45747</v>
      </c>
      <c r="K22" s="9">
        <f>+Novembre!$F$87</f>
        <v>45991</v>
      </c>
      <c r="L22" s="9">
        <f>+Octobre!$F$87</f>
        <v>45961</v>
      </c>
      <c r="M22" s="9">
        <f>+Septembre!$F$87</f>
        <v>45930</v>
      </c>
    </row>
    <row r="23" spans="1:13" x14ac:dyDescent="0.2">
      <c r="A23" s="1" t="s">
        <v>179</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1327</v>
      </c>
      <c r="B24" s="6">
        <f>+IF(Identification!B126="Net",+Aout!$DK$32,0)</f>
        <v>0</v>
      </c>
      <c r="C24" s="6">
        <f>+IF(Identification!B126="Net",+Avril!$DK$32,0)</f>
        <v>0</v>
      </c>
      <c r="D24" s="6">
        <f>+IF(Identification!B126="Net",+Décembre!$DK$32,0)</f>
        <v>0</v>
      </c>
      <c r="E24" s="6">
        <f>+IF(Identification!B126="Net",+Février!$DK$32,0)</f>
        <v>0</v>
      </c>
      <c r="F24" s="6">
        <f ca="1">+IF(Identification!B126="Net",+Janvier!$DK$32,0)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1328</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1329</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934</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935</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1347</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1541</v>
      </c>
      <c r="B30" s="1376" t="str">
        <f>+Aout!CA68</f>
        <v>(Détail du calcul : ( 0 + 0 + 0 - 0 - 0 + 0 +  + 0 + 0 + 0 ) / 0 € )</v>
      </c>
      <c r="C30" s="1376" t="str">
        <f>+Avril!CA68</f>
        <v>(Détail du calcul : ( 0 + 0 + 0 - 0 - 0 + 0 +  + 0 + 0 + 0 ) / 0 € )</v>
      </c>
      <c r="D30" s="1376" t="str">
        <f>+Décembre!CA68</f>
        <v>(Détail du calcul : ( 0 + 0 + 0 - 0 - 0 + 0 +  + 0 + 0 + 0 ) / 0 € )</v>
      </c>
      <c r="E30" s="1376" t="str">
        <f>+Février!CA68</f>
        <v>(Détail du calcul : ( 0 + 0 + 0 - 0 - 0 + 0 +  + 0 + 0 + 0 ) / 0 € )</v>
      </c>
      <c r="F30" s="1376" t="str">
        <f>+Janvier!CA68</f>
        <v>(Détail du calcul : ( 0 + 0 + 0 - 0 - 0 + 0 +  + 0 + 0 + 0 ) / 0 € )</v>
      </c>
      <c r="G30" s="1376" t="str">
        <f>+Juillet!CA68</f>
        <v>(Détail du calcul : ( 0 + 0 + 0 - 0 - 0 + 0 +  + 0 + 0 + 0 ) / 0 € )</v>
      </c>
      <c r="H30" s="1376" t="str">
        <f ca="1">+Juin!CA68</f>
        <v>(Détail du calcul : ( 0 + 0 + 0 - 0 - 0 + 0 +  + 0 + 0 + 0 ) / 0 € )</v>
      </c>
      <c r="I30" s="1376" t="str">
        <f>+Mai!CA68</f>
        <v>(Détail du calcul : ( 0 + 0 + 0 - 0 - 0 + 0 +  + 0 + 0 + 0 ) / 0 € )</v>
      </c>
      <c r="J30" s="1376" t="str">
        <f>+Mars!CA68</f>
        <v>(Détail du calcul : ( 0 + 0 + 0 - 0 - 0 + 0 +  + 0 + 0 + 0 ) / 0 € )</v>
      </c>
      <c r="K30" s="1376" t="str">
        <f>+Novembre!CA68</f>
        <v>(Détail du calcul : ( 0 + 0 + 0 - 0 - 0 + 0 +  + 0 + 0 + 0 ) / 0 € )</v>
      </c>
      <c r="L30" s="1376" t="str">
        <f>+Octobre!CA68</f>
        <v>(Détail du calcul : ( 0 + 0 + 0 - 0 - 0 + 0 +  + 0 + 0 + 0 ) / 0 € )</v>
      </c>
      <c r="M30" s="1376" t="str">
        <f>+Septembre!CA68</f>
        <v>(Détail du calcul : ( 0 + 0 + 0 - 0 - 0 + 0 +  + 0 + 0 + 0 ) / 0 € )</v>
      </c>
    </row>
    <row r="31" spans="1:13" ht="77.25" customHeight="1" x14ac:dyDescent="0.2">
      <c r="A31" s="1" t="s">
        <v>1542</v>
      </c>
      <c r="B31" s="1376" t="str">
        <f>+Aout!CC75</f>
        <v>Détail : Nbre jours d'activité = jrs activités mensualisés (0 jrs) + jrs rajoutés (régul…) (0 jrs) - jrs déduits (0 jrs * (0 hrs / 0 hrs) + 0 jrs)</v>
      </c>
      <c r="C31" s="1376" t="str">
        <f>+Avril!CC75</f>
        <v>Détail : Nbre jours d'activité = jrs activités mensualisés (0 jrs) + jrs rajoutés (régul…) (0 jrs) - jrs déduits (0 jrs * (0 hrs / 0 hrs) + 0 jrs)</v>
      </c>
      <c r="D31" s="1376" t="str">
        <f>+Décembre!CC75</f>
        <v>Détail : Nbre jours d'activité = jrs activités mensualisés (0 jrs) + jrs rajoutés (régul…) (0 jrs) - jrs déduits (0 jrs * (0 hrs / 0 hrs) + 0 jrs)</v>
      </c>
      <c r="E31" s="1376" t="str">
        <f>+Février!CC75</f>
        <v>Détail : Nbre jours d'activité = jrs activités mensualisés (0 jrs) + jrs rajoutés (régul…) (0 jrs) - jrs déduits (0 jrs * (0 hrs / 0 hrs) + 0 jrs)</v>
      </c>
      <c r="F31" s="1376" t="str">
        <f>+Janvier!CC75</f>
        <v>Détail : Nbre jours d'activité = jrs activités mensualisés (0 jrs) + jrs rajoutés (régul…) (0 jrs) - jrs déduits (0 jrs * (0 hrs / 0 hrs) + 0 jrs)</v>
      </c>
      <c r="G31" s="1376" t="str">
        <f>+Juillet!CC75</f>
        <v>Détail : Nbre jours d'activité = jrs activités mensualisés (0 jrs) + jrs rajoutés (régul…) (0 jrs) - jrs déduits (0 jrs * (0 hrs / 0 hrs) + 0 jrs)</v>
      </c>
      <c r="H31" s="1376" t="str">
        <f>+Juin!CC75</f>
        <v>Détail : Nbre jours d'activité = jrs activités mensualisés (0 jrs) + jrs rajoutés (régul…) (0 jrs) - jrs déduits (0 jrs * (0 hrs / 0 hrs) + 0 jrs)</v>
      </c>
      <c r="I31" s="1376" t="str">
        <f>+Mai!CC75</f>
        <v>Détail : Nbre jours d'activité = jrs activités mensualisés (0 jrs) + jrs rajoutés (régul…) (0 jrs) - jrs déduits (0 jrs * (0 hrs / 0 hrs) + 0 jrs)</v>
      </c>
      <c r="J31" s="1376" t="str">
        <f>+Mars!CC75</f>
        <v>Détail : Nbre jours d'activité = jrs activités mensualisés (0 jrs) + jrs rajoutés (régul…) (0 jrs) - jrs déduits (0 jrs * (0 hrs / 0 hrs) + 0 jrs)</v>
      </c>
      <c r="K31" s="1376" t="str">
        <f>+Novembre!CC75</f>
        <v>Détail : Nbre jours d'activité = jrs activités mensualisés (0 jrs) + jrs rajoutés (régul…) (0 jrs) - jrs déduits (0 jrs * (0 hrs / 0 hrs) + 0 jrs)</v>
      </c>
      <c r="L31" s="1376" t="str">
        <f>+Octobre!CC75</f>
        <v>Détail : Nbre jours d'activité = jrs activités mensualisés (0 jrs) + jrs rajoutés (régul…) (0 jrs) - jrs déduits (0 jrs * (0 hrs / 0 hrs) + 0 jrs)</v>
      </c>
      <c r="M31" s="1376" t="str">
        <f>+Septembre!CC75</f>
        <v>Détail : Nbre jours d'activité = jrs activités mensualisés (0 jrs) + jrs rajoutés (régul…) (0 jrs) - jrs déduits (0 jrs * (0 hrs / 0 hrs) + 0 jrs)</v>
      </c>
    </row>
    <row r="32" spans="1:13" x14ac:dyDescent="0.2">
      <c r="A32" s="1" t="s">
        <v>1602</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1281</v>
      </c>
      <c r="B33" s="9">
        <f>+Aout!$X$5</f>
        <v>45870</v>
      </c>
      <c r="C33" s="9">
        <f>+Avril!$X$5</f>
        <v>45748</v>
      </c>
      <c r="D33" s="9">
        <f>+Décembre!$X$5</f>
        <v>45992</v>
      </c>
      <c r="E33" s="9">
        <f>+Février!$X$5</f>
        <v>45689</v>
      </c>
      <c r="F33" s="9">
        <f>+Janvier!$X$5</f>
        <v>45658</v>
      </c>
      <c r="G33" s="9">
        <f>+Juillet!$X$5</f>
        <v>45839</v>
      </c>
      <c r="H33" s="9">
        <f>+Juin!$X$5</f>
        <v>45809</v>
      </c>
      <c r="I33" s="9">
        <f>+Mai!$X$5</f>
        <v>45778</v>
      </c>
      <c r="J33" s="9">
        <f>+Mars!$X$5</f>
        <v>45717</v>
      </c>
      <c r="K33" s="9">
        <f>+Novembre!$X$5</f>
        <v>45962</v>
      </c>
      <c r="L33" s="9">
        <f>+Octobre!$X$5</f>
        <v>45931</v>
      </c>
      <c r="M33" s="9">
        <f>+Septembre!$X$5</f>
        <v>45901</v>
      </c>
    </row>
    <row r="34" spans="1:13" x14ac:dyDescent="0.2">
      <c r="A34" s="1" t="s">
        <v>669</v>
      </c>
      <c r="B34" s="9">
        <f>+Aout!$AB$5</f>
        <v>45900</v>
      </c>
      <c r="C34" s="9">
        <f>+Avril!$AB$5</f>
        <v>45777</v>
      </c>
      <c r="D34" s="9">
        <f>+Décembre!$AB$5</f>
        <v>46022</v>
      </c>
      <c r="E34" s="9">
        <f>+Février!$AB$5</f>
        <v>45716</v>
      </c>
      <c r="F34" s="9">
        <f>+Janvier!$AB$5</f>
        <v>45688</v>
      </c>
      <c r="G34" s="9">
        <f>+Juillet!$AB$5</f>
        <v>45869</v>
      </c>
      <c r="H34" s="9">
        <f>+Juin!$AB$5</f>
        <v>45838</v>
      </c>
      <c r="I34" s="9">
        <f>+Mai!$AB$5</f>
        <v>45808</v>
      </c>
      <c r="J34" s="9">
        <f>+Mars!$AB$5</f>
        <v>45747</v>
      </c>
      <c r="K34" s="9">
        <f>+Novembre!$AB$5</f>
        <v>45991</v>
      </c>
      <c r="L34" s="9">
        <f>+Octobre!$AB$5</f>
        <v>45961</v>
      </c>
      <c r="M34" s="9">
        <f>+Septembre!$AB$5</f>
        <v>45930</v>
      </c>
    </row>
    <row r="35" spans="1:13" x14ac:dyDescent="0.2">
      <c r="A35" s="1" t="s">
        <v>1718</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1719</v>
      </c>
      <c r="B36" s="1609" t="str">
        <f>+Aout!$AJ$131</f>
        <v>Oui</v>
      </c>
      <c r="C36" s="1609" t="str">
        <f>+Avril!$AJ$131</f>
        <v>Oui</v>
      </c>
      <c r="D36" s="1609" t="str">
        <f>+Décembre!$AJ$131</f>
        <v>Oui</v>
      </c>
      <c r="E36" s="1609" t="str">
        <f>+Février!$AJ$131</f>
        <v>Oui</v>
      </c>
      <c r="F36" s="1609" t="str">
        <f>+Janvier!$AJ$131</f>
        <v>Oui</v>
      </c>
      <c r="G36" s="1609" t="str">
        <f>+Juillet!$AJ$131</f>
        <v>Oui</v>
      </c>
      <c r="H36" s="1609" t="str">
        <f>+Juin!$AJ$131</f>
        <v>Oui</v>
      </c>
      <c r="I36" s="1609" t="str">
        <f>+Mai!$AJ$131</f>
        <v>Oui</v>
      </c>
      <c r="J36" s="1609" t="str">
        <f>+Mars!$AJ$131</f>
        <v>Oui</v>
      </c>
      <c r="K36" s="1609" t="str">
        <f>+Novembre!$AJ$131</f>
        <v>Oui</v>
      </c>
      <c r="L36" s="1609" t="str">
        <f>+Octobre!$AJ$131</f>
        <v>Oui</v>
      </c>
      <c r="M36" s="1609"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457</v>
      </c>
    </row>
    <row r="43" spans="1:13" x14ac:dyDescent="0.2">
      <c r="A43" s="8" t="s">
        <v>98</v>
      </c>
    </row>
    <row r="44" spans="1:13" x14ac:dyDescent="0.2">
      <c r="A44" s="8" t="s">
        <v>99</v>
      </c>
    </row>
    <row r="45" spans="1:13" x14ac:dyDescent="0.2">
      <c r="A45" s="8" t="s">
        <v>100</v>
      </c>
    </row>
    <row r="46" spans="1:13" x14ac:dyDescent="0.2">
      <c r="A46" s="8" t="s">
        <v>101</v>
      </c>
    </row>
    <row r="47" spans="1:13" x14ac:dyDescent="0.2">
      <c r="A47" s="8" t="s">
        <v>102</v>
      </c>
    </row>
    <row r="48" spans="1:13" x14ac:dyDescent="0.2">
      <c r="A48" s="8" t="s">
        <v>103</v>
      </c>
    </row>
    <row r="49" spans="1:1" x14ac:dyDescent="0.2">
      <c r="A49" s="8" t="s">
        <v>104</v>
      </c>
    </row>
    <row r="50" spans="1:1" x14ac:dyDescent="0.2">
      <c r="A50" s="8" t="s">
        <v>105</v>
      </c>
    </row>
    <row r="51" spans="1:1" x14ac:dyDescent="0.2">
      <c r="A51" s="8" t="s">
        <v>106</v>
      </c>
    </row>
    <row r="52" spans="1:1" x14ac:dyDescent="0.2">
      <c r="A52" s="8" t="s">
        <v>107</v>
      </c>
    </row>
    <row r="53" spans="1:1" x14ac:dyDescent="0.2">
      <c r="A53" s="8" t="s">
        <v>108</v>
      </c>
    </row>
    <row r="54" spans="1:1" x14ac:dyDescent="0.2">
      <c r="A54" s="8" t="s">
        <v>109</v>
      </c>
    </row>
  </sheetData>
  <sheetProtection algorithmName="SHA-512" hashValue="hyPCb8yiKpiKSBr6X23oQALiziGGOljxKAgTwUzHt7L6CmtwjC0HMwCyGCbUZJ4Abp4Nsz5qjMoL5XqE0ukWMQ==" saltValue="q+tRYDFIkjlJi4FnAToH2A==" spinCount="100000" sheet="1" objects="1" scenarios="1" formatCells="0" formatColumns="0" formatRows="0" insertColumns="0" insertRows="0" insertHyperlink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FV1" sqref="FV1"/>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213</v>
      </c>
    </row>
    <row r="5" spans="1:5" x14ac:dyDescent="0.2">
      <c r="A5" s="16" t="s">
        <v>214</v>
      </c>
    </row>
    <row r="7" spans="1:5" x14ac:dyDescent="0.2">
      <c r="A7" s="18" t="s">
        <v>220</v>
      </c>
    </row>
    <row r="9" spans="1:5" x14ac:dyDescent="0.2">
      <c r="A9" s="19" t="s">
        <v>218</v>
      </c>
    </row>
    <row r="11" spans="1:5" x14ac:dyDescent="0.2">
      <c r="A11" s="2418" t="s">
        <v>215</v>
      </c>
      <c r="B11" s="2420"/>
      <c r="D11" s="2418" t="s">
        <v>216</v>
      </c>
      <c r="E11" s="2420"/>
    </row>
    <row r="12" spans="1:5" x14ac:dyDescent="0.2">
      <c r="A12" s="20" t="s">
        <v>30</v>
      </c>
      <c r="B12" s="21" t="s">
        <v>217</v>
      </c>
      <c r="D12" s="20" t="s">
        <v>30</v>
      </c>
      <c r="E12" s="21" t="s">
        <v>217</v>
      </c>
    </row>
    <row r="13" spans="1:5" x14ac:dyDescent="0.2">
      <c r="A13" s="16" t="str">
        <f>+"Janvier "&amp; Identification!B60</f>
        <v>Janvier 2025</v>
      </c>
      <c r="B13" s="22">
        <f ca="1">+Janvier!T35-Janvier!HO16-Janvier!T30-Janvier!T32-Janvier!T27-Janvier!T28</f>
        <v>0</v>
      </c>
      <c r="D13" s="16" t="str">
        <f>+"Juin "&amp; Identification!B60</f>
        <v>Juin 2025</v>
      </c>
      <c r="E13" s="22">
        <f ca="1">+Juin!T35-Juin!HO16-Juin!T30-Juin!T32-Juin!T27-Juin!T28</f>
        <v>0</v>
      </c>
    </row>
    <row r="14" spans="1:5" x14ac:dyDescent="0.2">
      <c r="A14" s="16" t="str">
        <f>+"Février "&amp; Identification!B60</f>
        <v>Février 2025</v>
      </c>
      <c r="B14" s="22">
        <f>+Février!T35-Février!HO16-Février!T30-Février!T32-Février!T27-Février!T28</f>
        <v>0</v>
      </c>
      <c r="D14" s="16" t="str">
        <f>+"Juillet  "&amp; Identification!B60</f>
        <v>Juillet  2025</v>
      </c>
      <c r="E14" s="22">
        <f>+Juillet!T35-Juillet!HO16-Juillet!T30-Juillet!T32-Juillet!T27-Juillet!T28</f>
        <v>0</v>
      </c>
    </row>
    <row r="15" spans="1:5" x14ac:dyDescent="0.2">
      <c r="A15" s="16" t="str">
        <f>+"Mars "&amp; Identification!B60</f>
        <v>Mars 2025</v>
      </c>
      <c r="B15" s="22">
        <f>+Mars!T35-Mars!HO16-Mars!T30-Mars!T32-Mars!T27-Mars!T28</f>
        <v>0</v>
      </c>
      <c r="D15" s="16" t="str">
        <f>+"Août "&amp; Identification!B60</f>
        <v>Août 2025</v>
      </c>
      <c r="E15" s="22">
        <f>+Aout!T35-Aout!HO16-Aout!T30-Aout!T32-Aout!T27-Aout!T28</f>
        <v>0</v>
      </c>
    </row>
    <row r="16" spans="1:5" x14ac:dyDescent="0.2">
      <c r="A16" s="16" t="str">
        <f>+"Avril "&amp; Identification!B60</f>
        <v>Avril 2025</v>
      </c>
      <c r="B16" s="22">
        <f>+Avril!T35-Avril!HO16-Avril!T30-Avril!T32-Avril!T27-Avril!T28</f>
        <v>0</v>
      </c>
      <c r="D16" s="16" t="str">
        <f>+"Septembre "&amp; Identification!B60</f>
        <v>Septembre 2025</v>
      </c>
      <c r="E16" s="22">
        <f>+Septembre!T35-Septembre!HO16-Septembre!T30-Septembre!T32-Septembre!T27-Septembre!T28</f>
        <v>0</v>
      </c>
    </row>
    <row r="17" spans="1:5" x14ac:dyDescent="0.2">
      <c r="A17" s="16" t="str">
        <f>+"Mai "&amp; Identification!B60</f>
        <v>Mai 2025</v>
      </c>
      <c r="B17" s="22">
        <f>+Mai!T35-Mai!HO16-Mai!T30-Mai!T32-Mai!T27-Mai!T38</f>
        <v>0</v>
      </c>
      <c r="D17" s="16" t="str">
        <f>+"Octobre "&amp; Identification!B60</f>
        <v>Octobre 2025</v>
      </c>
      <c r="E17" s="22">
        <f>+Octobre!T35-Octobre!HO16-Octobre!T30-Octobre!T32-Octobre!T27-Octobre!T28</f>
        <v>0</v>
      </c>
    </row>
    <row r="18" spans="1:5" x14ac:dyDescent="0.2">
      <c r="D18" s="16" t="str">
        <f>+"Novembre "&amp; Identification!B60</f>
        <v>Novembre 2025</v>
      </c>
      <c r="E18" s="22">
        <f>+Novembre!T35-Novembre!HO16-Novembre!T30-Novembre!T32-Novembre!T27-Novembre!T28</f>
        <v>0</v>
      </c>
    </row>
    <row r="19" spans="1:5" x14ac:dyDescent="0.2">
      <c r="D19" s="16" t="str">
        <f>+"Décembre "&amp; Identification!B60</f>
        <v>Décembre 2025</v>
      </c>
      <c r="E19" s="22">
        <f>+Décembre!T35-Décembre!HO16-Décembre!T30-Décembre!T32-Décembre!T27-Décembre!T28</f>
        <v>0</v>
      </c>
    </row>
    <row r="22" spans="1:5" x14ac:dyDescent="0.2">
      <c r="A22" s="19" t="s">
        <v>526</v>
      </c>
    </row>
    <row r="24" spans="1:5" x14ac:dyDescent="0.2">
      <c r="A24" s="2418" t="s">
        <v>215</v>
      </c>
      <c r="B24" s="2420"/>
      <c r="D24" s="2418" t="s">
        <v>216</v>
      </c>
      <c r="E24" s="2420"/>
    </row>
    <row r="25" spans="1:5" x14ac:dyDescent="0.2">
      <c r="A25" s="20" t="s">
        <v>30</v>
      </c>
      <c r="B25" s="21" t="s">
        <v>217</v>
      </c>
      <c r="D25" s="20" t="s">
        <v>30</v>
      </c>
      <c r="E25" s="21" t="s">
        <v>217</v>
      </c>
    </row>
    <row r="26" spans="1:5" x14ac:dyDescent="0.2">
      <c r="A26" s="16" t="str">
        <f>+"Janvier "&amp; Identification!B60</f>
        <v>Janvier 2025</v>
      </c>
      <c r="B26" s="22">
        <f>+Janvier!HO16</f>
        <v>0</v>
      </c>
      <c r="D26" s="16" t="str">
        <f>+"Juin "&amp; Identification!B60</f>
        <v>Juin 2025</v>
      </c>
      <c r="E26" s="22">
        <f>+Juin!HO16</f>
        <v>0</v>
      </c>
    </row>
    <row r="27" spans="1:5" x14ac:dyDescent="0.2">
      <c r="A27" s="16" t="str">
        <f>+"Février "&amp; Identification!B60</f>
        <v>Février 2025</v>
      </c>
      <c r="B27" s="22">
        <f>+Février!HO16</f>
        <v>0</v>
      </c>
      <c r="D27" s="16" t="str">
        <f>+"Juillet  "&amp; Identification!B60</f>
        <v>Juillet  2025</v>
      </c>
      <c r="E27" s="22">
        <f>+Juillet!HO16</f>
        <v>0</v>
      </c>
    </row>
    <row r="28" spans="1:5" x14ac:dyDescent="0.2">
      <c r="A28" s="16" t="str">
        <f>+"Mars "&amp; Identification!B60</f>
        <v>Mars 2025</v>
      </c>
      <c r="B28" s="22">
        <f>+Mars!HO16</f>
        <v>0</v>
      </c>
      <c r="D28" s="16" t="str">
        <f>+"Août "&amp; Identification!B60</f>
        <v>Août 2025</v>
      </c>
      <c r="E28" s="22">
        <f>+Aout!HO16</f>
        <v>0</v>
      </c>
    </row>
    <row r="29" spans="1:5" x14ac:dyDescent="0.2">
      <c r="A29" s="16" t="str">
        <f>+"Avril "&amp; Identification!B60</f>
        <v>Avril 2025</v>
      </c>
      <c r="B29" s="22">
        <f>+Avril!HO16</f>
        <v>0</v>
      </c>
      <c r="D29" s="16" t="str">
        <f>+"Septembre "&amp; Identification!B60</f>
        <v>Septembre 2025</v>
      </c>
      <c r="E29" s="22">
        <f>+Septembre!HO16</f>
        <v>0</v>
      </c>
    </row>
    <row r="30" spans="1:5" x14ac:dyDescent="0.2">
      <c r="A30" s="16" t="str">
        <f>+"Mai "&amp; Identification!B60</f>
        <v>Mai 2025</v>
      </c>
      <c r="B30" s="22">
        <f>+Mai!HO16</f>
        <v>0</v>
      </c>
      <c r="D30" s="16" t="str">
        <f>+"Octobre "&amp; Identification!B60</f>
        <v>Octobre 2025</v>
      </c>
      <c r="E30" s="22">
        <f>+Octobre!HO16</f>
        <v>0</v>
      </c>
    </row>
    <row r="31" spans="1:5" x14ac:dyDescent="0.2">
      <c r="D31" s="16" t="str">
        <f>+"Novembre "&amp; Identification!B60</f>
        <v>Novembre 2025</v>
      </c>
      <c r="E31" s="22">
        <f>+Novembre!HO16</f>
        <v>0</v>
      </c>
    </row>
    <row r="32" spans="1:5" x14ac:dyDescent="0.2">
      <c r="D32" s="16" t="str">
        <f>+"Décembre "&amp; Identification!B60</f>
        <v>Décembre 2025</v>
      </c>
      <c r="E32" s="22">
        <f>+Décembre!HO16</f>
        <v>0</v>
      </c>
    </row>
  </sheetData>
  <sheetProtection algorithmName="SHA-512" hashValue="Ae3LpOqNz7o4/A6J8uYlWIl04IaVabIwZ+5R4NA/KkyZ9ZOTd/PS9ZtyR6xyylqS4vN4DKzRylU3q2tmci0C1w==" saltValue="fCV+6mNg36Xd+HUNKyB9hA==" spinCount="100000" sheet="1" objects="1" scenarios="1" formatCells="0" formatColumns="0" formatRows="0" insertColumns="0" insertRows="0" insertHyperlink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FV1" sqref="FV1"/>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2025</v>
      </c>
    </row>
    <row r="2" spans="1:2" x14ac:dyDescent="0.2">
      <c r="A2" t="s">
        <v>1076</v>
      </c>
      <c r="B2" s="576">
        <f>DATE(B1,1,1)</f>
        <v>45658</v>
      </c>
    </row>
    <row r="3" spans="1:2" x14ac:dyDescent="0.2">
      <c r="A3" t="s">
        <v>1077</v>
      </c>
      <c r="B3" s="576">
        <f>ROUND(DATE(B1,4,MOD(234-11*MOD(B1,19),30))/7,0)*7-6</f>
        <v>45767</v>
      </c>
    </row>
    <row r="4" spans="1:2" x14ac:dyDescent="0.2">
      <c r="A4" t="s">
        <v>1078</v>
      </c>
      <c r="B4" s="576">
        <f>B3+1</f>
        <v>45768</v>
      </c>
    </row>
    <row r="5" spans="1:2" x14ac:dyDescent="0.2">
      <c r="A5" t="s">
        <v>1079</v>
      </c>
      <c r="B5" s="576">
        <f>DATE(B1,5,1)</f>
        <v>45778</v>
      </c>
    </row>
    <row r="6" spans="1:2" x14ac:dyDescent="0.2">
      <c r="A6" t="s">
        <v>1080</v>
      </c>
      <c r="B6" s="576">
        <f>DATE(B1,5,8)</f>
        <v>45785</v>
      </c>
    </row>
    <row r="7" spans="1:2" x14ac:dyDescent="0.2">
      <c r="A7" t="s">
        <v>1081</v>
      </c>
      <c r="B7" s="576">
        <f>B3+39</f>
        <v>45806</v>
      </c>
    </row>
    <row r="8" spans="1:2" x14ac:dyDescent="0.2">
      <c r="A8" t="s">
        <v>1082</v>
      </c>
      <c r="B8" s="576">
        <f>B3+49</f>
        <v>45816</v>
      </c>
    </row>
    <row r="9" spans="1:2" x14ac:dyDescent="0.2">
      <c r="A9" t="s">
        <v>1083</v>
      </c>
      <c r="B9" s="576">
        <f>B3+50</f>
        <v>45817</v>
      </c>
    </row>
    <row r="10" spans="1:2" x14ac:dyDescent="0.2">
      <c r="A10" t="s">
        <v>1084</v>
      </c>
      <c r="B10" s="576">
        <f>DATE(B1,7,14)</f>
        <v>45852</v>
      </c>
    </row>
    <row r="11" spans="1:2" x14ac:dyDescent="0.2">
      <c r="A11" t="s">
        <v>1085</v>
      </c>
      <c r="B11" s="576">
        <f>DATE(B1,8,15)</f>
        <v>45884</v>
      </c>
    </row>
    <row r="12" spans="1:2" x14ac:dyDescent="0.2">
      <c r="A12" t="s">
        <v>1086</v>
      </c>
      <c r="B12" s="576">
        <f>DATE(B1,11,1)</f>
        <v>45962</v>
      </c>
    </row>
    <row r="13" spans="1:2" x14ac:dyDescent="0.2">
      <c r="A13" t="s">
        <v>1087</v>
      </c>
      <c r="B13" s="576">
        <f>DATE(B1,11,11)</f>
        <v>45972</v>
      </c>
    </row>
    <row r="14" spans="1:2" x14ac:dyDescent="0.2">
      <c r="A14" t="s">
        <v>1088</v>
      </c>
      <c r="B14" s="576">
        <f>DATE(B1,12,25)</f>
        <v>46016</v>
      </c>
    </row>
    <row r="15" spans="1:2" x14ac:dyDescent="0.2">
      <c r="B15" s="576"/>
    </row>
    <row r="16" spans="1:2" x14ac:dyDescent="0.2">
      <c r="B16" s="576"/>
    </row>
    <row r="17" spans="2:2" x14ac:dyDescent="0.2">
      <c r="B17" s="576"/>
    </row>
    <row r="18" spans="2:2" x14ac:dyDescent="0.2">
      <c r="B18" s="576"/>
    </row>
    <row r="19" spans="2:2" x14ac:dyDescent="0.2">
      <c r="B19" s="576"/>
    </row>
    <row r="20" spans="2:2" x14ac:dyDescent="0.2">
      <c r="B20" s="576"/>
    </row>
    <row r="21" spans="2:2" x14ac:dyDescent="0.2">
      <c r="B21" s="576"/>
    </row>
  </sheetData>
  <sheetProtection algorithmName="SHA-512" hashValue="hJMsfPCN8Qo6UvtD69RObcCIdL3sVCXgA5VASsVIp0M9WBybXLhz6j2U6KcX0gKW5Bcau2iOG4si2tlADr2akA==" saltValue="N1BRXBDsW6JgvduyVXJ1MQ==" spinCount="100000" sheet="1" objects="1" scenarios="1" formatCells="0" formatColumns="0" formatRows="0" insertColumns="0" insertRows="0" insertHyperlink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70" t="s">
        <v>894</v>
      </c>
      <c r="B2" s="470" t="s">
        <v>31</v>
      </c>
      <c r="C2" s="470" t="s">
        <v>895</v>
      </c>
      <c r="D2" s="470" t="s">
        <v>896</v>
      </c>
      <c r="E2" s="470" t="s">
        <v>897</v>
      </c>
      <c r="F2" s="470" t="s">
        <v>898</v>
      </c>
      <c r="G2" s="470" t="s">
        <v>899</v>
      </c>
      <c r="H2" s="470" t="s">
        <v>900</v>
      </c>
      <c r="I2" s="470" t="s">
        <v>901</v>
      </c>
      <c r="J2" s="470" t="s">
        <v>902</v>
      </c>
      <c r="K2" s="470" t="s">
        <v>903</v>
      </c>
      <c r="L2" s="470" t="s">
        <v>904</v>
      </c>
      <c r="M2" s="470" t="s">
        <v>907</v>
      </c>
      <c r="N2" s="470" t="s">
        <v>1506</v>
      </c>
      <c r="O2" s="470" t="s">
        <v>1699</v>
      </c>
      <c r="P2" s="27" t="s">
        <v>905</v>
      </c>
      <c r="Q2" s="27" t="s">
        <v>906</v>
      </c>
    </row>
    <row r="3" spans="1:17" x14ac:dyDescent="0.2">
      <c r="A3" s="471">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OUI</v>
      </c>
      <c r="Q3" s="16">
        <f t="array" ref="Q3">IF(P3="OUI",MAX($Q$2:Q2)+1,"")</f>
        <v>1</v>
      </c>
    </row>
    <row r="4" spans="1:17" x14ac:dyDescent="0.2">
      <c r="A4" s="471">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OUI</v>
      </c>
      <c r="Q4" s="16">
        <f t="array" ref="Q4">IF(P4="OUI",MAX($Q$2:Q3)+1,"")</f>
        <v>2</v>
      </c>
    </row>
    <row r="5" spans="1:17" x14ac:dyDescent="0.2">
      <c r="A5" s="471">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OUI</v>
      </c>
      <c r="Q5" s="16">
        <f t="array" ref="Q5">IF(P5="OUI",MAX($Q$2:Q4)+1,"")</f>
        <v>3</v>
      </c>
    </row>
    <row r="6" spans="1:17" x14ac:dyDescent="0.2">
      <c r="A6" s="471">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OUI</v>
      </c>
      <c r="Q6" s="16">
        <f t="array" ref="Q6">IF(P6="OUI",MAX($Q$2:Q5)+1,"")</f>
        <v>4</v>
      </c>
    </row>
    <row r="7" spans="1:17" x14ac:dyDescent="0.2">
      <c r="A7" s="471">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OUI</v>
      </c>
      <c r="Q7" s="16">
        <f t="array" ref="Q7">IF(P7="OUI",MAX($Q$2:Q6)+1,"")</f>
        <v>5</v>
      </c>
    </row>
    <row r="8" spans="1:17" x14ac:dyDescent="0.2">
      <c r="A8" s="471">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OUI</v>
      </c>
      <c r="Q8" s="16">
        <f t="array" ref="Q8">IF(P8="OUI",MAX($Q$2:Q7)+1,"")</f>
        <v>6</v>
      </c>
    </row>
    <row r="9" spans="1:17" x14ac:dyDescent="0.2">
      <c r="A9" s="471">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OUI</v>
      </c>
      <c r="Q9" s="16">
        <f t="array" ref="Q9">IF(P9="OUI",MAX($Q$2:Q8)+1,"")</f>
        <v>7</v>
      </c>
    </row>
    <row r="10" spans="1:17" x14ac:dyDescent="0.2">
      <c r="A10" s="471">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OUI</v>
      </c>
      <c r="Q10" s="16">
        <f t="array" ref="Q10">IF(P10="OUI",MAX($Q$2:Q9)+1,"")</f>
        <v>8</v>
      </c>
    </row>
    <row r="11" spans="1:17" x14ac:dyDescent="0.2">
      <c r="A11" s="471">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OUI</v>
      </c>
      <c r="Q11" s="16">
        <f t="array" ref="Q11">IF(P11="OUI",MAX($Q$2:Q10)+1,"")</f>
        <v>9</v>
      </c>
    </row>
    <row r="12" spans="1:17" x14ac:dyDescent="0.2">
      <c r="A12" s="471">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OUI</v>
      </c>
      <c r="Q12" s="16">
        <f t="array" ref="Q12">IF(P12="OUI",MAX($Q$2:Q11)+1,"")</f>
        <v>10</v>
      </c>
    </row>
    <row r="13" spans="1:17" x14ac:dyDescent="0.2">
      <c r="A13" s="471">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OUI</v>
      </c>
      <c r="Q13" s="16">
        <f t="array" ref="Q13">IF(P13="OUI",MAX($Q$2:Q12)+1,"")</f>
        <v>11</v>
      </c>
    </row>
    <row r="14" spans="1:17" x14ac:dyDescent="0.2">
      <c r="A14" s="471">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OUI</v>
      </c>
      <c r="Q14" s="16">
        <f t="array" ref="Q14">IF(P14="OUI",MAX($Q$2:Q13)+1,"")</f>
        <v>12</v>
      </c>
    </row>
    <row r="15" spans="1:17" x14ac:dyDescent="0.2">
      <c r="A15" s="471">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OUI</v>
      </c>
      <c r="Q15" s="16">
        <f t="array" ref="Q15">IF(P15="OUI",MAX($Q$2:Q14)+1,"")</f>
        <v>13</v>
      </c>
    </row>
    <row r="16" spans="1:17" x14ac:dyDescent="0.2">
      <c r="A16" s="471">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OUI</v>
      </c>
      <c r="Q16" s="16">
        <f t="array" ref="Q16">IF(P16="OUI",MAX($Q$2:Q15)+1,"")</f>
        <v>14</v>
      </c>
    </row>
    <row r="17" spans="1:17" x14ac:dyDescent="0.2">
      <c r="A17" s="471">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OUI</v>
      </c>
      <c r="Q17" s="16">
        <f t="array" ref="Q17">IF(P17="OUI",MAX($Q$2:Q16)+1,"")</f>
        <v>15</v>
      </c>
    </row>
    <row r="18" spans="1:17" x14ac:dyDescent="0.2">
      <c r="A18" s="471">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OUI</v>
      </c>
      <c r="Q18" s="16">
        <f t="array" ref="Q18">IF(P18="OUI",MAX($Q$2:Q17)+1,"")</f>
        <v>16</v>
      </c>
    </row>
    <row r="19" spans="1:17" x14ac:dyDescent="0.2">
      <c r="A19" s="471">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OUI</v>
      </c>
      <c r="Q19" s="16">
        <f t="array" ref="Q19">IF(P19="OUI",MAX($Q$2:Q18)+1,"")</f>
        <v>17</v>
      </c>
    </row>
    <row r="20" spans="1:17" x14ac:dyDescent="0.2">
      <c r="A20" s="471">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OUI</v>
      </c>
      <c r="Q20" s="16">
        <f t="array" ref="Q20">IF(P20="OUI",MAX($Q$2:Q19)+1,"")</f>
        <v>18</v>
      </c>
    </row>
    <row r="21" spans="1:17" x14ac:dyDescent="0.2">
      <c r="A21" s="471">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OUI</v>
      </c>
      <c r="Q21" s="16">
        <f t="array" ref="Q21">IF(P21="OUI",MAX($Q$2:Q20)+1,"")</f>
        <v>19</v>
      </c>
    </row>
    <row r="22" spans="1:17" x14ac:dyDescent="0.2">
      <c r="A22" s="471">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OUI</v>
      </c>
      <c r="Q22" s="16">
        <f t="array" ref="Q22">IF(P22="OUI",MAX($Q$2:Q21)+1,"")</f>
        <v>20</v>
      </c>
    </row>
    <row r="23" spans="1:17" x14ac:dyDescent="0.2">
      <c r="A23" s="471">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OUI</v>
      </c>
      <c r="Q23" s="16">
        <f t="array" ref="Q23">IF(P23="OUI",MAX($Q$2:Q22)+1,"")</f>
        <v>21</v>
      </c>
    </row>
    <row r="24" spans="1:17" x14ac:dyDescent="0.2">
      <c r="A24" s="471">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OUI</v>
      </c>
      <c r="Q24" s="16">
        <f t="array" ref="Q24">IF(P24="OUI",MAX($Q$2:Q23)+1,"")</f>
        <v>22</v>
      </c>
    </row>
    <row r="25" spans="1:17" x14ac:dyDescent="0.2">
      <c r="A25" s="471">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OUI</v>
      </c>
      <c r="Q25" s="16">
        <f t="array" ref="Q25">IF(P25="OUI",MAX($Q$2:Q24)+1,"")</f>
        <v>23</v>
      </c>
    </row>
    <row r="26" spans="1:17" x14ac:dyDescent="0.2">
      <c r="A26" s="471">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OUI</v>
      </c>
      <c r="Q26" s="16">
        <f t="array" ref="Q26">IF(P26="OUI",MAX($Q$2:Q25)+1,"")</f>
        <v>24</v>
      </c>
    </row>
    <row r="27" spans="1:17" x14ac:dyDescent="0.2">
      <c r="A27" s="471">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OUI</v>
      </c>
      <c r="Q27" s="16">
        <f t="array" ref="Q27">IF(P27="OUI",MAX($Q$2:Q26)+1,"")</f>
        <v>25</v>
      </c>
    </row>
    <row r="28" spans="1:17" x14ac:dyDescent="0.2">
      <c r="A28" s="471">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OUI</v>
      </c>
      <c r="Q28" s="16">
        <f t="array" ref="Q28">IF(P28="OUI",MAX($Q$2:Q27)+1,"")</f>
        <v>26</v>
      </c>
    </row>
    <row r="29" spans="1:17" x14ac:dyDescent="0.2">
      <c r="A29" s="471">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OUI</v>
      </c>
      <c r="Q29" s="16">
        <f t="array" ref="Q29">IF(P29="OUI",MAX($Q$2:Q28)+1,"")</f>
        <v>27</v>
      </c>
    </row>
    <row r="30" spans="1:17" x14ac:dyDescent="0.2">
      <c r="A30" s="471">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OUI</v>
      </c>
      <c r="Q30" s="16">
        <f t="array" ref="Q30">IF(P30="OUI",MAX($Q$2:Q29)+1,"")</f>
        <v>28</v>
      </c>
    </row>
    <row r="31" spans="1:17" x14ac:dyDescent="0.2">
      <c r="A31" s="471">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OUI</v>
      </c>
      <c r="Q31" s="16">
        <f t="array" ref="Q31">IF(P31="OUI",MAX($Q$2:Q30)+1,"")</f>
        <v>29</v>
      </c>
    </row>
    <row r="32" spans="1:17" x14ac:dyDescent="0.2">
      <c r="A32" s="471">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OUI</v>
      </c>
      <c r="Q32" s="16">
        <f t="array" ref="Q32">IF(P32="OUI",MAX($Q$2:Q31)+1,"")</f>
        <v>30</v>
      </c>
    </row>
    <row r="33" spans="1:17" x14ac:dyDescent="0.2">
      <c r="A33" s="471">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OUI</v>
      </c>
      <c r="Q33" s="16">
        <f t="array" ref="Q33">IF(P33="OUI",MAX($Q$2:Q32)+1,"")</f>
        <v>31</v>
      </c>
    </row>
    <row r="34" spans="1:17" x14ac:dyDescent="0.2">
      <c r="A34" s="471">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OUI</v>
      </c>
      <c r="Q34" s="16">
        <f t="array" ref="Q34">IF(P34="OUI",MAX($Q$2:Q33)+1,"")</f>
        <v>32</v>
      </c>
    </row>
    <row r="35" spans="1:17" x14ac:dyDescent="0.2">
      <c r="A35" s="471">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OUI</v>
      </c>
      <c r="Q35" s="16">
        <f t="array" ref="Q35">IF(P35="OUI",MAX($Q$2:Q34)+1,"")</f>
        <v>33</v>
      </c>
    </row>
    <row r="36" spans="1:17" x14ac:dyDescent="0.2">
      <c r="A36" s="471">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OUI</v>
      </c>
      <c r="Q36" s="16">
        <f t="array" ref="Q36">IF(P36="OUI",MAX($Q$2:Q35)+1,"")</f>
        <v>34</v>
      </c>
    </row>
    <row r="37" spans="1:17" x14ac:dyDescent="0.2">
      <c r="A37" s="471">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OUI</v>
      </c>
      <c r="Q37" s="16">
        <f t="array" ref="Q37">IF(P37="OUI",MAX($Q$2:Q36)+1,"")</f>
        <v>35</v>
      </c>
    </row>
    <row r="38" spans="1:17" x14ac:dyDescent="0.2">
      <c r="A38" s="471">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OUI</v>
      </c>
      <c r="Q38" s="16">
        <f t="array" ref="Q38">IF(P38="OUI",MAX($Q$2:Q37)+1,"")</f>
        <v>36</v>
      </c>
    </row>
    <row r="39" spans="1:17" x14ac:dyDescent="0.2">
      <c r="A39" s="471">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OUI</v>
      </c>
      <c r="Q39" s="16">
        <f t="array" ref="Q39">IF(P39="OUI",MAX($Q$2:Q38)+1,"")</f>
        <v>37</v>
      </c>
    </row>
    <row r="40" spans="1:17" x14ac:dyDescent="0.2">
      <c r="A40" s="471">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OUI</v>
      </c>
      <c r="Q40" s="16">
        <f t="array" ref="Q40">IF(P40="OUI",MAX($Q$2:Q39)+1,"")</f>
        <v>38</v>
      </c>
    </row>
    <row r="41" spans="1:17" x14ac:dyDescent="0.2">
      <c r="A41" s="471">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OUI</v>
      </c>
      <c r="Q41" s="16">
        <f t="array" ref="Q41">IF(P41="OUI",MAX($Q$2:Q40)+1,"")</f>
        <v>39</v>
      </c>
    </row>
    <row r="42" spans="1:17" x14ac:dyDescent="0.2">
      <c r="A42" s="471">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OUI</v>
      </c>
      <c r="Q42" s="16">
        <f t="array" ref="Q42">IF(P42="OUI",MAX($Q$2:Q41)+1,"")</f>
        <v>40</v>
      </c>
    </row>
    <row r="43" spans="1:17" x14ac:dyDescent="0.2">
      <c r="A43" s="471">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OUI</v>
      </c>
      <c r="Q43" s="16">
        <f t="array" ref="Q43">IF(P43="OUI",MAX($Q$2:Q42)+1,"")</f>
        <v>41</v>
      </c>
    </row>
    <row r="44" spans="1:17" x14ac:dyDescent="0.2">
      <c r="A44" s="471">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OUI</v>
      </c>
      <c r="Q44" s="16">
        <f t="array" ref="Q44">IF(P44="OUI",MAX($Q$2:Q43)+1,"")</f>
        <v>42</v>
      </c>
    </row>
    <row r="45" spans="1:17" x14ac:dyDescent="0.2">
      <c r="A45" s="471">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OUI</v>
      </c>
      <c r="Q45" s="16">
        <f t="array" ref="Q45">IF(P45="OUI",MAX($Q$2:Q44)+1,"")</f>
        <v>43</v>
      </c>
    </row>
    <row r="46" spans="1:17" x14ac:dyDescent="0.2">
      <c r="A46" s="471">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OUI</v>
      </c>
      <c r="Q46" s="16">
        <f t="array" ref="Q46">IF(P46="OUI",MAX($Q$2:Q45)+1,"")</f>
        <v>44</v>
      </c>
    </row>
    <row r="47" spans="1:17" x14ac:dyDescent="0.2">
      <c r="A47" s="471">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OUI</v>
      </c>
      <c r="Q47" s="16">
        <f t="array" ref="Q47">IF(P47="OUI",MAX($Q$2:Q46)+1,"")</f>
        <v>45</v>
      </c>
    </row>
    <row r="48" spans="1:17" x14ac:dyDescent="0.2">
      <c r="A48" s="471">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OUI</v>
      </c>
      <c r="Q48" s="16">
        <f t="array" ref="Q48">IF(P48="OUI",MAX($Q$2:Q47)+1,"")</f>
        <v>46</v>
      </c>
    </row>
    <row r="49" spans="1:17" x14ac:dyDescent="0.2">
      <c r="A49" s="471">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OUI</v>
      </c>
      <c r="Q49" s="16">
        <f t="array" ref="Q49">IF(P49="OUI",MAX($Q$2:Q48)+1,"")</f>
        <v>47</v>
      </c>
    </row>
    <row r="50" spans="1:17" x14ac:dyDescent="0.2">
      <c r="A50" s="471">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OUI</v>
      </c>
      <c r="Q50" s="16">
        <f t="array" ref="Q50">IF(P50="OUI",MAX($Q$2:Q49)+1,"")</f>
        <v>48</v>
      </c>
    </row>
    <row r="51" spans="1:17" x14ac:dyDescent="0.2">
      <c r="A51" s="471">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OUI</v>
      </c>
      <c r="Q51" s="16">
        <f t="array" ref="Q51">IF(P51="OUI",MAX($Q$2:Q50)+1,"")</f>
        <v>49</v>
      </c>
    </row>
    <row r="52" spans="1:17" x14ac:dyDescent="0.2">
      <c r="A52" s="471">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OUI</v>
      </c>
      <c r="Q52" s="16">
        <f t="array" ref="Q52">IF(P52="OUI",MAX($Q$2:Q51)+1,"")</f>
        <v>50</v>
      </c>
    </row>
    <row r="53" spans="1:17" x14ac:dyDescent="0.2">
      <c r="A53" s="471">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OUI</v>
      </c>
      <c r="Q53" s="16">
        <f t="array" ref="Q53">IF(P53="OUI",MAX($Q$2:Q52)+1,"")</f>
        <v>51</v>
      </c>
    </row>
    <row r="54" spans="1:17" x14ac:dyDescent="0.2">
      <c r="A54" s="471">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OUI</v>
      </c>
      <c r="Q54" s="16">
        <f t="array" ref="Q54">IF(P54="OUI",MAX($Q$2:Q53)+1,"")</f>
        <v>52</v>
      </c>
    </row>
    <row r="55" spans="1:17" x14ac:dyDescent="0.2">
      <c r="A55" s="471">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OUI</v>
      </c>
      <c r="Q55" s="16">
        <f t="array" ref="Q55">IF(P55="OUI",MAX($Q$2:Q54)+1,"")</f>
        <v>53</v>
      </c>
    </row>
    <row r="56" spans="1:17" x14ac:dyDescent="0.2">
      <c r="A56" s="471">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OUI</v>
      </c>
      <c r="Q56" s="16">
        <f t="array" ref="Q56">IF(P56="OUI",MAX($Q$2:Q55)+1,"")</f>
        <v>54</v>
      </c>
    </row>
    <row r="57" spans="1:17" x14ac:dyDescent="0.2">
      <c r="A57" s="471">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OUI</v>
      </c>
      <c r="Q57" s="16">
        <f t="array" ref="Q57">IF(P57="OUI",MAX($Q$2:Q56)+1,"")</f>
        <v>55</v>
      </c>
    </row>
    <row r="58" spans="1:17" x14ac:dyDescent="0.2">
      <c r="A58" s="471">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OUI</v>
      </c>
      <c r="Q58" s="16">
        <f t="array" ref="Q58">IF(P58="OUI",MAX($Q$2:Q57)+1,"")</f>
        <v>56</v>
      </c>
    </row>
    <row r="59" spans="1:17" x14ac:dyDescent="0.2">
      <c r="A59" s="471">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OUI</v>
      </c>
      <c r="Q59" s="16">
        <f t="array" ref="Q59">IF(P59="OUI",MAX($Q$2:Q58)+1,"")</f>
        <v>57</v>
      </c>
    </row>
    <row r="60" spans="1:17" x14ac:dyDescent="0.2">
      <c r="A60" s="471">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OUI</v>
      </c>
      <c r="Q60" s="16">
        <f t="array" ref="Q60">IF(P60="OUI",MAX($Q$2:Q59)+1,"")</f>
        <v>58</v>
      </c>
    </row>
    <row r="61" spans="1:17" x14ac:dyDescent="0.2">
      <c r="A61" s="471">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OUI</v>
      </c>
      <c r="Q61" s="16">
        <f t="array" ref="Q61">IF(P61="OUI",MAX($Q$2:Q60)+1,"")</f>
        <v>59</v>
      </c>
    </row>
    <row r="62" spans="1:17" x14ac:dyDescent="0.2">
      <c r="A62" s="471">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OUI</v>
      </c>
      <c r="Q62" s="16">
        <f t="array" ref="Q62">IF(P62="OUI",MAX($Q$2:Q61)+1,"")</f>
        <v>60</v>
      </c>
    </row>
    <row r="63" spans="1:17" x14ac:dyDescent="0.2">
      <c r="A63" s="471">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OUI</v>
      </c>
      <c r="Q63" s="16">
        <f t="array" ref="Q63">IF(P63="OUI",MAX($Q$2:Q62)+1,"")</f>
        <v>61</v>
      </c>
    </row>
    <row r="64" spans="1:17" x14ac:dyDescent="0.2">
      <c r="A64" s="471">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OUI</v>
      </c>
      <c r="Q64" s="16">
        <f t="array" ref="Q64">IF(P64="OUI",MAX($Q$2:Q63)+1,"")</f>
        <v>62</v>
      </c>
    </row>
    <row r="65" spans="1:17" x14ac:dyDescent="0.2">
      <c r="A65" s="471">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OUI</v>
      </c>
      <c r="Q65" s="16">
        <f t="array" ref="Q65">IF(P65="OUI",MAX($Q$2:Q64)+1,"")</f>
        <v>63</v>
      </c>
    </row>
    <row r="66" spans="1:17" x14ac:dyDescent="0.2">
      <c r="A66" s="471">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OUI</v>
      </c>
      <c r="Q66" s="16">
        <f t="array" ref="Q66">IF(P66="OUI",MAX($Q$2:Q65)+1,"")</f>
        <v>64</v>
      </c>
    </row>
    <row r="67" spans="1:17" x14ac:dyDescent="0.2">
      <c r="A67" s="471">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OUI</v>
      </c>
      <c r="Q67" s="16">
        <f t="array" ref="Q67">IF(P67="OUI",MAX($Q$2:Q66)+1,"")</f>
        <v>65</v>
      </c>
    </row>
    <row r="68" spans="1:17" x14ac:dyDescent="0.2">
      <c r="A68" s="471">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OUI</v>
      </c>
      <c r="Q68" s="16">
        <f t="array" ref="Q68">IF(P68="OUI",MAX($Q$2:Q67)+1,"")</f>
        <v>66</v>
      </c>
    </row>
    <row r="69" spans="1:17" x14ac:dyDescent="0.2">
      <c r="A69" s="471">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OUI</v>
      </c>
      <c r="Q69" s="16">
        <f t="array" ref="Q69">IF(P69="OUI",MAX($Q$2:Q68)+1,"")</f>
        <v>67</v>
      </c>
    </row>
    <row r="70" spans="1:17" x14ac:dyDescent="0.2">
      <c r="A70" s="471">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OUI</v>
      </c>
      <c r="Q70" s="16">
        <f t="array" ref="Q70">IF(P70="OUI",MAX($Q$2:Q69)+1,"")</f>
        <v>68</v>
      </c>
    </row>
    <row r="71" spans="1:17" x14ac:dyDescent="0.2">
      <c r="A71" s="471">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OUI</v>
      </c>
      <c r="Q71" s="16">
        <f t="array" ref="Q71">IF(P71="OUI",MAX($Q$2:Q70)+1,"")</f>
        <v>69</v>
      </c>
    </row>
    <row r="72" spans="1:17" x14ac:dyDescent="0.2">
      <c r="A72" s="471">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OUI</v>
      </c>
      <c r="Q72" s="16">
        <f t="array" ref="Q72">IF(P72="OUI",MAX($Q$2:Q71)+1,"")</f>
        <v>70</v>
      </c>
    </row>
    <row r="73" spans="1:17" x14ac:dyDescent="0.2">
      <c r="A73" s="471">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OUI</v>
      </c>
      <c r="Q73" s="16">
        <f t="array" ref="Q73">IF(P73="OUI",MAX($Q$2:Q72)+1,"")</f>
        <v>71</v>
      </c>
    </row>
    <row r="74" spans="1:17" x14ac:dyDescent="0.2">
      <c r="A74" s="471">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OUI</v>
      </c>
      <c r="Q74" s="16">
        <f t="array" ref="Q74">IF(P74="OUI",MAX($Q$2:Q73)+1,"")</f>
        <v>72</v>
      </c>
    </row>
    <row r="75" spans="1:17" x14ac:dyDescent="0.2">
      <c r="A75" s="471">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OUI</v>
      </c>
      <c r="Q75" s="16">
        <f t="array" ref="Q75">IF(P75="OUI",MAX($Q$2:Q74)+1,"")</f>
        <v>73</v>
      </c>
    </row>
    <row r="76" spans="1:17" x14ac:dyDescent="0.2">
      <c r="A76" s="471">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OUI</v>
      </c>
      <c r="Q76" s="16">
        <f t="array" ref="Q76">IF(P76="OUI",MAX($Q$2:Q75)+1,"")</f>
        <v>74</v>
      </c>
    </row>
    <row r="77" spans="1:17" x14ac:dyDescent="0.2">
      <c r="A77" s="471">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OUI</v>
      </c>
      <c r="Q77" s="16">
        <f t="array" ref="Q77">IF(P77="OUI",MAX($Q$2:Q76)+1,"")</f>
        <v>75</v>
      </c>
    </row>
    <row r="78" spans="1:17" x14ac:dyDescent="0.2">
      <c r="A78" s="471">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OUI</v>
      </c>
      <c r="Q78" s="16">
        <f t="array" ref="Q78">IF(P78="OUI",MAX($Q$2:Q77)+1,"")</f>
        <v>76</v>
      </c>
    </row>
    <row r="79" spans="1:17" x14ac:dyDescent="0.2">
      <c r="A79" s="471">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OUI</v>
      </c>
      <c r="Q79" s="16">
        <f t="array" ref="Q79">IF(P79="OUI",MAX($Q$2:Q78)+1,"")</f>
        <v>77</v>
      </c>
    </row>
    <row r="80" spans="1:17" x14ac:dyDescent="0.2">
      <c r="A80" s="471">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OUI</v>
      </c>
      <c r="Q80" s="16">
        <f t="array" ref="Q80">IF(P80="OUI",MAX($Q$2:Q79)+1,"")</f>
        <v>78</v>
      </c>
    </row>
    <row r="81" spans="1:17" x14ac:dyDescent="0.2">
      <c r="A81" s="471">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OUI</v>
      </c>
      <c r="Q81" s="16">
        <f t="array" ref="Q81">IF(P81="OUI",MAX($Q$2:Q80)+1,"")</f>
        <v>79</v>
      </c>
    </row>
    <row r="82" spans="1:17" x14ac:dyDescent="0.2">
      <c r="A82" s="471">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OUI</v>
      </c>
      <c r="Q82" s="16">
        <f t="array" ref="Q82">IF(P82="OUI",MAX($Q$2:Q81)+1,"")</f>
        <v>80</v>
      </c>
    </row>
    <row r="83" spans="1:17" x14ac:dyDescent="0.2">
      <c r="A83" s="471">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OUI</v>
      </c>
      <c r="Q83" s="16">
        <f t="array" ref="Q83">IF(P83="OUI",MAX($Q$2:Q82)+1,"")</f>
        <v>81</v>
      </c>
    </row>
    <row r="84" spans="1:17" x14ac:dyDescent="0.2">
      <c r="A84" s="471">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OUI</v>
      </c>
      <c r="Q84" s="16">
        <f t="array" ref="Q84">IF(P84="OUI",MAX($Q$2:Q83)+1,"")</f>
        <v>82</v>
      </c>
    </row>
    <row r="85" spans="1:17" x14ac:dyDescent="0.2">
      <c r="A85" s="471">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OUI</v>
      </c>
      <c r="Q85" s="16">
        <f t="array" ref="Q85">IF(P85="OUI",MAX($Q$2:Q84)+1,"")</f>
        <v>83</v>
      </c>
    </row>
    <row r="86" spans="1:17" x14ac:dyDescent="0.2">
      <c r="A86" s="471">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OUI</v>
      </c>
      <c r="Q86" s="16">
        <f t="array" ref="Q86">IF(P86="OUI",MAX($Q$2:Q85)+1,"")</f>
        <v>84</v>
      </c>
    </row>
    <row r="87" spans="1:17" x14ac:dyDescent="0.2">
      <c r="A87" s="471">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OUI</v>
      </c>
      <c r="Q87" s="16">
        <f t="array" ref="Q87">IF(P87="OUI",MAX($Q$2:Q86)+1,"")</f>
        <v>85</v>
      </c>
    </row>
    <row r="88" spans="1:17" x14ac:dyDescent="0.2">
      <c r="A88" s="471">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OUI</v>
      </c>
      <c r="Q88" s="16">
        <f t="array" ref="Q88">IF(P88="OUI",MAX($Q$2:Q87)+1,"")</f>
        <v>86</v>
      </c>
    </row>
    <row r="89" spans="1:17" x14ac:dyDescent="0.2">
      <c r="A89" s="471">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OUI</v>
      </c>
      <c r="Q89" s="16">
        <f t="array" ref="Q89">IF(P89="OUI",MAX($Q$2:Q88)+1,"")</f>
        <v>87</v>
      </c>
    </row>
    <row r="90" spans="1:17" x14ac:dyDescent="0.2">
      <c r="A90" s="471">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OUI</v>
      </c>
      <c r="Q90" s="16">
        <f t="array" ref="Q90">IF(P90="OUI",MAX($Q$2:Q89)+1,"")</f>
        <v>88</v>
      </c>
    </row>
    <row r="91" spans="1:17" x14ac:dyDescent="0.2">
      <c r="A91" s="471">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OUI</v>
      </c>
      <c r="Q91" s="16">
        <f t="array" ref="Q91">IF(P91="OUI",MAX($Q$2:Q90)+1,"")</f>
        <v>89</v>
      </c>
    </row>
    <row r="92" spans="1:17" x14ac:dyDescent="0.2">
      <c r="A92" s="471">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OUI</v>
      </c>
      <c r="Q92" s="16">
        <f t="array" ref="Q92">IF(P92="OUI",MAX($Q$2:Q91)+1,"")</f>
        <v>90</v>
      </c>
    </row>
    <row r="93" spans="1:17" x14ac:dyDescent="0.2">
      <c r="A93" s="471">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OUI</v>
      </c>
      <c r="Q93" s="16">
        <f t="array" ref="Q93">IF(P93="OUI",MAX($Q$2:Q92)+1,"")</f>
        <v>91</v>
      </c>
    </row>
    <row r="94" spans="1:17" x14ac:dyDescent="0.2">
      <c r="A94" s="471">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OUI</v>
      </c>
      <c r="Q94" s="16">
        <f t="array" ref="Q94">IF(P94="OUI",MAX($Q$2:Q93)+1,"")</f>
        <v>92</v>
      </c>
    </row>
    <row r="95" spans="1:17" x14ac:dyDescent="0.2">
      <c r="A95" s="471">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OUI</v>
      </c>
      <c r="Q95" s="16">
        <f t="array" ref="Q95">IF(P95="OUI",MAX($Q$2:Q94)+1,"")</f>
        <v>93</v>
      </c>
    </row>
    <row r="96" spans="1:17" x14ac:dyDescent="0.2">
      <c r="A96" s="471">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OUI</v>
      </c>
      <c r="Q96" s="16">
        <f t="array" ref="Q96">IF(P96="OUI",MAX($Q$2:Q95)+1,"")</f>
        <v>94</v>
      </c>
    </row>
    <row r="97" spans="1:17" x14ac:dyDescent="0.2">
      <c r="A97" s="471">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OUI</v>
      </c>
      <c r="Q97" s="16">
        <f t="array" ref="Q97">IF(P97="OUI",MAX($Q$2:Q96)+1,"")</f>
        <v>95</v>
      </c>
    </row>
    <row r="98" spans="1:17" x14ac:dyDescent="0.2">
      <c r="A98" s="471">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OUI</v>
      </c>
      <c r="Q98" s="16">
        <f t="array" ref="Q98">IF(P98="OUI",MAX($Q$2:Q97)+1,"")</f>
        <v>96</v>
      </c>
    </row>
    <row r="99" spans="1:17" x14ac:dyDescent="0.2">
      <c r="A99" s="471">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OUI</v>
      </c>
      <c r="Q99" s="16">
        <f t="array" ref="Q99">IF(P99="OUI",MAX($Q$2:Q98)+1,"")</f>
        <v>97</v>
      </c>
    </row>
    <row r="100" spans="1:17" x14ac:dyDescent="0.2">
      <c r="A100" s="471">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OUI</v>
      </c>
      <c r="Q100" s="16">
        <f t="array" ref="Q100">IF(P100="OUI",MAX($Q$2:Q99)+1,"")</f>
        <v>98</v>
      </c>
    </row>
    <row r="101" spans="1:17" x14ac:dyDescent="0.2">
      <c r="A101" s="471">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OUI</v>
      </c>
      <c r="Q101" s="16">
        <f t="array" ref="Q101">IF(P101="OUI",MAX($Q$2:Q100)+1,"")</f>
        <v>99</v>
      </c>
    </row>
    <row r="102" spans="1:17" x14ac:dyDescent="0.2">
      <c r="A102" s="471">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OUI</v>
      </c>
      <c r="Q102" s="16">
        <f t="array" ref="Q102">IF(P102="OUI",MAX($Q$2:Q101)+1,"")</f>
        <v>100</v>
      </c>
    </row>
    <row r="103" spans="1:17" x14ac:dyDescent="0.2">
      <c r="A103" s="471">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OUI</v>
      </c>
      <c r="Q103" s="16">
        <f t="array" ref="Q103">IF(P103="OUI",MAX($Q$2:Q102)+1,"")</f>
        <v>101</v>
      </c>
    </row>
    <row r="104" spans="1:17" x14ac:dyDescent="0.2">
      <c r="A104" s="471">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OUI</v>
      </c>
      <c r="Q104" s="16">
        <f t="array" ref="Q104">IF(P104="OUI",MAX($Q$2:Q103)+1,"")</f>
        <v>102</v>
      </c>
    </row>
    <row r="105" spans="1:17" x14ac:dyDescent="0.2">
      <c r="A105" s="471">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OUI</v>
      </c>
      <c r="Q105" s="16">
        <f t="array" ref="Q105">IF(P105="OUI",MAX($Q$2:Q104)+1,"")</f>
        <v>103</v>
      </c>
    </row>
    <row r="106" spans="1:17" x14ac:dyDescent="0.2">
      <c r="A106" s="471">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OUI</v>
      </c>
      <c r="Q106" s="16">
        <f t="array" ref="Q106">IF(P106="OUI",MAX($Q$2:Q105)+1,"")</f>
        <v>104</v>
      </c>
    </row>
    <row r="107" spans="1:17" x14ac:dyDescent="0.2">
      <c r="A107" s="471">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OUI</v>
      </c>
      <c r="Q107" s="16">
        <f t="array" ref="Q107">IF(P107="OUI",MAX($Q$2:Q106)+1,"")</f>
        <v>105</v>
      </c>
    </row>
    <row r="108" spans="1:17" x14ac:dyDescent="0.2">
      <c r="A108" s="471">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OUI</v>
      </c>
      <c r="Q108" s="16">
        <f t="array" ref="Q108">IF(P108="OUI",MAX($Q$2:Q107)+1,"")</f>
        <v>106</v>
      </c>
    </row>
    <row r="109" spans="1:17" x14ac:dyDescent="0.2">
      <c r="A109" s="471">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OUI</v>
      </c>
      <c r="Q109" s="16">
        <f t="array" ref="Q109">IF(P109="OUI",MAX($Q$2:Q108)+1,"")</f>
        <v>107</v>
      </c>
    </row>
    <row r="110" spans="1:17" x14ac:dyDescent="0.2">
      <c r="A110" s="471">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OUI</v>
      </c>
      <c r="Q110" s="16">
        <f t="array" ref="Q110">IF(P110="OUI",MAX($Q$2:Q109)+1,"")</f>
        <v>108</v>
      </c>
    </row>
    <row r="111" spans="1:17" x14ac:dyDescent="0.2">
      <c r="A111" s="471">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OUI</v>
      </c>
      <c r="Q111" s="16">
        <f t="array" ref="Q111">IF(P111="OUI",MAX($Q$2:Q110)+1,"")</f>
        <v>109</v>
      </c>
    </row>
    <row r="112" spans="1:17" x14ac:dyDescent="0.2">
      <c r="A112" s="471">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OUI</v>
      </c>
      <c r="Q112" s="16">
        <f t="array" ref="Q112">IF(P112="OUI",MAX($Q$2:Q111)+1,"")</f>
        <v>110</v>
      </c>
    </row>
    <row r="113" spans="1:17" x14ac:dyDescent="0.2">
      <c r="A113" s="471">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OUI</v>
      </c>
      <c r="Q113" s="16">
        <f t="array" ref="Q113">IF(P113="OUI",MAX($Q$2:Q112)+1,"")</f>
        <v>111</v>
      </c>
    </row>
    <row r="114" spans="1:17" x14ac:dyDescent="0.2">
      <c r="A114" s="471">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OUI</v>
      </c>
      <c r="Q114" s="16">
        <f t="array" ref="Q114">IF(P114="OUI",MAX($Q$2:Q113)+1,"")</f>
        <v>112</v>
      </c>
    </row>
    <row r="115" spans="1:17" x14ac:dyDescent="0.2">
      <c r="A115" s="471">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OUI</v>
      </c>
      <c r="Q115" s="16">
        <f t="array" ref="Q115">IF(P115="OUI",MAX($Q$2:Q114)+1,"")</f>
        <v>113</v>
      </c>
    </row>
    <row r="116" spans="1:17" x14ac:dyDescent="0.2">
      <c r="A116" s="471">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OUI</v>
      </c>
      <c r="Q116" s="16">
        <f t="array" ref="Q116">IF(P116="OUI",MAX($Q$2:Q115)+1,"")</f>
        <v>114</v>
      </c>
    </row>
    <row r="117" spans="1:17" x14ac:dyDescent="0.2">
      <c r="A117" s="471">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OUI</v>
      </c>
      <c r="Q117" s="16">
        <f t="array" ref="Q117">IF(P117="OUI",MAX($Q$2:Q116)+1,"")</f>
        <v>115</v>
      </c>
    </row>
    <row r="118" spans="1:17" x14ac:dyDescent="0.2">
      <c r="A118" s="471">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OUI</v>
      </c>
      <c r="Q118" s="16">
        <f t="array" ref="Q118">IF(P118="OUI",MAX($Q$2:Q117)+1,"")</f>
        <v>116</v>
      </c>
    </row>
    <row r="119" spans="1:17" x14ac:dyDescent="0.2">
      <c r="A119" s="471">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OUI</v>
      </c>
      <c r="Q119" s="16">
        <f t="array" ref="Q119">IF(P119="OUI",MAX($Q$2:Q118)+1,"")</f>
        <v>117</v>
      </c>
    </row>
    <row r="120" spans="1:17" x14ac:dyDescent="0.2">
      <c r="A120" s="471">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OUI</v>
      </c>
      <c r="Q120" s="16">
        <f t="array" ref="Q120">IF(P120="OUI",MAX($Q$2:Q119)+1,"")</f>
        <v>118</v>
      </c>
    </row>
    <row r="121" spans="1:17" x14ac:dyDescent="0.2">
      <c r="A121" s="471">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OUI</v>
      </c>
      <c r="Q121" s="16">
        <f t="array" ref="Q121">IF(P121="OUI",MAX($Q$2:Q120)+1,"")</f>
        <v>119</v>
      </c>
    </row>
    <row r="122" spans="1:17" x14ac:dyDescent="0.2">
      <c r="A122" s="471">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OUI</v>
      </c>
      <c r="Q122" s="16">
        <f t="array" ref="Q122">IF(P122="OUI",MAX($Q$2:Q121)+1,"")</f>
        <v>120</v>
      </c>
    </row>
    <row r="123" spans="1:17" x14ac:dyDescent="0.2">
      <c r="A123" s="471">
        <f t="shared" si="27"/>
        <v>45658</v>
      </c>
      <c r="B123" s="30">
        <v>45658</v>
      </c>
      <c r="C123" s="16">
        <f t="shared" ca="1" si="14"/>
        <v>0</v>
      </c>
      <c r="D123" s="16">
        <f t="shared" ca="1" si="15"/>
        <v>0</v>
      </c>
      <c r="E123" s="16">
        <f t="shared" si="16"/>
        <v>0</v>
      </c>
      <c r="F123" s="16">
        <f t="shared" si="17"/>
        <v>0</v>
      </c>
      <c r="G123" s="16">
        <f t="shared" ca="1" si="18"/>
        <v>0</v>
      </c>
      <c r="H123" s="16">
        <f t="shared" ca="1" si="19"/>
        <v>0</v>
      </c>
      <c r="I123" s="16">
        <f t="shared" ca="1" si="20"/>
        <v>0</v>
      </c>
      <c r="J123" s="16">
        <f t="shared" si="21"/>
        <v>0</v>
      </c>
      <c r="K123" s="16">
        <f t="shared" si="22"/>
        <v>0</v>
      </c>
      <c r="L123" s="16">
        <f t="shared" si="23"/>
        <v>0</v>
      </c>
      <c r="M123" s="16">
        <f t="shared" ca="1" si="24"/>
        <v>0</v>
      </c>
      <c r="N123" s="16">
        <f t="shared" si="25"/>
        <v>0</v>
      </c>
      <c r="O123" s="16">
        <f t="shared" si="26"/>
        <v>0</v>
      </c>
      <c r="P123" s="16" t="str">
        <f>+IF(AND(B123&gt;='Relevé de la Régularisation'!$C$9,B123&lt;='Relevé de la Régularisation'!$D$14),"OUI","NON")</f>
        <v>OUI</v>
      </c>
      <c r="Q123" s="16">
        <f t="array" ref="Q123">IF(P123="OUI",MAX($Q$2:Q122)+1,"")</f>
        <v>121</v>
      </c>
    </row>
    <row r="124" spans="1:17" x14ac:dyDescent="0.2">
      <c r="A124" s="471">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122</v>
      </c>
    </row>
    <row r="125" spans="1:17" x14ac:dyDescent="0.2">
      <c r="A125" s="471">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123</v>
      </c>
    </row>
    <row r="126" spans="1:17" x14ac:dyDescent="0.2">
      <c r="A126" s="471">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124</v>
      </c>
    </row>
    <row r="127" spans="1:17" x14ac:dyDescent="0.2">
      <c r="A127" s="471">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125</v>
      </c>
    </row>
    <row r="128" spans="1:17" x14ac:dyDescent="0.2">
      <c r="A128" s="471">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126</v>
      </c>
    </row>
    <row r="129" spans="1:17" x14ac:dyDescent="0.2">
      <c r="A129" s="471">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127</v>
      </c>
    </row>
    <row r="130" spans="1:17" x14ac:dyDescent="0.2">
      <c r="A130" s="471">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128</v>
      </c>
    </row>
    <row r="131" spans="1:17" x14ac:dyDescent="0.2">
      <c r="A131" s="471">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129</v>
      </c>
    </row>
    <row r="132" spans="1:17" x14ac:dyDescent="0.2">
      <c r="A132" s="471">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130</v>
      </c>
    </row>
    <row r="133" spans="1:17" x14ac:dyDescent="0.2">
      <c r="A133" s="471">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131</v>
      </c>
    </row>
    <row r="134" spans="1:17" x14ac:dyDescent="0.2">
      <c r="A134" s="471">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132</v>
      </c>
    </row>
    <row r="135" spans="1:17" x14ac:dyDescent="0.2">
      <c r="A135" s="471">
        <f t="shared" si="41"/>
        <v>46023</v>
      </c>
      <c r="B135" s="30">
        <v>46023</v>
      </c>
      <c r="C135" s="16">
        <f t="shared" si="28"/>
        <v>0</v>
      </c>
      <c r="D135" s="16">
        <f t="shared" si="29"/>
        <v>0</v>
      </c>
      <c r="E135" s="16">
        <f t="shared" si="30"/>
        <v>0</v>
      </c>
      <c r="F135" s="16">
        <f t="shared" si="31"/>
        <v>0</v>
      </c>
      <c r="G135" s="16">
        <f t="shared" si="32"/>
        <v>0</v>
      </c>
      <c r="H135" s="16">
        <f t="shared" si="33"/>
        <v>0</v>
      </c>
      <c r="I135" s="16">
        <f t="shared" si="34"/>
        <v>0</v>
      </c>
      <c r="J135" s="16">
        <f t="shared" si="35"/>
        <v>0</v>
      </c>
      <c r="K135" s="16">
        <f t="shared" si="36"/>
        <v>0</v>
      </c>
      <c r="L135" s="16">
        <f t="shared" si="37"/>
        <v>0</v>
      </c>
      <c r="M135" s="16">
        <f t="shared" si="38"/>
        <v>0</v>
      </c>
      <c r="N135" s="16">
        <f t="shared" si="39"/>
        <v>0</v>
      </c>
      <c r="O135" s="16">
        <f t="shared" si="40"/>
        <v>0</v>
      </c>
      <c r="P135" s="16" t="str">
        <f>+IF(AND(B135&gt;='Relevé de la Régularisation'!$C$9,B135&lt;='Relevé de la Régularisation'!$D$14),"OUI","NON")</f>
        <v>NON</v>
      </c>
      <c r="Q135" s="16" t="str">
        <f t="array" ref="Q135">IF(P135="OUI",MAX($Q$2:Q134)+1,"")</f>
        <v/>
      </c>
    </row>
    <row r="136" spans="1:17" x14ac:dyDescent="0.2">
      <c r="A136" s="471">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NON</v>
      </c>
      <c r="Q136" s="16" t="str">
        <f t="array" ref="Q136">IF(P136="OUI",MAX($Q$2:Q135)+1,"")</f>
        <v/>
      </c>
    </row>
    <row r="137" spans="1:17" x14ac:dyDescent="0.2">
      <c r="A137" s="471">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NON</v>
      </c>
      <c r="Q137" s="16" t="str">
        <f t="array" ref="Q137">IF(P137="OUI",MAX($Q$2:Q136)+1,"")</f>
        <v/>
      </c>
    </row>
    <row r="138" spans="1:17" x14ac:dyDescent="0.2">
      <c r="A138" s="471">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NON</v>
      </c>
      <c r="Q138" s="16" t="str">
        <f t="array" ref="Q138">IF(P138="OUI",MAX($Q$2:Q137)+1,"")</f>
        <v/>
      </c>
    </row>
    <row r="139" spans="1:17" x14ac:dyDescent="0.2">
      <c r="A139" s="471">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NON</v>
      </c>
      <c r="Q139" s="16" t="str">
        <f t="array" ref="Q139">IF(P139="OUI",MAX($Q$2:Q138)+1,"")</f>
        <v/>
      </c>
    </row>
    <row r="140" spans="1:17" x14ac:dyDescent="0.2">
      <c r="A140" s="471">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NON</v>
      </c>
      <c r="Q140" s="16" t="str">
        <f t="array" ref="Q140">IF(P140="OUI",MAX($Q$2:Q139)+1,"")</f>
        <v/>
      </c>
    </row>
    <row r="141" spans="1:17" x14ac:dyDescent="0.2">
      <c r="A141" s="471">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NON</v>
      </c>
      <c r="Q141" s="16" t="str">
        <f t="array" ref="Q141">IF(P141="OUI",MAX($Q$2:Q140)+1,"")</f>
        <v/>
      </c>
    </row>
    <row r="142" spans="1:17" x14ac:dyDescent="0.2">
      <c r="A142" s="471">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NON</v>
      </c>
      <c r="Q142" s="16" t="str">
        <f t="array" ref="Q142">IF(P142="OUI",MAX($Q$2:Q141)+1,"")</f>
        <v/>
      </c>
    </row>
    <row r="143" spans="1:17" x14ac:dyDescent="0.2">
      <c r="A143" s="471">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NON</v>
      </c>
      <c r="Q143" s="16" t="str">
        <f t="array" ref="Q143">IF(P143="OUI",MAX($Q$2:Q142)+1,"")</f>
        <v/>
      </c>
    </row>
    <row r="144" spans="1:17" x14ac:dyDescent="0.2">
      <c r="A144" s="471">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NON</v>
      </c>
      <c r="Q144" s="16" t="str">
        <f t="array" ref="Q144">IF(P144="OUI",MAX($Q$2:Q143)+1,"")</f>
        <v/>
      </c>
    </row>
    <row r="145" spans="1:17" x14ac:dyDescent="0.2">
      <c r="A145" s="471">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NON</v>
      </c>
      <c r="Q145" s="16" t="str">
        <f t="array" ref="Q145">IF(P145="OUI",MAX($Q$2:Q144)+1,"")</f>
        <v/>
      </c>
    </row>
    <row r="146" spans="1:17" x14ac:dyDescent="0.2">
      <c r="A146" s="471">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NON</v>
      </c>
      <c r="Q146" s="16" t="str">
        <f t="array" ref="Q146">IF(P146="OUI",MAX($Q$2:Q145)+1,"")</f>
        <v/>
      </c>
    </row>
    <row r="147" spans="1:17" x14ac:dyDescent="0.2">
      <c r="A147" s="471">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71">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71">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71">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71">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71">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71">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71">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71">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71">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71">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71">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71">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71">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71">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71">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71">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71">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71">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71">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71">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71">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71">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71">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71">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71">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71">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71">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71">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71">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71">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71">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71">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71">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71">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71">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71">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71">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71">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71">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71">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71">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71">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71">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71">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71">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71">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71">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71">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71">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71">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71">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71">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71">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71">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71">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71">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71">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71">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71">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71">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71">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71">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71">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71">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71">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71">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71">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71">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71">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71">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71">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71">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71">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71">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71">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71">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71">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71">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71">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71">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71">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71">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71">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71">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71">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71">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71">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71">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71">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71">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71">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71">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71">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71">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71">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71">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71">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71">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71">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71">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71">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71">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71">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71">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71">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71">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71">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71">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71">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71">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71">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71">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71">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71">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71">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71">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71">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71">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71">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71">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71">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71">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71">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71">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71">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71">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71">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71">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71">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71">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71">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71">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71">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71">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71">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71">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71">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71">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71">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71">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71">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71">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71">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71">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71">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71">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71">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71">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71">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71">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71">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71">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71">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71">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71">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71">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71">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71">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71">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71">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71">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71">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71">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71">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71">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71">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71">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71">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71">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71">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71">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71">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71">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71">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71">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71">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71">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71">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71">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71">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71">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71">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71">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71">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71">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71">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71">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71">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71">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71">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71">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71">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71">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71">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71">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71">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71">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71">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71">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71">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71">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71">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71">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71">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71">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71">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71">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71">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71">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71">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71">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71">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71">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71">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71">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71">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71">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71">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71">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71">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71">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71">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71">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71">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71">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71">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71">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71">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71">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71">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71">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71">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71">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71">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71">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71">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71">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71">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71">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71">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71">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71">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71">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71">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71">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71">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71">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71">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71">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71">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71">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71">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71">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71">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71">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71">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71">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71">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71">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71">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71">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71">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71">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71">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71">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71">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71">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71">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71">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71">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71">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71">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71">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71">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71">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aSPNRbamQMIptrdjgxG93uz4kGby1ilLZTAqEx04wx0gHLNpvjDAUlooJ0DDNElSnyJD+vvGfG3GpEUKXnZ1gA==" saltValue="ymwLkE+qRJxhERCzrogMxQ=="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70" t="s">
        <v>894</v>
      </c>
      <c r="B2" s="470" t="s">
        <v>31</v>
      </c>
      <c r="C2" s="470" t="s">
        <v>934</v>
      </c>
      <c r="D2" s="470" t="s">
        <v>935</v>
      </c>
      <c r="E2" s="27" t="s">
        <v>905</v>
      </c>
      <c r="F2" s="27" t="s">
        <v>906</v>
      </c>
    </row>
    <row r="3" spans="1:6" x14ac:dyDescent="0.2">
      <c r="A3" s="471">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71">
        <f t="shared" ref="A4:A67" si="2">+B4</f>
        <v>42036</v>
      </c>
      <c r="B4" s="30">
        <v>42036</v>
      </c>
      <c r="C4" s="16">
        <f t="shared" si="0"/>
        <v>0</v>
      </c>
      <c r="D4" s="16">
        <f t="shared" si="1"/>
        <v>0</v>
      </c>
      <c r="E4" s="16" t="e">
        <f>+IF(AND(B4&gt;=#REF!,B4&lt;=#REF!),"OUI","NON")</f>
        <v>#REF!</v>
      </c>
      <c r="F4" s="16" t="e">
        <f t="array" ref="F4">IF(E4="OUI",MAX(F$2:$O3)+1,"")</f>
        <v>#REF!</v>
      </c>
    </row>
    <row r="5" spans="1:6" x14ac:dyDescent="0.2">
      <c r="A5" s="471">
        <f t="shared" si="2"/>
        <v>42064</v>
      </c>
      <c r="B5" s="30">
        <v>42064</v>
      </c>
      <c r="C5" s="16">
        <f t="shared" si="0"/>
        <v>0</v>
      </c>
      <c r="D5" s="16">
        <f t="shared" si="1"/>
        <v>0</v>
      </c>
      <c r="E5" s="16" t="e">
        <f>+IF(AND(B5&gt;=#REF!,B5&lt;=#REF!),"OUI","NON")</f>
        <v>#REF!</v>
      </c>
      <c r="F5" s="16" t="e">
        <f t="array" ref="F5">IF(E5="OUI",MAX(F$2:$O4)+1,"")</f>
        <v>#REF!</v>
      </c>
    </row>
    <row r="6" spans="1:6" x14ac:dyDescent="0.2">
      <c r="A6" s="471">
        <f t="shared" si="2"/>
        <v>42095</v>
      </c>
      <c r="B6" s="30">
        <v>42095</v>
      </c>
      <c r="C6" s="16">
        <f t="shared" si="0"/>
        <v>0</v>
      </c>
      <c r="D6" s="16">
        <f t="shared" si="1"/>
        <v>0</v>
      </c>
      <c r="E6" s="16" t="e">
        <f>+IF(AND(B6&gt;=#REF!,B6&lt;=#REF!),"OUI","NON")</f>
        <v>#REF!</v>
      </c>
      <c r="F6" s="16" t="e">
        <f t="array" ref="F6">IF(E6="OUI",MAX(F$2:$O5)+1,"")</f>
        <v>#REF!</v>
      </c>
    </row>
    <row r="7" spans="1:6" x14ac:dyDescent="0.2">
      <c r="A7" s="471">
        <f t="shared" si="2"/>
        <v>42125</v>
      </c>
      <c r="B7" s="30">
        <v>42125</v>
      </c>
      <c r="C7" s="16">
        <f t="shared" si="0"/>
        <v>0</v>
      </c>
      <c r="D7" s="16">
        <f t="shared" si="1"/>
        <v>0</v>
      </c>
      <c r="E7" s="16" t="e">
        <f>+IF(AND(B7&gt;=#REF!,B7&lt;=#REF!),"OUI","NON")</f>
        <v>#REF!</v>
      </c>
      <c r="F7" s="16" t="e">
        <f t="array" ref="F7">IF(E7="OUI",MAX(F$2:$O6)+1,"")</f>
        <v>#REF!</v>
      </c>
    </row>
    <row r="8" spans="1:6" x14ac:dyDescent="0.2">
      <c r="A8" s="471">
        <f t="shared" si="2"/>
        <v>42156</v>
      </c>
      <c r="B8" s="30">
        <v>42156</v>
      </c>
      <c r="C8" s="16">
        <f t="shared" si="0"/>
        <v>0</v>
      </c>
      <c r="D8" s="16">
        <f t="shared" si="1"/>
        <v>0</v>
      </c>
      <c r="E8" s="16" t="e">
        <f>+IF(AND(B8&gt;=#REF!,B8&lt;=#REF!),"OUI","NON")</f>
        <v>#REF!</v>
      </c>
      <c r="F8" s="16" t="e">
        <f t="array" ref="F8">IF(E8="OUI",MAX(F$2:$O7)+1,"")</f>
        <v>#REF!</v>
      </c>
    </row>
    <row r="9" spans="1:6" x14ac:dyDescent="0.2">
      <c r="A9" s="471">
        <f t="shared" si="2"/>
        <v>42186</v>
      </c>
      <c r="B9" s="30">
        <v>42186</v>
      </c>
      <c r="C9" s="16">
        <f t="shared" si="0"/>
        <v>0</v>
      </c>
      <c r="D9" s="16">
        <f t="shared" si="1"/>
        <v>0</v>
      </c>
      <c r="E9" s="16" t="e">
        <f>+IF(AND(B9&gt;=#REF!,B9&lt;=#REF!),"OUI","NON")</f>
        <v>#REF!</v>
      </c>
      <c r="F9" s="16" t="e">
        <f t="array" ref="F9">IF(E9="OUI",MAX(F$2:$O8)+1,"")</f>
        <v>#REF!</v>
      </c>
    </row>
    <row r="10" spans="1:6" x14ac:dyDescent="0.2">
      <c r="A10" s="471">
        <f t="shared" si="2"/>
        <v>42217</v>
      </c>
      <c r="B10" s="30">
        <v>42217</v>
      </c>
      <c r="C10" s="16">
        <f t="shared" si="0"/>
        <v>0</v>
      </c>
      <c r="D10" s="16">
        <f t="shared" si="1"/>
        <v>0</v>
      </c>
      <c r="E10" s="16" t="e">
        <f>+IF(AND(B10&gt;=#REF!,B10&lt;=#REF!),"OUI","NON")</f>
        <v>#REF!</v>
      </c>
      <c r="F10" s="16" t="e">
        <f t="array" ref="F10">IF(E10="OUI",MAX(F$2:$O9)+1,"")</f>
        <v>#REF!</v>
      </c>
    </row>
    <row r="11" spans="1:6" x14ac:dyDescent="0.2">
      <c r="A11" s="471">
        <f t="shared" si="2"/>
        <v>42248</v>
      </c>
      <c r="B11" s="30">
        <v>42248</v>
      </c>
      <c r="C11" s="16">
        <f t="shared" si="0"/>
        <v>0</v>
      </c>
      <c r="D11" s="16">
        <f t="shared" si="1"/>
        <v>0</v>
      </c>
      <c r="E11" s="16" t="e">
        <f>+IF(AND(B11&gt;=#REF!,B11&lt;=#REF!),"OUI","NON")</f>
        <v>#REF!</v>
      </c>
      <c r="F11" s="16" t="e">
        <f t="array" ref="F11">IF(E11="OUI",MAX(F$2:$O10)+1,"")</f>
        <v>#REF!</v>
      </c>
    </row>
    <row r="12" spans="1:6" x14ac:dyDescent="0.2">
      <c r="A12" s="471">
        <f t="shared" si="2"/>
        <v>42278</v>
      </c>
      <c r="B12" s="30">
        <v>42278</v>
      </c>
      <c r="C12" s="16">
        <f t="shared" si="0"/>
        <v>0</v>
      </c>
      <c r="D12" s="16">
        <f t="shared" si="1"/>
        <v>0</v>
      </c>
      <c r="E12" s="16" t="e">
        <f>+IF(AND(B12&gt;=#REF!,B12&lt;=#REF!),"OUI","NON")</f>
        <v>#REF!</v>
      </c>
      <c r="F12" s="16" t="e">
        <f t="array" ref="F12">IF(E12="OUI",MAX(F$2:$O11)+1,"")</f>
        <v>#REF!</v>
      </c>
    </row>
    <row r="13" spans="1:6" x14ac:dyDescent="0.2">
      <c r="A13" s="471">
        <f t="shared" si="2"/>
        <v>42309</v>
      </c>
      <c r="B13" s="30">
        <v>42309</v>
      </c>
      <c r="C13" s="16">
        <f t="shared" si="0"/>
        <v>0</v>
      </c>
      <c r="D13" s="16">
        <f t="shared" si="1"/>
        <v>0</v>
      </c>
      <c r="E13" s="16" t="e">
        <f>+IF(AND(B13&gt;=#REF!,B13&lt;=#REF!),"OUI","NON")</f>
        <v>#REF!</v>
      </c>
      <c r="F13" s="16" t="e">
        <f t="array" ref="F13">IF(E13="OUI",MAX(F$2:$O12)+1,"")</f>
        <v>#REF!</v>
      </c>
    </row>
    <row r="14" spans="1:6" x14ac:dyDescent="0.2">
      <c r="A14" s="471">
        <f t="shared" si="2"/>
        <v>42339</v>
      </c>
      <c r="B14" s="30">
        <v>42339</v>
      </c>
      <c r="C14" s="16">
        <f t="shared" si="0"/>
        <v>0</v>
      </c>
      <c r="D14" s="16">
        <f t="shared" si="1"/>
        <v>0</v>
      </c>
      <c r="E14" s="16" t="e">
        <f>+IF(AND(B14&gt;=#REF!,B14&lt;=#REF!),"OUI","NON")</f>
        <v>#REF!</v>
      </c>
      <c r="F14" s="16" t="e">
        <f t="array" ref="F14">IF(E14="OUI",MAX(F$2:$O13)+1,"")</f>
        <v>#REF!</v>
      </c>
    </row>
    <row r="15" spans="1:6" x14ac:dyDescent="0.2">
      <c r="A15" s="471">
        <f t="shared" si="2"/>
        <v>42370</v>
      </c>
      <c r="B15" s="30">
        <v>42370</v>
      </c>
      <c r="C15" s="16">
        <f t="shared" si="0"/>
        <v>0</v>
      </c>
      <c r="D15" s="16">
        <f t="shared" si="1"/>
        <v>0</v>
      </c>
      <c r="E15" s="16" t="e">
        <f>+IF(AND(B15&gt;=#REF!,B15&lt;=#REF!),"OUI","NON")</f>
        <v>#REF!</v>
      </c>
      <c r="F15" s="16" t="e">
        <f t="array" ref="F15">IF(E15="OUI",MAX(F$2:$O14)+1,"")</f>
        <v>#REF!</v>
      </c>
    </row>
    <row r="16" spans="1:6" x14ac:dyDescent="0.2">
      <c r="A16" s="471">
        <f t="shared" si="2"/>
        <v>42401</v>
      </c>
      <c r="B16" s="30">
        <v>42401</v>
      </c>
      <c r="C16" s="16">
        <f t="shared" si="0"/>
        <v>0</v>
      </c>
      <c r="D16" s="16">
        <f t="shared" si="1"/>
        <v>0</v>
      </c>
      <c r="E16" s="16" t="e">
        <f>+IF(AND(B16&gt;=#REF!,B16&lt;=#REF!),"OUI","NON")</f>
        <v>#REF!</v>
      </c>
      <c r="F16" s="16" t="e">
        <f t="array" ref="F16">IF(E16="OUI",MAX(F$2:$O15)+1,"")</f>
        <v>#REF!</v>
      </c>
    </row>
    <row r="17" spans="1:6" x14ac:dyDescent="0.2">
      <c r="A17" s="471">
        <f t="shared" si="2"/>
        <v>42430</v>
      </c>
      <c r="B17" s="30">
        <v>42430</v>
      </c>
      <c r="C17" s="16">
        <f t="shared" si="0"/>
        <v>0</v>
      </c>
      <c r="D17" s="16">
        <f t="shared" si="1"/>
        <v>0</v>
      </c>
      <c r="E17" s="16" t="e">
        <f>+IF(AND(B17&gt;=#REF!,B17&lt;=#REF!),"OUI","NON")</f>
        <v>#REF!</v>
      </c>
      <c r="F17" s="16" t="e">
        <f t="array" ref="F17">IF(E17="OUI",MAX(F$2:$O16)+1,"")</f>
        <v>#REF!</v>
      </c>
    </row>
    <row r="18" spans="1:6" x14ac:dyDescent="0.2">
      <c r="A18" s="471">
        <f t="shared" si="2"/>
        <v>42461</v>
      </c>
      <c r="B18" s="30">
        <v>42461</v>
      </c>
      <c r="C18" s="16">
        <f t="shared" si="0"/>
        <v>0</v>
      </c>
      <c r="D18" s="16">
        <f t="shared" si="1"/>
        <v>0</v>
      </c>
      <c r="E18" s="16" t="e">
        <f>+IF(AND(B18&gt;=#REF!,B18&lt;=#REF!),"OUI","NON")</f>
        <v>#REF!</v>
      </c>
      <c r="F18" s="16" t="e">
        <f t="array" ref="F18">IF(E18="OUI",MAX(F$2:$O17)+1,"")</f>
        <v>#REF!</v>
      </c>
    </row>
    <row r="19" spans="1:6" x14ac:dyDescent="0.2">
      <c r="A19" s="471">
        <f t="shared" si="2"/>
        <v>42491</v>
      </c>
      <c r="B19" s="30">
        <v>42491</v>
      </c>
      <c r="C19" s="16">
        <f t="shared" si="0"/>
        <v>0</v>
      </c>
      <c r="D19" s="16">
        <f t="shared" si="1"/>
        <v>0</v>
      </c>
      <c r="E19" s="16" t="e">
        <f>+IF(AND(B19&gt;=#REF!,B19&lt;=#REF!),"OUI","NON")</f>
        <v>#REF!</v>
      </c>
      <c r="F19" s="16" t="e">
        <f t="array" ref="F19">IF(E19="OUI",MAX(F$2:$O18)+1,"")</f>
        <v>#REF!</v>
      </c>
    </row>
    <row r="20" spans="1:6" x14ac:dyDescent="0.2">
      <c r="A20" s="471">
        <f t="shared" si="2"/>
        <v>42522</v>
      </c>
      <c r="B20" s="30">
        <v>42522</v>
      </c>
      <c r="C20" s="16">
        <f t="shared" si="0"/>
        <v>0</v>
      </c>
      <c r="D20" s="16">
        <f t="shared" si="1"/>
        <v>0</v>
      </c>
      <c r="E20" s="16" t="e">
        <f>+IF(AND(B20&gt;=#REF!,B20&lt;=#REF!),"OUI","NON")</f>
        <v>#REF!</v>
      </c>
      <c r="F20" s="16" t="e">
        <f t="array" ref="F20">IF(E20="OUI",MAX(F$2:$O19)+1,"")</f>
        <v>#REF!</v>
      </c>
    </row>
    <row r="21" spans="1:6" x14ac:dyDescent="0.2">
      <c r="A21" s="471">
        <f t="shared" si="2"/>
        <v>42552</v>
      </c>
      <c r="B21" s="30">
        <v>42552</v>
      </c>
      <c r="C21" s="16">
        <f t="shared" si="0"/>
        <v>0</v>
      </c>
      <c r="D21" s="16">
        <f t="shared" si="1"/>
        <v>0</v>
      </c>
      <c r="E21" s="16" t="e">
        <f>+IF(AND(B21&gt;=#REF!,B21&lt;=#REF!),"OUI","NON")</f>
        <v>#REF!</v>
      </c>
      <c r="F21" s="16" t="e">
        <f t="array" ref="F21">IF(E21="OUI",MAX(F$2:$O20)+1,"")</f>
        <v>#REF!</v>
      </c>
    </row>
    <row r="22" spans="1:6" x14ac:dyDescent="0.2">
      <c r="A22" s="471">
        <f t="shared" si="2"/>
        <v>42583</v>
      </c>
      <c r="B22" s="30">
        <v>42583</v>
      </c>
      <c r="C22" s="16">
        <f t="shared" si="0"/>
        <v>0</v>
      </c>
      <c r="D22" s="16">
        <f t="shared" si="1"/>
        <v>0</v>
      </c>
      <c r="E22" s="16" t="e">
        <f>+IF(AND(B22&gt;=#REF!,B22&lt;=#REF!),"OUI","NON")</f>
        <v>#REF!</v>
      </c>
      <c r="F22" s="16" t="e">
        <f t="array" ref="F22">IF(E22="OUI",MAX(F$2:$O21)+1,"")</f>
        <v>#REF!</v>
      </c>
    </row>
    <row r="23" spans="1:6" x14ac:dyDescent="0.2">
      <c r="A23" s="471">
        <f t="shared" si="2"/>
        <v>42614</v>
      </c>
      <c r="B23" s="30">
        <v>42614</v>
      </c>
      <c r="C23" s="16">
        <f t="shared" si="0"/>
        <v>0</v>
      </c>
      <c r="D23" s="16">
        <f t="shared" si="1"/>
        <v>0</v>
      </c>
      <c r="E23" s="16" t="e">
        <f>+IF(AND(B23&gt;=#REF!,B23&lt;=#REF!),"OUI","NON")</f>
        <v>#REF!</v>
      </c>
      <c r="F23" s="16" t="e">
        <f t="array" ref="F23">IF(E23="OUI",MAX(F$2:$O22)+1,"")</f>
        <v>#REF!</v>
      </c>
    </row>
    <row r="24" spans="1:6" x14ac:dyDescent="0.2">
      <c r="A24" s="471">
        <f t="shared" si="2"/>
        <v>42644</v>
      </c>
      <c r="B24" s="30">
        <v>42644</v>
      </c>
      <c r="C24" s="16">
        <f t="shared" si="0"/>
        <v>0</v>
      </c>
      <c r="D24" s="16">
        <f t="shared" si="1"/>
        <v>0</v>
      </c>
      <c r="E24" s="16" t="e">
        <f>+IF(AND(B24&gt;=#REF!,B24&lt;=#REF!),"OUI","NON")</f>
        <v>#REF!</v>
      </c>
      <c r="F24" s="16" t="e">
        <f t="array" ref="F24">IF(E24="OUI",MAX(F$2:$O23)+1,"")</f>
        <v>#REF!</v>
      </c>
    </row>
    <row r="25" spans="1:6" x14ac:dyDescent="0.2">
      <c r="A25" s="471">
        <f t="shared" si="2"/>
        <v>42675</v>
      </c>
      <c r="B25" s="30">
        <v>42675</v>
      </c>
      <c r="C25" s="16">
        <f t="shared" si="0"/>
        <v>0</v>
      </c>
      <c r="D25" s="16">
        <f t="shared" si="1"/>
        <v>0</v>
      </c>
      <c r="E25" s="16" t="e">
        <f>+IF(AND(B25&gt;=#REF!,B25&lt;=#REF!),"OUI","NON")</f>
        <v>#REF!</v>
      </c>
      <c r="F25" s="16" t="e">
        <f t="array" ref="F25">IF(E25="OUI",MAX(F$2:$O24)+1,"")</f>
        <v>#REF!</v>
      </c>
    </row>
    <row r="26" spans="1:6" x14ac:dyDescent="0.2">
      <c r="A26" s="471">
        <f t="shared" si="2"/>
        <v>42705</v>
      </c>
      <c r="B26" s="30">
        <v>42705</v>
      </c>
      <c r="C26" s="16">
        <f t="shared" si="0"/>
        <v>0</v>
      </c>
      <c r="D26" s="16">
        <f t="shared" si="1"/>
        <v>0</v>
      </c>
      <c r="E26" s="16" t="e">
        <f>+IF(AND(B26&gt;=#REF!,B26&lt;=#REF!),"OUI","NON")</f>
        <v>#REF!</v>
      </c>
      <c r="F26" s="16" t="e">
        <f t="array" ref="F26">IF(E26="OUI",MAX(F$2:$O25)+1,"")</f>
        <v>#REF!</v>
      </c>
    </row>
    <row r="27" spans="1:6" x14ac:dyDescent="0.2">
      <c r="A27" s="471">
        <f t="shared" si="2"/>
        <v>42736</v>
      </c>
      <c r="B27" s="30">
        <v>42736</v>
      </c>
      <c r="C27" s="16">
        <f t="shared" si="0"/>
        <v>0</v>
      </c>
      <c r="D27" s="16">
        <f t="shared" si="1"/>
        <v>0</v>
      </c>
      <c r="E27" s="16" t="e">
        <f>+IF(AND(B27&gt;=#REF!,B27&lt;=#REF!),"OUI","NON")</f>
        <v>#REF!</v>
      </c>
      <c r="F27" s="16" t="e">
        <f t="array" ref="F27">IF(E27="OUI",MAX(F$2:$O26)+1,"")</f>
        <v>#REF!</v>
      </c>
    </row>
    <row r="28" spans="1:6" x14ac:dyDescent="0.2">
      <c r="A28" s="471">
        <f t="shared" si="2"/>
        <v>42767</v>
      </c>
      <c r="B28" s="30">
        <v>42767</v>
      </c>
      <c r="C28" s="16">
        <f t="shared" si="0"/>
        <v>0</v>
      </c>
      <c r="D28" s="16">
        <f t="shared" si="1"/>
        <v>0</v>
      </c>
      <c r="E28" s="16" t="e">
        <f>+IF(AND(B28&gt;=#REF!,B28&lt;=#REF!),"OUI","NON")</f>
        <v>#REF!</v>
      </c>
      <c r="F28" s="16" t="e">
        <f t="array" ref="F28">IF(E28="OUI",MAX(F$2:$O27)+1,"")</f>
        <v>#REF!</v>
      </c>
    </row>
    <row r="29" spans="1:6" x14ac:dyDescent="0.2">
      <c r="A29" s="471">
        <f t="shared" si="2"/>
        <v>42795</v>
      </c>
      <c r="B29" s="30">
        <v>42795</v>
      </c>
      <c r="C29" s="16">
        <f t="shared" si="0"/>
        <v>0</v>
      </c>
      <c r="D29" s="16">
        <f t="shared" si="1"/>
        <v>0</v>
      </c>
      <c r="E29" s="16" t="e">
        <f>+IF(AND(B29&gt;=#REF!,B29&lt;=#REF!),"OUI","NON")</f>
        <v>#REF!</v>
      </c>
      <c r="F29" s="16" t="e">
        <f t="array" ref="F29">IF(E29="OUI",MAX(F$2:$O28)+1,"")</f>
        <v>#REF!</v>
      </c>
    </row>
    <row r="30" spans="1:6" x14ac:dyDescent="0.2">
      <c r="A30" s="471">
        <f t="shared" si="2"/>
        <v>42826</v>
      </c>
      <c r="B30" s="30">
        <v>42826</v>
      </c>
      <c r="C30" s="16">
        <f t="shared" si="0"/>
        <v>0</v>
      </c>
      <c r="D30" s="16">
        <f t="shared" si="1"/>
        <v>0</v>
      </c>
      <c r="E30" s="16" t="e">
        <f>+IF(AND(B30&gt;=#REF!,B30&lt;=#REF!),"OUI","NON")</f>
        <v>#REF!</v>
      </c>
      <c r="F30" s="16" t="e">
        <f t="array" ref="F30">IF(E30="OUI",MAX(F$2:$O29)+1,"")</f>
        <v>#REF!</v>
      </c>
    </row>
    <row r="31" spans="1:6" x14ac:dyDescent="0.2">
      <c r="A31" s="471">
        <f t="shared" si="2"/>
        <v>42856</v>
      </c>
      <c r="B31" s="30">
        <v>42856</v>
      </c>
      <c r="C31" s="16">
        <f t="shared" si="0"/>
        <v>0</v>
      </c>
      <c r="D31" s="16">
        <f t="shared" si="1"/>
        <v>0</v>
      </c>
      <c r="E31" s="16" t="e">
        <f>+IF(AND(B31&gt;=#REF!,B31&lt;=#REF!),"OUI","NON")</f>
        <v>#REF!</v>
      </c>
      <c r="F31" s="16" t="e">
        <f t="array" ref="F31">IF(E31="OUI",MAX(F$2:$O30)+1,"")</f>
        <v>#REF!</v>
      </c>
    </row>
    <row r="32" spans="1:6" x14ac:dyDescent="0.2">
      <c r="A32" s="471">
        <f t="shared" si="2"/>
        <v>42887</v>
      </c>
      <c r="B32" s="30">
        <v>42887</v>
      </c>
      <c r="C32" s="16">
        <f t="shared" si="0"/>
        <v>0</v>
      </c>
      <c r="D32" s="16">
        <f t="shared" si="1"/>
        <v>0</v>
      </c>
      <c r="E32" s="16" t="e">
        <f>+IF(AND(B32&gt;=#REF!,B32&lt;=#REF!),"OUI","NON")</f>
        <v>#REF!</v>
      </c>
      <c r="F32" s="16" t="e">
        <f t="array" ref="F32">IF(E32="OUI",MAX(F$2:$O31)+1,"")</f>
        <v>#REF!</v>
      </c>
    </row>
    <row r="33" spans="1:6" x14ac:dyDescent="0.2">
      <c r="A33" s="471">
        <f t="shared" si="2"/>
        <v>42917</v>
      </c>
      <c r="B33" s="30">
        <v>42917</v>
      </c>
      <c r="C33" s="16">
        <f t="shared" si="0"/>
        <v>0</v>
      </c>
      <c r="D33" s="16">
        <f t="shared" si="1"/>
        <v>0</v>
      </c>
      <c r="E33" s="16" t="e">
        <f>+IF(AND(B33&gt;=#REF!,B33&lt;=#REF!),"OUI","NON")</f>
        <v>#REF!</v>
      </c>
      <c r="F33" s="16" t="e">
        <f t="array" ref="F33">IF(E33="OUI",MAX(F$2:$O32)+1,"")</f>
        <v>#REF!</v>
      </c>
    </row>
    <row r="34" spans="1:6" x14ac:dyDescent="0.2">
      <c r="A34" s="471">
        <f t="shared" si="2"/>
        <v>42948</v>
      </c>
      <c r="B34" s="30">
        <v>42948</v>
      </c>
      <c r="C34" s="16">
        <f t="shared" si="0"/>
        <v>0</v>
      </c>
      <c r="D34" s="16">
        <f t="shared" si="1"/>
        <v>0</v>
      </c>
      <c r="E34" s="16" t="e">
        <f>+IF(AND(B34&gt;=#REF!,B34&lt;=#REF!),"OUI","NON")</f>
        <v>#REF!</v>
      </c>
      <c r="F34" s="16" t="e">
        <f t="array" ref="F34">IF(E34="OUI",MAX(F$2:$O33)+1,"")</f>
        <v>#REF!</v>
      </c>
    </row>
    <row r="35" spans="1:6" x14ac:dyDescent="0.2">
      <c r="A35" s="471">
        <f t="shared" si="2"/>
        <v>42979</v>
      </c>
      <c r="B35" s="30">
        <v>42979</v>
      </c>
      <c r="C35" s="16">
        <f t="shared" si="0"/>
        <v>0</v>
      </c>
      <c r="D35" s="16">
        <f t="shared" si="1"/>
        <v>0</v>
      </c>
      <c r="E35" s="16" t="e">
        <f>+IF(AND(B35&gt;=#REF!,B35&lt;=#REF!),"OUI","NON")</f>
        <v>#REF!</v>
      </c>
      <c r="F35" s="16" t="e">
        <f t="array" ref="F35">IF(E35="OUI",MAX(F$2:$O34)+1,"")</f>
        <v>#REF!</v>
      </c>
    </row>
    <row r="36" spans="1:6" x14ac:dyDescent="0.2">
      <c r="A36" s="471">
        <f t="shared" si="2"/>
        <v>43009</v>
      </c>
      <c r="B36" s="30">
        <v>43009</v>
      </c>
      <c r="C36" s="16">
        <f t="shared" si="0"/>
        <v>0</v>
      </c>
      <c r="D36" s="16">
        <f t="shared" si="1"/>
        <v>0</v>
      </c>
      <c r="E36" s="16" t="e">
        <f>+IF(AND(B36&gt;=#REF!,B36&lt;=#REF!),"OUI","NON")</f>
        <v>#REF!</v>
      </c>
      <c r="F36" s="16" t="e">
        <f t="array" ref="F36">IF(E36="OUI",MAX(F$2:$O35)+1,"")</f>
        <v>#REF!</v>
      </c>
    </row>
    <row r="37" spans="1:6" x14ac:dyDescent="0.2">
      <c r="A37" s="471">
        <f t="shared" si="2"/>
        <v>43040</v>
      </c>
      <c r="B37" s="30">
        <v>43040</v>
      </c>
      <c r="C37" s="16">
        <f t="shared" si="0"/>
        <v>0</v>
      </c>
      <c r="D37" s="16">
        <f t="shared" si="1"/>
        <v>0</v>
      </c>
      <c r="E37" s="16" t="e">
        <f>+IF(AND(B37&gt;=#REF!,B37&lt;=#REF!),"OUI","NON")</f>
        <v>#REF!</v>
      </c>
      <c r="F37" s="16" t="e">
        <f t="array" ref="F37">IF(E37="OUI",MAX(F$2:$O36)+1,"")</f>
        <v>#REF!</v>
      </c>
    </row>
    <row r="38" spans="1:6" x14ac:dyDescent="0.2">
      <c r="A38" s="471">
        <f t="shared" si="2"/>
        <v>43070</v>
      </c>
      <c r="B38" s="30">
        <v>43070</v>
      </c>
      <c r="C38" s="16">
        <f t="shared" si="0"/>
        <v>0</v>
      </c>
      <c r="D38" s="16">
        <f t="shared" si="1"/>
        <v>0</v>
      </c>
      <c r="E38" s="16" t="e">
        <f>+IF(AND(B38&gt;=#REF!,B38&lt;=#REF!),"OUI","NON")</f>
        <v>#REF!</v>
      </c>
      <c r="F38" s="16" t="e">
        <f t="array" ref="F38">IF(E38="OUI",MAX(F$2:$O37)+1,"")</f>
        <v>#REF!</v>
      </c>
    </row>
    <row r="39" spans="1:6" x14ac:dyDescent="0.2">
      <c r="A39" s="471">
        <f t="shared" si="2"/>
        <v>43101</v>
      </c>
      <c r="B39" s="30">
        <v>43101</v>
      </c>
      <c r="C39" s="16">
        <f t="shared" si="0"/>
        <v>0</v>
      </c>
      <c r="D39" s="16">
        <f t="shared" si="1"/>
        <v>0</v>
      </c>
      <c r="E39" s="16" t="e">
        <f>+IF(AND(B39&gt;=#REF!,B39&lt;=#REF!),"OUI","NON")</f>
        <v>#REF!</v>
      </c>
      <c r="F39" s="16" t="e">
        <f t="array" ref="F39">IF(E39="OUI",MAX(F$2:$O38)+1,"")</f>
        <v>#REF!</v>
      </c>
    </row>
    <row r="40" spans="1:6" x14ac:dyDescent="0.2">
      <c r="A40" s="471">
        <f t="shared" si="2"/>
        <v>43132</v>
      </c>
      <c r="B40" s="30">
        <v>43132</v>
      </c>
      <c r="C40" s="16">
        <f t="shared" si="0"/>
        <v>0</v>
      </c>
      <c r="D40" s="16">
        <f t="shared" si="1"/>
        <v>0</v>
      </c>
      <c r="E40" s="16" t="e">
        <f>+IF(AND(B40&gt;=#REF!,B40&lt;=#REF!),"OUI","NON")</f>
        <v>#REF!</v>
      </c>
      <c r="F40" s="16" t="e">
        <f t="array" ref="F40">IF(E40="OUI",MAX(F$2:$O39)+1,"")</f>
        <v>#REF!</v>
      </c>
    </row>
    <row r="41" spans="1:6" x14ac:dyDescent="0.2">
      <c r="A41" s="471">
        <f t="shared" si="2"/>
        <v>43160</v>
      </c>
      <c r="B41" s="30">
        <v>43160</v>
      </c>
      <c r="C41" s="16">
        <f t="shared" si="0"/>
        <v>0</v>
      </c>
      <c r="D41" s="16">
        <f t="shared" si="1"/>
        <v>0</v>
      </c>
      <c r="E41" s="16" t="e">
        <f>+IF(AND(B41&gt;=#REF!,B41&lt;=#REF!),"OUI","NON")</f>
        <v>#REF!</v>
      </c>
      <c r="F41" s="16" t="e">
        <f t="array" ref="F41">IF(E41="OUI",MAX(F$2:$O40)+1,"")</f>
        <v>#REF!</v>
      </c>
    </row>
    <row r="42" spans="1:6" x14ac:dyDescent="0.2">
      <c r="A42" s="471">
        <f t="shared" si="2"/>
        <v>43191</v>
      </c>
      <c r="B42" s="30">
        <v>43191</v>
      </c>
      <c r="C42" s="16">
        <f t="shared" si="0"/>
        <v>0</v>
      </c>
      <c r="D42" s="16">
        <f t="shared" si="1"/>
        <v>0</v>
      </c>
      <c r="E42" s="16" t="e">
        <f>+IF(AND(B42&gt;=#REF!,B42&lt;=#REF!),"OUI","NON")</f>
        <v>#REF!</v>
      </c>
      <c r="F42" s="16" t="e">
        <f t="array" ref="F42">IF(E42="OUI",MAX(F$2:$O41)+1,"")</f>
        <v>#REF!</v>
      </c>
    </row>
    <row r="43" spans="1:6" x14ac:dyDescent="0.2">
      <c r="A43" s="471">
        <f t="shared" si="2"/>
        <v>43221</v>
      </c>
      <c r="B43" s="30">
        <v>43221</v>
      </c>
      <c r="C43" s="16">
        <f t="shared" si="0"/>
        <v>0</v>
      </c>
      <c r="D43" s="16">
        <f t="shared" si="1"/>
        <v>0</v>
      </c>
      <c r="E43" s="16" t="e">
        <f>+IF(AND(B43&gt;=#REF!,B43&lt;=#REF!),"OUI","NON")</f>
        <v>#REF!</v>
      </c>
      <c r="F43" s="16" t="e">
        <f t="array" ref="F43">IF(E43="OUI",MAX(F$2:$O42)+1,"")</f>
        <v>#REF!</v>
      </c>
    </row>
    <row r="44" spans="1:6" x14ac:dyDescent="0.2">
      <c r="A44" s="471">
        <f t="shared" si="2"/>
        <v>43252</v>
      </c>
      <c r="B44" s="30">
        <v>43252</v>
      </c>
      <c r="C44" s="16">
        <f t="shared" si="0"/>
        <v>0</v>
      </c>
      <c r="D44" s="16">
        <f t="shared" si="1"/>
        <v>0</v>
      </c>
      <c r="E44" s="16" t="e">
        <f>+IF(AND(B44&gt;=#REF!,B44&lt;=#REF!),"OUI","NON")</f>
        <v>#REF!</v>
      </c>
      <c r="F44" s="16" t="e">
        <f t="array" ref="F44">IF(E44="OUI",MAX(F$2:$O43)+1,"")</f>
        <v>#REF!</v>
      </c>
    </row>
    <row r="45" spans="1:6" x14ac:dyDescent="0.2">
      <c r="A45" s="471">
        <f t="shared" si="2"/>
        <v>43282</v>
      </c>
      <c r="B45" s="30">
        <v>43282</v>
      </c>
      <c r="C45" s="16">
        <f t="shared" si="0"/>
        <v>0</v>
      </c>
      <c r="D45" s="16">
        <f t="shared" si="1"/>
        <v>0</v>
      </c>
      <c r="E45" s="16" t="e">
        <f>+IF(AND(B45&gt;=#REF!,B45&lt;=#REF!),"OUI","NON")</f>
        <v>#REF!</v>
      </c>
      <c r="F45" s="16" t="e">
        <f t="array" ref="F45">IF(E45="OUI",MAX(F$2:$O44)+1,"")</f>
        <v>#REF!</v>
      </c>
    </row>
    <row r="46" spans="1:6" x14ac:dyDescent="0.2">
      <c r="A46" s="471">
        <f t="shared" si="2"/>
        <v>43313</v>
      </c>
      <c r="B46" s="30">
        <v>43313</v>
      </c>
      <c r="C46" s="16">
        <f t="shared" si="0"/>
        <v>0</v>
      </c>
      <c r="D46" s="16">
        <f t="shared" si="1"/>
        <v>0</v>
      </c>
      <c r="E46" s="16" t="e">
        <f>+IF(AND(B46&gt;=#REF!,B46&lt;=#REF!),"OUI","NON")</f>
        <v>#REF!</v>
      </c>
      <c r="F46" s="16" t="e">
        <f t="array" ref="F46">IF(E46="OUI",MAX(F$2:$O45)+1,"")</f>
        <v>#REF!</v>
      </c>
    </row>
    <row r="47" spans="1:6" x14ac:dyDescent="0.2">
      <c r="A47" s="471">
        <f t="shared" si="2"/>
        <v>43344</v>
      </c>
      <c r="B47" s="30">
        <v>43344</v>
      </c>
      <c r="C47" s="16">
        <f t="shared" si="0"/>
        <v>0</v>
      </c>
      <c r="D47" s="16">
        <f t="shared" si="1"/>
        <v>0</v>
      </c>
      <c r="E47" s="16" t="e">
        <f>+IF(AND(B47&gt;=#REF!,B47&lt;=#REF!),"OUI","NON")</f>
        <v>#REF!</v>
      </c>
      <c r="F47" s="16" t="e">
        <f t="array" ref="F47">IF(E47="OUI",MAX(F$2:$O46)+1,"")</f>
        <v>#REF!</v>
      </c>
    </row>
    <row r="48" spans="1:6" x14ac:dyDescent="0.2">
      <c r="A48" s="471">
        <f t="shared" si="2"/>
        <v>43374</v>
      </c>
      <c r="B48" s="30">
        <v>43374</v>
      </c>
      <c r="C48" s="16">
        <f t="shared" si="0"/>
        <v>0</v>
      </c>
      <c r="D48" s="16">
        <f t="shared" si="1"/>
        <v>0</v>
      </c>
      <c r="E48" s="16" t="e">
        <f>+IF(AND(B48&gt;=#REF!,B48&lt;=#REF!),"OUI","NON")</f>
        <v>#REF!</v>
      </c>
      <c r="F48" s="16" t="e">
        <f t="array" ref="F48">IF(E48="OUI",MAX(F$2:$O47)+1,"")</f>
        <v>#REF!</v>
      </c>
    </row>
    <row r="49" spans="1:6" x14ac:dyDescent="0.2">
      <c r="A49" s="471">
        <f t="shared" si="2"/>
        <v>43405</v>
      </c>
      <c r="B49" s="30">
        <v>43405</v>
      </c>
      <c r="C49" s="16">
        <f t="shared" si="0"/>
        <v>0</v>
      </c>
      <c r="D49" s="16">
        <f t="shared" si="1"/>
        <v>0</v>
      </c>
      <c r="E49" s="16" t="e">
        <f>+IF(AND(B49&gt;=#REF!,B49&lt;=#REF!),"OUI","NON")</f>
        <v>#REF!</v>
      </c>
      <c r="F49" s="16" t="e">
        <f t="array" ref="F49">IF(E49="OUI",MAX(F$2:$O48)+1,"")</f>
        <v>#REF!</v>
      </c>
    </row>
    <row r="50" spans="1:6" x14ac:dyDescent="0.2">
      <c r="A50" s="471">
        <f t="shared" si="2"/>
        <v>43435</v>
      </c>
      <c r="B50" s="30">
        <v>43435</v>
      </c>
      <c r="C50" s="16">
        <f t="shared" si="0"/>
        <v>0</v>
      </c>
      <c r="D50" s="16">
        <f t="shared" si="1"/>
        <v>0</v>
      </c>
      <c r="E50" s="16" t="e">
        <f>+IF(AND(B50&gt;=#REF!,B50&lt;=#REF!),"OUI","NON")</f>
        <v>#REF!</v>
      </c>
      <c r="F50" s="16" t="e">
        <f t="array" ref="F50">IF(E50="OUI",MAX(F$2:$O49)+1,"")</f>
        <v>#REF!</v>
      </c>
    </row>
    <row r="51" spans="1:6" x14ac:dyDescent="0.2">
      <c r="A51" s="471">
        <f t="shared" si="2"/>
        <v>43466</v>
      </c>
      <c r="B51" s="30">
        <v>43466</v>
      </c>
      <c r="C51" s="16">
        <f t="shared" si="0"/>
        <v>0</v>
      </c>
      <c r="D51" s="16">
        <f t="shared" si="1"/>
        <v>0</v>
      </c>
      <c r="E51" s="16" t="e">
        <f>+IF(AND(B51&gt;=#REF!,B51&lt;=#REF!),"OUI","NON")</f>
        <v>#REF!</v>
      </c>
      <c r="F51" s="16" t="e">
        <f t="array" ref="F51">IF(E51="OUI",MAX(F$2:$O50)+1,"")</f>
        <v>#REF!</v>
      </c>
    </row>
    <row r="52" spans="1:6" x14ac:dyDescent="0.2">
      <c r="A52" s="471">
        <f t="shared" si="2"/>
        <v>43497</v>
      </c>
      <c r="B52" s="30">
        <v>43497</v>
      </c>
      <c r="C52" s="16">
        <f t="shared" si="0"/>
        <v>0</v>
      </c>
      <c r="D52" s="16">
        <f t="shared" si="1"/>
        <v>0</v>
      </c>
      <c r="E52" s="16" t="e">
        <f>+IF(AND(B52&gt;=#REF!,B52&lt;=#REF!),"OUI","NON")</f>
        <v>#REF!</v>
      </c>
      <c r="F52" s="16" t="e">
        <f t="array" ref="F52">IF(E52="OUI",MAX(F$2:$O51)+1,"")</f>
        <v>#REF!</v>
      </c>
    </row>
    <row r="53" spans="1:6" x14ac:dyDescent="0.2">
      <c r="A53" s="471">
        <f t="shared" si="2"/>
        <v>43525</v>
      </c>
      <c r="B53" s="30">
        <v>43525</v>
      </c>
      <c r="C53" s="16">
        <f t="shared" si="0"/>
        <v>0</v>
      </c>
      <c r="D53" s="16">
        <f t="shared" si="1"/>
        <v>0</v>
      </c>
      <c r="E53" s="16" t="e">
        <f>+IF(AND(B53&gt;=#REF!,B53&lt;=#REF!),"OUI","NON")</f>
        <v>#REF!</v>
      </c>
      <c r="F53" s="16" t="e">
        <f t="array" ref="F53">IF(E53="OUI",MAX(F$2:$O52)+1,"")</f>
        <v>#REF!</v>
      </c>
    </row>
    <row r="54" spans="1:6" x14ac:dyDescent="0.2">
      <c r="A54" s="471">
        <f t="shared" si="2"/>
        <v>43556</v>
      </c>
      <c r="B54" s="30">
        <v>43556</v>
      </c>
      <c r="C54" s="16">
        <f t="shared" si="0"/>
        <v>0</v>
      </c>
      <c r="D54" s="16">
        <f t="shared" si="1"/>
        <v>0</v>
      </c>
      <c r="E54" s="16" t="e">
        <f>+IF(AND(B54&gt;=#REF!,B54&lt;=#REF!),"OUI","NON")</f>
        <v>#REF!</v>
      </c>
      <c r="F54" s="16" t="e">
        <f t="array" ref="F54">IF(E54="OUI",MAX(F$2:$O53)+1,"")</f>
        <v>#REF!</v>
      </c>
    </row>
    <row r="55" spans="1:6" x14ac:dyDescent="0.2">
      <c r="A55" s="471">
        <f t="shared" si="2"/>
        <v>43586</v>
      </c>
      <c r="B55" s="30">
        <v>43586</v>
      </c>
      <c r="C55" s="16">
        <f t="shared" si="0"/>
        <v>0</v>
      </c>
      <c r="D55" s="16">
        <f t="shared" si="1"/>
        <v>0</v>
      </c>
      <c r="E55" s="16" t="e">
        <f>+IF(AND(B55&gt;=#REF!,B55&lt;=#REF!),"OUI","NON")</f>
        <v>#REF!</v>
      </c>
      <c r="F55" s="16" t="e">
        <f t="array" ref="F55">IF(E55="OUI",MAX(F$2:$O54)+1,"")</f>
        <v>#REF!</v>
      </c>
    </row>
    <row r="56" spans="1:6" x14ac:dyDescent="0.2">
      <c r="A56" s="471">
        <f t="shared" si="2"/>
        <v>43617</v>
      </c>
      <c r="B56" s="30">
        <v>43617</v>
      </c>
      <c r="C56" s="16">
        <f t="shared" si="0"/>
        <v>0</v>
      </c>
      <c r="D56" s="16">
        <f t="shared" si="1"/>
        <v>0</v>
      </c>
      <c r="E56" s="16" t="e">
        <f>+IF(AND(B56&gt;=#REF!,B56&lt;=#REF!),"OUI","NON")</f>
        <v>#REF!</v>
      </c>
      <c r="F56" s="16" t="e">
        <f t="array" ref="F56">IF(E56="OUI",MAX(F$2:$O55)+1,"")</f>
        <v>#REF!</v>
      </c>
    </row>
    <row r="57" spans="1:6" x14ac:dyDescent="0.2">
      <c r="A57" s="471">
        <f t="shared" si="2"/>
        <v>43647</v>
      </c>
      <c r="B57" s="30">
        <v>43647</v>
      </c>
      <c r="C57" s="16">
        <f t="shared" si="0"/>
        <v>0</v>
      </c>
      <c r="D57" s="16">
        <f t="shared" si="1"/>
        <v>0</v>
      </c>
      <c r="E57" s="16" t="e">
        <f>+IF(AND(B57&gt;=#REF!,B57&lt;=#REF!),"OUI","NON")</f>
        <v>#REF!</v>
      </c>
      <c r="F57" s="16" t="e">
        <f t="array" ref="F57">IF(E57="OUI",MAX(F$2:$O56)+1,"")</f>
        <v>#REF!</v>
      </c>
    </row>
    <row r="58" spans="1:6" x14ac:dyDescent="0.2">
      <c r="A58" s="471">
        <f t="shared" si="2"/>
        <v>43678</v>
      </c>
      <c r="B58" s="30">
        <v>43678</v>
      </c>
      <c r="C58" s="16">
        <f t="shared" si="0"/>
        <v>0</v>
      </c>
      <c r="D58" s="16">
        <f t="shared" si="1"/>
        <v>0</v>
      </c>
      <c r="E58" s="16" t="e">
        <f>+IF(AND(B58&gt;=#REF!,B58&lt;=#REF!),"OUI","NON")</f>
        <v>#REF!</v>
      </c>
      <c r="F58" s="16" t="e">
        <f t="array" ref="F58">IF(E58="OUI",MAX(F$2:$O57)+1,"")</f>
        <v>#REF!</v>
      </c>
    </row>
    <row r="59" spans="1:6" x14ac:dyDescent="0.2">
      <c r="A59" s="471">
        <f t="shared" si="2"/>
        <v>43709</v>
      </c>
      <c r="B59" s="30">
        <v>43709</v>
      </c>
      <c r="C59" s="16">
        <f t="shared" si="0"/>
        <v>0</v>
      </c>
      <c r="D59" s="16">
        <f t="shared" si="1"/>
        <v>0</v>
      </c>
      <c r="E59" s="16" t="e">
        <f>+IF(AND(B59&gt;=#REF!,B59&lt;=#REF!),"OUI","NON")</f>
        <v>#REF!</v>
      </c>
      <c r="F59" s="16" t="e">
        <f t="array" ref="F59">IF(E59="OUI",MAX(F$2:$O58)+1,"")</f>
        <v>#REF!</v>
      </c>
    </row>
    <row r="60" spans="1:6" x14ac:dyDescent="0.2">
      <c r="A60" s="471">
        <f t="shared" si="2"/>
        <v>43739</v>
      </c>
      <c r="B60" s="30">
        <v>43739</v>
      </c>
      <c r="C60" s="16">
        <f t="shared" si="0"/>
        <v>0</v>
      </c>
      <c r="D60" s="16">
        <f t="shared" si="1"/>
        <v>0</v>
      </c>
      <c r="E60" s="16" t="e">
        <f>+IF(AND(B60&gt;=#REF!,B60&lt;=#REF!),"OUI","NON")</f>
        <v>#REF!</v>
      </c>
      <c r="F60" s="16" t="e">
        <f t="array" ref="F60">IF(E60="OUI",MAX(F$2:$O59)+1,"")</f>
        <v>#REF!</v>
      </c>
    </row>
    <row r="61" spans="1:6" x14ac:dyDescent="0.2">
      <c r="A61" s="471">
        <f t="shared" si="2"/>
        <v>43770</v>
      </c>
      <c r="B61" s="30">
        <v>43770</v>
      </c>
      <c r="C61" s="16">
        <f t="shared" si="0"/>
        <v>0</v>
      </c>
      <c r="D61" s="16">
        <f t="shared" si="1"/>
        <v>0</v>
      </c>
      <c r="E61" s="16" t="e">
        <f>+IF(AND(B61&gt;=#REF!,B61&lt;=#REF!),"OUI","NON")</f>
        <v>#REF!</v>
      </c>
      <c r="F61" s="16" t="e">
        <f t="array" ref="F61">IF(E61="OUI",MAX(F$2:$O60)+1,"")</f>
        <v>#REF!</v>
      </c>
    </row>
    <row r="62" spans="1:6" x14ac:dyDescent="0.2">
      <c r="A62" s="471">
        <f t="shared" si="2"/>
        <v>43800</v>
      </c>
      <c r="B62" s="30">
        <v>43800</v>
      </c>
      <c r="C62" s="16">
        <f t="shared" si="0"/>
        <v>0</v>
      </c>
      <c r="D62" s="16">
        <f t="shared" si="1"/>
        <v>0</v>
      </c>
      <c r="E62" s="16" t="e">
        <f>+IF(AND(B62&gt;=#REF!,B62&lt;=#REF!),"OUI","NON")</f>
        <v>#REF!</v>
      </c>
      <c r="F62" s="16" t="e">
        <f t="array" ref="F62">IF(E62="OUI",MAX(F$2:$O61)+1,"")</f>
        <v>#REF!</v>
      </c>
    </row>
    <row r="63" spans="1:6" x14ac:dyDescent="0.2">
      <c r="A63" s="471">
        <f t="shared" si="2"/>
        <v>43831</v>
      </c>
      <c r="B63" s="30">
        <v>43831</v>
      </c>
      <c r="C63" s="16">
        <f t="shared" si="0"/>
        <v>0</v>
      </c>
      <c r="D63" s="16">
        <f t="shared" si="1"/>
        <v>0</v>
      </c>
      <c r="E63" s="16" t="e">
        <f>+IF(AND(B63&gt;=#REF!,B63&lt;=#REF!),"OUI","NON")</f>
        <v>#REF!</v>
      </c>
      <c r="F63" s="16" t="e">
        <f t="array" ref="F63">IF(E63="OUI",MAX(F$2:$O62)+1,"")</f>
        <v>#REF!</v>
      </c>
    </row>
    <row r="64" spans="1:6" x14ac:dyDescent="0.2">
      <c r="A64" s="471">
        <f t="shared" si="2"/>
        <v>43862</v>
      </c>
      <c r="B64" s="30">
        <v>43862</v>
      </c>
      <c r="C64" s="16">
        <f t="shared" si="0"/>
        <v>0</v>
      </c>
      <c r="D64" s="16">
        <f t="shared" si="1"/>
        <v>0</v>
      </c>
      <c r="E64" s="16" t="e">
        <f>+IF(AND(B64&gt;=#REF!,B64&lt;=#REF!),"OUI","NON")</f>
        <v>#REF!</v>
      </c>
      <c r="F64" s="16" t="e">
        <f t="array" ref="F64">IF(E64="OUI",MAX(F$2:$O63)+1,"")</f>
        <v>#REF!</v>
      </c>
    </row>
    <row r="65" spans="1:6" x14ac:dyDescent="0.2">
      <c r="A65" s="471">
        <f t="shared" si="2"/>
        <v>43891</v>
      </c>
      <c r="B65" s="30">
        <v>43891</v>
      </c>
      <c r="C65" s="16">
        <f t="shared" si="0"/>
        <v>0</v>
      </c>
      <c r="D65" s="16">
        <f t="shared" si="1"/>
        <v>0</v>
      </c>
      <c r="E65" s="16" t="e">
        <f>+IF(AND(B65&gt;=#REF!,B65&lt;=#REF!),"OUI","NON")</f>
        <v>#REF!</v>
      </c>
      <c r="F65" s="16" t="e">
        <f t="array" ref="F65">IF(E65="OUI",MAX(F$2:$O64)+1,"")</f>
        <v>#REF!</v>
      </c>
    </row>
    <row r="66" spans="1:6" x14ac:dyDescent="0.2">
      <c r="A66" s="471">
        <f t="shared" si="2"/>
        <v>43922</v>
      </c>
      <c r="B66" s="30">
        <v>43922</v>
      </c>
      <c r="C66" s="16">
        <f t="shared" si="0"/>
        <v>0</v>
      </c>
      <c r="D66" s="16">
        <f t="shared" si="1"/>
        <v>0</v>
      </c>
      <c r="E66" s="16" t="e">
        <f>+IF(AND(B66&gt;=#REF!,B66&lt;=#REF!),"OUI","NON")</f>
        <v>#REF!</v>
      </c>
      <c r="F66" s="16" t="e">
        <f t="array" ref="F66">IF(E66="OUI",MAX(F$2:$O65)+1,"")</f>
        <v>#REF!</v>
      </c>
    </row>
    <row r="67" spans="1:6" x14ac:dyDescent="0.2">
      <c r="A67" s="471">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71">
        <f t="shared" ref="A68:A131" si="5">+B68</f>
        <v>43983</v>
      </c>
      <c r="B68" s="30">
        <v>43983</v>
      </c>
      <c r="C68" s="16">
        <f t="shared" si="3"/>
        <v>0</v>
      </c>
      <c r="D68" s="16">
        <f t="shared" si="4"/>
        <v>0</v>
      </c>
      <c r="E68" s="16" t="e">
        <f>+IF(AND(B68&gt;=#REF!,B68&lt;=#REF!),"OUI","NON")</f>
        <v>#REF!</v>
      </c>
      <c r="F68" s="16" t="e">
        <f t="array" ref="F68">IF(E68="OUI",MAX(F$2:$O67)+1,"")</f>
        <v>#REF!</v>
      </c>
    </row>
    <row r="69" spans="1:6" x14ac:dyDescent="0.2">
      <c r="A69" s="471">
        <f t="shared" si="5"/>
        <v>44013</v>
      </c>
      <c r="B69" s="30">
        <v>44013</v>
      </c>
      <c r="C69" s="16">
        <f t="shared" si="3"/>
        <v>0</v>
      </c>
      <c r="D69" s="16">
        <f t="shared" si="4"/>
        <v>0</v>
      </c>
      <c r="E69" s="16" t="e">
        <f>+IF(AND(B69&gt;=#REF!,B69&lt;=#REF!),"OUI","NON")</f>
        <v>#REF!</v>
      </c>
      <c r="F69" s="16" t="e">
        <f t="array" ref="F69">IF(E69="OUI",MAX(F$2:$O68)+1,"")</f>
        <v>#REF!</v>
      </c>
    </row>
    <row r="70" spans="1:6" x14ac:dyDescent="0.2">
      <c r="A70" s="471">
        <f t="shared" si="5"/>
        <v>44044</v>
      </c>
      <c r="B70" s="30">
        <v>44044</v>
      </c>
      <c r="C70" s="16">
        <f t="shared" si="3"/>
        <v>0</v>
      </c>
      <c r="D70" s="16">
        <f t="shared" si="4"/>
        <v>0</v>
      </c>
      <c r="E70" s="16" t="e">
        <f>+IF(AND(B70&gt;=#REF!,B70&lt;=#REF!),"OUI","NON")</f>
        <v>#REF!</v>
      </c>
      <c r="F70" s="16" t="e">
        <f t="array" ref="F70">IF(E70="OUI",MAX(F$2:$O69)+1,"")</f>
        <v>#REF!</v>
      </c>
    </row>
    <row r="71" spans="1:6" x14ac:dyDescent="0.2">
      <c r="A71" s="471">
        <f t="shared" si="5"/>
        <v>44075</v>
      </c>
      <c r="B71" s="30">
        <v>44075</v>
      </c>
      <c r="C71" s="16">
        <f t="shared" si="3"/>
        <v>0</v>
      </c>
      <c r="D71" s="16">
        <f t="shared" si="4"/>
        <v>0</v>
      </c>
      <c r="E71" s="16" t="e">
        <f>+IF(AND(B71&gt;=#REF!,B71&lt;=#REF!),"OUI","NON")</f>
        <v>#REF!</v>
      </c>
      <c r="F71" s="16" t="e">
        <f t="array" ref="F71">IF(E71="OUI",MAX(F$2:$O70)+1,"")</f>
        <v>#REF!</v>
      </c>
    </row>
    <row r="72" spans="1:6" x14ac:dyDescent="0.2">
      <c r="A72" s="471">
        <f t="shared" si="5"/>
        <v>44105</v>
      </c>
      <c r="B72" s="30">
        <v>44105</v>
      </c>
      <c r="C72" s="16">
        <f t="shared" si="3"/>
        <v>0</v>
      </c>
      <c r="D72" s="16">
        <f t="shared" si="4"/>
        <v>0</v>
      </c>
      <c r="E72" s="16" t="e">
        <f>+IF(AND(B72&gt;=#REF!,B72&lt;=#REF!),"OUI","NON")</f>
        <v>#REF!</v>
      </c>
      <c r="F72" s="16" t="e">
        <f t="array" ref="F72">IF(E72="OUI",MAX(F$2:$O71)+1,"")</f>
        <v>#REF!</v>
      </c>
    </row>
    <row r="73" spans="1:6" x14ac:dyDescent="0.2">
      <c r="A73" s="471">
        <f t="shared" si="5"/>
        <v>44136</v>
      </c>
      <c r="B73" s="30">
        <v>44136</v>
      </c>
      <c r="C73" s="16">
        <f t="shared" si="3"/>
        <v>0</v>
      </c>
      <c r="D73" s="16">
        <f t="shared" si="4"/>
        <v>0</v>
      </c>
      <c r="E73" s="16" t="e">
        <f>+IF(AND(B73&gt;=#REF!,B73&lt;=#REF!),"OUI","NON")</f>
        <v>#REF!</v>
      </c>
      <c r="F73" s="16" t="e">
        <f t="array" ref="F73">IF(E73="OUI",MAX(F$2:$O72)+1,"")</f>
        <v>#REF!</v>
      </c>
    </row>
    <row r="74" spans="1:6" x14ac:dyDescent="0.2">
      <c r="A74" s="471">
        <f t="shared" si="5"/>
        <v>44166</v>
      </c>
      <c r="B74" s="30">
        <v>44166</v>
      </c>
      <c r="C74" s="16">
        <f t="shared" si="3"/>
        <v>0</v>
      </c>
      <c r="D74" s="16">
        <f t="shared" si="4"/>
        <v>0</v>
      </c>
      <c r="E74" s="16" t="e">
        <f>+IF(AND(B74&gt;=#REF!,B74&lt;=#REF!),"OUI","NON")</f>
        <v>#REF!</v>
      </c>
      <c r="F74" s="16" t="e">
        <f t="array" ref="F74">IF(E74="OUI",MAX(F$2:$O73)+1,"")</f>
        <v>#REF!</v>
      </c>
    </row>
    <row r="75" spans="1:6" x14ac:dyDescent="0.2">
      <c r="A75" s="471">
        <f t="shared" si="5"/>
        <v>44197</v>
      </c>
      <c r="B75" s="30">
        <v>44197</v>
      </c>
      <c r="C75" s="16">
        <f t="shared" si="3"/>
        <v>0</v>
      </c>
      <c r="D75" s="16">
        <f t="shared" si="4"/>
        <v>0</v>
      </c>
      <c r="E75" s="16" t="e">
        <f>+IF(AND(B75&gt;=#REF!,B75&lt;=#REF!),"OUI","NON")</f>
        <v>#REF!</v>
      </c>
      <c r="F75" s="16" t="e">
        <f t="array" ref="F75">IF(E75="OUI",MAX(F$2:$O74)+1,"")</f>
        <v>#REF!</v>
      </c>
    </row>
    <row r="76" spans="1:6" x14ac:dyDescent="0.2">
      <c r="A76" s="471">
        <f t="shared" si="5"/>
        <v>44228</v>
      </c>
      <c r="B76" s="30">
        <v>44228</v>
      </c>
      <c r="C76" s="16">
        <f t="shared" si="3"/>
        <v>0</v>
      </c>
      <c r="D76" s="16">
        <f t="shared" si="4"/>
        <v>0</v>
      </c>
      <c r="E76" s="16" t="e">
        <f>+IF(AND(B76&gt;=#REF!,B76&lt;=#REF!),"OUI","NON")</f>
        <v>#REF!</v>
      </c>
      <c r="F76" s="16" t="e">
        <f t="array" ref="F76">IF(E76="OUI",MAX(F$2:$O75)+1,"")</f>
        <v>#REF!</v>
      </c>
    </row>
    <row r="77" spans="1:6" x14ac:dyDescent="0.2">
      <c r="A77" s="471">
        <f t="shared" si="5"/>
        <v>44256</v>
      </c>
      <c r="B77" s="30">
        <v>44256</v>
      </c>
      <c r="C77" s="16">
        <f t="shared" si="3"/>
        <v>0</v>
      </c>
      <c r="D77" s="16">
        <f t="shared" si="4"/>
        <v>0</v>
      </c>
      <c r="E77" s="16" t="e">
        <f>+IF(AND(B77&gt;=#REF!,B77&lt;=#REF!),"OUI","NON")</f>
        <v>#REF!</v>
      </c>
      <c r="F77" s="16" t="e">
        <f t="array" ref="F77">IF(E77="OUI",MAX(F$2:$O76)+1,"")</f>
        <v>#REF!</v>
      </c>
    </row>
    <row r="78" spans="1:6" x14ac:dyDescent="0.2">
      <c r="A78" s="471">
        <f t="shared" si="5"/>
        <v>44287</v>
      </c>
      <c r="B78" s="30">
        <v>44287</v>
      </c>
      <c r="C78" s="16">
        <f t="shared" si="3"/>
        <v>0</v>
      </c>
      <c r="D78" s="16">
        <f t="shared" si="4"/>
        <v>0</v>
      </c>
      <c r="E78" s="16" t="e">
        <f>+IF(AND(B78&gt;=#REF!,B78&lt;=#REF!),"OUI","NON")</f>
        <v>#REF!</v>
      </c>
      <c r="F78" s="16" t="e">
        <f t="array" ref="F78">IF(E78="OUI",MAX(F$2:$O77)+1,"")</f>
        <v>#REF!</v>
      </c>
    </row>
    <row r="79" spans="1:6" x14ac:dyDescent="0.2">
      <c r="A79" s="471">
        <f t="shared" si="5"/>
        <v>44317</v>
      </c>
      <c r="B79" s="30">
        <v>44317</v>
      </c>
      <c r="C79" s="16">
        <f t="shared" si="3"/>
        <v>0</v>
      </c>
      <c r="D79" s="16">
        <f t="shared" si="4"/>
        <v>0</v>
      </c>
      <c r="E79" s="16" t="e">
        <f>+IF(AND(B79&gt;=#REF!,B79&lt;=#REF!),"OUI","NON")</f>
        <v>#REF!</v>
      </c>
      <c r="F79" s="16" t="e">
        <f t="array" ref="F79">IF(E79="OUI",MAX(F$2:$O78)+1,"")</f>
        <v>#REF!</v>
      </c>
    </row>
    <row r="80" spans="1:6" x14ac:dyDescent="0.2">
      <c r="A80" s="471">
        <f t="shared" si="5"/>
        <v>44348</v>
      </c>
      <c r="B80" s="30">
        <v>44348</v>
      </c>
      <c r="C80" s="16">
        <f t="shared" si="3"/>
        <v>0</v>
      </c>
      <c r="D80" s="16">
        <f t="shared" si="4"/>
        <v>0</v>
      </c>
      <c r="E80" s="16" t="e">
        <f>+IF(AND(B80&gt;=#REF!,B80&lt;=#REF!),"OUI","NON")</f>
        <v>#REF!</v>
      </c>
      <c r="F80" s="16" t="e">
        <f t="array" ref="F80">IF(E80="OUI",MAX(F$2:$O79)+1,"")</f>
        <v>#REF!</v>
      </c>
    </row>
    <row r="81" spans="1:6" x14ac:dyDescent="0.2">
      <c r="A81" s="471">
        <f t="shared" si="5"/>
        <v>44378</v>
      </c>
      <c r="B81" s="30">
        <v>44378</v>
      </c>
      <c r="C81" s="16">
        <f t="shared" si="3"/>
        <v>0</v>
      </c>
      <c r="D81" s="16">
        <f t="shared" si="4"/>
        <v>0</v>
      </c>
      <c r="E81" s="16" t="e">
        <f>+IF(AND(B81&gt;=#REF!,B81&lt;=#REF!),"OUI","NON")</f>
        <v>#REF!</v>
      </c>
      <c r="F81" s="16" t="e">
        <f t="array" ref="F81">IF(E81="OUI",MAX(F$2:$O80)+1,"")</f>
        <v>#REF!</v>
      </c>
    </row>
    <row r="82" spans="1:6" x14ac:dyDescent="0.2">
      <c r="A82" s="471">
        <f t="shared" si="5"/>
        <v>44409</v>
      </c>
      <c r="B82" s="30">
        <v>44409</v>
      </c>
      <c r="C82" s="16">
        <f t="shared" si="3"/>
        <v>0</v>
      </c>
      <c r="D82" s="16">
        <f t="shared" si="4"/>
        <v>0</v>
      </c>
      <c r="E82" s="16" t="e">
        <f>+IF(AND(B82&gt;=#REF!,B82&lt;=#REF!),"OUI","NON")</f>
        <v>#REF!</v>
      </c>
      <c r="F82" s="16" t="e">
        <f t="array" ref="F82">IF(E82="OUI",MAX(F$2:$O81)+1,"")</f>
        <v>#REF!</v>
      </c>
    </row>
    <row r="83" spans="1:6" x14ac:dyDescent="0.2">
      <c r="A83" s="471">
        <f t="shared" si="5"/>
        <v>44440</v>
      </c>
      <c r="B83" s="30">
        <v>44440</v>
      </c>
      <c r="C83" s="16">
        <f t="shared" si="3"/>
        <v>0</v>
      </c>
      <c r="D83" s="16">
        <f t="shared" si="4"/>
        <v>0</v>
      </c>
      <c r="E83" s="16" t="e">
        <f>+IF(AND(B83&gt;=#REF!,B83&lt;=#REF!),"OUI","NON")</f>
        <v>#REF!</v>
      </c>
      <c r="F83" s="16" t="e">
        <f t="array" ref="F83">IF(E83="OUI",MAX(F$2:$O82)+1,"")</f>
        <v>#REF!</v>
      </c>
    </row>
    <row r="84" spans="1:6" x14ac:dyDescent="0.2">
      <c r="A84" s="471">
        <f t="shared" si="5"/>
        <v>44470</v>
      </c>
      <c r="B84" s="30">
        <v>44470</v>
      </c>
      <c r="C84" s="16">
        <f t="shared" si="3"/>
        <v>0</v>
      </c>
      <c r="D84" s="16">
        <f t="shared" si="4"/>
        <v>0</v>
      </c>
      <c r="E84" s="16" t="e">
        <f>+IF(AND(B84&gt;=#REF!,B84&lt;=#REF!),"OUI","NON")</f>
        <v>#REF!</v>
      </c>
      <c r="F84" s="16" t="e">
        <f t="array" ref="F84">IF(E84="OUI",MAX(F$2:$O83)+1,"")</f>
        <v>#REF!</v>
      </c>
    </row>
    <row r="85" spans="1:6" x14ac:dyDescent="0.2">
      <c r="A85" s="471">
        <f t="shared" si="5"/>
        <v>44501</v>
      </c>
      <c r="B85" s="30">
        <v>44501</v>
      </c>
      <c r="C85" s="16">
        <f t="shared" si="3"/>
        <v>0</v>
      </c>
      <c r="D85" s="16">
        <f t="shared" si="4"/>
        <v>0</v>
      </c>
      <c r="E85" s="16" t="e">
        <f>+IF(AND(B85&gt;=#REF!,B85&lt;=#REF!),"OUI","NON")</f>
        <v>#REF!</v>
      </c>
      <c r="F85" s="16" t="e">
        <f t="array" ref="F85">IF(E85="OUI",MAX(F$2:$O84)+1,"")</f>
        <v>#REF!</v>
      </c>
    </row>
    <row r="86" spans="1:6" x14ac:dyDescent="0.2">
      <c r="A86" s="471">
        <f t="shared" si="5"/>
        <v>44531</v>
      </c>
      <c r="B86" s="30">
        <v>44531</v>
      </c>
      <c r="C86" s="16">
        <f t="shared" si="3"/>
        <v>0</v>
      </c>
      <c r="D86" s="16">
        <f t="shared" si="4"/>
        <v>0</v>
      </c>
      <c r="E86" s="16" t="e">
        <f>+IF(AND(B86&gt;=#REF!,B86&lt;=#REF!),"OUI","NON")</f>
        <v>#REF!</v>
      </c>
      <c r="F86" s="16" t="e">
        <f t="array" ref="F86">IF(E86="OUI",MAX(F$2:$O85)+1,"")</f>
        <v>#REF!</v>
      </c>
    </row>
    <row r="87" spans="1:6" x14ac:dyDescent="0.2">
      <c r="A87" s="471">
        <f t="shared" si="5"/>
        <v>44562</v>
      </c>
      <c r="B87" s="30">
        <v>44562</v>
      </c>
      <c r="C87" s="16">
        <f t="shared" si="3"/>
        <v>0</v>
      </c>
      <c r="D87" s="16">
        <f t="shared" si="4"/>
        <v>0</v>
      </c>
      <c r="E87" s="16" t="e">
        <f>+IF(AND(B87&gt;=#REF!,B87&lt;=#REF!),"OUI","NON")</f>
        <v>#REF!</v>
      </c>
      <c r="F87" s="16" t="e">
        <f t="array" ref="F87">IF(E87="OUI",MAX(F$2:$O86)+1,"")</f>
        <v>#REF!</v>
      </c>
    </row>
    <row r="88" spans="1:6" x14ac:dyDescent="0.2">
      <c r="A88" s="471">
        <f t="shared" si="5"/>
        <v>44593</v>
      </c>
      <c r="B88" s="30">
        <v>44593</v>
      </c>
      <c r="C88" s="16">
        <f t="shared" si="3"/>
        <v>0</v>
      </c>
      <c r="D88" s="16">
        <f t="shared" si="4"/>
        <v>0</v>
      </c>
      <c r="E88" s="16" t="e">
        <f>+IF(AND(B88&gt;=#REF!,B88&lt;=#REF!),"OUI","NON")</f>
        <v>#REF!</v>
      </c>
      <c r="F88" s="16" t="e">
        <f t="array" ref="F88">IF(E88="OUI",MAX(F$2:$O87)+1,"")</f>
        <v>#REF!</v>
      </c>
    </row>
    <row r="89" spans="1:6" x14ac:dyDescent="0.2">
      <c r="A89" s="471">
        <f t="shared" si="5"/>
        <v>44621</v>
      </c>
      <c r="B89" s="30">
        <v>44621</v>
      </c>
      <c r="C89" s="16">
        <f t="shared" si="3"/>
        <v>0</v>
      </c>
      <c r="D89" s="16">
        <f t="shared" si="4"/>
        <v>0</v>
      </c>
      <c r="E89" s="16" t="e">
        <f>+IF(AND(B89&gt;=#REF!,B89&lt;=#REF!),"OUI","NON")</f>
        <v>#REF!</v>
      </c>
      <c r="F89" s="16" t="e">
        <f t="array" ref="F89">IF(E89="OUI",MAX(F$2:$O88)+1,"")</f>
        <v>#REF!</v>
      </c>
    </row>
    <row r="90" spans="1:6" x14ac:dyDescent="0.2">
      <c r="A90" s="471">
        <f t="shared" si="5"/>
        <v>44652</v>
      </c>
      <c r="B90" s="30">
        <v>44652</v>
      </c>
      <c r="C90" s="16">
        <f t="shared" si="3"/>
        <v>0</v>
      </c>
      <c r="D90" s="16">
        <f t="shared" si="4"/>
        <v>0</v>
      </c>
      <c r="E90" s="16" t="e">
        <f>+IF(AND(B90&gt;=#REF!,B90&lt;=#REF!),"OUI","NON")</f>
        <v>#REF!</v>
      </c>
      <c r="F90" s="16" t="e">
        <f t="array" ref="F90">IF(E90="OUI",MAX(F$2:$O89)+1,"")</f>
        <v>#REF!</v>
      </c>
    </row>
    <row r="91" spans="1:6" x14ac:dyDescent="0.2">
      <c r="A91" s="471">
        <f t="shared" si="5"/>
        <v>44682</v>
      </c>
      <c r="B91" s="30">
        <v>44682</v>
      </c>
      <c r="C91" s="16">
        <f t="shared" si="3"/>
        <v>0</v>
      </c>
      <c r="D91" s="16">
        <f t="shared" si="4"/>
        <v>0</v>
      </c>
      <c r="E91" s="16" t="e">
        <f>+IF(AND(B91&gt;=#REF!,B91&lt;=#REF!),"OUI","NON")</f>
        <v>#REF!</v>
      </c>
      <c r="F91" s="16" t="e">
        <f t="array" ref="F91">IF(E91="OUI",MAX(F$2:$O90)+1,"")</f>
        <v>#REF!</v>
      </c>
    </row>
    <row r="92" spans="1:6" x14ac:dyDescent="0.2">
      <c r="A92" s="471">
        <f t="shared" si="5"/>
        <v>44713</v>
      </c>
      <c r="B92" s="30">
        <v>44713</v>
      </c>
      <c r="C92" s="16">
        <f t="shared" si="3"/>
        <v>0</v>
      </c>
      <c r="D92" s="16">
        <f t="shared" si="4"/>
        <v>0</v>
      </c>
      <c r="E92" s="16" t="e">
        <f>+IF(AND(B92&gt;=#REF!,B92&lt;=#REF!),"OUI","NON")</f>
        <v>#REF!</v>
      </c>
      <c r="F92" s="16" t="e">
        <f t="array" ref="F92">IF(E92="OUI",MAX(F$2:$O91)+1,"")</f>
        <v>#REF!</v>
      </c>
    </row>
    <row r="93" spans="1:6" x14ac:dyDescent="0.2">
      <c r="A93" s="471">
        <f t="shared" si="5"/>
        <v>44743</v>
      </c>
      <c r="B93" s="30">
        <v>44743</v>
      </c>
      <c r="C93" s="16">
        <f t="shared" si="3"/>
        <v>0</v>
      </c>
      <c r="D93" s="16">
        <f t="shared" si="4"/>
        <v>0</v>
      </c>
      <c r="E93" s="16" t="e">
        <f>+IF(AND(B93&gt;=#REF!,B93&lt;=#REF!),"OUI","NON")</f>
        <v>#REF!</v>
      </c>
      <c r="F93" s="16" t="e">
        <f t="array" ref="F93">IF(E93="OUI",MAX(F$2:$O92)+1,"")</f>
        <v>#REF!</v>
      </c>
    </row>
    <row r="94" spans="1:6" x14ac:dyDescent="0.2">
      <c r="A94" s="471">
        <f t="shared" si="5"/>
        <v>44774</v>
      </c>
      <c r="B94" s="30">
        <v>44774</v>
      </c>
      <c r="C94" s="16">
        <f t="shared" si="3"/>
        <v>0</v>
      </c>
      <c r="D94" s="16">
        <f t="shared" si="4"/>
        <v>0</v>
      </c>
      <c r="E94" s="16" t="e">
        <f>+IF(AND(B94&gt;=#REF!,B94&lt;=#REF!),"OUI","NON")</f>
        <v>#REF!</v>
      </c>
      <c r="F94" s="16" t="e">
        <f t="array" ref="F94">IF(E94="OUI",MAX(F$2:$O93)+1,"")</f>
        <v>#REF!</v>
      </c>
    </row>
    <row r="95" spans="1:6" x14ac:dyDescent="0.2">
      <c r="A95" s="471">
        <f t="shared" si="5"/>
        <v>44805</v>
      </c>
      <c r="B95" s="30">
        <v>44805</v>
      </c>
      <c r="C95" s="16">
        <f t="shared" si="3"/>
        <v>0</v>
      </c>
      <c r="D95" s="16">
        <f t="shared" si="4"/>
        <v>0</v>
      </c>
      <c r="E95" s="16" t="e">
        <f>+IF(AND(B95&gt;=#REF!,B95&lt;=#REF!),"OUI","NON")</f>
        <v>#REF!</v>
      </c>
      <c r="F95" s="16" t="e">
        <f t="array" ref="F95">IF(E95="OUI",MAX(F$2:$O94)+1,"")</f>
        <v>#REF!</v>
      </c>
    </row>
    <row r="96" spans="1:6" x14ac:dyDescent="0.2">
      <c r="A96" s="471">
        <f t="shared" si="5"/>
        <v>44835</v>
      </c>
      <c r="B96" s="30">
        <v>44835</v>
      </c>
      <c r="C96" s="16">
        <f t="shared" si="3"/>
        <v>0</v>
      </c>
      <c r="D96" s="16">
        <f t="shared" si="4"/>
        <v>0</v>
      </c>
      <c r="E96" s="16" t="e">
        <f>+IF(AND(B96&gt;=#REF!,B96&lt;=#REF!),"OUI","NON")</f>
        <v>#REF!</v>
      </c>
      <c r="F96" s="16" t="e">
        <f t="array" ref="F96">IF(E96="OUI",MAX(F$2:$O95)+1,"")</f>
        <v>#REF!</v>
      </c>
    </row>
    <row r="97" spans="1:6" x14ac:dyDescent="0.2">
      <c r="A97" s="471">
        <f t="shared" si="5"/>
        <v>44866</v>
      </c>
      <c r="B97" s="30">
        <v>44866</v>
      </c>
      <c r="C97" s="16">
        <f t="shared" si="3"/>
        <v>0</v>
      </c>
      <c r="D97" s="16">
        <f t="shared" si="4"/>
        <v>0</v>
      </c>
      <c r="E97" s="16" t="e">
        <f>+IF(AND(B97&gt;=#REF!,B97&lt;=#REF!),"OUI","NON")</f>
        <v>#REF!</v>
      </c>
      <c r="F97" s="16" t="e">
        <f t="array" ref="F97">IF(E97="OUI",MAX(F$2:$O96)+1,"")</f>
        <v>#REF!</v>
      </c>
    </row>
    <row r="98" spans="1:6" x14ac:dyDescent="0.2">
      <c r="A98" s="471">
        <f t="shared" si="5"/>
        <v>44896</v>
      </c>
      <c r="B98" s="30">
        <v>44896</v>
      </c>
      <c r="C98" s="16">
        <f t="shared" si="3"/>
        <v>0</v>
      </c>
      <c r="D98" s="16">
        <f t="shared" si="4"/>
        <v>0</v>
      </c>
      <c r="E98" s="16" t="e">
        <f>+IF(AND(B98&gt;=#REF!,B98&lt;=#REF!),"OUI","NON")</f>
        <v>#REF!</v>
      </c>
      <c r="F98" s="16" t="e">
        <f t="array" ref="F98">IF(E98="OUI",MAX(F$2:$O97)+1,"")</f>
        <v>#REF!</v>
      </c>
    </row>
    <row r="99" spans="1:6" x14ac:dyDescent="0.2">
      <c r="A99" s="471">
        <f t="shared" si="5"/>
        <v>44927</v>
      </c>
      <c r="B99" s="30">
        <v>44927</v>
      </c>
      <c r="C99" s="16">
        <f t="shared" si="3"/>
        <v>0</v>
      </c>
      <c r="D99" s="16">
        <f t="shared" si="4"/>
        <v>0</v>
      </c>
      <c r="E99" s="16" t="e">
        <f>+IF(AND(B99&gt;=#REF!,B99&lt;=#REF!),"OUI","NON")</f>
        <v>#REF!</v>
      </c>
      <c r="F99" s="16" t="e">
        <f t="array" ref="F99">IF(E99="OUI",MAX(F$2:$O98)+1,"")</f>
        <v>#REF!</v>
      </c>
    </row>
    <row r="100" spans="1:6" x14ac:dyDescent="0.2">
      <c r="A100" s="471">
        <f t="shared" si="5"/>
        <v>44958</v>
      </c>
      <c r="B100" s="30">
        <v>44958</v>
      </c>
      <c r="C100" s="16">
        <f t="shared" si="3"/>
        <v>0</v>
      </c>
      <c r="D100" s="16">
        <f t="shared" si="4"/>
        <v>0</v>
      </c>
      <c r="E100" s="16" t="e">
        <f>+IF(AND(B100&gt;=#REF!,B100&lt;=#REF!),"OUI","NON")</f>
        <v>#REF!</v>
      </c>
      <c r="F100" s="16" t="e">
        <f t="array" ref="F100">IF(E100="OUI",MAX(F$2:$O99)+1,"")</f>
        <v>#REF!</v>
      </c>
    </row>
    <row r="101" spans="1:6" x14ac:dyDescent="0.2">
      <c r="A101" s="471">
        <f t="shared" si="5"/>
        <v>44986</v>
      </c>
      <c r="B101" s="30">
        <v>44986</v>
      </c>
      <c r="C101" s="16">
        <f t="shared" si="3"/>
        <v>0</v>
      </c>
      <c r="D101" s="16">
        <f t="shared" si="4"/>
        <v>0</v>
      </c>
      <c r="E101" s="16" t="e">
        <f>+IF(AND(B101&gt;=#REF!,B101&lt;=#REF!),"OUI","NON")</f>
        <v>#REF!</v>
      </c>
      <c r="F101" s="16" t="e">
        <f t="array" ref="F101">IF(E101="OUI",MAX(F$2:$O100)+1,"")</f>
        <v>#REF!</v>
      </c>
    </row>
    <row r="102" spans="1:6" x14ac:dyDescent="0.2">
      <c r="A102" s="471">
        <f t="shared" si="5"/>
        <v>45017</v>
      </c>
      <c r="B102" s="30">
        <v>45017</v>
      </c>
      <c r="C102" s="16">
        <f t="shared" si="3"/>
        <v>0</v>
      </c>
      <c r="D102" s="16">
        <f t="shared" si="4"/>
        <v>0</v>
      </c>
      <c r="E102" s="16" t="e">
        <f>+IF(AND(B102&gt;=#REF!,B102&lt;=#REF!),"OUI","NON")</f>
        <v>#REF!</v>
      </c>
      <c r="F102" s="16" t="e">
        <f t="array" ref="F102">IF(E102="OUI",MAX(F$2:$O101)+1,"")</f>
        <v>#REF!</v>
      </c>
    </row>
    <row r="103" spans="1:6" x14ac:dyDescent="0.2">
      <c r="A103" s="471">
        <f t="shared" si="5"/>
        <v>45047</v>
      </c>
      <c r="B103" s="30">
        <v>45047</v>
      </c>
      <c r="C103" s="16">
        <f t="shared" si="3"/>
        <v>0</v>
      </c>
      <c r="D103" s="16">
        <f t="shared" si="4"/>
        <v>0</v>
      </c>
      <c r="E103" s="16" t="e">
        <f>+IF(AND(B103&gt;=#REF!,B103&lt;=#REF!),"OUI","NON")</f>
        <v>#REF!</v>
      </c>
      <c r="F103" s="16" t="e">
        <f t="array" ref="F103">IF(E103="OUI",MAX(F$2:$O102)+1,"")</f>
        <v>#REF!</v>
      </c>
    </row>
    <row r="104" spans="1:6" x14ac:dyDescent="0.2">
      <c r="A104" s="471">
        <f t="shared" si="5"/>
        <v>45078</v>
      </c>
      <c r="B104" s="30">
        <v>45078</v>
      </c>
      <c r="C104" s="16">
        <f t="shared" si="3"/>
        <v>0</v>
      </c>
      <c r="D104" s="16">
        <f t="shared" si="4"/>
        <v>0</v>
      </c>
      <c r="E104" s="16" t="e">
        <f>+IF(AND(B104&gt;=#REF!,B104&lt;=#REF!),"OUI","NON")</f>
        <v>#REF!</v>
      </c>
      <c r="F104" s="16" t="e">
        <f t="array" ref="F104">IF(E104="OUI",MAX(F$2:$O103)+1,"")</f>
        <v>#REF!</v>
      </c>
    </row>
    <row r="105" spans="1:6" x14ac:dyDescent="0.2">
      <c r="A105" s="471">
        <f t="shared" si="5"/>
        <v>45108</v>
      </c>
      <c r="B105" s="30">
        <v>45108</v>
      </c>
      <c r="C105" s="16">
        <f t="shared" si="3"/>
        <v>0</v>
      </c>
      <c r="D105" s="16">
        <f t="shared" si="4"/>
        <v>0</v>
      </c>
      <c r="E105" s="16" t="e">
        <f>+IF(AND(B105&gt;=#REF!,B105&lt;=#REF!),"OUI","NON")</f>
        <v>#REF!</v>
      </c>
      <c r="F105" s="16" t="e">
        <f t="array" ref="F105">IF(E105="OUI",MAX(F$2:$O104)+1,"")</f>
        <v>#REF!</v>
      </c>
    </row>
    <row r="106" spans="1:6" x14ac:dyDescent="0.2">
      <c r="A106" s="471">
        <f t="shared" si="5"/>
        <v>45139</v>
      </c>
      <c r="B106" s="30">
        <v>45139</v>
      </c>
      <c r="C106" s="16">
        <f t="shared" si="3"/>
        <v>0</v>
      </c>
      <c r="D106" s="16">
        <f t="shared" si="4"/>
        <v>0</v>
      </c>
      <c r="E106" s="16" t="e">
        <f>+IF(AND(B106&gt;=#REF!,B106&lt;=#REF!),"OUI","NON")</f>
        <v>#REF!</v>
      </c>
      <c r="F106" s="16" t="e">
        <f t="array" ref="F106">IF(E106="OUI",MAX(F$2:$O105)+1,"")</f>
        <v>#REF!</v>
      </c>
    </row>
    <row r="107" spans="1:6" x14ac:dyDescent="0.2">
      <c r="A107" s="471">
        <f t="shared" si="5"/>
        <v>45170</v>
      </c>
      <c r="B107" s="30">
        <v>45170</v>
      </c>
      <c r="C107" s="16">
        <f t="shared" si="3"/>
        <v>0</v>
      </c>
      <c r="D107" s="16">
        <f t="shared" si="4"/>
        <v>0</v>
      </c>
      <c r="E107" s="16" t="e">
        <f>+IF(AND(B107&gt;=#REF!,B107&lt;=#REF!),"OUI","NON")</f>
        <v>#REF!</v>
      </c>
      <c r="F107" s="16" t="e">
        <f t="array" ref="F107">IF(E107="OUI",MAX(F$2:$O106)+1,"")</f>
        <v>#REF!</v>
      </c>
    </row>
    <row r="108" spans="1:6" x14ac:dyDescent="0.2">
      <c r="A108" s="471">
        <f t="shared" si="5"/>
        <v>45200</v>
      </c>
      <c r="B108" s="30">
        <v>45200</v>
      </c>
      <c r="C108" s="16">
        <f t="shared" si="3"/>
        <v>0</v>
      </c>
      <c r="D108" s="16">
        <f t="shared" si="4"/>
        <v>0</v>
      </c>
      <c r="E108" s="16" t="e">
        <f>+IF(AND(B108&gt;=#REF!,B108&lt;=#REF!),"OUI","NON")</f>
        <v>#REF!</v>
      </c>
      <c r="F108" s="16" t="e">
        <f t="array" ref="F108">IF(E108="OUI",MAX(F$2:$O107)+1,"")</f>
        <v>#REF!</v>
      </c>
    </row>
    <row r="109" spans="1:6" x14ac:dyDescent="0.2">
      <c r="A109" s="471">
        <f t="shared" si="5"/>
        <v>45231</v>
      </c>
      <c r="B109" s="30">
        <v>45231</v>
      </c>
      <c r="C109" s="16">
        <f t="shared" si="3"/>
        <v>0</v>
      </c>
      <c r="D109" s="16">
        <f t="shared" si="4"/>
        <v>0</v>
      </c>
      <c r="E109" s="16" t="e">
        <f>+IF(AND(B109&gt;=#REF!,B109&lt;=#REF!),"OUI","NON")</f>
        <v>#REF!</v>
      </c>
      <c r="F109" s="16" t="e">
        <f t="array" ref="F109">IF(E109="OUI",MAX(F$2:$O108)+1,"")</f>
        <v>#REF!</v>
      </c>
    </row>
    <row r="110" spans="1:6" x14ac:dyDescent="0.2">
      <c r="A110" s="471">
        <f t="shared" si="5"/>
        <v>45261</v>
      </c>
      <c r="B110" s="30">
        <v>45261</v>
      </c>
      <c r="C110" s="16">
        <f t="shared" si="3"/>
        <v>0</v>
      </c>
      <c r="D110" s="16">
        <f t="shared" si="4"/>
        <v>0</v>
      </c>
      <c r="E110" s="16" t="e">
        <f>+IF(AND(B110&gt;=#REF!,B110&lt;=#REF!),"OUI","NON")</f>
        <v>#REF!</v>
      </c>
      <c r="F110" s="16" t="e">
        <f t="array" ref="F110">IF(E110="OUI",MAX(F$2:$O109)+1,"")</f>
        <v>#REF!</v>
      </c>
    </row>
    <row r="111" spans="1:6" x14ac:dyDescent="0.2">
      <c r="A111" s="471">
        <f t="shared" si="5"/>
        <v>45292</v>
      </c>
      <c r="B111" s="30">
        <v>45292</v>
      </c>
      <c r="C111" s="16">
        <f t="shared" si="3"/>
        <v>0</v>
      </c>
      <c r="D111" s="16">
        <f t="shared" si="4"/>
        <v>0</v>
      </c>
      <c r="E111" s="16" t="e">
        <f>+IF(AND(B111&gt;=#REF!,B111&lt;=#REF!),"OUI","NON")</f>
        <v>#REF!</v>
      </c>
      <c r="F111" s="16" t="e">
        <f t="array" ref="F111">IF(E111="OUI",MAX(F$2:$O110)+1,"")</f>
        <v>#REF!</v>
      </c>
    </row>
    <row r="112" spans="1:6" x14ac:dyDescent="0.2">
      <c r="A112" s="471">
        <f t="shared" si="5"/>
        <v>45323</v>
      </c>
      <c r="B112" s="30">
        <v>45323</v>
      </c>
      <c r="C112" s="16">
        <f t="shared" si="3"/>
        <v>0</v>
      </c>
      <c r="D112" s="16">
        <f t="shared" si="4"/>
        <v>0</v>
      </c>
      <c r="E112" s="16" t="e">
        <f>+IF(AND(B112&gt;=#REF!,B112&lt;=#REF!),"OUI","NON")</f>
        <v>#REF!</v>
      </c>
      <c r="F112" s="16" t="e">
        <f t="array" ref="F112">IF(E112="OUI",MAX(F$2:$O111)+1,"")</f>
        <v>#REF!</v>
      </c>
    </row>
    <row r="113" spans="1:6" x14ac:dyDescent="0.2">
      <c r="A113" s="471">
        <f t="shared" si="5"/>
        <v>45352</v>
      </c>
      <c r="B113" s="30">
        <v>45352</v>
      </c>
      <c r="C113" s="16">
        <f t="shared" si="3"/>
        <v>0</v>
      </c>
      <c r="D113" s="16">
        <f t="shared" si="4"/>
        <v>0</v>
      </c>
      <c r="E113" s="16" t="e">
        <f>+IF(AND(B113&gt;=#REF!,B113&lt;=#REF!),"OUI","NON")</f>
        <v>#REF!</v>
      </c>
      <c r="F113" s="16" t="e">
        <f t="array" ref="F113">IF(E113="OUI",MAX(F$2:$O112)+1,"")</f>
        <v>#REF!</v>
      </c>
    </row>
    <row r="114" spans="1:6" x14ac:dyDescent="0.2">
      <c r="A114" s="471">
        <f t="shared" si="5"/>
        <v>45383</v>
      </c>
      <c r="B114" s="30">
        <v>45383</v>
      </c>
      <c r="C114" s="16">
        <f t="shared" si="3"/>
        <v>0</v>
      </c>
      <c r="D114" s="16">
        <f t="shared" si="4"/>
        <v>0</v>
      </c>
      <c r="E114" s="16" t="e">
        <f>+IF(AND(B114&gt;=#REF!,B114&lt;=#REF!),"OUI","NON")</f>
        <v>#REF!</v>
      </c>
      <c r="F114" s="16" t="e">
        <f t="array" ref="F114">IF(E114="OUI",MAX(F$2:$O113)+1,"")</f>
        <v>#REF!</v>
      </c>
    </row>
    <row r="115" spans="1:6" x14ac:dyDescent="0.2">
      <c r="A115" s="471">
        <f t="shared" si="5"/>
        <v>45413</v>
      </c>
      <c r="B115" s="30">
        <v>45413</v>
      </c>
      <c r="C115" s="16">
        <f t="shared" si="3"/>
        <v>0</v>
      </c>
      <c r="D115" s="16">
        <f t="shared" si="4"/>
        <v>0</v>
      </c>
      <c r="E115" s="16" t="e">
        <f>+IF(AND(B115&gt;=#REF!,B115&lt;=#REF!),"OUI","NON")</f>
        <v>#REF!</v>
      </c>
      <c r="F115" s="16" t="e">
        <f t="array" ref="F115">IF(E115="OUI",MAX(F$2:$O114)+1,"")</f>
        <v>#REF!</v>
      </c>
    </row>
    <row r="116" spans="1:6" x14ac:dyDescent="0.2">
      <c r="A116" s="471">
        <f t="shared" si="5"/>
        <v>45444</v>
      </c>
      <c r="B116" s="30">
        <v>45444</v>
      </c>
      <c r="C116" s="16">
        <f t="shared" si="3"/>
        <v>0</v>
      </c>
      <c r="D116" s="16">
        <f t="shared" si="4"/>
        <v>0</v>
      </c>
      <c r="E116" s="16" t="e">
        <f>+IF(AND(B116&gt;=#REF!,B116&lt;=#REF!),"OUI","NON")</f>
        <v>#REF!</v>
      </c>
      <c r="F116" s="16" t="e">
        <f t="array" ref="F116">IF(E116="OUI",MAX(F$2:$O115)+1,"")</f>
        <v>#REF!</v>
      </c>
    </row>
    <row r="117" spans="1:6" x14ac:dyDescent="0.2">
      <c r="A117" s="471">
        <f t="shared" si="5"/>
        <v>45474</v>
      </c>
      <c r="B117" s="30">
        <v>45474</v>
      </c>
      <c r="C117" s="16">
        <f t="shared" si="3"/>
        <v>0</v>
      </c>
      <c r="D117" s="16">
        <f t="shared" si="4"/>
        <v>0</v>
      </c>
      <c r="E117" s="16" t="e">
        <f>+IF(AND(B117&gt;=#REF!,B117&lt;=#REF!),"OUI","NON")</f>
        <v>#REF!</v>
      </c>
      <c r="F117" s="16" t="e">
        <f t="array" ref="F117">IF(E117="OUI",MAX(F$2:$O116)+1,"")</f>
        <v>#REF!</v>
      </c>
    </row>
    <row r="118" spans="1:6" x14ac:dyDescent="0.2">
      <c r="A118" s="471">
        <f t="shared" si="5"/>
        <v>45505</v>
      </c>
      <c r="B118" s="30">
        <v>45505</v>
      </c>
      <c r="C118" s="16">
        <f t="shared" si="3"/>
        <v>0</v>
      </c>
      <c r="D118" s="16">
        <f t="shared" si="4"/>
        <v>0</v>
      </c>
      <c r="E118" s="16" t="e">
        <f>+IF(AND(B118&gt;=#REF!,B118&lt;=#REF!),"OUI","NON")</f>
        <v>#REF!</v>
      </c>
      <c r="F118" s="16" t="e">
        <f t="array" ref="F118">IF(E118="OUI",MAX(F$2:$O117)+1,"")</f>
        <v>#REF!</v>
      </c>
    </row>
    <row r="119" spans="1:6" x14ac:dyDescent="0.2">
      <c r="A119" s="471">
        <f t="shared" si="5"/>
        <v>45536</v>
      </c>
      <c r="B119" s="30">
        <v>45536</v>
      </c>
      <c r="C119" s="16">
        <f t="shared" si="3"/>
        <v>0</v>
      </c>
      <c r="D119" s="16">
        <f t="shared" si="4"/>
        <v>0</v>
      </c>
      <c r="E119" s="16" t="e">
        <f>+IF(AND(B119&gt;=#REF!,B119&lt;=#REF!),"OUI","NON")</f>
        <v>#REF!</v>
      </c>
      <c r="F119" s="16" t="e">
        <f t="array" ref="F119">IF(E119="OUI",MAX(F$2:$O118)+1,"")</f>
        <v>#REF!</v>
      </c>
    </row>
    <row r="120" spans="1:6" x14ac:dyDescent="0.2">
      <c r="A120" s="471">
        <f t="shared" si="5"/>
        <v>45566</v>
      </c>
      <c r="B120" s="30">
        <v>45566</v>
      </c>
      <c r="C120" s="16">
        <f t="shared" si="3"/>
        <v>0</v>
      </c>
      <c r="D120" s="16">
        <f t="shared" si="4"/>
        <v>0</v>
      </c>
      <c r="E120" s="16" t="e">
        <f>+IF(AND(B120&gt;=#REF!,B120&lt;=#REF!),"OUI","NON")</f>
        <v>#REF!</v>
      </c>
      <c r="F120" s="16" t="e">
        <f t="array" ref="F120">IF(E120="OUI",MAX(F$2:$O119)+1,"")</f>
        <v>#REF!</v>
      </c>
    </row>
    <row r="121" spans="1:6" x14ac:dyDescent="0.2">
      <c r="A121" s="471">
        <f t="shared" si="5"/>
        <v>45597</v>
      </c>
      <c r="B121" s="30">
        <v>45597</v>
      </c>
      <c r="C121" s="16">
        <f t="shared" si="3"/>
        <v>0</v>
      </c>
      <c r="D121" s="16">
        <f t="shared" si="4"/>
        <v>0</v>
      </c>
      <c r="E121" s="16" t="e">
        <f>+IF(AND(B121&gt;=#REF!,B121&lt;=#REF!),"OUI","NON")</f>
        <v>#REF!</v>
      </c>
      <c r="F121" s="16" t="e">
        <f t="array" ref="F121">IF(E121="OUI",MAX(F$2:$O120)+1,"")</f>
        <v>#REF!</v>
      </c>
    </row>
    <row r="122" spans="1:6" x14ac:dyDescent="0.2">
      <c r="A122" s="471">
        <f t="shared" si="5"/>
        <v>45627</v>
      </c>
      <c r="B122" s="30">
        <v>45627</v>
      </c>
      <c r="C122" s="16">
        <f t="shared" si="3"/>
        <v>0</v>
      </c>
      <c r="D122" s="16">
        <f t="shared" si="4"/>
        <v>0</v>
      </c>
      <c r="E122" s="16" t="e">
        <f>+IF(AND(B122&gt;=#REF!,B122&lt;=#REF!),"OUI","NON")</f>
        <v>#REF!</v>
      </c>
      <c r="F122" s="16" t="e">
        <f t="array" ref="F122">IF(E122="OUI",MAX(F$2:$O121)+1,"")</f>
        <v>#REF!</v>
      </c>
    </row>
    <row r="123" spans="1:6" x14ac:dyDescent="0.2">
      <c r="A123" s="471">
        <f t="shared" si="5"/>
        <v>45658</v>
      </c>
      <c r="B123" s="30">
        <v>45658</v>
      </c>
      <c r="C123" s="16">
        <f t="shared" si="3"/>
        <v>0</v>
      </c>
      <c r="D123" s="16">
        <f t="shared" si="4"/>
        <v>0</v>
      </c>
      <c r="E123" s="16" t="e">
        <f>+IF(AND(B123&gt;=#REF!,B123&lt;=#REF!),"OUI","NON")</f>
        <v>#REF!</v>
      </c>
      <c r="F123" s="16" t="e">
        <f t="array" ref="F123">IF(E123="OUI",MAX(F$2:$O122)+1,"")</f>
        <v>#REF!</v>
      </c>
    </row>
    <row r="124" spans="1:6" x14ac:dyDescent="0.2">
      <c r="A124" s="471">
        <f t="shared" si="5"/>
        <v>45689</v>
      </c>
      <c r="B124" s="30">
        <v>45689</v>
      </c>
      <c r="C124" s="16">
        <f t="shared" si="3"/>
        <v>0</v>
      </c>
      <c r="D124" s="16">
        <f t="shared" si="4"/>
        <v>0</v>
      </c>
      <c r="E124" s="16" t="e">
        <f>+IF(AND(B124&gt;=#REF!,B124&lt;=#REF!),"OUI","NON")</f>
        <v>#REF!</v>
      </c>
      <c r="F124" s="16" t="e">
        <f t="array" ref="F124">IF(E124="OUI",MAX(F$2:$O123)+1,"")</f>
        <v>#REF!</v>
      </c>
    </row>
    <row r="125" spans="1:6" x14ac:dyDescent="0.2">
      <c r="A125" s="471">
        <f t="shared" si="5"/>
        <v>45717</v>
      </c>
      <c r="B125" s="30">
        <v>45717</v>
      </c>
      <c r="C125" s="16">
        <f t="shared" si="3"/>
        <v>0</v>
      </c>
      <c r="D125" s="16">
        <f t="shared" si="4"/>
        <v>0</v>
      </c>
      <c r="E125" s="16" t="e">
        <f>+IF(AND(B125&gt;=#REF!,B125&lt;=#REF!),"OUI","NON")</f>
        <v>#REF!</v>
      </c>
      <c r="F125" s="16" t="e">
        <f t="array" ref="F125">IF(E125="OUI",MAX(F$2:$O124)+1,"")</f>
        <v>#REF!</v>
      </c>
    </row>
    <row r="126" spans="1:6" x14ac:dyDescent="0.2">
      <c r="A126" s="471">
        <f t="shared" si="5"/>
        <v>45748</v>
      </c>
      <c r="B126" s="30">
        <v>45748</v>
      </c>
      <c r="C126" s="16">
        <f t="shared" si="3"/>
        <v>0</v>
      </c>
      <c r="D126" s="16">
        <f t="shared" si="4"/>
        <v>0</v>
      </c>
      <c r="E126" s="16" t="e">
        <f>+IF(AND(B126&gt;=#REF!,B126&lt;=#REF!),"OUI","NON")</f>
        <v>#REF!</v>
      </c>
      <c r="F126" s="16" t="e">
        <f t="array" ref="F126">IF(E126="OUI",MAX(F$2:$O125)+1,"")</f>
        <v>#REF!</v>
      </c>
    </row>
    <row r="127" spans="1:6" x14ac:dyDescent="0.2">
      <c r="A127" s="471">
        <f t="shared" si="5"/>
        <v>45778</v>
      </c>
      <c r="B127" s="30">
        <v>45778</v>
      </c>
      <c r="C127" s="16">
        <f t="shared" si="3"/>
        <v>0</v>
      </c>
      <c r="D127" s="16">
        <f t="shared" si="4"/>
        <v>0</v>
      </c>
      <c r="E127" s="16" t="e">
        <f>+IF(AND(B127&gt;=#REF!,B127&lt;=#REF!),"OUI","NON")</f>
        <v>#REF!</v>
      </c>
      <c r="F127" s="16" t="e">
        <f t="array" ref="F127">IF(E127="OUI",MAX(F$2:$O126)+1,"")</f>
        <v>#REF!</v>
      </c>
    </row>
    <row r="128" spans="1:6" x14ac:dyDescent="0.2">
      <c r="A128" s="471">
        <f t="shared" si="5"/>
        <v>45809</v>
      </c>
      <c r="B128" s="30">
        <v>45809</v>
      </c>
      <c r="C128" s="16">
        <f t="shared" si="3"/>
        <v>0</v>
      </c>
      <c r="D128" s="16">
        <f t="shared" si="4"/>
        <v>0</v>
      </c>
      <c r="E128" s="16" t="e">
        <f>+IF(AND(B128&gt;=#REF!,B128&lt;=#REF!),"OUI","NON")</f>
        <v>#REF!</v>
      </c>
      <c r="F128" s="16" t="e">
        <f t="array" ref="F128">IF(E128="OUI",MAX(F$2:$O127)+1,"")</f>
        <v>#REF!</v>
      </c>
    </row>
    <row r="129" spans="1:6" x14ac:dyDescent="0.2">
      <c r="A129" s="471">
        <f t="shared" si="5"/>
        <v>45839</v>
      </c>
      <c r="B129" s="30">
        <v>45839</v>
      </c>
      <c r="C129" s="16">
        <f t="shared" si="3"/>
        <v>0</v>
      </c>
      <c r="D129" s="16">
        <f t="shared" si="4"/>
        <v>0</v>
      </c>
      <c r="E129" s="16" t="e">
        <f>+IF(AND(B129&gt;=#REF!,B129&lt;=#REF!),"OUI","NON")</f>
        <v>#REF!</v>
      </c>
      <c r="F129" s="16" t="e">
        <f t="array" ref="F129">IF(E129="OUI",MAX(F$2:$O128)+1,"")</f>
        <v>#REF!</v>
      </c>
    </row>
    <row r="130" spans="1:6" x14ac:dyDescent="0.2">
      <c r="A130" s="471">
        <f t="shared" si="5"/>
        <v>45870</v>
      </c>
      <c r="B130" s="30">
        <v>45870</v>
      </c>
      <c r="C130" s="16">
        <f t="shared" si="3"/>
        <v>0</v>
      </c>
      <c r="D130" s="16">
        <f t="shared" si="4"/>
        <v>0</v>
      </c>
      <c r="E130" s="16" t="e">
        <f>+IF(AND(B130&gt;=#REF!,B130&lt;=#REF!),"OUI","NON")</f>
        <v>#REF!</v>
      </c>
      <c r="F130" s="16" t="e">
        <f t="array" ref="F130">IF(E130="OUI",MAX(F$2:$O129)+1,"")</f>
        <v>#REF!</v>
      </c>
    </row>
    <row r="131" spans="1:6" x14ac:dyDescent="0.2">
      <c r="A131" s="471">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71">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71">
        <f t="shared" si="8"/>
        <v>45962</v>
      </c>
      <c r="B133" s="30">
        <v>45962</v>
      </c>
      <c r="C133" s="16">
        <f t="shared" si="6"/>
        <v>0</v>
      </c>
      <c r="D133" s="16">
        <f t="shared" si="7"/>
        <v>0</v>
      </c>
      <c r="E133" s="16" t="e">
        <f>+IF(AND(B133&gt;=#REF!,B133&lt;=#REF!),"OUI","NON")</f>
        <v>#REF!</v>
      </c>
      <c r="F133" s="16" t="e">
        <f t="array" ref="F133">IF(E133="OUI",MAX(F$2:$O132)+1,"")</f>
        <v>#REF!</v>
      </c>
    </row>
    <row r="134" spans="1:6" x14ac:dyDescent="0.2">
      <c r="A134" s="471">
        <f t="shared" si="8"/>
        <v>45992</v>
      </c>
      <c r="B134" s="30">
        <v>45992</v>
      </c>
      <c r="C134" s="16">
        <f t="shared" si="6"/>
        <v>0</v>
      </c>
      <c r="D134" s="16">
        <f t="shared" si="7"/>
        <v>0</v>
      </c>
      <c r="E134" s="16" t="e">
        <f>+IF(AND(B134&gt;=#REF!,B134&lt;=#REF!),"OUI","NON")</f>
        <v>#REF!</v>
      </c>
      <c r="F134" s="16" t="e">
        <f t="array" ref="F134">IF(E134="OUI",MAX(F$2:$O133)+1,"")</f>
        <v>#REF!</v>
      </c>
    </row>
    <row r="135" spans="1:6" x14ac:dyDescent="0.2">
      <c r="A135" s="471">
        <f t="shared" si="8"/>
        <v>46023</v>
      </c>
      <c r="B135" s="30">
        <v>46023</v>
      </c>
      <c r="C135" s="16">
        <f t="shared" si="6"/>
        <v>0</v>
      </c>
      <c r="D135" s="16">
        <f t="shared" si="7"/>
        <v>0</v>
      </c>
      <c r="E135" s="16" t="e">
        <f>+IF(AND(B135&gt;=#REF!,B135&lt;=#REF!),"OUI","NON")</f>
        <v>#REF!</v>
      </c>
      <c r="F135" s="16" t="e">
        <f t="array" ref="F135">IF(E135="OUI",MAX(F$2:$O134)+1,"")</f>
        <v>#REF!</v>
      </c>
    </row>
    <row r="136" spans="1:6" x14ac:dyDescent="0.2">
      <c r="A136" s="471">
        <f t="shared" si="8"/>
        <v>46054</v>
      </c>
      <c r="B136" s="30">
        <v>46054</v>
      </c>
      <c r="C136" s="16">
        <f t="shared" si="6"/>
        <v>0</v>
      </c>
      <c r="D136" s="16">
        <f t="shared" si="7"/>
        <v>0</v>
      </c>
      <c r="E136" s="16" t="e">
        <f>+IF(AND(B136&gt;=#REF!,B136&lt;=#REF!),"OUI","NON")</f>
        <v>#REF!</v>
      </c>
      <c r="F136" s="16" t="e">
        <f t="array" ref="F136">IF(E136="OUI",MAX(F$2:$O135)+1,"")</f>
        <v>#REF!</v>
      </c>
    </row>
    <row r="137" spans="1:6" x14ac:dyDescent="0.2">
      <c r="A137" s="471">
        <f t="shared" si="8"/>
        <v>46082</v>
      </c>
      <c r="B137" s="30">
        <v>46082</v>
      </c>
      <c r="C137" s="16">
        <f t="shared" si="6"/>
        <v>0</v>
      </c>
      <c r="D137" s="16">
        <f t="shared" si="7"/>
        <v>0</v>
      </c>
      <c r="E137" s="16" t="e">
        <f>+IF(AND(B137&gt;=#REF!,B137&lt;=#REF!),"OUI","NON")</f>
        <v>#REF!</v>
      </c>
      <c r="F137" s="16" t="e">
        <f t="array" ref="F137">IF(E137="OUI",MAX(F$2:$O136)+1,"")</f>
        <v>#REF!</v>
      </c>
    </row>
    <row r="138" spans="1:6" x14ac:dyDescent="0.2">
      <c r="A138" s="471">
        <f t="shared" si="8"/>
        <v>46113</v>
      </c>
      <c r="B138" s="30">
        <v>46113</v>
      </c>
      <c r="C138" s="16">
        <f t="shared" si="6"/>
        <v>0</v>
      </c>
      <c r="D138" s="16">
        <f t="shared" si="7"/>
        <v>0</v>
      </c>
      <c r="E138" s="16" t="e">
        <f>+IF(AND(B138&gt;=#REF!,B138&lt;=#REF!),"OUI","NON")</f>
        <v>#REF!</v>
      </c>
      <c r="F138" s="16" t="e">
        <f t="array" ref="F138">IF(E138="OUI",MAX(F$2:$O137)+1,"")</f>
        <v>#REF!</v>
      </c>
    </row>
    <row r="139" spans="1:6" x14ac:dyDescent="0.2">
      <c r="A139" s="471">
        <f t="shared" si="8"/>
        <v>46143</v>
      </c>
      <c r="B139" s="30">
        <v>46143</v>
      </c>
      <c r="C139" s="16">
        <f t="shared" si="6"/>
        <v>0</v>
      </c>
      <c r="D139" s="16">
        <f t="shared" si="7"/>
        <v>0</v>
      </c>
      <c r="E139" s="16" t="e">
        <f>+IF(AND(B139&gt;=#REF!,B139&lt;=#REF!),"OUI","NON")</f>
        <v>#REF!</v>
      </c>
      <c r="F139" s="16" t="e">
        <f t="array" ref="F139">IF(E139="OUI",MAX(F$2:$O138)+1,"")</f>
        <v>#REF!</v>
      </c>
    </row>
    <row r="140" spans="1:6" x14ac:dyDescent="0.2">
      <c r="A140" s="471">
        <f t="shared" si="8"/>
        <v>46174</v>
      </c>
      <c r="B140" s="30">
        <v>46174</v>
      </c>
      <c r="C140" s="16">
        <f t="shared" si="6"/>
        <v>0</v>
      </c>
      <c r="D140" s="16">
        <f t="shared" si="7"/>
        <v>0</v>
      </c>
      <c r="E140" s="16" t="e">
        <f>+IF(AND(B140&gt;=#REF!,B140&lt;=#REF!),"OUI","NON")</f>
        <v>#REF!</v>
      </c>
      <c r="F140" s="16" t="e">
        <f t="array" ref="F140">IF(E140="OUI",MAX(F$2:$O139)+1,"")</f>
        <v>#REF!</v>
      </c>
    </row>
    <row r="141" spans="1:6" x14ac:dyDescent="0.2">
      <c r="A141" s="471">
        <f t="shared" si="8"/>
        <v>46204</v>
      </c>
      <c r="B141" s="30">
        <v>46204</v>
      </c>
      <c r="C141" s="16">
        <f t="shared" si="6"/>
        <v>0</v>
      </c>
      <c r="D141" s="16">
        <f t="shared" si="7"/>
        <v>0</v>
      </c>
      <c r="E141" s="16" t="e">
        <f>+IF(AND(B141&gt;=#REF!,B141&lt;=#REF!),"OUI","NON")</f>
        <v>#REF!</v>
      </c>
      <c r="F141" s="16" t="e">
        <f t="array" ref="F141">IF(E141="OUI",MAX(F$2:$O140)+1,"")</f>
        <v>#REF!</v>
      </c>
    </row>
    <row r="142" spans="1:6" x14ac:dyDescent="0.2">
      <c r="A142" s="471">
        <f t="shared" si="8"/>
        <v>46235</v>
      </c>
      <c r="B142" s="30">
        <v>46235</v>
      </c>
      <c r="C142" s="16">
        <f t="shared" si="6"/>
        <v>0</v>
      </c>
      <c r="D142" s="16">
        <f t="shared" si="7"/>
        <v>0</v>
      </c>
      <c r="E142" s="16" t="e">
        <f>+IF(AND(B142&gt;=#REF!,B142&lt;=#REF!),"OUI","NON")</f>
        <v>#REF!</v>
      </c>
      <c r="F142" s="16" t="e">
        <f t="array" ref="F142">IF(E142="OUI",MAX(F$2:$O141)+1,"")</f>
        <v>#REF!</v>
      </c>
    </row>
    <row r="143" spans="1:6" x14ac:dyDescent="0.2">
      <c r="A143" s="471">
        <f t="shared" si="8"/>
        <v>46266</v>
      </c>
      <c r="B143" s="30">
        <v>46266</v>
      </c>
      <c r="C143" s="16">
        <f t="shared" si="6"/>
        <v>0</v>
      </c>
      <c r="D143" s="16">
        <f t="shared" si="7"/>
        <v>0</v>
      </c>
      <c r="E143" s="16" t="e">
        <f>+IF(AND(B143&gt;=#REF!,B143&lt;=#REF!),"OUI","NON")</f>
        <v>#REF!</v>
      </c>
      <c r="F143" s="16" t="e">
        <f t="array" ref="F143">IF(E143="OUI",MAX(F$2:$O142)+1,"")</f>
        <v>#REF!</v>
      </c>
    </row>
    <row r="144" spans="1:6" x14ac:dyDescent="0.2">
      <c r="A144" s="471">
        <f t="shared" si="8"/>
        <v>46296</v>
      </c>
      <c r="B144" s="30">
        <v>46296</v>
      </c>
      <c r="C144" s="16">
        <f t="shared" si="6"/>
        <v>0</v>
      </c>
      <c r="D144" s="16">
        <f t="shared" si="7"/>
        <v>0</v>
      </c>
      <c r="E144" s="16" t="e">
        <f>+IF(AND(B144&gt;=#REF!,B144&lt;=#REF!),"OUI","NON")</f>
        <v>#REF!</v>
      </c>
      <c r="F144" s="16" t="e">
        <f t="array" ref="F144">IF(E144="OUI",MAX(F$2:$O143)+1,"")</f>
        <v>#REF!</v>
      </c>
    </row>
    <row r="145" spans="1:6" x14ac:dyDescent="0.2">
      <c r="A145" s="471">
        <f t="shared" si="8"/>
        <v>46327</v>
      </c>
      <c r="B145" s="30">
        <v>46327</v>
      </c>
      <c r="C145" s="16">
        <f t="shared" si="6"/>
        <v>0</v>
      </c>
      <c r="D145" s="16">
        <f t="shared" si="7"/>
        <v>0</v>
      </c>
      <c r="E145" s="16" t="e">
        <f>+IF(AND(B145&gt;=#REF!,B145&lt;=#REF!),"OUI","NON")</f>
        <v>#REF!</v>
      </c>
      <c r="F145" s="16" t="e">
        <f t="array" ref="F145">IF(E145="OUI",MAX(F$2:$O144)+1,"")</f>
        <v>#REF!</v>
      </c>
    </row>
    <row r="146" spans="1:6" x14ac:dyDescent="0.2">
      <c r="A146" s="471">
        <f t="shared" si="8"/>
        <v>46357</v>
      </c>
      <c r="B146" s="30">
        <v>46357</v>
      </c>
      <c r="C146" s="16">
        <f t="shared" si="6"/>
        <v>0</v>
      </c>
      <c r="D146" s="16">
        <f t="shared" si="7"/>
        <v>0</v>
      </c>
      <c r="E146" s="16" t="e">
        <f>+IF(AND(B146&gt;=#REF!,B146&lt;=#REF!),"OUI","NON")</f>
        <v>#REF!</v>
      </c>
      <c r="F146" s="16" t="e">
        <f t="array" ref="F146">IF(E146="OUI",MAX(F$2:$O145)+1,"")</f>
        <v>#REF!</v>
      </c>
    </row>
    <row r="147" spans="1:6" x14ac:dyDescent="0.2">
      <c r="A147" s="471">
        <f t="shared" si="8"/>
        <v>46388</v>
      </c>
      <c r="B147" s="30">
        <v>46388</v>
      </c>
      <c r="C147" s="16">
        <f t="shared" si="6"/>
        <v>0</v>
      </c>
      <c r="D147" s="16">
        <f t="shared" si="7"/>
        <v>0</v>
      </c>
      <c r="E147" s="16" t="e">
        <f>+IF(AND(B147&gt;=#REF!,B147&lt;=#REF!),"OUI","NON")</f>
        <v>#REF!</v>
      </c>
      <c r="F147" s="16" t="e">
        <f t="array" ref="F147">IF(E147="OUI",MAX(F$2:$O146)+1,"")</f>
        <v>#REF!</v>
      </c>
    </row>
    <row r="148" spans="1:6" x14ac:dyDescent="0.2">
      <c r="A148" s="471">
        <f t="shared" si="8"/>
        <v>46419</v>
      </c>
      <c r="B148" s="30">
        <v>46419</v>
      </c>
      <c r="C148" s="16">
        <f t="shared" si="6"/>
        <v>0</v>
      </c>
      <c r="D148" s="16">
        <f t="shared" si="7"/>
        <v>0</v>
      </c>
      <c r="E148" s="16" t="e">
        <f>+IF(AND(B148&gt;=#REF!,B148&lt;=#REF!),"OUI","NON")</f>
        <v>#REF!</v>
      </c>
      <c r="F148" s="16" t="e">
        <f t="array" ref="F148">IF(E148="OUI",MAX(F$2:$O147)+1,"")</f>
        <v>#REF!</v>
      </c>
    </row>
    <row r="149" spans="1:6" x14ac:dyDescent="0.2">
      <c r="A149" s="471">
        <f t="shared" si="8"/>
        <v>46447</v>
      </c>
      <c r="B149" s="30">
        <v>46447</v>
      </c>
      <c r="C149" s="16">
        <f t="shared" si="6"/>
        <v>0</v>
      </c>
      <c r="D149" s="16">
        <f t="shared" si="7"/>
        <v>0</v>
      </c>
      <c r="E149" s="16" t="e">
        <f>+IF(AND(B149&gt;=#REF!,B149&lt;=#REF!),"OUI","NON")</f>
        <v>#REF!</v>
      </c>
      <c r="F149" s="16" t="e">
        <f t="array" ref="F149">IF(E149="OUI",MAX(F$2:$O148)+1,"")</f>
        <v>#REF!</v>
      </c>
    </row>
    <row r="150" spans="1:6" x14ac:dyDescent="0.2">
      <c r="A150" s="471">
        <f t="shared" si="8"/>
        <v>46478</v>
      </c>
      <c r="B150" s="30">
        <v>46478</v>
      </c>
      <c r="C150" s="16">
        <f t="shared" si="6"/>
        <v>0</v>
      </c>
      <c r="D150" s="16">
        <f t="shared" si="7"/>
        <v>0</v>
      </c>
      <c r="E150" s="16" t="e">
        <f>+IF(AND(B150&gt;=#REF!,B150&lt;=#REF!),"OUI","NON")</f>
        <v>#REF!</v>
      </c>
      <c r="F150" s="16" t="e">
        <f t="array" ref="F150">IF(E150="OUI",MAX(F$2:$O149)+1,"")</f>
        <v>#REF!</v>
      </c>
    </row>
    <row r="151" spans="1:6" x14ac:dyDescent="0.2">
      <c r="A151" s="471">
        <f t="shared" si="8"/>
        <v>46508</v>
      </c>
      <c r="B151" s="30">
        <v>46508</v>
      </c>
      <c r="C151" s="16">
        <f t="shared" si="6"/>
        <v>0</v>
      </c>
      <c r="D151" s="16">
        <f t="shared" si="7"/>
        <v>0</v>
      </c>
      <c r="E151" s="16" t="e">
        <f>+IF(AND(B151&gt;=#REF!,B151&lt;=#REF!),"OUI","NON")</f>
        <v>#REF!</v>
      </c>
      <c r="F151" s="16" t="e">
        <f t="array" ref="F151">IF(E151="OUI",MAX(F$2:$O150)+1,"")</f>
        <v>#REF!</v>
      </c>
    </row>
    <row r="152" spans="1:6" x14ac:dyDescent="0.2">
      <c r="A152" s="471">
        <f t="shared" si="8"/>
        <v>46539</v>
      </c>
      <c r="B152" s="30">
        <v>46539</v>
      </c>
      <c r="C152" s="16">
        <f t="shared" si="6"/>
        <v>0</v>
      </c>
      <c r="D152" s="16">
        <f t="shared" si="7"/>
        <v>0</v>
      </c>
      <c r="E152" s="16" t="e">
        <f>+IF(AND(B152&gt;=#REF!,B152&lt;=#REF!),"OUI","NON")</f>
        <v>#REF!</v>
      </c>
      <c r="F152" s="16" t="e">
        <f t="array" ref="F152">IF(E152="OUI",MAX(F$2:$O151)+1,"")</f>
        <v>#REF!</v>
      </c>
    </row>
    <row r="153" spans="1:6" x14ac:dyDescent="0.2">
      <c r="A153" s="471">
        <f t="shared" si="8"/>
        <v>46569</v>
      </c>
      <c r="B153" s="30">
        <v>46569</v>
      </c>
      <c r="C153" s="16">
        <f t="shared" si="6"/>
        <v>0</v>
      </c>
      <c r="D153" s="16">
        <f t="shared" si="7"/>
        <v>0</v>
      </c>
      <c r="E153" s="16" t="e">
        <f>+IF(AND(B153&gt;=#REF!,B153&lt;=#REF!),"OUI","NON")</f>
        <v>#REF!</v>
      </c>
      <c r="F153" s="16" t="e">
        <f t="array" ref="F153">IF(E153="OUI",MAX(F$2:$O152)+1,"")</f>
        <v>#REF!</v>
      </c>
    </row>
    <row r="154" spans="1:6" x14ac:dyDescent="0.2">
      <c r="A154" s="471">
        <f t="shared" si="8"/>
        <v>46600</v>
      </c>
      <c r="B154" s="30">
        <v>46600</v>
      </c>
      <c r="C154" s="16">
        <f t="shared" si="6"/>
        <v>0</v>
      </c>
      <c r="D154" s="16">
        <f t="shared" si="7"/>
        <v>0</v>
      </c>
      <c r="E154" s="16" t="e">
        <f>+IF(AND(B154&gt;=#REF!,B154&lt;=#REF!),"OUI","NON")</f>
        <v>#REF!</v>
      </c>
      <c r="F154" s="16" t="e">
        <f t="array" ref="F154">IF(E154="OUI",MAX(F$2:$O153)+1,"")</f>
        <v>#REF!</v>
      </c>
    </row>
    <row r="155" spans="1:6" x14ac:dyDescent="0.2">
      <c r="A155" s="471">
        <f t="shared" si="8"/>
        <v>46631</v>
      </c>
      <c r="B155" s="30">
        <v>46631</v>
      </c>
      <c r="C155" s="16">
        <f t="shared" si="6"/>
        <v>0</v>
      </c>
      <c r="D155" s="16">
        <f t="shared" si="7"/>
        <v>0</v>
      </c>
      <c r="E155" s="16" t="e">
        <f>+IF(AND(B155&gt;=#REF!,B155&lt;=#REF!),"OUI","NON")</f>
        <v>#REF!</v>
      </c>
      <c r="F155" s="16" t="e">
        <f t="array" ref="F155">IF(E155="OUI",MAX(F$2:$O154)+1,"")</f>
        <v>#REF!</v>
      </c>
    </row>
    <row r="156" spans="1:6" x14ac:dyDescent="0.2">
      <c r="A156" s="471">
        <f t="shared" si="8"/>
        <v>46661</v>
      </c>
      <c r="B156" s="30">
        <v>46661</v>
      </c>
      <c r="C156" s="16">
        <f t="shared" si="6"/>
        <v>0</v>
      </c>
      <c r="D156" s="16">
        <f t="shared" si="7"/>
        <v>0</v>
      </c>
      <c r="E156" s="16" t="e">
        <f>+IF(AND(B156&gt;=#REF!,B156&lt;=#REF!),"OUI","NON")</f>
        <v>#REF!</v>
      </c>
      <c r="F156" s="16" t="e">
        <f t="array" ref="F156">IF(E156="OUI",MAX(F$2:$O155)+1,"")</f>
        <v>#REF!</v>
      </c>
    </row>
    <row r="157" spans="1:6" x14ac:dyDescent="0.2">
      <c r="A157" s="471">
        <f t="shared" si="8"/>
        <v>46692</v>
      </c>
      <c r="B157" s="30">
        <v>46692</v>
      </c>
      <c r="C157" s="16">
        <f t="shared" si="6"/>
        <v>0</v>
      </c>
      <c r="D157" s="16">
        <f t="shared" si="7"/>
        <v>0</v>
      </c>
      <c r="E157" s="16" t="e">
        <f>+IF(AND(B157&gt;=#REF!,B157&lt;=#REF!),"OUI","NON")</f>
        <v>#REF!</v>
      </c>
      <c r="F157" s="16" t="e">
        <f t="array" ref="F157">IF(E157="OUI",MAX(F$2:$O156)+1,"")</f>
        <v>#REF!</v>
      </c>
    </row>
    <row r="158" spans="1:6" x14ac:dyDescent="0.2">
      <c r="A158" s="471">
        <f t="shared" si="8"/>
        <v>46722</v>
      </c>
      <c r="B158" s="30">
        <v>46722</v>
      </c>
      <c r="C158" s="16">
        <f t="shared" si="6"/>
        <v>0</v>
      </c>
      <c r="D158" s="16">
        <f t="shared" si="7"/>
        <v>0</v>
      </c>
      <c r="E158" s="16" t="e">
        <f>+IF(AND(B158&gt;=#REF!,B158&lt;=#REF!),"OUI","NON")</f>
        <v>#REF!</v>
      </c>
      <c r="F158" s="16" t="e">
        <f t="array" ref="F158">IF(E158="OUI",MAX(F$2:$O157)+1,"")</f>
        <v>#REF!</v>
      </c>
    </row>
    <row r="159" spans="1:6" x14ac:dyDescent="0.2">
      <c r="A159" s="471">
        <f t="shared" si="8"/>
        <v>46753</v>
      </c>
      <c r="B159" s="30">
        <v>46753</v>
      </c>
      <c r="C159" s="16">
        <f t="shared" si="6"/>
        <v>0</v>
      </c>
      <c r="D159" s="16">
        <f t="shared" si="7"/>
        <v>0</v>
      </c>
      <c r="E159" s="16" t="e">
        <f>+IF(AND(B159&gt;=#REF!,B159&lt;=#REF!),"OUI","NON")</f>
        <v>#REF!</v>
      </c>
      <c r="F159" s="16" t="e">
        <f t="array" ref="F159">IF(E159="OUI",MAX(F$2:$O158)+1,"")</f>
        <v>#REF!</v>
      </c>
    </row>
    <row r="160" spans="1:6" x14ac:dyDescent="0.2">
      <c r="A160" s="471">
        <f t="shared" si="8"/>
        <v>46784</v>
      </c>
      <c r="B160" s="30">
        <v>46784</v>
      </c>
      <c r="C160" s="16">
        <f t="shared" si="6"/>
        <v>0</v>
      </c>
      <c r="D160" s="16">
        <f t="shared" si="7"/>
        <v>0</v>
      </c>
      <c r="E160" s="16" t="e">
        <f>+IF(AND(B160&gt;=#REF!,B160&lt;=#REF!),"OUI","NON")</f>
        <v>#REF!</v>
      </c>
      <c r="F160" s="16" t="e">
        <f t="array" ref="F160">IF(E160="OUI",MAX(F$2:$O159)+1,"")</f>
        <v>#REF!</v>
      </c>
    </row>
    <row r="161" spans="1:6" x14ac:dyDescent="0.2">
      <c r="A161" s="471">
        <f t="shared" si="8"/>
        <v>46813</v>
      </c>
      <c r="B161" s="30">
        <v>46813</v>
      </c>
      <c r="C161" s="16">
        <f t="shared" si="6"/>
        <v>0</v>
      </c>
      <c r="D161" s="16">
        <f t="shared" si="7"/>
        <v>0</v>
      </c>
      <c r="E161" s="16" t="e">
        <f>+IF(AND(B161&gt;=#REF!,B161&lt;=#REF!),"OUI","NON")</f>
        <v>#REF!</v>
      </c>
      <c r="F161" s="16" t="e">
        <f t="array" ref="F161">IF(E161="OUI",MAX(F$2:$O160)+1,"")</f>
        <v>#REF!</v>
      </c>
    </row>
    <row r="162" spans="1:6" x14ac:dyDescent="0.2">
      <c r="A162" s="471">
        <f t="shared" si="8"/>
        <v>46844</v>
      </c>
      <c r="B162" s="30">
        <v>46844</v>
      </c>
      <c r="C162" s="16">
        <f t="shared" si="6"/>
        <v>0</v>
      </c>
      <c r="D162" s="16">
        <f t="shared" si="7"/>
        <v>0</v>
      </c>
      <c r="E162" s="16" t="e">
        <f>+IF(AND(B162&gt;=#REF!,B162&lt;=#REF!),"OUI","NON")</f>
        <v>#REF!</v>
      </c>
      <c r="F162" s="16" t="e">
        <f t="array" ref="F162">IF(E162="OUI",MAX(F$2:$O161)+1,"")</f>
        <v>#REF!</v>
      </c>
    </row>
    <row r="163" spans="1:6" x14ac:dyDescent="0.2">
      <c r="A163" s="471">
        <f t="shared" si="8"/>
        <v>46874</v>
      </c>
      <c r="B163" s="30">
        <v>46874</v>
      </c>
      <c r="C163" s="16">
        <f t="shared" si="6"/>
        <v>0</v>
      </c>
      <c r="D163" s="16">
        <f t="shared" si="7"/>
        <v>0</v>
      </c>
      <c r="E163" s="16" t="e">
        <f>+IF(AND(B163&gt;=#REF!,B163&lt;=#REF!),"OUI","NON")</f>
        <v>#REF!</v>
      </c>
      <c r="F163" s="16" t="e">
        <f t="array" ref="F163">IF(E163="OUI",MAX(F$2:$O162)+1,"")</f>
        <v>#REF!</v>
      </c>
    </row>
    <row r="164" spans="1:6" x14ac:dyDescent="0.2">
      <c r="A164" s="471">
        <f t="shared" si="8"/>
        <v>46905</v>
      </c>
      <c r="B164" s="30">
        <v>46905</v>
      </c>
      <c r="C164" s="16">
        <f t="shared" si="6"/>
        <v>0</v>
      </c>
      <c r="D164" s="16">
        <f t="shared" si="7"/>
        <v>0</v>
      </c>
      <c r="E164" s="16" t="e">
        <f>+IF(AND(B164&gt;=#REF!,B164&lt;=#REF!),"OUI","NON")</f>
        <v>#REF!</v>
      </c>
      <c r="F164" s="16" t="e">
        <f t="array" ref="F164">IF(E164="OUI",MAX(F$2:$O163)+1,"")</f>
        <v>#REF!</v>
      </c>
    </row>
    <row r="165" spans="1:6" x14ac:dyDescent="0.2">
      <c r="A165" s="471">
        <f t="shared" si="8"/>
        <v>46935</v>
      </c>
      <c r="B165" s="30">
        <v>46935</v>
      </c>
      <c r="C165" s="16">
        <f t="shared" si="6"/>
        <v>0</v>
      </c>
      <c r="D165" s="16">
        <f t="shared" si="7"/>
        <v>0</v>
      </c>
      <c r="E165" s="16" t="e">
        <f>+IF(AND(B165&gt;=#REF!,B165&lt;=#REF!),"OUI","NON")</f>
        <v>#REF!</v>
      </c>
      <c r="F165" s="16" t="e">
        <f t="array" ref="F165">IF(E165="OUI",MAX(F$2:$O164)+1,"")</f>
        <v>#REF!</v>
      </c>
    </row>
    <row r="166" spans="1:6" x14ac:dyDescent="0.2">
      <c r="A166" s="471">
        <f t="shared" si="8"/>
        <v>46966</v>
      </c>
      <c r="B166" s="30">
        <v>46966</v>
      </c>
      <c r="C166" s="16">
        <f t="shared" si="6"/>
        <v>0</v>
      </c>
      <c r="D166" s="16">
        <f t="shared" si="7"/>
        <v>0</v>
      </c>
      <c r="E166" s="16" t="e">
        <f>+IF(AND(B166&gt;=#REF!,B166&lt;=#REF!),"OUI","NON")</f>
        <v>#REF!</v>
      </c>
      <c r="F166" s="16" t="e">
        <f t="array" ref="F166">IF(E166="OUI",MAX(F$2:$O165)+1,"")</f>
        <v>#REF!</v>
      </c>
    </row>
    <row r="167" spans="1:6" x14ac:dyDescent="0.2">
      <c r="A167" s="471">
        <f t="shared" si="8"/>
        <v>46997</v>
      </c>
      <c r="B167" s="30">
        <v>46997</v>
      </c>
      <c r="C167" s="16">
        <f t="shared" si="6"/>
        <v>0</v>
      </c>
      <c r="D167" s="16">
        <f t="shared" si="7"/>
        <v>0</v>
      </c>
      <c r="E167" s="16" t="e">
        <f>+IF(AND(B167&gt;=#REF!,B167&lt;=#REF!),"OUI","NON")</f>
        <v>#REF!</v>
      </c>
      <c r="F167" s="16" t="e">
        <f t="array" ref="F167">IF(E167="OUI",MAX(F$2:$O166)+1,"")</f>
        <v>#REF!</v>
      </c>
    </row>
    <row r="168" spans="1:6" x14ac:dyDescent="0.2">
      <c r="A168" s="471">
        <f t="shared" si="8"/>
        <v>47027</v>
      </c>
      <c r="B168" s="30">
        <v>47027</v>
      </c>
      <c r="C168" s="16">
        <f t="shared" si="6"/>
        <v>0</v>
      </c>
      <c r="D168" s="16">
        <f t="shared" si="7"/>
        <v>0</v>
      </c>
      <c r="E168" s="16" t="e">
        <f>+IF(AND(B168&gt;=#REF!,B168&lt;=#REF!),"OUI","NON")</f>
        <v>#REF!</v>
      </c>
      <c r="F168" s="16" t="e">
        <f t="array" ref="F168">IF(E168="OUI",MAX(F$2:$O167)+1,"")</f>
        <v>#REF!</v>
      </c>
    </row>
    <row r="169" spans="1:6" x14ac:dyDescent="0.2">
      <c r="A169" s="471">
        <f t="shared" si="8"/>
        <v>47058</v>
      </c>
      <c r="B169" s="30">
        <v>47058</v>
      </c>
      <c r="C169" s="16">
        <f t="shared" si="6"/>
        <v>0</v>
      </c>
      <c r="D169" s="16">
        <f t="shared" si="7"/>
        <v>0</v>
      </c>
      <c r="E169" s="16" t="e">
        <f>+IF(AND(B169&gt;=#REF!,B169&lt;=#REF!),"OUI","NON")</f>
        <v>#REF!</v>
      </c>
      <c r="F169" s="16" t="e">
        <f t="array" ref="F169">IF(E169="OUI",MAX(F$2:$O168)+1,"")</f>
        <v>#REF!</v>
      </c>
    </row>
    <row r="170" spans="1:6" x14ac:dyDescent="0.2">
      <c r="A170" s="471">
        <f t="shared" si="8"/>
        <v>47088</v>
      </c>
      <c r="B170" s="30">
        <v>47088</v>
      </c>
      <c r="C170" s="16">
        <f t="shared" si="6"/>
        <v>0</v>
      </c>
      <c r="D170" s="16">
        <f t="shared" si="7"/>
        <v>0</v>
      </c>
      <c r="E170" s="16" t="e">
        <f>+IF(AND(B170&gt;=#REF!,B170&lt;=#REF!),"OUI","NON")</f>
        <v>#REF!</v>
      </c>
      <c r="F170" s="16" t="e">
        <f t="array" ref="F170">IF(E170="OUI",MAX(F$2:$O169)+1,"")</f>
        <v>#REF!</v>
      </c>
    </row>
    <row r="171" spans="1:6" x14ac:dyDescent="0.2">
      <c r="A171" s="471">
        <f t="shared" si="8"/>
        <v>47119</v>
      </c>
      <c r="B171" s="30">
        <v>47119</v>
      </c>
      <c r="C171" s="16">
        <f t="shared" si="6"/>
        <v>0</v>
      </c>
      <c r="D171" s="16">
        <f t="shared" si="7"/>
        <v>0</v>
      </c>
      <c r="E171" s="16" t="e">
        <f>+IF(AND(B171&gt;=#REF!,B171&lt;=#REF!),"OUI","NON")</f>
        <v>#REF!</v>
      </c>
      <c r="F171" s="16" t="e">
        <f t="array" ref="F171">IF(E171="OUI",MAX(F$2:$O170)+1,"")</f>
        <v>#REF!</v>
      </c>
    </row>
    <row r="172" spans="1:6" x14ac:dyDescent="0.2">
      <c r="A172" s="471">
        <f t="shared" si="8"/>
        <v>47150</v>
      </c>
      <c r="B172" s="30">
        <v>47150</v>
      </c>
      <c r="C172" s="16">
        <f t="shared" si="6"/>
        <v>0</v>
      </c>
      <c r="D172" s="16">
        <f t="shared" si="7"/>
        <v>0</v>
      </c>
      <c r="E172" s="16" t="e">
        <f>+IF(AND(B172&gt;=#REF!,B172&lt;=#REF!),"OUI","NON")</f>
        <v>#REF!</v>
      </c>
      <c r="F172" s="16" t="e">
        <f t="array" ref="F172">IF(E172="OUI",MAX(F$2:$O171)+1,"")</f>
        <v>#REF!</v>
      </c>
    </row>
    <row r="173" spans="1:6" x14ac:dyDescent="0.2">
      <c r="A173" s="471">
        <f t="shared" si="8"/>
        <v>47178</v>
      </c>
      <c r="B173" s="30">
        <v>47178</v>
      </c>
      <c r="C173" s="16">
        <f t="shared" si="6"/>
        <v>0</v>
      </c>
      <c r="D173" s="16">
        <f t="shared" si="7"/>
        <v>0</v>
      </c>
      <c r="E173" s="16" t="e">
        <f>+IF(AND(B173&gt;=#REF!,B173&lt;=#REF!),"OUI","NON")</f>
        <v>#REF!</v>
      </c>
      <c r="F173" s="16" t="e">
        <f t="array" ref="F173">IF(E173="OUI",MAX(F$2:$O172)+1,"")</f>
        <v>#REF!</v>
      </c>
    </row>
    <row r="174" spans="1:6" x14ac:dyDescent="0.2">
      <c r="A174" s="471">
        <f t="shared" si="8"/>
        <v>47209</v>
      </c>
      <c r="B174" s="30">
        <v>47209</v>
      </c>
      <c r="C174" s="16">
        <f t="shared" si="6"/>
        <v>0</v>
      </c>
      <c r="D174" s="16">
        <f t="shared" si="7"/>
        <v>0</v>
      </c>
      <c r="E174" s="16" t="e">
        <f>+IF(AND(B174&gt;=#REF!,B174&lt;=#REF!),"OUI","NON")</f>
        <v>#REF!</v>
      </c>
      <c r="F174" s="16" t="e">
        <f t="array" ref="F174">IF(E174="OUI",MAX(F$2:$O173)+1,"")</f>
        <v>#REF!</v>
      </c>
    </row>
    <row r="175" spans="1:6" x14ac:dyDescent="0.2">
      <c r="A175" s="471">
        <f t="shared" si="8"/>
        <v>47239</v>
      </c>
      <c r="B175" s="30">
        <v>47239</v>
      </c>
      <c r="C175" s="16">
        <f t="shared" si="6"/>
        <v>0</v>
      </c>
      <c r="D175" s="16">
        <f t="shared" si="7"/>
        <v>0</v>
      </c>
      <c r="E175" s="16" t="e">
        <f>+IF(AND(B175&gt;=#REF!,B175&lt;=#REF!),"OUI","NON")</f>
        <v>#REF!</v>
      </c>
      <c r="F175" s="16" t="e">
        <f t="array" ref="F175">IF(E175="OUI",MAX(F$2:$O174)+1,"")</f>
        <v>#REF!</v>
      </c>
    </row>
    <row r="176" spans="1:6" x14ac:dyDescent="0.2">
      <c r="A176" s="471">
        <f t="shared" si="8"/>
        <v>47270</v>
      </c>
      <c r="B176" s="30">
        <v>47270</v>
      </c>
      <c r="C176" s="16">
        <f t="shared" si="6"/>
        <v>0</v>
      </c>
      <c r="D176" s="16">
        <f t="shared" si="7"/>
        <v>0</v>
      </c>
      <c r="E176" s="16" t="e">
        <f>+IF(AND(B176&gt;=#REF!,B176&lt;=#REF!),"OUI","NON")</f>
        <v>#REF!</v>
      </c>
      <c r="F176" s="16" t="e">
        <f t="array" ref="F176">IF(E176="OUI",MAX(F$2:$O175)+1,"")</f>
        <v>#REF!</v>
      </c>
    </row>
    <row r="177" spans="1:6" x14ac:dyDescent="0.2">
      <c r="A177" s="471">
        <f t="shared" si="8"/>
        <v>47300</v>
      </c>
      <c r="B177" s="30">
        <v>47300</v>
      </c>
      <c r="C177" s="16">
        <f t="shared" si="6"/>
        <v>0</v>
      </c>
      <c r="D177" s="16">
        <f t="shared" si="7"/>
        <v>0</v>
      </c>
      <c r="E177" s="16" t="e">
        <f>+IF(AND(B177&gt;=#REF!,B177&lt;=#REF!),"OUI","NON")</f>
        <v>#REF!</v>
      </c>
      <c r="F177" s="16" t="e">
        <f t="array" ref="F177">IF(E177="OUI",MAX(F$2:$O176)+1,"")</f>
        <v>#REF!</v>
      </c>
    </row>
    <row r="178" spans="1:6" x14ac:dyDescent="0.2">
      <c r="A178" s="471">
        <f t="shared" si="8"/>
        <v>47331</v>
      </c>
      <c r="B178" s="30">
        <v>47331</v>
      </c>
      <c r="C178" s="16">
        <f t="shared" si="6"/>
        <v>0</v>
      </c>
      <c r="D178" s="16">
        <f t="shared" si="7"/>
        <v>0</v>
      </c>
      <c r="E178" s="16" t="e">
        <f>+IF(AND(B178&gt;=#REF!,B178&lt;=#REF!),"OUI","NON")</f>
        <v>#REF!</v>
      </c>
      <c r="F178" s="16" t="e">
        <f t="array" ref="F178">IF(E178="OUI",MAX(F$2:$O177)+1,"")</f>
        <v>#REF!</v>
      </c>
    </row>
    <row r="179" spans="1:6" x14ac:dyDescent="0.2">
      <c r="A179" s="471">
        <f t="shared" si="8"/>
        <v>47362</v>
      </c>
      <c r="B179" s="30">
        <v>47362</v>
      </c>
      <c r="C179" s="16">
        <f t="shared" si="6"/>
        <v>0</v>
      </c>
      <c r="D179" s="16">
        <f t="shared" si="7"/>
        <v>0</v>
      </c>
      <c r="E179" s="16" t="e">
        <f>+IF(AND(B179&gt;=#REF!,B179&lt;=#REF!),"OUI","NON")</f>
        <v>#REF!</v>
      </c>
      <c r="F179" s="16" t="e">
        <f t="array" ref="F179">IF(E179="OUI",MAX(F$2:$O178)+1,"")</f>
        <v>#REF!</v>
      </c>
    </row>
    <row r="180" spans="1:6" x14ac:dyDescent="0.2">
      <c r="A180" s="471">
        <f t="shared" si="8"/>
        <v>47392</v>
      </c>
      <c r="B180" s="30">
        <v>47392</v>
      </c>
      <c r="C180" s="16">
        <f t="shared" si="6"/>
        <v>0</v>
      </c>
      <c r="D180" s="16">
        <f t="shared" si="7"/>
        <v>0</v>
      </c>
      <c r="E180" s="16" t="e">
        <f>+IF(AND(B180&gt;=#REF!,B180&lt;=#REF!),"OUI","NON")</f>
        <v>#REF!</v>
      </c>
      <c r="F180" s="16" t="e">
        <f t="array" ref="F180">IF(E180="OUI",MAX(F$2:$O179)+1,"")</f>
        <v>#REF!</v>
      </c>
    </row>
    <row r="181" spans="1:6" x14ac:dyDescent="0.2">
      <c r="A181" s="471">
        <f t="shared" si="8"/>
        <v>47423</v>
      </c>
      <c r="B181" s="30">
        <v>47423</v>
      </c>
      <c r="C181" s="16">
        <f t="shared" si="6"/>
        <v>0</v>
      </c>
      <c r="D181" s="16">
        <f t="shared" si="7"/>
        <v>0</v>
      </c>
      <c r="E181" s="16" t="e">
        <f>+IF(AND(B181&gt;=#REF!,B181&lt;=#REF!),"OUI","NON")</f>
        <v>#REF!</v>
      </c>
      <c r="F181" s="16" t="e">
        <f t="array" ref="F181">IF(E181="OUI",MAX(F$2:$O180)+1,"")</f>
        <v>#REF!</v>
      </c>
    </row>
    <row r="182" spans="1:6" x14ac:dyDescent="0.2">
      <c r="A182" s="471">
        <f t="shared" si="8"/>
        <v>47453</v>
      </c>
      <c r="B182" s="30">
        <v>47453</v>
      </c>
      <c r="C182" s="16">
        <f t="shared" si="6"/>
        <v>0</v>
      </c>
      <c r="D182" s="16">
        <f t="shared" si="7"/>
        <v>0</v>
      </c>
      <c r="E182" s="16" t="e">
        <f>+IF(AND(B182&gt;=#REF!,B182&lt;=#REF!),"OUI","NON")</f>
        <v>#REF!</v>
      </c>
      <c r="F182" s="16" t="e">
        <f t="array" ref="F182">IF(E182="OUI",MAX(F$2:$O181)+1,"")</f>
        <v>#REF!</v>
      </c>
    </row>
    <row r="183" spans="1:6" x14ac:dyDescent="0.2">
      <c r="A183" s="471">
        <f t="shared" si="8"/>
        <v>47484</v>
      </c>
      <c r="B183" s="30">
        <v>47484</v>
      </c>
      <c r="C183" s="16">
        <f t="shared" si="6"/>
        <v>0</v>
      </c>
      <c r="D183" s="16">
        <f t="shared" si="7"/>
        <v>0</v>
      </c>
      <c r="E183" s="16" t="e">
        <f>+IF(AND(B183&gt;=#REF!,B183&lt;=#REF!),"OUI","NON")</f>
        <v>#REF!</v>
      </c>
      <c r="F183" s="16" t="e">
        <f t="array" ref="F183">IF(E183="OUI",MAX(F$2:$O182)+1,"")</f>
        <v>#REF!</v>
      </c>
    </row>
    <row r="184" spans="1:6" x14ac:dyDescent="0.2">
      <c r="A184" s="471">
        <f t="shared" si="8"/>
        <v>47515</v>
      </c>
      <c r="B184" s="30">
        <v>47515</v>
      </c>
      <c r="C184" s="16">
        <f t="shared" si="6"/>
        <v>0</v>
      </c>
      <c r="D184" s="16">
        <f t="shared" si="7"/>
        <v>0</v>
      </c>
      <c r="E184" s="16" t="e">
        <f>+IF(AND(B184&gt;=#REF!,B184&lt;=#REF!),"OUI","NON")</f>
        <v>#REF!</v>
      </c>
      <c r="F184" s="16" t="e">
        <f t="array" ref="F184">IF(E184="OUI",MAX(F$2:$O183)+1,"")</f>
        <v>#REF!</v>
      </c>
    </row>
    <row r="185" spans="1:6" x14ac:dyDescent="0.2">
      <c r="A185" s="471">
        <f t="shared" si="8"/>
        <v>47543</v>
      </c>
      <c r="B185" s="30">
        <v>47543</v>
      </c>
      <c r="C185" s="16">
        <f t="shared" si="6"/>
        <v>0</v>
      </c>
      <c r="D185" s="16">
        <f t="shared" si="7"/>
        <v>0</v>
      </c>
      <c r="E185" s="16" t="e">
        <f>+IF(AND(B185&gt;=#REF!,B185&lt;=#REF!),"OUI","NON")</f>
        <v>#REF!</v>
      </c>
      <c r="F185" s="16" t="e">
        <f t="array" ref="F185">IF(E185="OUI",MAX(F$2:$O184)+1,"")</f>
        <v>#REF!</v>
      </c>
    </row>
    <row r="186" spans="1:6" x14ac:dyDescent="0.2">
      <c r="A186" s="471">
        <f t="shared" si="8"/>
        <v>47574</v>
      </c>
      <c r="B186" s="30">
        <v>47574</v>
      </c>
      <c r="C186" s="16">
        <f t="shared" si="6"/>
        <v>0</v>
      </c>
      <c r="D186" s="16">
        <f t="shared" si="7"/>
        <v>0</v>
      </c>
      <c r="E186" s="16" t="e">
        <f>+IF(AND(B186&gt;=#REF!,B186&lt;=#REF!),"OUI","NON")</f>
        <v>#REF!</v>
      </c>
      <c r="F186" s="16" t="e">
        <f t="array" ref="F186">IF(E186="OUI",MAX(F$2:$O185)+1,"")</f>
        <v>#REF!</v>
      </c>
    </row>
    <row r="187" spans="1:6" x14ac:dyDescent="0.2">
      <c r="A187" s="471">
        <f t="shared" si="8"/>
        <v>47604</v>
      </c>
      <c r="B187" s="30">
        <v>47604</v>
      </c>
      <c r="C187" s="16">
        <f t="shared" si="6"/>
        <v>0</v>
      </c>
      <c r="D187" s="16">
        <f t="shared" si="7"/>
        <v>0</v>
      </c>
      <c r="E187" s="16" t="e">
        <f>+IF(AND(B187&gt;=#REF!,B187&lt;=#REF!),"OUI","NON")</f>
        <v>#REF!</v>
      </c>
      <c r="F187" s="16" t="e">
        <f t="array" ref="F187">IF(E187="OUI",MAX(F$2:$O186)+1,"")</f>
        <v>#REF!</v>
      </c>
    </row>
    <row r="188" spans="1:6" x14ac:dyDescent="0.2">
      <c r="A188" s="471">
        <f t="shared" si="8"/>
        <v>47635</v>
      </c>
      <c r="B188" s="30">
        <v>47635</v>
      </c>
      <c r="C188" s="16">
        <f t="shared" si="6"/>
        <v>0</v>
      </c>
      <c r="D188" s="16">
        <f t="shared" si="7"/>
        <v>0</v>
      </c>
      <c r="E188" s="16" t="e">
        <f>+IF(AND(B188&gt;=#REF!,B188&lt;=#REF!),"OUI","NON")</f>
        <v>#REF!</v>
      </c>
      <c r="F188" s="16" t="e">
        <f t="array" ref="F188">IF(E188="OUI",MAX(F$2:$O187)+1,"")</f>
        <v>#REF!</v>
      </c>
    </row>
    <row r="189" spans="1:6" x14ac:dyDescent="0.2">
      <c r="A189" s="471">
        <f t="shared" si="8"/>
        <v>47665</v>
      </c>
      <c r="B189" s="30">
        <v>47665</v>
      </c>
      <c r="C189" s="16">
        <f t="shared" si="6"/>
        <v>0</v>
      </c>
      <c r="D189" s="16">
        <f t="shared" si="7"/>
        <v>0</v>
      </c>
      <c r="E189" s="16" t="e">
        <f>+IF(AND(B189&gt;=#REF!,B189&lt;=#REF!),"OUI","NON")</f>
        <v>#REF!</v>
      </c>
      <c r="F189" s="16" t="e">
        <f t="array" ref="F189">IF(E189="OUI",MAX(F$2:$O188)+1,"")</f>
        <v>#REF!</v>
      </c>
    </row>
    <row r="190" spans="1:6" x14ac:dyDescent="0.2">
      <c r="A190" s="471">
        <f t="shared" si="8"/>
        <v>47696</v>
      </c>
      <c r="B190" s="30">
        <v>47696</v>
      </c>
      <c r="C190" s="16">
        <f t="shared" si="6"/>
        <v>0</v>
      </c>
      <c r="D190" s="16">
        <f t="shared" si="7"/>
        <v>0</v>
      </c>
      <c r="E190" s="16" t="e">
        <f>+IF(AND(B190&gt;=#REF!,B190&lt;=#REF!),"OUI","NON")</f>
        <v>#REF!</v>
      </c>
      <c r="F190" s="16" t="e">
        <f t="array" ref="F190">IF(E190="OUI",MAX(F$2:$O189)+1,"")</f>
        <v>#REF!</v>
      </c>
    </row>
    <row r="191" spans="1:6" x14ac:dyDescent="0.2">
      <c r="A191" s="471">
        <f t="shared" si="8"/>
        <v>47727</v>
      </c>
      <c r="B191" s="30">
        <v>47727</v>
      </c>
      <c r="C191" s="16">
        <f t="shared" si="6"/>
        <v>0</v>
      </c>
      <c r="D191" s="16">
        <f t="shared" si="7"/>
        <v>0</v>
      </c>
      <c r="E191" s="16" t="e">
        <f>+IF(AND(B191&gt;=#REF!,B191&lt;=#REF!),"OUI","NON")</f>
        <v>#REF!</v>
      </c>
      <c r="F191" s="16" t="e">
        <f t="array" ref="F191">IF(E191="OUI",MAX(F$2:$O190)+1,"")</f>
        <v>#REF!</v>
      </c>
    </row>
    <row r="192" spans="1:6" x14ac:dyDescent="0.2">
      <c r="A192" s="471">
        <f t="shared" si="8"/>
        <v>47757</v>
      </c>
      <c r="B192" s="30">
        <v>47757</v>
      </c>
      <c r="C192" s="16">
        <f t="shared" si="6"/>
        <v>0</v>
      </c>
      <c r="D192" s="16">
        <f t="shared" si="7"/>
        <v>0</v>
      </c>
      <c r="E192" s="16" t="e">
        <f>+IF(AND(B192&gt;=#REF!,B192&lt;=#REF!),"OUI","NON")</f>
        <v>#REF!</v>
      </c>
      <c r="F192" s="16" t="e">
        <f t="array" ref="F192">IF(E192="OUI",MAX(F$2:$O191)+1,"")</f>
        <v>#REF!</v>
      </c>
    </row>
    <row r="193" spans="1:6" x14ac:dyDescent="0.2">
      <c r="A193" s="471">
        <f t="shared" si="8"/>
        <v>47788</v>
      </c>
      <c r="B193" s="30">
        <v>47788</v>
      </c>
      <c r="C193" s="16">
        <f t="shared" si="6"/>
        <v>0</v>
      </c>
      <c r="D193" s="16">
        <f t="shared" si="7"/>
        <v>0</v>
      </c>
      <c r="E193" s="16" t="e">
        <f>+IF(AND(B193&gt;=#REF!,B193&lt;=#REF!),"OUI","NON")</f>
        <v>#REF!</v>
      </c>
      <c r="F193" s="16" t="e">
        <f t="array" ref="F193">IF(E193="OUI",MAX(F$2:$O192)+1,"")</f>
        <v>#REF!</v>
      </c>
    </row>
    <row r="194" spans="1:6" x14ac:dyDescent="0.2">
      <c r="A194" s="471">
        <f t="shared" si="8"/>
        <v>47818</v>
      </c>
      <c r="B194" s="30">
        <v>47818</v>
      </c>
      <c r="C194" s="16">
        <f t="shared" si="6"/>
        <v>0</v>
      </c>
      <c r="D194" s="16">
        <f t="shared" si="7"/>
        <v>0</v>
      </c>
      <c r="E194" s="16" t="e">
        <f>+IF(AND(B194&gt;=#REF!,B194&lt;=#REF!),"OUI","NON")</f>
        <v>#REF!</v>
      </c>
      <c r="F194" s="16" t="e">
        <f t="array" ref="F194">IF(E194="OUI",MAX(F$2:$O193)+1,"")</f>
        <v>#REF!</v>
      </c>
    </row>
    <row r="195" spans="1:6" x14ac:dyDescent="0.2">
      <c r="A195" s="471">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71">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71">
        <f t="shared" si="11"/>
        <v>47908</v>
      </c>
      <c r="B197" s="30">
        <v>47908</v>
      </c>
      <c r="C197" s="16">
        <f t="shared" si="9"/>
        <v>0</v>
      </c>
      <c r="D197" s="16">
        <f t="shared" si="10"/>
        <v>0</v>
      </c>
      <c r="E197" s="16" t="e">
        <f>+IF(AND(B197&gt;=#REF!,B197&lt;=#REF!),"OUI","NON")</f>
        <v>#REF!</v>
      </c>
      <c r="F197" s="16" t="e">
        <f t="array" ref="F197">IF(E197="OUI",MAX(F$2:$O196)+1,"")</f>
        <v>#REF!</v>
      </c>
    </row>
    <row r="198" spans="1:6" x14ac:dyDescent="0.2">
      <c r="A198" s="471">
        <f t="shared" si="11"/>
        <v>47939</v>
      </c>
      <c r="B198" s="30">
        <v>47939</v>
      </c>
      <c r="C198" s="16">
        <f t="shared" si="9"/>
        <v>0</v>
      </c>
      <c r="D198" s="16">
        <f t="shared" si="10"/>
        <v>0</v>
      </c>
      <c r="E198" s="16" t="e">
        <f>+IF(AND(B198&gt;=#REF!,B198&lt;=#REF!),"OUI","NON")</f>
        <v>#REF!</v>
      </c>
      <c r="F198" s="16" t="e">
        <f t="array" ref="F198">IF(E198="OUI",MAX(F$2:$O197)+1,"")</f>
        <v>#REF!</v>
      </c>
    </row>
    <row r="199" spans="1:6" x14ac:dyDescent="0.2">
      <c r="A199" s="471">
        <f t="shared" si="11"/>
        <v>47969</v>
      </c>
      <c r="B199" s="30">
        <v>47969</v>
      </c>
      <c r="C199" s="16">
        <f t="shared" si="9"/>
        <v>0</v>
      </c>
      <c r="D199" s="16">
        <f t="shared" si="10"/>
        <v>0</v>
      </c>
      <c r="E199" s="16" t="e">
        <f>+IF(AND(B199&gt;=#REF!,B199&lt;=#REF!),"OUI","NON")</f>
        <v>#REF!</v>
      </c>
      <c r="F199" s="16" t="e">
        <f t="array" ref="F199">IF(E199="OUI",MAX(F$2:$O198)+1,"")</f>
        <v>#REF!</v>
      </c>
    </row>
    <row r="200" spans="1:6" x14ac:dyDescent="0.2">
      <c r="A200" s="471">
        <f t="shared" si="11"/>
        <v>48000</v>
      </c>
      <c r="B200" s="30">
        <v>48000</v>
      </c>
      <c r="C200" s="16">
        <f t="shared" si="9"/>
        <v>0</v>
      </c>
      <c r="D200" s="16">
        <f t="shared" si="10"/>
        <v>0</v>
      </c>
      <c r="E200" s="16" t="e">
        <f>+IF(AND(B200&gt;=#REF!,B200&lt;=#REF!),"OUI","NON")</f>
        <v>#REF!</v>
      </c>
      <c r="F200" s="16" t="e">
        <f t="array" ref="F200">IF(E200="OUI",MAX(F$2:$O199)+1,"")</f>
        <v>#REF!</v>
      </c>
    </row>
    <row r="201" spans="1:6" x14ac:dyDescent="0.2">
      <c r="A201" s="471">
        <f t="shared" si="11"/>
        <v>48030</v>
      </c>
      <c r="B201" s="30">
        <v>48030</v>
      </c>
      <c r="C201" s="16">
        <f t="shared" si="9"/>
        <v>0</v>
      </c>
      <c r="D201" s="16">
        <f t="shared" si="10"/>
        <v>0</v>
      </c>
      <c r="E201" s="16" t="e">
        <f>+IF(AND(B201&gt;=#REF!,B201&lt;=#REF!),"OUI","NON")</f>
        <v>#REF!</v>
      </c>
      <c r="F201" s="16" t="e">
        <f t="array" ref="F201">IF(E201="OUI",MAX(F$2:$O200)+1,"")</f>
        <v>#REF!</v>
      </c>
    </row>
    <row r="202" spans="1:6" x14ac:dyDescent="0.2">
      <c r="A202" s="471">
        <f t="shared" si="11"/>
        <v>48061</v>
      </c>
      <c r="B202" s="30">
        <v>48061</v>
      </c>
      <c r="C202" s="16">
        <f t="shared" si="9"/>
        <v>0</v>
      </c>
      <c r="D202" s="16">
        <f t="shared" si="10"/>
        <v>0</v>
      </c>
      <c r="E202" s="16" t="e">
        <f>+IF(AND(B202&gt;=#REF!,B202&lt;=#REF!),"OUI","NON")</f>
        <v>#REF!</v>
      </c>
      <c r="F202" s="16" t="e">
        <f t="array" ref="F202">IF(E202="OUI",MAX(F$2:$O201)+1,"")</f>
        <v>#REF!</v>
      </c>
    </row>
    <row r="203" spans="1:6" x14ac:dyDescent="0.2">
      <c r="A203" s="471">
        <f t="shared" si="11"/>
        <v>48092</v>
      </c>
      <c r="B203" s="30">
        <v>48092</v>
      </c>
      <c r="C203" s="16">
        <f t="shared" si="9"/>
        <v>0</v>
      </c>
      <c r="D203" s="16">
        <f t="shared" si="10"/>
        <v>0</v>
      </c>
      <c r="E203" s="16" t="e">
        <f>+IF(AND(B203&gt;=#REF!,B203&lt;=#REF!),"OUI","NON")</f>
        <v>#REF!</v>
      </c>
      <c r="F203" s="16" t="e">
        <f t="array" ref="F203">IF(E203="OUI",MAX(F$2:$O202)+1,"")</f>
        <v>#REF!</v>
      </c>
    </row>
    <row r="204" spans="1:6" x14ac:dyDescent="0.2">
      <c r="A204" s="471">
        <f t="shared" si="11"/>
        <v>48122</v>
      </c>
      <c r="B204" s="30">
        <v>48122</v>
      </c>
      <c r="C204" s="16">
        <f t="shared" si="9"/>
        <v>0</v>
      </c>
      <c r="D204" s="16">
        <f t="shared" si="10"/>
        <v>0</v>
      </c>
      <c r="E204" s="16" t="e">
        <f>+IF(AND(B204&gt;=#REF!,B204&lt;=#REF!),"OUI","NON")</f>
        <v>#REF!</v>
      </c>
      <c r="F204" s="16" t="e">
        <f t="array" ref="F204">IF(E204="OUI",MAX(F$2:$O203)+1,"")</f>
        <v>#REF!</v>
      </c>
    </row>
    <row r="205" spans="1:6" x14ac:dyDescent="0.2">
      <c r="A205" s="471">
        <f t="shared" si="11"/>
        <v>48153</v>
      </c>
      <c r="B205" s="30">
        <v>48153</v>
      </c>
      <c r="C205" s="16">
        <f t="shared" si="9"/>
        <v>0</v>
      </c>
      <c r="D205" s="16">
        <f t="shared" si="10"/>
        <v>0</v>
      </c>
      <c r="E205" s="16" t="e">
        <f>+IF(AND(B205&gt;=#REF!,B205&lt;=#REF!),"OUI","NON")</f>
        <v>#REF!</v>
      </c>
      <c r="F205" s="16" t="e">
        <f t="array" ref="F205">IF(E205="OUI",MAX(F$2:$O204)+1,"")</f>
        <v>#REF!</v>
      </c>
    </row>
    <row r="206" spans="1:6" x14ac:dyDescent="0.2">
      <c r="A206" s="471">
        <f t="shared" si="11"/>
        <v>48183</v>
      </c>
      <c r="B206" s="30">
        <v>48183</v>
      </c>
      <c r="C206" s="16">
        <f t="shared" si="9"/>
        <v>0</v>
      </c>
      <c r="D206" s="16">
        <f t="shared" si="10"/>
        <v>0</v>
      </c>
      <c r="E206" s="16" t="e">
        <f>+IF(AND(B206&gt;=#REF!,B206&lt;=#REF!),"OUI","NON")</f>
        <v>#REF!</v>
      </c>
      <c r="F206" s="16" t="e">
        <f t="array" ref="F206">IF(E206="OUI",MAX(F$2:$O205)+1,"")</f>
        <v>#REF!</v>
      </c>
    </row>
    <row r="207" spans="1:6" x14ac:dyDescent="0.2">
      <c r="A207" s="471">
        <f t="shared" si="11"/>
        <v>48214</v>
      </c>
      <c r="B207" s="30">
        <v>48214</v>
      </c>
      <c r="C207" s="16">
        <f t="shared" si="9"/>
        <v>0</v>
      </c>
      <c r="D207" s="16">
        <f t="shared" si="10"/>
        <v>0</v>
      </c>
      <c r="E207" s="16" t="e">
        <f>+IF(AND(B207&gt;=#REF!,B207&lt;=#REF!),"OUI","NON")</f>
        <v>#REF!</v>
      </c>
      <c r="F207" s="16" t="e">
        <f t="array" ref="F207">IF(E207="OUI",MAX(F$2:$O206)+1,"")</f>
        <v>#REF!</v>
      </c>
    </row>
    <row r="208" spans="1:6" x14ac:dyDescent="0.2">
      <c r="A208" s="471">
        <f t="shared" si="11"/>
        <v>48245</v>
      </c>
      <c r="B208" s="30">
        <v>48245</v>
      </c>
      <c r="C208" s="16">
        <f t="shared" si="9"/>
        <v>0</v>
      </c>
      <c r="D208" s="16">
        <f t="shared" si="10"/>
        <v>0</v>
      </c>
      <c r="E208" s="16" t="e">
        <f>+IF(AND(B208&gt;=#REF!,B208&lt;=#REF!),"OUI","NON")</f>
        <v>#REF!</v>
      </c>
      <c r="F208" s="16" t="e">
        <f t="array" ref="F208">IF(E208="OUI",MAX(F$2:$O207)+1,"")</f>
        <v>#REF!</v>
      </c>
    </row>
    <row r="209" spans="1:6" x14ac:dyDescent="0.2">
      <c r="A209" s="471">
        <f t="shared" si="11"/>
        <v>48274</v>
      </c>
      <c r="B209" s="30">
        <v>48274</v>
      </c>
      <c r="C209" s="16">
        <f t="shared" si="9"/>
        <v>0</v>
      </c>
      <c r="D209" s="16">
        <f t="shared" si="10"/>
        <v>0</v>
      </c>
      <c r="E209" s="16" t="e">
        <f>+IF(AND(B209&gt;=#REF!,B209&lt;=#REF!),"OUI","NON")</f>
        <v>#REF!</v>
      </c>
      <c r="F209" s="16" t="e">
        <f t="array" ref="F209">IF(E209="OUI",MAX(F$2:$O208)+1,"")</f>
        <v>#REF!</v>
      </c>
    </row>
    <row r="210" spans="1:6" x14ac:dyDescent="0.2">
      <c r="A210" s="471">
        <f t="shared" si="11"/>
        <v>48305</v>
      </c>
      <c r="B210" s="30">
        <v>48305</v>
      </c>
      <c r="C210" s="16">
        <f t="shared" si="9"/>
        <v>0</v>
      </c>
      <c r="D210" s="16">
        <f t="shared" si="10"/>
        <v>0</v>
      </c>
      <c r="E210" s="16" t="e">
        <f>+IF(AND(B210&gt;=#REF!,B210&lt;=#REF!),"OUI","NON")</f>
        <v>#REF!</v>
      </c>
      <c r="F210" s="16" t="e">
        <f t="array" ref="F210">IF(E210="OUI",MAX(F$2:$O209)+1,"")</f>
        <v>#REF!</v>
      </c>
    </row>
    <row r="211" spans="1:6" x14ac:dyDescent="0.2">
      <c r="A211" s="471">
        <f t="shared" si="11"/>
        <v>48335</v>
      </c>
      <c r="B211" s="30">
        <v>48335</v>
      </c>
      <c r="C211" s="16">
        <f t="shared" si="9"/>
        <v>0</v>
      </c>
      <c r="D211" s="16">
        <f t="shared" si="10"/>
        <v>0</v>
      </c>
      <c r="E211" s="16" t="e">
        <f>+IF(AND(B211&gt;=#REF!,B211&lt;=#REF!),"OUI","NON")</f>
        <v>#REF!</v>
      </c>
      <c r="F211" s="16" t="e">
        <f t="array" ref="F211">IF(E211="OUI",MAX(F$2:$O210)+1,"")</f>
        <v>#REF!</v>
      </c>
    </row>
    <row r="212" spans="1:6" x14ac:dyDescent="0.2">
      <c r="A212" s="471">
        <f t="shared" si="11"/>
        <v>48366</v>
      </c>
      <c r="B212" s="30">
        <v>48366</v>
      </c>
      <c r="C212" s="16">
        <f t="shared" si="9"/>
        <v>0</v>
      </c>
      <c r="D212" s="16">
        <f t="shared" si="10"/>
        <v>0</v>
      </c>
      <c r="E212" s="16" t="e">
        <f>+IF(AND(B212&gt;=#REF!,B212&lt;=#REF!),"OUI","NON")</f>
        <v>#REF!</v>
      </c>
      <c r="F212" s="16" t="e">
        <f t="array" ref="F212">IF(E212="OUI",MAX(F$2:$O211)+1,"")</f>
        <v>#REF!</v>
      </c>
    </row>
    <row r="213" spans="1:6" x14ac:dyDescent="0.2">
      <c r="A213" s="471">
        <f t="shared" si="11"/>
        <v>48396</v>
      </c>
      <c r="B213" s="30">
        <v>48396</v>
      </c>
      <c r="C213" s="16">
        <f t="shared" si="9"/>
        <v>0</v>
      </c>
      <c r="D213" s="16">
        <f t="shared" si="10"/>
        <v>0</v>
      </c>
      <c r="E213" s="16" t="e">
        <f>+IF(AND(B213&gt;=#REF!,B213&lt;=#REF!),"OUI","NON")</f>
        <v>#REF!</v>
      </c>
      <c r="F213" s="16" t="e">
        <f t="array" ref="F213">IF(E213="OUI",MAX(F$2:$O212)+1,"")</f>
        <v>#REF!</v>
      </c>
    </row>
    <row r="214" spans="1:6" x14ac:dyDescent="0.2">
      <c r="A214" s="471">
        <f t="shared" si="11"/>
        <v>48427</v>
      </c>
      <c r="B214" s="30">
        <v>48427</v>
      </c>
      <c r="C214" s="16">
        <f t="shared" si="9"/>
        <v>0</v>
      </c>
      <c r="D214" s="16">
        <f t="shared" si="10"/>
        <v>0</v>
      </c>
      <c r="E214" s="16" t="e">
        <f>+IF(AND(B214&gt;=#REF!,B214&lt;=#REF!),"OUI","NON")</f>
        <v>#REF!</v>
      </c>
      <c r="F214" s="16" t="e">
        <f t="array" ref="F214">IF(E214="OUI",MAX(F$2:$O213)+1,"")</f>
        <v>#REF!</v>
      </c>
    </row>
    <row r="215" spans="1:6" x14ac:dyDescent="0.2">
      <c r="A215" s="471">
        <f t="shared" si="11"/>
        <v>48458</v>
      </c>
      <c r="B215" s="30">
        <v>48458</v>
      </c>
      <c r="C215" s="16">
        <f t="shared" si="9"/>
        <v>0</v>
      </c>
      <c r="D215" s="16">
        <f t="shared" si="10"/>
        <v>0</v>
      </c>
      <c r="E215" s="16" t="e">
        <f>+IF(AND(B215&gt;=#REF!,B215&lt;=#REF!),"OUI","NON")</f>
        <v>#REF!</v>
      </c>
      <c r="F215" s="16" t="e">
        <f t="array" ref="F215">IF(E215="OUI",MAX(F$2:$O214)+1,"")</f>
        <v>#REF!</v>
      </c>
    </row>
    <row r="216" spans="1:6" x14ac:dyDescent="0.2">
      <c r="A216" s="471">
        <f t="shared" si="11"/>
        <v>48488</v>
      </c>
      <c r="B216" s="30">
        <v>48488</v>
      </c>
      <c r="C216" s="16">
        <f t="shared" si="9"/>
        <v>0</v>
      </c>
      <c r="D216" s="16">
        <f t="shared" si="10"/>
        <v>0</v>
      </c>
      <c r="E216" s="16" t="e">
        <f>+IF(AND(B216&gt;=#REF!,B216&lt;=#REF!),"OUI","NON")</f>
        <v>#REF!</v>
      </c>
      <c r="F216" s="16" t="e">
        <f t="array" ref="F216">IF(E216="OUI",MAX(F$2:$O215)+1,"")</f>
        <v>#REF!</v>
      </c>
    </row>
    <row r="217" spans="1:6" x14ac:dyDescent="0.2">
      <c r="A217" s="471">
        <f t="shared" si="11"/>
        <v>48519</v>
      </c>
      <c r="B217" s="30">
        <v>48519</v>
      </c>
      <c r="C217" s="16">
        <f t="shared" si="9"/>
        <v>0</v>
      </c>
      <c r="D217" s="16">
        <f t="shared" si="10"/>
        <v>0</v>
      </c>
      <c r="E217" s="16" t="e">
        <f>+IF(AND(B217&gt;=#REF!,B217&lt;=#REF!),"OUI","NON")</f>
        <v>#REF!</v>
      </c>
      <c r="F217" s="16" t="e">
        <f t="array" ref="F217">IF(E217="OUI",MAX(F$2:$O216)+1,"")</f>
        <v>#REF!</v>
      </c>
    </row>
    <row r="218" spans="1:6" x14ac:dyDescent="0.2">
      <c r="A218" s="471">
        <f t="shared" si="11"/>
        <v>48549</v>
      </c>
      <c r="B218" s="30">
        <v>48549</v>
      </c>
      <c r="C218" s="16">
        <f t="shared" si="9"/>
        <v>0</v>
      </c>
      <c r="D218" s="16">
        <f t="shared" si="10"/>
        <v>0</v>
      </c>
      <c r="E218" s="16" t="e">
        <f>+IF(AND(B218&gt;=#REF!,B218&lt;=#REF!),"OUI","NON")</f>
        <v>#REF!</v>
      </c>
      <c r="F218" s="16" t="e">
        <f t="array" ref="F218">IF(E218="OUI",MAX(F$2:$O217)+1,"")</f>
        <v>#REF!</v>
      </c>
    </row>
    <row r="219" spans="1:6" x14ac:dyDescent="0.2">
      <c r="A219" s="471">
        <f t="shared" si="11"/>
        <v>48580</v>
      </c>
      <c r="B219" s="30">
        <v>48580</v>
      </c>
      <c r="C219" s="16">
        <f t="shared" si="9"/>
        <v>0</v>
      </c>
      <c r="D219" s="16">
        <f t="shared" si="10"/>
        <v>0</v>
      </c>
      <c r="E219" s="16" t="e">
        <f>+IF(AND(B219&gt;=#REF!,B219&lt;=#REF!),"OUI","NON")</f>
        <v>#REF!</v>
      </c>
      <c r="F219" s="16" t="e">
        <f t="array" ref="F219">IF(E219="OUI",MAX(F$2:$O218)+1,"")</f>
        <v>#REF!</v>
      </c>
    </row>
    <row r="220" spans="1:6" x14ac:dyDescent="0.2">
      <c r="A220" s="471">
        <f t="shared" si="11"/>
        <v>48611</v>
      </c>
      <c r="B220" s="30">
        <v>48611</v>
      </c>
      <c r="C220" s="16">
        <f t="shared" si="9"/>
        <v>0</v>
      </c>
      <c r="D220" s="16">
        <f t="shared" si="10"/>
        <v>0</v>
      </c>
      <c r="E220" s="16" t="e">
        <f>+IF(AND(B220&gt;=#REF!,B220&lt;=#REF!),"OUI","NON")</f>
        <v>#REF!</v>
      </c>
      <c r="F220" s="16" t="e">
        <f t="array" ref="F220">IF(E220="OUI",MAX(F$2:$O219)+1,"")</f>
        <v>#REF!</v>
      </c>
    </row>
    <row r="221" spans="1:6" x14ac:dyDescent="0.2">
      <c r="A221" s="471">
        <f t="shared" si="11"/>
        <v>48639</v>
      </c>
      <c r="B221" s="30">
        <v>48639</v>
      </c>
      <c r="C221" s="16">
        <f t="shared" si="9"/>
        <v>0</v>
      </c>
      <c r="D221" s="16">
        <f t="shared" si="10"/>
        <v>0</v>
      </c>
      <c r="E221" s="16" t="e">
        <f>+IF(AND(B221&gt;=#REF!,B221&lt;=#REF!),"OUI","NON")</f>
        <v>#REF!</v>
      </c>
      <c r="F221" s="16" t="e">
        <f t="array" ref="F221">IF(E221="OUI",MAX(F$2:$O220)+1,"")</f>
        <v>#REF!</v>
      </c>
    </row>
    <row r="222" spans="1:6" x14ac:dyDescent="0.2">
      <c r="A222" s="471">
        <f t="shared" si="11"/>
        <v>48670</v>
      </c>
      <c r="B222" s="30">
        <v>48670</v>
      </c>
      <c r="C222" s="16">
        <f t="shared" si="9"/>
        <v>0</v>
      </c>
      <c r="D222" s="16">
        <f t="shared" si="10"/>
        <v>0</v>
      </c>
      <c r="E222" s="16" t="e">
        <f>+IF(AND(B222&gt;=#REF!,B222&lt;=#REF!),"OUI","NON")</f>
        <v>#REF!</v>
      </c>
      <c r="F222" s="16" t="e">
        <f t="array" ref="F222">IF(E222="OUI",MAX(F$2:$O221)+1,"")</f>
        <v>#REF!</v>
      </c>
    </row>
    <row r="223" spans="1:6" x14ac:dyDescent="0.2">
      <c r="A223" s="471">
        <f t="shared" si="11"/>
        <v>48700</v>
      </c>
      <c r="B223" s="30">
        <v>48700</v>
      </c>
      <c r="C223" s="16">
        <f t="shared" si="9"/>
        <v>0</v>
      </c>
      <c r="D223" s="16">
        <f t="shared" si="10"/>
        <v>0</v>
      </c>
      <c r="E223" s="16" t="e">
        <f>+IF(AND(B223&gt;=#REF!,B223&lt;=#REF!),"OUI","NON")</f>
        <v>#REF!</v>
      </c>
      <c r="F223" s="16" t="e">
        <f t="array" ref="F223">IF(E223="OUI",MAX(F$2:$O222)+1,"")</f>
        <v>#REF!</v>
      </c>
    </row>
    <row r="224" spans="1:6" x14ac:dyDescent="0.2">
      <c r="A224" s="471">
        <f t="shared" si="11"/>
        <v>48731</v>
      </c>
      <c r="B224" s="30">
        <v>48731</v>
      </c>
      <c r="C224" s="16">
        <f t="shared" si="9"/>
        <v>0</v>
      </c>
      <c r="D224" s="16">
        <f t="shared" si="10"/>
        <v>0</v>
      </c>
      <c r="E224" s="16" t="e">
        <f>+IF(AND(B224&gt;=#REF!,B224&lt;=#REF!),"OUI","NON")</f>
        <v>#REF!</v>
      </c>
      <c r="F224" s="16" t="e">
        <f t="array" ref="F224">IF(E224="OUI",MAX(F$2:$O223)+1,"")</f>
        <v>#REF!</v>
      </c>
    </row>
    <row r="225" spans="1:6" x14ac:dyDescent="0.2">
      <c r="A225" s="471">
        <f t="shared" si="11"/>
        <v>48761</v>
      </c>
      <c r="B225" s="30">
        <v>48761</v>
      </c>
      <c r="C225" s="16">
        <f t="shared" si="9"/>
        <v>0</v>
      </c>
      <c r="D225" s="16">
        <f t="shared" si="10"/>
        <v>0</v>
      </c>
      <c r="E225" s="16" t="e">
        <f>+IF(AND(B225&gt;=#REF!,B225&lt;=#REF!),"OUI","NON")</f>
        <v>#REF!</v>
      </c>
      <c r="F225" s="16" t="e">
        <f t="array" ref="F225">IF(E225="OUI",MAX(F$2:$O224)+1,"")</f>
        <v>#REF!</v>
      </c>
    </row>
    <row r="226" spans="1:6" x14ac:dyDescent="0.2">
      <c r="A226" s="471">
        <f t="shared" si="11"/>
        <v>48792</v>
      </c>
      <c r="B226" s="30">
        <v>48792</v>
      </c>
      <c r="C226" s="16">
        <f t="shared" si="9"/>
        <v>0</v>
      </c>
      <c r="D226" s="16">
        <f t="shared" si="10"/>
        <v>0</v>
      </c>
      <c r="E226" s="16" t="e">
        <f>+IF(AND(B226&gt;=#REF!,B226&lt;=#REF!),"OUI","NON")</f>
        <v>#REF!</v>
      </c>
      <c r="F226" s="16" t="e">
        <f t="array" ref="F226">IF(E226="OUI",MAX(F$2:$O225)+1,"")</f>
        <v>#REF!</v>
      </c>
    </row>
    <row r="227" spans="1:6" x14ac:dyDescent="0.2">
      <c r="A227" s="471">
        <f t="shared" si="11"/>
        <v>48823</v>
      </c>
      <c r="B227" s="30">
        <v>48823</v>
      </c>
      <c r="C227" s="16">
        <f t="shared" si="9"/>
        <v>0</v>
      </c>
      <c r="D227" s="16">
        <f t="shared" si="10"/>
        <v>0</v>
      </c>
      <c r="E227" s="16" t="e">
        <f>+IF(AND(B227&gt;=#REF!,B227&lt;=#REF!),"OUI","NON")</f>
        <v>#REF!</v>
      </c>
      <c r="F227" s="16" t="e">
        <f t="array" ref="F227">IF(E227="OUI",MAX(F$2:$O226)+1,"")</f>
        <v>#REF!</v>
      </c>
    </row>
    <row r="228" spans="1:6" x14ac:dyDescent="0.2">
      <c r="A228" s="471">
        <f t="shared" si="11"/>
        <v>48853</v>
      </c>
      <c r="B228" s="30">
        <v>48853</v>
      </c>
      <c r="C228" s="16">
        <f t="shared" si="9"/>
        <v>0</v>
      </c>
      <c r="D228" s="16">
        <f t="shared" si="10"/>
        <v>0</v>
      </c>
      <c r="E228" s="16" t="e">
        <f>+IF(AND(B228&gt;=#REF!,B228&lt;=#REF!),"OUI","NON")</f>
        <v>#REF!</v>
      </c>
      <c r="F228" s="16" t="e">
        <f t="array" ref="F228">IF(E228="OUI",MAX(F$2:$O227)+1,"")</f>
        <v>#REF!</v>
      </c>
    </row>
    <row r="229" spans="1:6" x14ac:dyDescent="0.2">
      <c r="A229" s="471">
        <f t="shared" si="11"/>
        <v>48884</v>
      </c>
      <c r="B229" s="30">
        <v>48884</v>
      </c>
      <c r="C229" s="16">
        <f t="shared" si="9"/>
        <v>0</v>
      </c>
      <c r="D229" s="16">
        <f t="shared" si="10"/>
        <v>0</v>
      </c>
      <c r="E229" s="16" t="e">
        <f>+IF(AND(B229&gt;=#REF!,B229&lt;=#REF!),"OUI","NON")</f>
        <v>#REF!</v>
      </c>
      <c r="F229" s="16" t="e">
        <f t="array" ref="F229">IF(E229="OUI",MAX(F$2:$O228)+1,"")</f>
        <v>#REF!</v>
      </c>
    </row>
    <row r="230" spans="1:6" x14ac:dyDescent="0.2">
      <c r="A230" s="471">
        <f t="shared" si="11"/>
        <v>48914</v>
      </c>
      <c r="B230" s="30">
        <v>48914</v>
      </c>
      <c r="C230" s="16">
        <f t="shared" si="9"/>
        <v>0</v>
      </c>
      <c r="D230" s="16">
        <f t="shared" si="10"/>
        <v>0</v>
      </c>
      <c r="E230" s="16" t="e">
        <f>+IF(AND(B230&gt;=#REF!,B230&lt;=#REF!),"OUI","NON")</f>
        <v>#REF!</v>
      </c>
      <c r="F230" s="16" t="e">
        <f t="array" ref="F230">IF(E230="OUI",MAX(F$2:$O229)+1,"")</f>
        <v>#REF!</v>
      </c>
    </row>
    <row r="231" spans="1:6" x14ac:dyDescent="0.2">
      <c r="A231" s="471">
        <f t="shared" si="11"/>
        <v>48945</v>
      </c>
      <c r="B231" s="30">
        <v>48945</v>
      </c>
      <c r="C231" s="16">
        <f t="shared" si="9"/>
        <v>0</v>
      </c>
      <c r="D231" s="16">
        <f t="shared" si="10"/>
        <v>0</v>
      </c>
      <c r="E231" s="16" t="e">
        <f>+IF(AND(B231&gt;=#REF!,B231&lt;=#REF!),"OUI","NON")</f>
        <v>#REF!</v>
      </c>
      <c r="F231" s="16" t="e">
        <f t="array" ref="F231">IF(E231="OUI",MAX(F$2:$O230)+1,"")</f>
        <v>#REF!</v>
      </c>
    </row>
    <row r="232" spans="1:6" x14ac:dyDescent="0.2">
      <c r="A232" s="471">
        <f t="shared" si="11"/>
        <v>48976</v>
      </c>
      <c r="B232" s="30">
        <v>48976</v>
      </c>
      <c r="C232" s="16">
        <f t="shared" si="9"/>
        <v>0</v>
      </c>
      <c r="D232" s="16">
        <f t="shared" si="10"/>
        <v>0</v>
      </c>
      <c r="E232" s="16" t="e">
        <f>+IF(AND(B232&gt;=#REF!,B232&lt;=#REF!),"OUI","NON")</f>
        <v>#REF!</v>
      </c>
      <c r="F232" s="16" t="e">
        <f t="array" ref="F232">IF(E232="OUI",MAX(F$2:$O231)+1,"")</f>
        <v>#REF!</v>
      </c>
    </row>
    <row r="233" spans="1:6" x14ac:dyDescent="0.2">
      <c r="A233" s="471">
        <f t="shared" si="11"/>
        <v>49004</v>
      </c>
      <c r="B233" s="30">
        <v>49004</v>
      </c>
      <c r="C233" s="16">
        <f t="shared" si="9"/>
        <v>0</v>
      </c>
      <c r="D233" s="16">
        <f t="shared" si="10"/>
        <v>0</v>
      </c>
      <c r="E233" s="16" t="e">
        <f>+IF(AND(B233&gt;=#REF!,B233&lt;=#REF!),"OUI","NON")</f>
        <v>#REF!</v>
      </c>
      <c r="F233" s="16" t="e">
        <f t="array" ref="F233">IF(E233="OUI",MAX(F$2:$O232)+1,"")</f>
        <v>#REF!</v>
      </c>
    </row>
    <row r="234" spans="1:6" x14ac:dyDescent="0.2">
      <c r="A234" s="471">
        <f t="shared" si="11"/>
        <v>49035</v>
      </c>
      <c r="B234" s="30">
        <v>49035</v>
      </c>
      <c r="C234" s="16">
        <f t="shared" si="9"/>
        <v>0</v>
      </c>
      <c r="D234" s="16">
        <f t="shared" si="10"/>
        <v>0</v>
      </c>
      <c r="E234" s="16" t="e">
        <f>+IF(AND(B234&gt;=#REF!,B234&lt;=#REF!),"OUI","NON")</f>
        <v>#REF!</v>
      </c>
      <c r="F234" s="16" t="e">
        <f t="array" ref="F234">IF(E234="OUI",MAX(F$2:$O233)+1,"")</f>
        <v>#REF!</v>
      </c>
    </row>
    <row r="235" spans="1:6" x14ac:dyDescent="0.2">
      <c r="A235" s="471">
        <f t="shared" si="11"/>
        <v>49065</v>
      </c>
      <c r="B235" s="30">
        <v>49065</v>
      </c>
      <c r="C235" s="16">
        <f t="shared" si="9"/>
        <v>0</v>
      </c>
      <c r="D235" s="16">
        <f t="shared" si="10"/>
        <v>0</v>
      </c>
      <c r="E235" s="16" t="e">
        <f>+IF(AND(B235&gt;=#REF!,B235&lt;=#REF!),"OUI","NON")</f>
        <v>#REF!</v>
      </c>
      <c r="F235" s="16" t="e">
        <f t="array" ref="F235">IF(E235="OUI",MAX(F$2:$O234)+1,"")</f>
        <v>#REF!</v>
      </c>
    </row>
    <row r="236" spans="1:6" x14ac:dyDescent="0.2">
      <c r="A236" s="471">
        <f t="shared" si="11"/>
        <v>49096</v>
      </c>
      <c r="B236" s="30">
        <v>49096</v>
      </c>
      <c r="C236" s="16">
        <f t="shared" si="9"/>
        <v>0</v>
      </c>
      <c r="D236" s="16">
        <f t="shared" si="10"/>
        <v>0</v>
      </c>
      <c r="E236" s="16" t="e">
        <f>+IF(AND(B236&gt;=#REF!,B236&lt;=#REF!),"OUI","NON")</f>
        <v>#REF!</v>
      </c>
      <c r="F236" s="16" t="e">
        <f t="array" ref="F236">IF(E236="OUI",MAX(F$2:$O235)+1,"")</f>
        <v>#REF!</v>
      </c>
    </row>
    <row r="237" spans="1:6" x14ac:dyDescent="0.2">
      <c r="A237" s="471">
        <f t="shared" si="11"/>
        <v>49126</v>
      </c>
      <c r="B237" s="30">
        <v>49126</v>
      </c>
      <c r="C237" s="16">
        <f t="shared" si="9"/>
        <v>0</v>
      </c>
      <c r="D237" s="16">
        <f t="shared" si="10"/>
        <v>0</v>
      </c>
      <c r="E237" s="16" t="e">
        <f>+IF(AND(B237&gt;=#REF!,B237&lt;=#REF!),"OUI","NON")</f>
        <v>#REF!</v>
      </c>
      <c r="F237" s="16" t="e">
        <f t="array" ref="F237">IF(E237="OUI",MAX(F$2:$O236)+1,"")</f>
        <v>#REF!</v>
      </c>
    </row>
    <row r="238" spans="1:6" x14ac:dyDescent="0.2">
      <c r="A238" s="471">
        <f t="shared" si="11"/>
        <v>49157</v>
      </c>
      <c r="B238" s="30">
        <v>49157</v>
      </c>
      <c r="C238" s="16">
        <f t="shared" si="9"/>
        <v>0</v>
      </c>
      <c r="D238" s="16">
        <f t="shared" si="10"/>
        <v>0</v>
      </c>
      <c r="E238" s="16" t="e">
        <f>+IF(AND(B238&gt;=#REF!,B238&lt;=#REF!),"OUI","NON")</f>
        <v>#REF!</v>
      </c>
      <c r="F238" s="16" t="e">
        <f t="array" ref="F238">IF(E238="OUI",MAX(F$2:$O237)+1,"")</f>
        <v>#REF!</v>
      </c>
    </row>
    <row r="239" spans="1:6" x14ac:dyDescent="0.2">
      <c r="A239" s="471">
        <f t="shared" si="11"/>
        <v>49188</v>
      </c>
      <c r="B239" s="30">
        <v>49188</v>
      </c>
      <c r="C239" s="16">
        <f t="shared" si="9"/>
        <v>0</v>
      </c>
      <c r="D239" s="16">
        <f t="shared" si="10"/>
        <v>0</v>
      </c>
      <c r="E239" s="16" t="e">
        <f>+IF(AND(B239&gt;=#REF!,B239&lt;=#REF!),"OUI","NON")</f>
        <v>#REF!</v>
      </c>
      <c r="F239" s="16" t="e">
        <f t="array" ref="F239">IF(E239="OUI",MAX(F$2:$O238)+1,"")</f>
        <v>#REF!</v>
      </c>
    </row>
    <row r="240" spans="1:6" x14ac:dyDescent="0.2">
      <c r="A240" s="471">
        <f t="shared" si="11"/>
        <v>49218</v>
      </c>
      <c r="B240" s="30">
        <v>49218</v>
      </c>
      <c r="C240" s="16">
        <f t="shared" si="9"/>
        <v>0</v>
      </c>
      <c r="D240" s="16">
        <f t="shared" si="10"/>
        <v>0</v>
      </c>
      <c r="E240" s="16" t="e">
        <f>+IF(AND(B240&gt;=#REF!,B240&lt;=#REF!),"OUI","NON")</f>
        <v>#REF!</v>
      </c>
      <c r="F240" s="16" t="e">
        <f t="array" ref="F240">IF(E240="OUI",MAX(F$2:$O239)+1,"")</f>
        <v>#REF!</v>
      </c>
    </row>
    <row r="241" spans="1:6" x14ac:dyDescent="0.2">
      <c r="A241" s="471">
        <f t="shared" si="11"/>
        <v>49249</v>
      </c>
      <c r="B241" s="30">
        <v>49249</v>
      </c>
      <c r="C241" s="16">
        <f t="shared" si="9"/>
        <v>0</v>
      </c>
      <c r="D241" s="16">
        <f t="shared" si="10"/>
        <v>0</v>
      </c>
      <c r="E241" s="16" t="e">
        <f>+IF(AND(B241&gt;=#REF!,B241&lt;=#REF!),"OUI","NON")</f>
        <v>#REF!</v>
      </c>
      <c r="F241" s="16" t="e">
        <f t="array" ref="F241">IF(E241="OUI",MAX(F$2:$O240)+1,"")</f>
        <v>#REF!</v>
      </c>
    </row>
    <row r="242" spans="1:6" x14ac:dyDescent="0.2">
      <c r="A242" s="471">
        <f t="shared" si="11"/>
        <v>49279</v>
      </c>
      <c r="B242" s="30">
        <v>49279</v>
      </c>
      <c r="C242" s="16">
        <f t="shared" si="9"/>
        <v>0</v>
      </c>
      <c r="D242" s="16">
        <f t="shared" si="10"/>
        <v>0</v>
      </c>
      <c r="E242" s="16" t="e">
        <f>+IF(AND(B242&gt;=#REF!,B242&lt;=#REF!),"OUI","NON")</f>
        <v>#REF!</v>
      </c>
      <c r="F242" s="16" t="e">
        <f t="array" ref="F242">IF(E242="OUI",MAX(F$2:$O241)+1,"")</f>
        <v>#REF!</v>
      </c>
    </row>
    <row r="243" spans="1:6" x14ac:dyDescent="0.2">
      <c r="A243" s="471">
        <f t="shared" si="11"/>
        <v>49310</v>
      </c>
      <c r="B243" s="30">
        <v>49310</v>
      </c>
      <c r="C243" s="16">
        <f t="shared" si="9"/>
        <v>0</v>
      </c>
      <c r="D243" s="16">
        <f t="shared" si="10"/>
        <v>0</v>
      </c>
      <c r="E243" s="16" t="e">
        <f>+IF(AND(B243&gt;=#REF!,B243&lt;=#REF!),"OUI","NON")</f>
        <v>#REF!</v>
      </c>
      <c r="F243" s="16" t="e">
        <f t="array" ref="F243">IF(E243="OUI",MAX(F$2:$O242)+1,"")</f>
        <v>#REF!</v>
      </c>
    </row>
    <row r="244" spans="1:6" x14ac:dyDescent="0.2">
      <c r="A244" s="471">
        <f t="shared" si="11"/>
        <v>49341</v>
      </c>
      <c r="B244" s="30">
        <v>49341</v>
      </c>
      <c r="C244" s="16">
        <f t="shared" si="9"/>
        <v>0</v>
      </c>
      <c r="D244" s="16">
        <f t="shared" si="10"/>
        <v>0</v>
      </c>
      <c r="E244" s="16" t="e">
        <f>+IF(AND(B244&gt;=#REF!,B244&lt;=#REF!),"OUI","NON")</f>
        <v>#REF!</v>
      </c>
      <c r="F244" s="16" t="e">
        <f t="array" ref="F244">IF(E244="OUI",MAX(F$2:$O243)+1,"")</f>
        <v>#REF!</v>
      </c>
    </row>
    <row r="245" spans="1:6" x14ac:dyDescent="0.2">
      <c r="A245" s="471">
        <f t="shared" si="11"/>
        <v>49369</v>
      </c>
      <c r="B245" s="30">
        <v>49369</v>
      </c>
      <c r="C245" s="16">
        <f t="shared" si="9"/>
        <v>0</v>
      </c>
      <c r="D245" s="16">
        <f t="shared" si="10"/>
        <v>0</v>
      </c>
      <c r="E245" s="16" t="e">
        <f>+IF(AND(B245&gt;=#REF!,B245&lt;=#REF!),"OUI","NON")</f>
        <v>#REF!</v>
      </c>
      <c r="F245" s="16" t="e">
        <f t="array" ref="F245">IF(E245="OUI",MAX(F$2:$O244)+1,"")</f>
        <v>#REF!</v>
      </c>
    </row>
    <row r="246" spans="1:6" x14ac:dyDescent="0.2">
      <c r="A246" s="471">
        <f t="shared" si="11"/>
        <v>49400</v>
      </c>
      <c r="B246" s="30">
        <v>49400</v>
      </c>
      <c r="C246" s="16">
        <f t="shared" si="9"/>
        <v>0</v>
      </c>
      <c r="D246" s="16">
        <f t="shared" si="10"/>
        <v>0</v>
      </c>
      <c r="E246" s="16" t="e">
        <f>+IF(AND(B246&gt;=#REF!,B246&lt;=#REF!),"OUI","NON")</f>
        <v>#REF!</v>
      </c>
      <c r="F246" s="16" t="e">
        <f t="array" ref="F246">IF(E246="OUI",MAX(F$2:$O245)+1,"")</f>
        <v>#REF!</v>
      </c>
    </row>
    <row r="247" spans="1:6" x14ac:dyDescent="0.2">
      <c r="A247" s="471">
        <f t="shared" si="11"/>
        <v>49430</v>
      </c>
      <c r="B247" s="30">
        <v>49430</v>
      </c>
      <c r="C247" s="16">
        <f t="shared" si="9"/>
        <v>0</v>
      </c>
      <c r="D247" s="16">
        <f t="shared" si="10"/>
        <v>0</v>
      </c>
      <c r="E247" s="16" t="e">
        <f>+IF(AND(B247&gt;=#REF!,B247&lt;=#REF!),"OUI","NON")</f>
        <v>#REF!</v>
      </c>
      <c r="F247" s="16" t="e">
        <f t="array" ref="F247">IF(E247="OUI",MAX(F$2:$O246)+1,"")</f>
        <v>#REF!</v>
      </c>
    </row>
    <row r="248" spans="1:6" x14ac:dyDescent="0.2">
      <c r="A248" s="471">
        <f t="shared" si="11"/>
        <v>49461</v>
      </c>
      <c r="B248" s="30">
        <v>49461</v>
      </c>
      <c r="C248" s="16">
        <f t="shared" si="9"/>
        <v>0</v>
      </c>
      <c r="D248" s="16">
        <f t="shared" si="10"/>
        <v>0</v>
      </c>
      <c r="E248" s="16" t="e">
        <f>+IF(AND(B248&gt;=#REF!,B248&lt;=#REF!),"OUI","NON")</f>
        <v>#REF!</v>
      </c>
      <c r="F248" s="16" t="e">
        <f t="array" ref="F248">IF(E248="OUI",MAX(F$2:$O247)+1,"")</f>
        <v>#REF!</v>
      </c>
    </row>
    <row r="249" spans="1:6" x14ac:dyDescent="0.2">
      <c r="A249" s="471">
        <f t="shared" si="11"/>
        <v>49491</v>
      </c>
      <c r="B249" s="30">
        <v>49491</v>
      </c>
      <c r="C249" s="16">
        <f t="shared" si="9"/>
        <v>0</v>
      </c>
      <c r="D249" s="16">
        <f t="shared" si="10"/>
        <v>0</v>
      </c>
      <c r="E249" s="16" t="e">
        <f>+IF(AND(B249&gt;=#REF!,B249&lt;=#REF!),"OUI","NON")</f>
        <v>#REF!</v>
      </c>
      <c r="F249" s="16" t="e">
        <f t="array" ref="F249">IF(E249="OUI",MAX(F$2:$O248)+1,"")</f>
        <v>#REF!</v>
      </c>
    </row>
    <row r="250" spans="1:6" x14ac:dyDescent="0.2">
      <c r="A250" s="471">
        <f t="shared" si="11"/>
        <v>49522</v>
      </c>
      <c r="B250" s="30">
        <v>49522</v>
      </c>
      <c r="C250" s="16">
        <f t="shared" si="9"/>
        <v>0</v>
      </c>
      <c r="D250" s="16">
        <f t="shared" si="10"/>
        <v>0</v>
      </c>
      <c r="E250" s="16" t="e">
        <f>+IF(AND(B250&gt;=#REF!,B250&lt;=#REF!),"OUI","NON")</f>
        <v>#REF!</v>
      </c>
      <c r="F250" s="16" t="e">
        <f t="array" ref="F250">IF(E250="OUI",MAX(F$2:$O249)+1,"")</f>
        <v>#REF!</v>
      </c>
    </row>
    <row r="251" spans="1:6" x14ac:dyDescent="0.2">
      <c r="A251" s="471">
        <f t="shared" si="11"/>
        <v>49553</v>
      </c>
      <c r="B251" s="30">
        <v>49553</v>
      </c>
      <c r="C251" s="16">
        <f t="shared" si="9"/>
        <v>0</v>
      </c>
      <c r="D251" s="16">
        <f t="shared" si="10"/>
        <v>0</v>
      </c>
      <c r="E251" s="16" t="e">
        <f>+IF(AND(B251&gt;=#REF!,B251&lt;=#REF!),"OUI","NON")</f>
        <v>#REF!</v>
      </c>
      <c r="F251" s="16" t="e">
        <f t="array" ref="F251">IF(E251="OUI",MAX(F$2:$O250)+1,"")</f>
        <v>#REF!</v>
      </c>
    </row>
    <row r="252" spans="1:6" x14ac:dyDescent="0.2">
      <c r="A252" s="471">
        <f t="shared" si="11"/>
        <v>49583</v>
      </c>
      <c r="B252" s="30">
        <v>49583</v>
      </c>
      <c r="C252" s="16">
        <f t="shared" si="9"/>
        <v>0</v>
      </c>
      <c r="D252" s="16">
        <f t="shared" si="10"/>
        <v>0</v>
      </c>
      <c r="E252" s="16" t="e">
        <f>+IF(AND(B252&gt;=#REF!,B252&lt;=#REF!),"OUI","NON")</f>
        <v>#REF!</v>
      </c>
      <c r="F252" s="16" t="e">
        <f t="array" ref="F252">IF(E252="OUI",MAX(F$2:$O251)+1,"")</f>
        <v>#REF!</v>
      </c>
    </row>
    <row r="253" spans="1:6" x14ac:dyDescent="0.2">
      <c r="A253" s="471">
        <f t="shared" si="11"/>
        <v>49614</v>
      </c>
      <c r="B253" s="30">
        <v>49614</v>
      </c>
      <c r="C253" s="16">
        <f t="shared" si="9"/>
        <v>0</v>
      </c>
      <c r="D253" s="16">
        <f t="shared" si="10"/>
        <v>0</v>
      </c>
      <c r="E253" s="16" t="e">
        <f>+IF(AND(B253&gt;=#REF!,B253&lt;=#REF!),"OUI","NON")</f>
        <v>#REF!</v>
      </c>
      <c r="F253" s="16" t="e">
        <f t="array" ref="F253">IF(E253="OUI",MAX(F$2:$O252)+1,"")</f>
        <v>#REF!</v>
      </c>
    </row>
    <row r="254" spans="1:6" x14ac:dyDescent="0.2">
      <c r="A254" s="471">
        <f t="shared" si="11"/>
        <v>49644</v>
      </c>
      <c r="B254" s="30">
        <v>49644</v>
      </c>
      <c r="C254" s="16">
        <f t="shared" si="9"/>
        <v>0</v>
      </c>
      <c r="D254" s="16">
        <f t="shared" si="10"/>
        <v>0</v>
      </c>
      <c r="E254" s="16" t="e">
        <f>+IF(AND(B254&gt;=#REF!,B254&lt;=#REF!),"OUI","NON")</f>
        <v>#REF!</v>
      </c>
      <c r="F254" s="16" t="e">
        <f t="array" ref="F254">IF(E254="OUI",MAX(F$2:$O253)+1,"")</f>
        <v>#REF!</v>
      </c>
    </row>
    <row r="255" spans="1:6" x14ac:dyDescent="0.2">
      <c r="A255" s="471">
        <f t="shared" si="11"/>
        <v>49675</v>
      </c>
      <c r="B255" s="30">
        <v>49675</v>
      </c>
      <c r="C255" s="16">
        <f t="shared" si="9"/>
        <v>0</v>
      </c>
      <c r="D255" s="16">
        <f t="shared" si="10"/>
        <v>0</v>
      </c>
      <c r="E255" s="16" t="e">
        <f>+IF(AND(B255&gt;=#REF!,B255&lt;=#REF!),"OUI","NON")</f>
        <v>#REF!</v>
      </c>
      <c r="F255" s="16" t="e">
        <f t="array" ref="F255">IF(E255="OUI",MAX(F$2:$O254)+1,"")</f>
        <v>#REF!</v>
      </c>
    </row>
    <row r="256" spans="1:6" x14ac:dyDescent="0.2">
      <c r="A256" s="471">
        <f t="shared" si="11"/>
        <v>49706</v>
      </c>
      <c r="B256" s="30">
        <v>49706</v>
      </c>
      <c r="C256" s="16">
        <f t="shared" si="9"/>
        <v>0</v>
      </c>
      <c r="D256" s="16">
        <f t="shared" si="10"/>
        <v>0</v>
      </c>
      <c r="E256" s="16" t="e">
        <f>+IF(AND(B256&gt;=#REF!,B256&lt;=#REF!),"OUI","NON")</f>
        <v>#REF!</v>
      </c>
      <c r="F256" s="16" t="e">
        <f t="array" ref="F256">IF(E256="OUI",MAX(F$2:$O255)+1,"")</f>
        <v>#REF!</v>
      </c>
    </row>
    <row r="257" spans="1:6" x14ac:dyDescent="0.2">
      <c r="A257" s="471">
        <f t="shared" si="11"/>
        <v>49735</v>
      </c>
      <c r="B257" s="30">
        <v>49735</v>
      </c>
      <c r="C257" s="16">
        <f t="shared" si="9"/>
        <v>0</v>
      </c>
      <c r="D257" s="16">
        <f t="shared" si="10"/>
        <v>0</v>
      </c>
      <c r="E257" s="16" t="e">
        <f>+IF(AND(B257&gt;=#REF!,B257&lt;=#REF!),"OUI","NON")</f>
        <v>#REF!</v>
      </c>
      <c r="F257" s="16" t="e">
        <f t="array" ref="F257">IF(E257="OUI",MAX(F$2:$O256)+1,"")</f>
        <v>#REF!</v>
      </c>
    </row>
    <row r="258" spans="1:6" x14ac:dyDescent="0.2">
      <c r="A258" s="471">
        <f t="shared" si="11"/>
        <v>49766</v>
      </c>
      <c r="B258" s="30">
        <v>49766</v>
      </c>
      <c r="C258" s="16">
        <f t="shared" si="9"/>
        <v>0</v>
      </c>
      <c r="D258" s="16">
        <f t="shared" si="10"/>
        <v>0</v>
      </c>
      <c r="E258" s="16" t="e">
        <f>+IF(AND(B258&gt;=#REF!,B258&lt;=#REF!),"OUI","NON")</f>
        <v>#REF!</v>
      </c>
      <c r="F258" s="16" t="e">
        <f t="array" ref="F258">IF(E258="OUI",MAX(F$2:$O257)+1,"")</f>
        <v>#REF!</v>
      </c>
    </row>
    <row r="259" spans="1:6" x14ac:dyDescent="0.2">
      <c r="A259" s="471">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71">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71">
        <f t="shared" si="14"/>
        <v>49857</v>
      </c>
      <c r="B261" s="30">
        <v>49857</v>
      </c>
      <c r="C261" s="16">
        <f t="shared" si="12"/>
        <v>0</v>
      </c>
      <c r="D261" s="16">
        <f t="shared" si="13"/>
        <v>0</v>
      </c>
      <c r="E261" s="16" t="e">
        <f>+IF(AND(B261&gt;=#REF!,B261&lt;=#REF!),"OUI","NON")</f>
        <v>#REF!</v>
      </c>
      <c r="F261" s="16" t="e">
        <f t="array" ref="F261">IF(E261="OUI",MAX(F$2:$O260)+1,"")</f>
        <v>#REF!</v>
      </c>
    </row>
    <row r="262" spans="1:6" x14ac:dyDescent="0.2">
      <c r="A262" s="471">
        <f t="shared" si="14"/>
        <v>49888</v>
      </c>
      <c r="B262" s="30">
        <v>49888</v>
      </c>
      <c r="C262" s="16">
        <f t="shared" si="12"/>
        <v>0</v>
      </c>
      <c r="D262" s="16">
        <f t="shared" si="13"/>
        <v>0</v>
      </c>
      <c r="E262" s="16" t="e">
        <f>+IF(AND(B262&gt;=#REF!,B262&lt;=#REF!),"OUI","NON")</f>
        <v>#REF!</v>
      </c>
      <c r="F262" s="16" t="e">
        <f t="array" ref="F262">IF(E262="OUI",MAX(F$2:$O261)+1,"")</f>
        <v>#REF!</v>
      </c>
    </row>
    <row r="263" spans="1:6" x14ac:dyDescent="0.2">
      <c r="A263" s="471">
        <f t="shared" si="14"/>
        <v>49919</v>
      </c>
      <c r="B263" s="30">
        <v>49919</v>
      </c>
      <c r="C263" s="16">
        <f t="shared" si="12"/>
        <v>0</v>
      </c>
      <c r="D263" s="16">
        <f t="shared" si="13"/>
        <v>0</v>
      </c>
      <c r="E263" s="16" t="e">
        <f>+IF(AND(B263&gt;=#REF!,B263&lt;=#REF!),"OUI","NON")</f>
        <v>#REF!</v>
      </c>
      <c r="F263" s="16" t="e">
        <f t="array" ref="F263">IF(E263="OUI",MAX(F$2:$O262)+1,"")</f>
        <v>#REF!</v>
      </c>
    </row>
    <row r="264" spans="1:6" x14ac:dyDescent="0.2">
      <c r="A264" s="471">
        <f t="shared" si="14"/>
        <v>49949</v>
      </c>
      <c r="B264" s="30">
        <v>49949</v>
      </c>
      <c r="C264" s="16">
        <f t="shared" si="12"/>
        <v>0</v>
      </c>
      <c r="D264" s="16">
        <f t="shared" si="13"/>
        <v>0</v>
      </c>
      <c r="E264" s="16" t="e">
        <f>+IF(AND(B264&gt;=#REF!,B264&lt;=#REF!),"OUI","NON")</f>
        <v>#REF!</v>
      </c>
      <c r="F264" s="16" t="e">
        <f t="array" ref="F264">IF(E264="OUI",MAX(F$2:$O263)+1,"")</f>
        <v>#REF!</v>
      </c>
    </row>
    <row r="265" spans="1:6" x14ac:dyDescent="0.2">
      <c r="A265" s="471">
        <f t="shared" si="14"/>
        <v>49980</v>
      </c>
      <c r="B265" s="30">
        <v>49980</v>
      </c>
      <c r="C265" s="16">
        <f t="shared" si="12"/>
        <v>0</v>
      </c>
      <c r="D265" s="16">
        <f t="shared" si="13"/>
        <v>0</v>
      </c>
      <c r="E265" s="16" t="e">
        <f>+IF(AND(B265&gt;=#REF!,B265&lt;=#REF!),"OUI","NON")</f>
        <v>#REF!</v>
      </c>
      <c r="F265" s="16" t="e">
        <f t="array" ref="F265">IF(E265="OUI",MAX(F$2:$O264)+1,"")</f>
        <v>#REF!</v>
      </c>
    </row>
    <row r="266" spans="1:6" x14ac:dyDescent="0.2">
      <c r="A266" s="471">
        <f t="shared" si="14"/>
        <v>50010</v>
      </c>
      <c r="B266" s="30">
        <v>50010</v>
      </c>
      <c r="C266" s="16">
        <f t="shared" si="12"/>
        <v>0</v>
      </c>
      <c r="D266" s="16">
        <f t="shared" si="13"/>
        <v>0</v>
      </c>
      <c r="E266" s="16" t="e">
        <f>+IF(AND(B266&gt;=#REF!,B266&lt;=#REF!),"OUI","NON")</f>
        <v>#REF!</v>
      </c>
      <c r="F266" s="16" t="e">
        <f t="array" ref="F266">IF(E266="OUI",MAX(F$2:$O265)+1,"")</f>
        <v>#REF!</v>
      </c>
    </row>
    <row r="267" spans="1:6" x14ac:dyDescent="0.2">
      <c r="A267" s="471">
        <f t="shared" si="14"/>
        <v>50041</v>
      </c>
      <c r="B267" s="30">
        <v>50041</v>
      </c>
      <c r="C267" s="16">
        <f t="shared" si="12"/>
        <v>0</v>
      </c>
      <c r="D267" s="16">
        <f t="shared" si="13"/>
        <v>0</v>
      </c>
      <c r="E267" s="16" t="e">
        <f>+IF(AND(B267&gt;=#REF!,B267&lt;=#REF!),"OUI","NON")</f>
        <v>#REF!</v>
      </c>
      <c r="F267" s="16" t="e">
        <f t="array" ref="F267">IF(E267="OUI",MAX(F$2:$O266)+1,"")</f>
        <v>#REF!</v>
      </c>
    </row>
    <row r="268" spans="1:6" x14ac:dyDescent="0.2">
      <c r="A268" s="471">
        <f t="shared" si="14"/>
        <v>50072</v>
      </c>
      <c r="B268" s="30">
        <v>50072</v>
      </c>
      <c r="C268" s="16">
        <f t="shared" si="12"/>
        <v>0</v>
      </c>
      <c r="D268" s="16">
        <f t="shared" si="13"/>
        <v>0</v>
      </c>
      <c r="E268" s="16" t="e">
        <f>+IF(AND(B268&gt;=#REF!,B268&lt;=#REF!),"OUI","NON")</f>
        <v>#REF!</v>
      </c>
      <c r="F268" s="16" t="e">
        <f t="array" ref="F268">IF(E268="OUI",MAX(F$2:$O267)+1,"")</f>
        <v>#REF!</v>
      </c>
    </row>
    <row r="269" spans="1:6" x14ac:dyDescent="0.2">
      <c r="A269" s="471">
        <f t="shared" si="14"/>
        <v>50100</v>
      </c>
      <c r="B269" s="30">
        <v>50100</v>
      </c>
      <c r="C269" s="16">
        <f t="shared" si="12"/>
        <v>0</v>
      </c>
      <c r="D269" s="16">
        <f t="shared" si="13"/>
        <v>0</v>
      </c>
      <c r="E269" s="16" t="e">
        <f>+IF(AND(B269&gt;=#REF!,B269&lt;=#REF!),"OUI","NON")</f>
        <v>#REF!</v>
      </c>
      <c r="F269" s="16" t="e">
        <f t="array" ref="F269">IF(E269="OUI",MAX(F$2:$O268)+1,"")</f>
        <v>#REF!</v>
      </c>
    </row>
    <row r="270" spans="1:6" x14ac:dyDescent="0.2">
      <c r="A270" s="471">
        <f t="shared" si="14"/>
        <v>50131</v>
      </c>
      <c r="B270" s="30">
        <v>50131</v>
      </c>
      <c r="C270" s="16">
        <f t="shared" si="12"/>
        <v>0</v>
      </c>
      <c r="D270" s="16">
        <f t="shared" si="13"/>
        <v>0</v>
      </c>
      <c r="E270" s="16" t="e">
        <f>+IF(AND(B270&gt;=#REF!,B270&lt;=#REF!),"OUI","NON")</f>
        <v>#REF!</v>
      </c>
      <c r="F270" s="16" t="e">
        <f t="array" ref="F270">IF(E270="OUI",MAX(F$2:$O269)+1,"")</f>
        <v>#REF!</v>
      </c>
    </row>
    <row r="271" spans="1:6" x14ac:dyDescent="0.2">
      <c r="A271" s="471">
        <f t="shared" si="14"/>
        <v>50161</v>
      </c>
      <c r="B271" s="30">
        <v>50161</v>
      </c>
      <c r="C271" s="16">
        <f t="shared" si="12"/>
        <v>0</v>
      </c>
      <c r="D271" s="16">
        <f t="shared" si="13"/>
        <v>0</v>
      </c>
      <c r="E271" s="16" t="e">
        <f>+IF(AND(B271&gt;=#REF!,B271&lt;=#REF!),"OUI","NON")</f>
        <v>#REF!</v>
      </c>
      <c r="F271" s="16" t="e">
        <f t="array" ref="F271">IF(E271="OUI",MAX(F$2:$O270)+1,"")</f>
        <v>#REF!</v>
      </c>
    </row>
    <row r="272" spans="1:6" x14ac:dyDescent="0.2">
      <c r="A272" s="471">
        <f t="shared" si="14"/>
        <v>50192</v>
      </c>
      <c r="B272" s="30">
        <v>50192</v>
      </c>
      <c r="C272" s="16">
        <f t="shared" si="12"/>
        <v>0</v>
      </c>
      <c r="D272" s="16">
        <f t="shared" si="13"/>
        <v>0</v>
      </c>
      <c r="E272" s="16" t="e">
        <f>+IF(AND(B272&gt;=#REF!,B272&lt;=#REF!),"OUI","NON")</f>
        <v>#REF!</v>
      </c>
      <c r="F272" s="16" t="e">
        <f t="array" ref="F272">IF(E272="OUI",MAX(F$2:$O271)+1,"")</f>
        <v>#REF!</v>
      </c>
    </row>
    <row r="273" spans="1:6" x14ac:dyDescent="0.2">
      <c r="A273" s="471">
        <f t="shared" si="14"/>
        <v>50222</v>
      </c>
      <c r="B273" s="30">
        <v>50222</v>
      </c>
      <c r="C273" s="16">
        <f t="shared" si="12"/>
        <v>0</v>
      </c>
      <c r="D273" s="16">
        <f t="shared" si="13"/>
        <v>0</v>
      </c>
      <c r="E273" s="16" t="e">
        <f>+IF(AND(B273&gt;=#REF!,B273&lt;=#REF!),"OUI","NON")</f>
        <v>#REF!</v>
      </c>
      <c r="F273" s="16" t="e">
        <f t="array" ref="F273">IF(E273="OUI",MAX(F$2:$O272)+1,"")</f>
        <v>#REF!</v>
      </c>
    </row>
    <row r="274" spans="1:6" x14ac:dyDescent="0.2">
      <c r="A274" s="471">
        <f t="shared" si="14"/>
        <v>50253</v>
      </c>
      <c r="B274" s="30">
        <v>50253</v>
      </c>
      <c r="C274" s="16">
        <f t="shared" si="12"/>
        <v>0</v>
      </c>
      <c r="D274" s="16">
        <f t="shared" si="13"/>
        <v>0</v>
      </c>
      <c r="E274" s="16" t="e">
        <f>+IF(AND(B274&gt;=#REF!,B274&lt;=#REF!),"OUI","NON")</f>
        <v>#REF!</v>
      </c>
      <c r="F274" s="16" t="e">
        <f t="array" ref="F274">IF(E274="OUI",MAX(F$2:$O273)+1,"")</f>
        <v>#REF!</v>
      </c>
    </row>
    <row r="275" spans="1:6" x14ac:dyDescent="0.2">
      <c r="A275" s="471">
        <f t="shared" si="14"/>
        <v>50284</v>
      </c>
      <c r="B275" s="30">
        <v>50284</v>
      </c>
      <c r="C275" s="16">
        <f t="shared" si="12"/>
        <v>0</v>
      </c>
      <c r="D275" s="16">
        <f t="shared" si="13"/>
        <v>0</v>
      </c>
      <c r="E275" s="16" t="e">
        <f>+IF(AND(B275&gt;=#REF!,B275&lt;=#REF!),"OUI","NON")</f>
        <v>#REF!</v>
      </c>
      <c r="F275" s="16" t="e">
        <f t="array" ref="F275">IF(E275="OUI",MAX(F$2:$O274)+1,"")</f>
        <v>#REF!</v>
      </c>
    </row>
    <row r="276" spans="1:6" x14ac:dyDescent="0.2">
      <c r="A276" s="471">
        <f t="shared" si="14"/>
        <v>50314</v>
      </c>
      <c r="B276" s="30">
        <v>50314</v>
      </c>
      <c r="C276" s="16">
        <f t="shared" si="12"/>
        <v>0</v>
      </c>
      <c r="D276" s="16">
        <f t="shared" si="13"/>
        <v>0</v>
      </c>
      <c r="E276" s="16" t="e">
        <f>+IF(AND(B276&gt;=#REF!,B276&lt;=#REF!),"OUI","NON")</f>
        <v>#REF!</v>
      </c>
      <c r="F276" s="16" t="e">
        <f t="array" ref="F276">IF(E276="OUI",MAX(F$2:$O275)+1,"")</f>
        <v>#REF!</v>
      </c>
    </row>
    <row r="277" spans="1:6" x14ac:dyDescent="0.2">
      <c r="A277" s="471">
        <f t="shared" si="14"/>
        <v>50345</v>
      </c>
      <c r="B277" s="30">
        <v>50345</v>
      </c>
      <c r="C277" s="16">
        <f t="shared" si="12"/>
        <v>0</v>
      </c>
      <c r="D277" s="16">
        <f t="shared" si="13"/>
        <v>0</v>
      </c>
      <c r="E277" s="16" t="e">
        <f>+IF(AND(B277&gt;=#REF!,B277&lt;=#REF!),"OUI","NON")</f>
        <v>#REF!</v>
      </c>
      <c r="F277" s="16" t="e">
        <f t="array" ref="F277">IF(E277="OUI",MAX(F$2:$O276)+1,"")</f>
        <v>#REF!</v>
      </c>
    </row>
    <row r="278" spans="1:6" x14ac:dyDescent="0.2">
      <c r="A278" s="471">
        <f t="shared" si="14"/>
        <v>50375</v>
      </c>
      <c r="B278" s="30">
        <v>50375</v>
      </c>
      <c r="C278" s="16">
        <f t="shared" si="12"/>
        <v>0</v>
      </c>
      <c r="D278" s="16">
        <f t="shared" si="13"/>
        <v>0</v>
      </c>
      <c r="E278" s="16" t="e">
        <f>+IF(AND(B278&gt;=#REF!,B278&lt;=#REF!),"OUI","NON")</f>
        <v>#REF!</v>
      </c>
      <c r="F278" s="16" t="e">
        <f t="array" ref="F278">IF(E278="OUI",MAX(F$2:$O277)+1,"")</f>
        <v>#REF!</v>
      </c>
    </row>
    <row r="279" spans="1:6" x14ac:dyDescent="0.2">
      <c r="A279" s="471">
        <f t="shared" si="14"/>
        <v>50406</v>
      </c>
      <c r="B279" s="30">
        <v>50406</v>
      </c>
      <c r="C279" s="16">
        <f t="shared" si="12"/>
        <v>0</v>
      </c>
      <c r="D279" s="16">
        <f t="shared" si="13"/>
        <v>0</v>
      </c>
      <c r="E279" s="16" t="e">
        <f>+IF(AND(B279&gt;=#REF!,B279&lt;=#REF!),"OUI","NON")</f>
        <v>#REF!</v>
      </c>
      <c r="F279" s="16" t="e">
        <f t="array" ref="F279">IF(E279="OUI",MAX(F$2:$O278)+1,"")</f>
        <v>#REF!</v>
      </c>
    </row>
    <row r="280" spans="1:6" x14ac:dyDescent="0.2">
      <c r="A280" s="471">
        <f t="shared" si="14"/>
        <v>50437</v>
      </c>
      <c r="B280" s="30">
        <v>50437</v>
      </c>
      <c r="C280" s="16">
        <f t="shared" si="12"/>
        <v>0</v>
      </c>
      <c r="D280" s="16">
        <f t="shared" si="13"/>
        <v>0</v>
      </c>
      <c r="E280" s="16" t="e">
        <f>+IF(AND(B280&gt;=#REF!,B280&lt;=#REF!),"OUI","NON")</f>
        <v>#REF!</v>
      </c>
      <c r="F280" s="16" t="e">
        <f t="array" ref="F280">IF(E280="OUI",MAX(F$2:$O279)+1,"")</f>
        <v>#REF!</v>
      </c>
    </row>
    <row r="281" spans="1:6" x14ac:dyDescent="0.2">
      <c r="A281" s="471">
        <f t="shared" si="14"/>
        <v>50465</v>
      </c>
      <c r="B281" s="30">
        <v>50465</v>
      </c>
      <c r="C281" s="16">
        <f t="shared" si="12"/>
        <v>0</v>
      </c>
      <c r="D281" s="16">
        <f t="shared" si="13"/>
        <v>0</v>
      </c>
      <c r="E281" s="16" t="e">
        <f>+IF(AND(B281&gt;=#REF!,B281&lt;=#REF!),"OUI","NON")</f>
        <v>#REF!</v>
      </c>
      <c r="F281" s="16" t="e">
        <f t="array" ref="F281">IF(E281="OUI",MAX(F$2:$O280)+1,"")</f>
        <v>#REF!</v>
      </c>
    </row>
    <row r="282" spans="1:6" x14ac:dyDescent="0.2">
      <c r="A282" s="471">
        <f t="shared" si="14"/>
        <v>50496</v>
      </c>
      <c r="B282" s="30">
        <v>50496</v>
      </c>
      <c r="C282" s="16">
        <f t="shared" si="12"/>
        <v>0</v>
      </c>
      <c r="D282" s="16">
        <f t="shared" si="13"/>
        <v>0</v>
      </c>
      <c r="E282" s="16" t="e">
        <f>+IF(AND(B282&gt;=#REF!,B282&lt;=#REF!),"OUI","NON")</f>
        <v>#REF!</v>
      </c>
      <c r="F282" s="16" t="e">
        <f t="array" ref="F282">IF(E282="OUI",MAX(F$2:$O281)+1,"")</f>
        <v>#REF!</v>
      </c>
    </row>
    <row r="283" spans="1:6" x14ac:dyDescent="0.2">
      <c r="A283" s="471">
        <f t="shared" si="14"/>
        <v>50526</v>
      </c>
      <c r="B283" s="30">
        <v>50526</v>
      </c>
      <c r="C283" s="16">
        <f t="shared" si="12"/>
        <v>0</v>
      </c>
      <c r="D283" s="16">
        <f t="shared" si="13"/>
        <v>0</v>
      </c>
      <c r="E283" s="16" t="e">
        <f>+IF(AND(B283&gt;=#REF!,B283&lt;=#REF!),"OUI","NON")</f>
        <v>#REF!</v>
      </c>
      <c r="F283" s="16" t="e">
        <f t="array" ref="F283">IF(E283="OUI",MAX(F$2:$O282)+1,"")</f>
        <v>#REF!</v>
      </c>
    </row>
    <row r="284" spans="1:6" x14ac:dyDescent="0.2">
      <c r="A284" s="471">
        <f t="shared" si="14"/>
        <v>50557</v>
      </c>
      <c r="B284" s="30">
        <v>50557</v>
      </c>
      <c r="C284" s="16">
        <f t="shared" si="12"/>
        <v>0</v>
      </c>
      <c r="D284" s="16">
        <f t="shared" si="13"/>
        <v>0</v>
      </c>
      <c r="E284" s="16" t="e">
        <f>+IF(AND(B284&gt;=#REF!,B284&lt;=#REF!),"OUI","NON")</f>
        <v>#REF!</v>
      </c>
      <c r="F284" s="16" t="e">
        <f t="array" ref="F284">IF(E284="OUI",MAX(F$2:$O283)+1,"")</f>
        <v>#REF!</v>
      </c>
    </row>
    <row r="285" spans="1:6" x14ac:dyDescent="0.2">
      <c r="A285" s="471">
        <f t="shared" si="14"/>
        <v>50587</v>
      </c>
      <c r="B285" s="30">
        <v>50587</v>
      </c>
      <c r="C285" s="16">
        <f t="shared" si="12"/>
        <v>0</v>
      </c>
      <c r="D285" s="16">
        <f t="shared" si="13"/>
        <v>0</v>
      </c>
      <c r="E285" s="16" t="e">
        <f>+IF(AND(B285&gt;=#REF!,B285&lt;=#REF!),"OUI","NON")</f>
        <v>#REF!</v>
      </c>
      <c r="F285" s="16" t="e">
        <f t="array" ref="F285">IF(E285="OUI",MAX(F$2:$O284)+1,"")</f>
        <v>#REF!</v>
      </c>
    </row>
    <row r="286" spans="1:6" x14ac:dyDescent="0.2">
      <c r="A286" s="471">
        <f t="shared" si="14"/>
        <v>50618</v>
      </c>
      <c r="B286" s="30">
        <v>50618</v>
      </c>
      <c r="C286" s="16">
        <f t="shared" si="12"/>
        <v>0</v>
      </c>
      <c r="D286" s="16">
        <f t="shared" si="13"/>
        <v>0</v>
      </c>
      <c r="E286" s="16" t="e">
        <f>+IF(AND(B286&gt;=#REF!,B286&lt;=#REF!),"OUI","NON")</f>
        <v>#REF!</v>
      </c>
      <c r="F286" s="16" t="e">
        <f t="array" ref="F286">IF(E286="OUI",MAX(F$2:$O285)+1,"")</f>
        <v>#REF!</v>
      </c>
    </row>
    <row r="287" spans="1:6" x14ac:dyDescent="0.2">
      <c r="A287" s="471">
        <f t="shared" si="14"/>
        <v>50649</v>
      </c>
      <c r="B287" s="30">
        <v>50649</v>
      </c>
      <c r="C287" s="16">
        <f t="shared" si="12"/>
        <v>0</v>
      </c>
      <c r="D287" s="16">
        <f t="shared" si="13"/>
        <v>0</v>
      </c>
      <c r="E287" s="16" t="e">
        <f>+IF(AND(B287&gt;=#REF!,B287&lt;=#REF!),"OUI","NON")</f>
        <v>#REF!</v>
      </c>
      <c r="F287" s="16" t="e">
        <f t="array" ref="F287">IF(E287="OUI",MAX(F$2:$O286)+1,"")</f>
        <v>#REF!</v>
      </c>
    </row>
    <row r="288" spans="1:6" x14ac:dyDescent="0.2">
      <c r="A288" s="471">
        <f t="shared" si="14"/>
        <v>50679</v>
      </c>
      <c r="B288" s="30">
        <v>50679</v>
      </c>
      <c r="C288" s="16">
        <f t="shared" si="12"/>
        <v>0</v>
      </c>
      <c r="D288" s="16">
        <f t="shared" si="13"/>
        <v>0</v>
      </c>
      <c r="E288" s="16" t="e">
        <f>+IF(AND(B288&gt;=#REF!,B288&lt;=#REF!),"OUI","NON")</f>
        <v>#REF!</v>
      </c>
      <c r="F288" s="16" t="e">
        <f t="array" ref="F288">IF(E288="OUI",MAX(F$2:$O287)+1,"")</f>
        <v>#REF!</v>
      </c>
    </row>
    <row r="289" spans="1:6" x14ac:dyDescent="0.2">
      <c r="A289" s="471">
        <f t="shared" si="14"/>
        <v>50710</v>
      </c>
      <c r="B289" s="30">
        <v>50710</v>
      </c>
      <c r="C289" s="16">
        <f t="shared" si="12"/>
        <v>0</v>
      </c>
      <c r="D289" s="16">
        <f t="shared" si="13"/>
        <v>0</v>
      </c>
      <c r="E289" s="16" t="e">
        <f>+IF(AND(B289&gt;=#REF!,B289&lt;=#REF!),"OUI","NON")</f>
        <v>#REF!</v>
      </c>
      <c r="F289" s="16" t="e">
        <f t="array" ref="F289">IF(E289="OUI",MAX(F$2:$O288)+1,"")</f>
        <v>#REF!</v>
      </c>
    </row>
    <row r="290" spans="1:6" x14ac:dyDescent="0.2">
      <c r="A290" s="471">
        <f t="shared" si="14"/>
        <v>50740</v>
      </c>
      <c r="B290" s="30">
        <v>50740</v>
      </c>
      <c r="C290" s="16">
        <f t="shared" si="12"/>
        <v>0</v>
      </c>
      <c r="D290" s="16">
        <f t="shared" si="13"/>
        <v>0</v>
      </c>
      <c r="E290" s="16" t="e">
        <f>+IF(AND(B290&gt;=#REF!,B290&lt;=#REF!),"OUI","NON")</f>
        <v>#REF!</v>
      </c>
      <c r="F290" s="16" t="e">
        <f t="array" ref="F290">IF(E290="OUI",MAX(F$2:$O289)+1,"")</f>
        <v>#REF!</v>
      </c>
    </row>
    <row r="291" spans="1:6" x14ac:dyDescent="0.2">
      <c r="A291" s="471">
        <f t="shared" si="14"/>
        <v>50771</v>
      </c>
      <c r="B291" s="30">
        <v>50771</v>
      </c>
      <c r="C291" s="16">
        <f t="shared" si="12"/>
        <v>0</v>
      </c>
      <c r="D291" s="16">
        <f t="shared" si="13"/>
        <v>0</v>
      </c>
      <c r="E291" s="16" t="e">
        <f>+IF(AND(B291&gt;=#REF!,B291&lt;=#REF!),"OUI","NON")</f>
        <v>#REF!</v>
      </c>
      <c r="F291" s="16" t="e">
        <f t="array" ref="F291">IF(E291="OUI",MAX(F$2:$O290)+1,"")</f>
        <v>#REF!</v>
      </c>
    </row>
    <row r="292" spans="1:6" x14ac:dyDescent="0.2">
      <c r="A292" s="471">
        <f t="shared" si="14"/>
        <v>50802</v>
      </c>
      <c r="B292" s="30">
        <v>50802</v>
      </c>
      <c r="C292" s="16">
        <f t="shared" si="12"/>
        <v>0</v>
      </c>
      <c r="D292" s="16">
        <f t="shared" si="13"/>
        <v>0</v>
      </c>
      <c r="E292" s="16" t="e">
        <f>+IF(AND(B292&gt;=#REF!,B292&lt;=#REF!),"OUI","NON")</f>
        <v>#REF!</v>
      </c>
      <c r="F292" s="16" t="e">
        <f t="array" ref="F292">IF(E292="OUI",MAX(F$2:$O291)+1,"")</f>
        <v>#REF!</v>
      </c>
    </row>
    <row r="293" spans="1:6" x14ac:dyDescent="0.2">
      <c r="A293" s="471">
        <f t="shared" si="14"/>
        <v>50830</v>
      </c>
      <c r="B293" s="30">
        <v>50830</v>
      </c>
      <c r="C293" s="16">
        <f t="shared" si="12"/>
        <v>0</v>
      </c>
      <c r="D293" s="16">
        <f t="shared" si="13"/>
        <v>0</v>
      </c>
      <c r="E293" s="16" t="e">
        <f>+IF(AND(B293&gt;=#REF!,B293&lt;=#REF!),"OUI","NON")</f>
        <v>#REF!</v>
      </c>
      <c r="F293" s="16" t="e">
        <f t="array" ref="F293">IF(E293="OUI",MAX(F$2:$O292)+1,"")</f>
        <v>#REF!</v>
      </c>
    </row>
    <row r="294" spans="1:6" x14ac:dyDescent="0.2">
      <c r="A294" s="471">
        <f t="shared" si="14"/>
        <v>50861</v>
      </c>
      <c r="B294" s="30">
        <v>50861</v>
      </c>
      <c r="C294" s="16">
        <f t="shared" si="12"/>
        <v>0</v>
      </c>
      <c r="D294" s="16">
        <f t="shared" si="13"/>
        <v>0</v>
      </c>
      <c r="E294" s="16" t="e">
        <f>+IF(AND(B294&gt;=#REF!,B294&lt;=#REF!),"OUI","NON")</f>
        <v>#REF!</v>
      </c>
      <c r="F294" s="16" t="e">
        <f t="array" ref="F294">IF(E294="OUI",MAX(F$2:$O293)+1,"")</f>
        <v>#REF!</v>
      </c>
    </row>
    <row r="295" spans="1:6" x14ac:dyDescent="0.2">
      <c r="A295" s="471">
        <f t="shared" si="14"/>
        <v>50891</v>
      </c>
      <c r="B295" s="30">
        <v>50891</v>
      </c>
      <c r="C295" s="16">
        <f t="shared" si="12"/>
        <v>0</v>
      </c>
      <c r="D295" s="16">
        <f t="shared" si="13"/>
        <v>0</v>
      </c>
      <c r="E295" s="16" t="e">
        <f>+IF(AND(B295&gt;=#REF!,B295&lt;=#REF!),"OUI","NON")</f>
        <v>#REF!</v>
      </c>
      <c r="F295" s="16" t="e">
        <f t="array" ref="F295">IF(E295="OUI",MAX(F$2:$O294)+1,"")</f>
        <v>#REF!</v>
      </c>
    </row>
    <row r="296" spans="1:6" x14ac:dyDescent="0.2">
      <c r="A296" s="471">
        <f t="shared" si="14"/>
        <v>50922</v>
      </c>
      <c r="B296" s="30">
        <v>50922</v>
      </c>
      <c r="C296" s="16">
        <f t="shared" si="12"/>
        <v>0</v>
      </c>
      <c r="D296" s="16">
        <f t="shared" si="13"/>
        <v>0</v>
      </c>
      <c r="E296" s="16" t="e">
        <f>+IF(AND(B296&gt;=#REF!,B296&lt;=#REF!),"OUI","NON")</f>
        <v>#REF!</v>
      </c>
      <c r="F296" s="16" t="e">
        <f t="array" ref="F296">IF(E296="OUI",MAX(F$2:$O295)+1,"")</f>
        <v>#REF!</v>
      </c>
    </row>
    <row r="297" spans="1:6" x14ac:dyDescent="0.2">
      <c r="A297" s="471">
        <f t="shared" si="14"/>
        <v>50952</v>
      </c>
      <c r="B297" s="30">
        <v>50952</v>
      </c>
      <c r="C297" s="16">
        <f t="shared" si="12"/>
        <v>0</v>
      </c>
      <c r="D297" s="16">
        <f t="shared" si="13"/>
        <v>0</v>
      </c>
      <c r="E297" s="16" t="e">
        <f>+IF(AND(B297&gt;=#REF!,B297&lt;=#REF!),"OUI","NON")</f>
        <v>#REF!</v>
      </c>
      <c r="F297" s="16" t="e">
        <f t="array" ref="F297">IF(E297="OUI",MAX(F$2:$O296)+1,"")</f>
        <v>#REF!</v>
      </c>
    </row>
    <row r="298" spans="1:6" x14ac:dyDescent="0.2">
      <c r="A298" s="471">
        <f t="shared" si="14"/>
        <v>50983</v>
      </c>
      <c r="B298" s="30">
        <v>50983</v>
      </c>
      <c r="C298" s="16">
        <f t="shared" si="12"/>
        <v>0</v>
      </c>
      <c r="D298" s="16">
        <f t="shared" si="13"/>
        <v>0</v>
      </c>
      <c r="E298" s="16" t="e">
        <f>+IF(AND(B298&gt;=#REF!,B298&lt;=#REF!),"OUI","NON")</f>
        <v>#REF!</v>
      </c>
      <c r="F298" s="16" t="e">
        <f t="array" ref="F298">IF(E298="OUI",MAX(F$2:$O297)+1,"")</f>
        <v>#REF!</v>
      </c>
    </row>
    <row r="299" spans="1:6" x14ac:dyDescent="0.2">
      <c r="A299" s="471">
        <f t="shared" si="14"/>
        <v>51014</v>
      </c>
      <c r="B299" s="30">
        <v>51014</v>
      </c>
      <c r="C299" s="16">
        <f t="shared" si="12"/>
        <v>0</v>
      </c>
      <c r="D299" s="16">
        <f t="shared" si="13"/>
        <v>0</v>
      </c>
      <c r="E299" s="16" t="e">
        <f>+IF(AND(B299&gt;=#REF!,B299&lt;=#REF!),"OUI","NON")</f>
        <v>#REF!</v>
      </c>
      <c r="F299" s="16" t="e">
        <f t="array" ref="F299">IF(E299="OUI",MAX(F$2:$O298)+1,"")</f>
        <v>#REF!</v>
      </c>
    </row>
    <row r="300" spans="1:6" x14ac:dyDescent="0.2">
      <c r="A300" s="471">
        <f t="shared" si="14"/>
        <v>51044</v>
      </c>
      <c r="B300" s="30">
        <v>51044</v>
      </c>
      <c r="C300" s="16">
        <f t="shared" si="12"/>
        <v>0</v>
      </c>
      <c r="D300" s="16">
        <f t="shared" si="13"/>
        <v>0</v>
      </c>
      <c r="E300" s="16" t="e">
        <f>+IF(AND(B300&gt;=#REF!,B300&lt;=#REF!),"OUI","NON")</f>
        <v>#REF!</v>
      </c>
      <c r="F300" s="16" t="e">
        <f t="array" ref="F300">IF(E300="OUI",MAX(F$2:$O299)+1,"")</f>
        <v>#REF!</v>
      </c>
    </row>
    <row r="301" spans="1:6" x14ac:dyDescent="0.2">
      <c r="A301" s="471">
        <f t="shared" si="14"/>
        <v>51075</v>
      </c>
      <c r="B301" s="30">
        <v>51075</v>
      </c>
      <c r="C301" s="16">
        <f t="shared" si="12"/>
        <v>0</v>
      </c>
      <c r="D301" s="16">
        <f t="shared" si="13"/>
        <v>0</v>
      </c>
      <c r="E301" s="16" t="e">
        <f>+IF(AND(B301&gt;=#REF!,B301&lt;=#REF!),"OUI","NON")</f>
        <v>#REF!</v>
      </c>
      <c r="F301" s="16" t="e">
        <f t="array" ref="F301">IF(E301="OUI",MAX(F$2:$O300)+1,"")</f>
        <v>#REF!</v>
      </c>
    </row>
    <row r="302" spans="1:6" x14ac:dyDescent="0.2">
      <c r="A302" s="471">
        <f t="shared" si="14"/>
        <v>51105</v>
      </c>
      <c r="B302" s="30">
        <v>51105</v>
      </c>
      <c r="C302" s="16">
        <f t="shared" si="12"/>
        <v>0</v>
      </c>
      <c r="D302" s="16">
        <f t="shared" si="13"/>
        <v>0</v>
      </c>
      <c r="E302" s="16" t="e">
        <f>+IF(AND(B302&gt;=#REF!,B302&lt;=#REF!),"OUI","NON")</f>
        <v>#REF!</v>
      </c>
      <c r="F302" s="16" t="e">
        <f t="array" ref="F302">IF(E302="OUI",MAX(F$2:$O301)+1,"")</f>
        <v>#REF!</v>
      </c>
    </row>
    <row r="303" spans="1:6" x14ac:dyDescent="0.2">
      <c r="A303" s="471">
        <f t="shared" si="14"/>
        <v>51136</v>
      </c>
      <c r="B303" s="30">
        <v>51136</v>
      </c>
      <c r="C303" s="16">
        <f t="shared" si="12"/>
        <v>0</v>
      </c>
      <c r="D303" s="16">
        <f t="shared" si="13"/>
        <v>0</v>
      </c>
      <c r="E303" s="16" t="e">
        <f>+IF(AND(B303&gt;=#REF!,B303&lt;=#REF!),"OUI","NON")</f>
        <v>#REF!</v>
      </c>
      <c r="F303" s="16" t="e">
        <f t="array" ref="F303">IF(E303="OUI",MAX(F$2:$O302)+1,"")</f>
        <v>#REF!</v>
      </c>
    </row>
    <row r="304" spans="1:6" x14ac:dyDescent="0.2">
      <c r="A304" s="471">
        <f t="shared" si="14"/>
        <v>51167</v>
      </c>
      <c r="B304" s="30">
        <v>51167</v>
      </c>
      <c r="C304" s="16">
        <f t="shared" si="12"/>
        <v>0</v>
      </c>
      <c r="D304" s="16">
        <f t="shared" si="13"/>
        <v>0</v>
      </c>
      <c r="E304" s="16" t="e">
        <f>+IF(AND(B304&gt;=#REF!,B304&lt;=#REF!),"OUI","NON")</f>
        <v>#REF!</v>
      </c>
      <c r="F304" s="16" t="e">
        <f t="array" ref="F304">IF(E304="OUI",MAX(F$2:$O303)+1,"")</f>
        <v>#REF!</v>
      </c>
    </row>
    <row r="305" spans="1:6" x14ac:dyDescent="0.2">
      <c r="A305" s="471">
        <f t="shared" si="14"/>
        <v>51196</v>
      </c>
      <c r="B305" s="30">
        <v>51196</v>
      </c>
      <c r="C305" s="16">
        <f t="shared" si="12"/>
        <v>0</v>
      </c>
      <c r="D305" s="16">
        <f t="shared" si="13"/>
        <v>0</v>
      </c>
      <c r="E305" s="16" t="e">
        <f>+IF(AND(B305&gt;=#REF!,B305&lt;=#REF!),"OUI","NON")</f>
        <v>#REF!</v>
      </c>
      <c r="F305" s="16" t="e">
        <f t="array" ref="F305">IF(E305="OUI",MAX(F$2:$O304)+1,"")</f>
        <v>#REF!</v>
      </c>
    </row>
    <row r="306" spans="1:6" x14ac:dyDescent="0.2">
      <c r="A306" s="471">
        <f t="shared" si="14"/>
        <v>51227</v>
      </c>
      <c r="B306" s="30">
        <v>51227</v>
      </c>
      <c r="C306" s="16">
        <f t="shared" si="12"/>
        <v>0</v>
      </c>
      <c r="D306" s="16">
        <f t="shared" si="13"/>
        <v>0</v>
      </c>
      <c r="E306" s="16" t="e">
        <f>+IF(AND(B306&gt;=#REF!,B306&lt;=#REF!),"OUI","NON")</f>
        <v>#REF!</v>
      </c>
      <c r="F306" s="16" t="e">
        <f t="array" ref="F306">IF(E306="OUI",MAX(F$2:$O305)+1,"")</f>
        <v>#REF!</v>
      </c>
    </row>
    <row r="307" spans="1:6" x14ac:dyDescent="0.2">
      <c r="A307" s="471">
        <f t="shared" si="14"/>
        <v>51257</v>
      </c>
      <c r="B307" s="30">
        <v>51257</v>
      </c>
      <c r="C307" s="16">
        <f t="shared" si="12"/>
        <v>0</v>
      </c>
      <c r="D307" s="16">
        <f t="shared" si="13"/>
        <v>0</v>
      </c>
      <c r="E307" s="16" t="e">
        <f>+IF(AND(B307&gt;=#REF!,B307&lt;=#REF!),"OUI","NON")</f>
        <v>#REF!</v>
      </c>
      <c r="F307" s="16" t="e">
        <f t="array" ref="F307">IF(E307="OUI",MAX(F$2:$O306)+1,"")</f>
        <v>#REF!</v>
      </c>
    </row>
    <row r="308" spans="1:6" x14ac:dyDescent="0.2">
      <c r="A308" s="471">
        <f t="shared" si="14"/>
        <v>51288</v>
      </c>
      <c r="B308" s="30">
        <v>51288</v>
      </c>
      <c r="C308" s="16">
        <f t="shared" si="12"/>
        <v>0</v>
      </c>
      <c r="D308" s="16">
        <f t="shared" si="13"/>
        <v>0</v>
      </c>
      <c r="E308" s="16" t="e">
        <f>+IF(AND(B308&gt;=#REF!,B308&lt;=#REF!),"OUI","NON")</f>
        <v>#REF!</v>
      </c>
      <c r="F308" s="16" t="e">
        <f t="array" ref="F308">IF(E308="OUI",MAX(F$2:$O307)+1,"")</f>
        <v>#REF!</v>
      </c>
    </row>
    <row r="309" spans="1:6" x14ac:dyDescent="0.2">
      <c r="A309" s="471">
        <f t="shared" si="14"/>
        <v>51318</v>
      </c>
      <c r="B309" s="30">
        <v>51318</v>
      </c>
      <c r="C309" s="16">
        <f t="shared" si="12"/>
        <v>0</v>
      </c>
      <c r="D309" s="16">
        <f t="shared" si="13"/>
        <v>0</v>
      </c>
      <c r="E309" s="16" t="e">
        <f>+IF(AND(B309&gt;=#REF!,B309&lt;=#REF!),"OUI","NON")</f>
        <v>#REF!</v>
      </c>
      <c r="F309" s="16" t="e">
        <f t="array" ref="F309">IF(E309="OUI",MAX(F$2:$O308)+1,"")</f>
        <v>#REF!</v>
      </c>
    </row>
    <row r="310" spans="1:6" x14ac:dyDescent="0.2">
      <c r="A310" s="471">
        <f t="shared" si="14"/>
        <v>51349</v>
      </c>
      <c r="B310" s="30">
        <v>51349</v>
      </c>
      <c r="C310" s="16">
        <f t="shared" si="12"/>
        <v>0</v>
      </c>
      <c r="D310" s="16">
        <f t="shared" si="13"/>
        <v>0</v>
      </c>
      <c r="E310" s="16" t="e">
        <f>+IF(AND(B310&gt;=#REF!,B310&lt;=#REF!),"OUI","NON")</f>
        <v>#REF!</v>
      </c>
      <c r="F310" s="16" t="e">
        <f t="array" ref="F310">IF(E310="OUI",MAX(F$2:$O309)+1,"")</f>
        <v>#REF!</v>
      </c>
    </row>
    <row r="311" spans="1:6" x14ac:dyDescent="0.2">
      <c r="A311" s="471">
        <f t="shared" si="14"/>
        <v>51380</v>
      </c>
      <c r="B311" s="30">
        <v>51380</v>
      </c>
      <c r="C311" s="16">
        <f t="shared" si="12"/>
        <v>0</v>
      </c>
      <c r="D311" s="16">
        <f t="shared" si="13"/>
        <v>0</v>
      </c>
      <c r="E311" s="16" t="e">
        <f>+IF(AND(B311&gt;=#REF!,B311&lt;=#REF!),"OUI","NON")</f>
        <v>#REF!</v>
      </c>
      <c r="F311" s="16" t="e">
        <f t="array" ref="F311">IF(E311="OUI",MAX(F$2:$O310)+1,"")</f>
        <v>#REF!</v>
      </c>
    </row>
    <row r="312" spans="1:6" x14ac:dyDescent="0.2">
      <c r="A312" s="471">
        <f t="shared" si="14"/>
        <v>51410</v>
      </c>
      <c r="B312" s="30">
        <v>51410</v>
      </c>
      <c r="C312" s="16">
        <f t="shared" si="12"/>
        <v>0</v>
      </c>
      <c r="D312" s="16">
        <f t="shared" si="13"/>
        <v>0</v>
      </c>
      <c r="E312" s="16" t="e">
        <f>+IF(AND(B312&gt;=#REF!,B312&lt;=#REF!),"OUI","NON")</f>
        <v>#REF!</v>
      </c>
      <c r="F312" s="16" t="e">
        <f t="array" ref="F312">IF(E312="OUI",MAX(F$2:$O311)+1,"")</f>
        <v>#REF!</v>
      </c>
    </row>
    <row r="313" spans="1:6" x14ac:dyDescent="0.2">
      <c r="A313" s="471">
        <f t="shared" si="14"/>
        <v>51441</v>
      </c>
      <c r="B313" s="30">
        <v>51441</v>
      </c>
      <c r="C313" s="16">
        <f t="shared" si="12"/>
        <v>0</v>
      </c>
      <c r="D313" s="16">
        <f t="shared" si="13"/>
        <v>0</v>
      </c>
      <c r="E313" s="16" t="e">
        <f>+IF(AND(B313&gt;=#REF!,B313&lt;=#REF!),"OUI","NON")</f>
        <v>#REF!</v>
      </c>
      <c r="F313" s="16" t="e">
        <f t="array" ref="F313">IF(E313="OUI",MAX(F$2:$O312)+1,"")</f>
        <v>#REF!</v>
      </c>
    </row>
    <row r="314" spans="1:6" x14ac:dyDescent="0.2">
      <c r="A314" s="471">
        <f t="shared" si="14"/>
        <v>51471</v>
      </c>
      <c r="B314" s="30">
        <v>51471</v>
      </c>
      <c r="C314" s="16">
        <f t="shared" si="12"/>
        <v>0</v>
      </c>
      <c r="D314" s="16">
        <f t="shared" si="13"/>
        <v>0</v>
      </c>
      <c r="E314" s="16" t="e">
        <f>+IF(AND(B314&gt;=#REF!,B314&lt;=#REF!),"OUI","NON")</f>
        <v>#REF!</v>
      </c>
      <c r="F314" s="16" t="e">
        <f t="array" ref="F314">IF(E314="OUI",MAX(F$2:$O313)+1,"")</f>
        <v>#REF!</v>
      </c>
    </row>
    <row r="315" spans="1:6" x14ac:dyDescent="0.2">
      <c r="A315" s="471">
        <f t="shared" si="14"/>
        <v>51502</v>
      </c>
      <c r="B315" s="30">
        <v>51502</v>
      </c>
      <c r="C315" s="16">
        <f t="shared" si="12"/>
        <v>0</v>
      </c>
      <c r="D315" s="16">
        <f t="shared" si="13"/>
        <v>0</v>
      </c>
      <c r="E315" s="16" t="e">
        <f>+IF(AND(B315&gt;=#REF!,B315&lt;=#REF!),"OUI","NON")</f>
        <v>#REF!</v>
      </c>
      <c r="F315" s="16" t="e">
        <f t="array" ref="F315">IF(E315="OUI",MAX(F$2:$O314)+1,"")</f>
        <v>#REF!</v>
      </c>
    </row>
    <row r="316" spans="1:6" x14ac:dyDescent="0.2">
      <c r="A316" s="471">
        <f t="shared" si="14"/>
        <v>51533</v>
      </c>
      <c r="B316" s="30">
        <v>51533</v>
      </c>
      <c r="C316" s="16">
        <f t="shared" si="12"/>
        <v>0</v>
      </c>
      <c r="D316" s="16">
        <f t="shared" si="13"/>
        <v>0</v>
      </c>
      <c r="E316" s="16" t="e">
        <f>+IF(AND(B316&gt;=#REF!,B316&lt;=#REF!),"OUI","NON")</f>
        <v>#REF!</v>
      </c>
      <c r="F316" s="16" t="e">
        <f t="array" ref="F316">IF(E316="OUI",MAX(F$2:$O315)+1,"")</f>
        <v>#REF!</v>
      </c>
    </row>
    <row r="317" spans="1:6" x14ac:dyDescent="0.2">
      <c r="A317" s="471">
        <f t="shared" si="14"/>
        <v>51561</v>
      </c>
      <c r="B317" s="30">
        <v>51561</v>
      </c>
      <c r="C317" s="16">
        <f t="shared" si="12"/>
        <v>0</v>
      </c>
      <c r="D317" s="16">
        <f t="shared" si="13"/>
        <v>0</v>
      </c>
      <c r="E317" s="16" t="e">
        <f>+IF(AND(B317&gt;=#REF!,B317&lt;=#REF!),"OUI","NON")</f>
        <v>#REF!</v>
      </c>
      <c r="F317" s="16" t="e">
        <f t="array" ref="F317">IF(E317="OUI",MAX(F$2:$O316)+1,"")</f>
        <v>#REF!</v>
      </c>
    </row>
    <row r="318" spans="1:6" x14ac:dyDescent="0.2">
      <c r="A318" s="471">
        <f t="shared" si="14"/>
        <v>51592</v>
      </c>
      <c r="B318" s="30">
        <v>51592</v>
      </c>
      <c r="C318" s="16">
        <f t="shared" si="12"/>
        <v>0</v>
      </c>
      <c r="D318" s="16">
        <f t="shared" si="13"/>
        <v>0</v>
      </c>
      <c r="E318" s="16" t="e">
        <f>+IF(AND(B318&gt;=#REF!,B318&lt;=#REF!),"OUI","NON")</f>
        <v>#REF!</v>
      </c>
      <c r="F318" s="16" t="e">
        <f t="array" ref="F318">IF(E318="OUI",MAX(F$2:$O317)+1,"")</f>
        <v>#REF!</v>
      </c>
    </row>
    <row r="319" spans="1:6" x14ac:dyDescent="0.2">
      <c r="A319" s="471">
        <f t="shared" si="14"/>
        <v>51622</v>
      </c>
      <c r="B319" s="30">
        <v>51622</v>
      </c>
      <c r="C319" s="16">
        <f t="shared" si="12"/>
        <v>0</v>
      </c>
      <c r="D319" s="16">
        <f t="shared" si="13"/>
        <v>0</v>
      </c>
      <c r="E319" s="16" t="e">
        <f>+IF(AND(B319&gt;=#REF!,B319&lt;=#REF!),"OUI","NON")</f>
        <v>#REF!</v>
      </c>
      <c r="F319" s="16" t="e">
        <f t="array" ref="F319">IF(E319="OUI",MAX(F$2:$O318)+1,"")</f>
        <v>#REF!</v>
      </c>
    </row>
    <row r="320" spans="1:6" x14ac:dyDescent="0.2">
      <c r="A320" s="471">
        <f t="shared" si="14"/>
        <v>51653</v>
      </c>
      <c r="B320" s="30">
        <v>51653</v>
      </c>
      <c r="C320" s="16">
        <f t="shared" si="12"/>
        <v>0</v>
      </c>
      <c r="D320" s="16">
        <f t="shared" si="13"/>
        <v>0</v>
      </c>
      <c r="E320" s="16" t="e">
        <f>+IF(AND(B320&gt;=#REF!,B320&lt;=#REF!),"OUI","NON")</f>
        <v>#REF!</v>
      </c>
      <c r="F320" s="16" t="e">
        <f t="array" ref="F320">IF(E320="OUI",MAX(F$2:$O319)+1,"")</f>
        <v>#REF!</v>
      </c>
    </row>
    <row r="321" spans="1:6" x14ac:dyDescent="0.2">
      <c r="A321" s="471">
        <f t="shared" si="14"/>
        <v>51683</v>
      </c>
      <c r="B321" s="30">
        <v>51683</v>
      </c>
      <c r="C321" s="16">
        <f t="shared" si="12"/>
        <v>0</v>
      </c>
      <c r="D321" s="16">
        <f t="shared" si="13"/>
        <v>0</v>
      </c>
      <c r="E321" s="16" t="e">
        <f>+IF(AND(B321&gt;=#REF!,B321&lt;=#REF!),"OUI","NON")</f>
        <v>#REF!</v>
      </c>
      <c r="F321" s="16" t="e">
        <f t="array" ref="F321">IF(E321="OUI",MAX(F$2:$O320)+1,"")</f>
        <v>#REF!</v>
      </c>
    </row>
    <row r="322" spans="1:6" x14ac:dyDescent="0.2">
      <c r="A322" s="471">
        <f t="shared" si="14"/>
        <v>51714</v>
      </c>
      <c r="B322" s="30">
        <v>51714</v>
      </c>
      <c r="C322" s="16">
        <f t="shared" si="12"/>
        <v>0</v>
      </c>
      <c r="D322" s="16">
        <f t="shared" si="13"/>
        <v>0</v>
      </c>
      <c r="E322" s="16" t="e">
        <f>+IF(AND(B322&gt;=#REF!,B322&lt;=#REF!),"OUI","NON")</f>
        <v>#REF!</v>
      </c>
      <c r="F322" s="16" t="e">
        <f t="array" ref="F322">IF(E322="OUI",MAX(F$2:$O321)+1,"")</f>
        <v>#REF!</v>
      </c>
    </row>
    <row r="323" spans="1:6" x14ac:dyDescent="0.2">
      <c r="A323" s="471">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71">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71">
        <f t="shared" si="17"/>
        <v>51806</v>
      </c>
      <c r="B325" s="30">
        <v>51806</v>
      </c>
      <c r="C325" s="16">
        <f t="shared" si="15"/>
        <v>0</v>
      </c>
      <c r="D325" s="16">
        <f t="shared" si="16"/>
        <v>0</v>
      </c>
      <c r="E325" s="16" t="e">
        <f>+IF(AND(B325&gt;=#REF!,B325&lt;=#REF!),"OUI","NON")</f>
        <v>#REF!</v>
      </c>
      <c r="F325" s="16" t="e">
        <f t="array" ref="F325">IF(E325="OUI",MAX(F$2:$O324)+1,"")</f>
        <v>#REF!</v>
      </c>
    </row>
    <row r="326" spans="1:6" x14ac:dyDescent="0.2">
      <c r="A326" s="471">
        <f t="shared" si="17"/>
        <v>51836</v>
      </c>
      <c r="B326" s="30">
        <v>51836</v>
      </c>
      <c r="C326" s="16">
        <f t="shared" si="15"/>
        <v>0</v>
      </c>
      <c r="D326" s="16">
        <f t="shared" si="16"/>
        <v>0</v>
      </c>
      <c r="E326" s="16" t="e">
        <f>+IF(AND(B326&gt;=#REF!,B326&lt;=#REF!),"OUI","NON")</f>
        <v>#REF!</v>
      </c>
      <c r="F326" s="16" t="e">
        <f t="array" ref="F326">IF(E326="OUI",MAX(F$2:$O325)+1,"")</f>
        <v>#REF!</v>
      </c>
    </row>
    <row r="327" spans="1:6" x14ac:dyDescent="0.2">
      <c r="A327" s="471">
        <f t="shared" si="17"/>
        <v>51867</v>
      </c>
      <c r="B327" s="30">
        <v>51867</v>
      </c>
      <c r="C327" s="16">
        <f t="shared" si="15"/>
        <v>0</v>
      </c>
      <c r="D327" s="16">
        <f t="shared" si="16"/>
        <v>0</v>
      </c>
      <c r="E327" s="16" t="e">
        <f>+IF(AND(B327&gt;=#REF!,B327&lt;=#REF!),"OUI","NON")</f>
        <v>#REF!</v>
      </c>
      <c r="F327" s="16" t="e">
        <f t="array" ref="F327">IF(E327="OUI",MAX(F$2:$O326)+1,"")</f>
        <v>#REF!</v>
      </c>
    </row>
    <row r="328" spans="1:6" x14ac:dyDescent="0.2">
      <c r="A328" s="471">
        <f t="shared" si="17"/>
        <v>51898</v>
      </c>
      <c r="B328" s="30">
        <v>51898</v>
      </c>
      <c r="C328" s="16">
        <f t="shared" si="15"/>
        <v>0</v>
      </c>
      <c r="D328" s="16">
        <f t="shared" si="16"/>
        <v>0</v>
      </c>
      <c r="E328" s="16" t="e">
        <f>+IF(AND(B328&gt;=#REF!,B328&lt;=#REF!),"OUI","NON")</f>
        <v>#REF!</v>
      </c>
      <c r="F328" s="16" t="e">
        <f t="array" ref="F328">IF(E328="OUI",MAX(F$2:$O327)+1,"")</f>
        <v>#REF!</v>
      </c>
    </row>
    <row r="329" spans="1:6" x14ac:dyDescent="0.2">
      <c r="A329" s="471">
        <f t="shared" si="17"/>
        <v>51926</v>
      </c>
      <c r="B329" s="30">
        <v>51926</v>
      </c>
      <c r="C329" s="16">
        <f t="shared" si="15"/>
        <v>0</v>
      </c>
      <c r="D329" s="16">
        <f t="shared" si="16"/>
        <v>0</v>
      </c>
      <c r="E329" s="16" t="e">
        <f>+IF(AND(B329&gt;=#REF!,B329&lt;=#REF!),"OUI","NON")</f>
        <v>#REF!</v>
      </c>
      <c r="F329" s="16" t="e">
        <f t="array" ref="F329">IF(E329="OUI",MAX(F$2:$O328)+1,"")</f>
        <v>#REF!</v>
      </c>
    </row>
    <row r="330" spans="1:6" x14ac:dyDescent="0.2">
      <c r="A330" s="471">
        <f t="shared" si="17"/>
        <v>51957</v>
      </c>
      <c r="B330" s="30">
        <v>51957</v>
      </c>
      <c r="C330" s="16">
        <f t="shared" si="15"/>
        <v>0</v>
      </c>
      <c r="D330" s="16">
        <f t="shared" si="16"/>
        <v>0</v>
      </c>
      <c r="E330" s="16" t="e">
        <f>+IF(AND(B330&gt;=#REF!,B330&lt;=#REF!),"OUI","NON")</f>
        <v>#REF!</v>
      </c>
      <c r="F330" s="16" t="e">
        <f t="array" ref="F330">IF(E330="OUI",MAX(F$2:$O329)+1,"")</f>
        <v>#REF!</v>
      </c>
    </row>
    <row r="331" spans="1:6" x14ac:dyDescent="0.2">
      <c r="A331" s="471">
        <f t="shared" si="17"/>
        <v>51987</v>
      </c>
      <c r="B331" s="30">
        <v>51987</v>
      </c>
      <c r="C331" s="16">
        <f t="shared" si="15"/>
        <v>0</v>
      </c>
      <c r="D331" s="16">
        <f t="shared" si="16"/>
        <v>0</v>
      </c>
      <c r="E331" s="16" t="e">
        <f>+IF(AND(B331&gt;=#REF!,B331&lt;=#REF!),"OUI","NON")</f>
        <v>#REF!</v>
      </c>
      <c r="F331" s="16" t="e">
        <f t="array" ref="F331">IF(E331="OUI",MAX(F$2:$O330)+1,"")</f>
        <v>#REF!</v>
      </c>
    </row>
    <row r="332" spans="1:6" x14ac:dyDescent="0.2">
      <c r="A332" s="471">
        <f t="shared" si="17"/>
        <v>52018</v>
      </c>
      <c r="B332" s="30">
        <v>52018</v>
      </c>
      <c r="C332" s="16">
        <f t="shared" si="15"/>
        <v>0</v>
      </c>
      <c r="D332" s="16">
        <f t="shared" si="16"/>
        <v>0</v>
      </c>
      <c r="E332" s="16" t="e">
        <f>+IF(AND(B332&gt;=#REF!,B332&lt;=#REF!),"OUI","NON")</f>
        <v>#REF!</v>
      </c>
      <c r="F332" s="16" t="e">
        <f t="array" ref="F332">IF(E332="OUI",MAX(F$2:$O331)+1,"")</f>
        <v>#REF!</v>
      </c>
    </row>
    <row r="333" spans="1:6" x14ac:dyDescent="0.2">
      <c r="A333" s="471">
        <f t="shared" si="17"/>
        <v>52048</v>
      </c>
      <c r="B333" s="30">
        <v>52048</v>
      </c>
      <c r="C333" s="16">
        <f t="shared" si="15"/>
        <v>0</v>
      </c>
      <c r="D333" s="16">
        <f t="shared" si="16"/>
        <v>0</v>
      </c>
      <c r="E333" s="16" t="e">
        <f>+IF(AND(B333&gt;=#REF!,B333&lt;=#REF!),"OUI","NON")</f>
        <v>#REF!</v>
      </c>
      <c r="F333" s="16" t="e">
        <f t="array" ref="F333">IF(E333="OUI",MAX(F$2:$O332)+1,"")</f>
        <v>#REF!</v>
      </c>
    </row>
    <row r="334" spans="1:6" x14ac:dyDescent="0.2">
      <c r="A334" s="471">
        <f t="shared" si="17"/>
        <v>52079</v>
      </c>
      <c r="B334" s="30">
        <v>52079</v>
      </c>
      <c r="C334" s="16">
        <f t="shared" si="15"/>
        <v>0</v>
      </c>
      <c r="D334" s="16">
        <f t="shared" si="16"/>
        <v>0</v>
      </c>
      <c r="E334" s="16" t="e">
        <f>+IF(AND(B334&gt;=#REF!,B334&lt;=#REF!),"OUI","NON")</f>
        <v>#REF!</v>
      </c>
      <c r="F334" s="16" t="e">
        <f t="array" ref="F334">IF(E334="OUI",MAX(F$2:$O333)+1,"")</f>
        <v>#REF!</v>
      </c>
    </row>
    <row r="335" spans="1:6" x14ac:dyDescent="0.2">
      <c r="A335" s="471">
        <f t="shared" si="17"/>
        <v>52110</v>
      </c>
      <c r="B335" s="30">
        <v>52110</v>
      </c>
      <c r="C335" s="16">
        <f t="shared" si="15"/>
        <v>0</v>
      </c>
      <c r="D335" s="16">
        <f t="shared" si="16"/>
        <v>0</v>
      </c>
      <c r="E335" s="16" t="e">
        <f>+IF(AND(B335&gt;=#REF!,B335&lt;=#REF!),"OUI","NON")</f>
        <v>#REF!</v>
      </c>
      <c r="F335" s="16" t="e">
        <f t="array" ref="F335">IF(E335="OUI",MAX(F$2:$O334)+1,"")</f>
        <v>#REF!</v>
      </c>
    </row>
    <row r="336" spans="1:6" x14ac:dyDescent="0.2">
      <c r="A336" s="471">
        <f t="shared" si="17"/>
        <v>52140</v>
      </c>
      <c r="B336" s="30">
        <v>52140</v>
      </c>
      <c r="C336" s="16">
        <f t="shared" si="15"/>
        <v>0</v>
      </c>
      <c r="D336" s="16">
        <f t="shared" si="16"/>
        <v>0</v>
      </c>
      <c r="E336" s="16" t="e">
        <f>+IF(AND(B336&gt;=#REF!,B336&lt;=#REF!),"OUI","NON")</f>
        <v>#REF!</v>
      </c>
      <c r="F336" s="16" t="e">
        <f t="array" ref="F336">IF(E336="OUI",MAX(F$2:$O335)+1,"")</f>
        <v>#REF!</v>
      </c>
    </row>
    <row r="337" spans="1:6" x14ac:dyDescent="0.2">
      <c r="A337" s="471">
        <f t="shared" si="17"/>
        <v>52171</v>
      </c>
      <c r="B337" s="30">
        <v>52171</v>
      </c>
      <c r="C337" s="16">
        <f t="shared" si="15"/>
        <v>0</v>
      </c>
      <c r="D337" s="16">
        <f t="shared" si="16"/>
        <v>0</v>
      </c>
      <c r="E337" s="16" t="e">
        <f>+IF(AND(B337&gt;=#REF!,B337&lt;=#REF!),"OUI","NON")</f>
        <v>#REF!</v>
      </c>
      <c r="F337" s="16" t="e">
        <f t="array" ref="F337">IF(E337="OUI",MAX(F$2:$O336)+1,"")</f>
        <v>#REF!</v>
      </c>
    </row>
    <row r="338" spans="1:6" x14ac:dyDescent="0.2">
      <c r="A338" s="471">
        <f t="shared" si="17"/>
        <v>52201</v>
      </c>
      <c r="B338" s="30">
        <v>52201</v>
      </c>
      <c r="C338" s="16">
        <f t="shared" si="15"/>
        <v>0</v>
      </c>
      <c r="D338" s="16">
        <f t="shared" si="16"/>
        <v>0</v>
      </c>
      <c r="E338" s="16" t="e">
        <f>+IF(AND(B338&gt;=#REF!,B338&lt;=#REF!),"OUI","NON")</f>
        <v>#REF!</v>
      </c>
      <c r="F338" s="16" t="e">
        <f t="array" ref="F338">IF(E338="OUI",MAX(F$2:$O337)+1,"")</f>
        <v>#REF!</v>
      </c>
    </row>
    <row r="339" spans="1:6" x14ac:dyDescent="0.2">
      <c r="A339" s="471">
        <f t="shared" si="17"/>
        <v>52232</v>
      </c>
      <c r="B339" s="30">
        <v>52232</v>
      </c>
      <c r="C339" s="16">
        <f t="shared" si="15"/>
        <v>0</v>
      </c>
      <c r="D339" s="16">
        <f t="shared" si="16"/>
        <v>0</v>
      </c>
      <c r="E339" s="16" t="e">
        <f>+IF(AND(B339&gt;=#REF!,B339&lt;=#REF!),"OUI","NON")</f>
        <v>#REF!</v>
      </c>
      <c r="F339" s="16" t="e">
        <f t="array" ref="F339">IF(E339="OUI",MAX(F$2:$O338)+1,"")</f>
        <v>#REF!</v>
      </c>
    </row>
    <row r="340" spans="1:6" x14ac:dyDescent="0.2">
      <c r="A340" s="471">
        <f t="shared" si="17"/>
        <v>52263</v>
      </c>
      <c r="B340" s="30">
        <v>52263</v>
      </c>
      <c r="C340" s="16">
        <f t="shared" si="15"/>
        <v>0</v>
      </c>
      <c r="D340" s="16">
        <f t="shared" si="16"/>
        <v>0</v>
      </c>
      <c r="E340" s="16" t="e">
        <f>+IF(AND(B340&gt;=#REF!,B340&lt;=#REF!),"OUI","NON")</f>
        <v>#REF!</v>
      </c>
      <c r="F340" s="16" t="e">
        <f t="array" ref="F340">IF(E340="OUI",MAX(F$2:$O339)+1,"")</f>
        <v>#REF!</v>
      </c>
    </row>
    <row r="341" spans="1:6" x14ac:dyDescent="0.2">
      <c r="A341" s="471">
        <f t="shared" si="17"/>
        <v>52291</v>
      </c>
      <c r="B341" s="30">
        <v>52291</v>
      </c>
      <c r="C341" s="16">
        <f t="shared" si="15"/>
        <v>0</v>
      </c>
      <c r="D341" s="16">
        <f t="shared" si="16"/>
        <v>0</v>
      </c>
      <c r="E341" s="16" t="e">
        <f>+IF(AND(B341&gt;=#REF!,B341&lt;=#REF!),"OUI","NON")</f>
        <v>#REF!</v>
      </c>
      <c r="F341" s="16" t="e">
        <f t="array" ref="F341">IF(E341="OUI",MAX(F$2:$O340)+1,"")</f>
        <v>#REF!</v>
      </c>
    </row>
    <row r="342" spans="1:6" x14ac:dyDescent="0.2">
      <c r="A342" s="471">
        <f t="shared" si="17"/>
        <v>52322</v>
      </c>
      <c r="B342" s="30">
        <v>52322</v>
      </c>
      <c r="C342" s="16">
        <f t="shared" si="15"/>
        <v>0</v>
      </c>
      <c r="D342" s="16">
        <f t="shared" si="16"/>
        <v>0</v>
      </c>
      <c r="E342" s="16" t="e">
        <f>+IF(AND(B342&gt;=#REF!,B342&lt;=#REF!),"OUI","NON")</f>
        <v>#REF!</v>
      </c>
      <c r="F342" s="16" t="e">
        <f t="array" ref="F342">IF(E342="OUI",MAX(F$2:$O341)+1,"")</f>
        <v>#REF!</v>
      </c>
    </row>
    <row r="343" spans="1:6" x14ac:dyDescent="0.2">
      <c r="A343" s="471">
        <f t="shared" si="17"/>
        <v>52352</v>
      </c>
      <c r="B343" s="30">
        <v>52352</v>
      </c>
      <c r="C343" s="16">
        <f t="shared" si="15"/>
        <v>0</v>
      </c>
      <c r="D343" s="16">
        <f t="shared" si="16"/>
        <v>0</v>
      </c>
      <c r="E343" s="16" t="e">
        <f>+IF(AND(B343&gt;=#REF!,B343&lt;=#REF!),"OUI","NON")</f>
        <v>#REF!</v>
      </c>
      <c r="F343" s="16" t="e">
        <f t="array" ref="F343">IF(E343="OUI",MAX(F$2:$O342)+1,"")</f>
        <v>#REF!</v>
      </c>
    </row>
    <row r="344" spans="1:6" x14ac:dyDescent="0.2">
      <c r="A344" s="471">
        <f t="shared" si="17"/>
        <v>52383</v>
      </c>
      <c r="B344" s="30">
        <v>52383</v>
      </c>
      <c r="C344" s="16">
        <f t="shared" si="15"/>
        <v>0</v>
      </c>
      <c r="D344" s="16">
        <f t="shared" si="16"/>
        <v>0</v>
      </c>
      <c r="E344" s="16" t="e">
        <f>+IF(AND(B344&gt;=#REF!,B344&lt;=#REF!),"OUI","NON")</f>
        <v>#REF!</v>
      </c>
      <c r="F344" s="16" t="e">
        <f t="array" ref="F344">IF(E344="OUI",MAX(F$2:$O343)+1,"")</f>
        <v>#REF!</v>
      </c>
    </row>
    <row r="345" spans="1:6" x14ac:dyDescent="0.2">
      <c r="A345" s="471">
        <f t="shared" si="17"/>
        <v>52413</v>
      </c>
      <c r="B345" s="30">
        <v>52413</v>
      </c>
      <c r="C345" s="16">
        <f t="shared" si="15"/>
        <v>0</v>
      </c>
      <c r="D345" s="16">
        <f t="shared" si="16"/>
        <v>0</v>
      </c>
      <c r="E345" s="16" t="e">
        <f>+IF(AND(B345&gt;=#REF!,B345&lt;=#REF!),"OUI","NON")</f>
        <v>#REF!</v>
      </c>
      <c r="F345" s="16" t="e">
        <f t="array" ref="F345">IF(E345="OUI",MAX(F$2:$O344)+1,"")</f>
        <v>#REF!</v>
      </c>
    </row>
    <row r="346" spans="1:6" x14ac:dyDescent="0.2">
      <c r="A346" s="471">
        <f t="shared" si="17"/>
        <v>52444</v>
      </c>
      <c r="B346" s="30">
        <v>52444</v>
      </c>
      <c r="C346" s="16">
        <f t="shared" si="15"/>
        <v>0</v>
      </c>
      <c r="D346" s="16">
        <f t="shared" si="16"/>
        <v>0</v>
      </c>
      <c r="E346" s="16" t="e">
        <f>+IF(AND(B346&gt;=#REF!,B346&lt;=#REF!),"OUI","NON")</f>
        <v>#REF!</v>
      </c>
      <c r="F346" s="16" t="e">
        <f t="array" ref="F346">IF(E346="OUI",MAX(F$2:$O345)+1,"")</f>
        <v>#REF!</v>
      </c>
    </row>
    <row r="347" spans="1:6" x14ac:dyDescent="0.2">
      <c r="A347" s="471">
        <f t="shared" si="17"/>
        <v>52475</v>
      </c>
      <c r="B347" s="30">
        <v>52475</v>
      </c>
      <c r="C347" s="16">
        <f t="shared" si="15"/>
        <v>0</v>
      </c>
      <c r="D347" s="16">
        <f t="shared" si="16"/>
        <v>0</v>
      </c>
      <c r="E347" s="16" t="e">
        <f>+IF(AND(B347&gt;=#REF!,B347&lt;=#REF!),"OUI","NON")</f>
        <v>#REF!</v>
      </c>
      <c r="F347" s="16" t="e">
        <f t="array" ref="F347">IF(E347="OUI",MAX(F$2:$O346)+1,"")</f>
        <v>#REF!</v>
      </c>
    </row>
    <row r="348" spans="1:6" x14ac:dyDescent="0.2">
      <c r="A348" s="471">
        <f t="shared" si="17"/>
        <v>52505</v>
      </c>
      <c r="B348" s="30">
        <v>52505</v>
      </c>
      <c r="C348" s="16">
        <f t="shared" si="15"/>
        <v>0</v>
      </c>
      <c r="D348" s="16">
        <f t="shared" si="16"/>
        <v>0</v>
      </c>
      <c r="E348" s="16" t="e">
        <f>+IF(AND(B348&gt;=#REF!,B348&lt;=#REF!),"OUI","NON")</f>
        <v>#REF!</v>
      </c>
      <c r="F348" s="16" t="e">
        <f t="array" ref="F348">IF(E348="OUI",MAX(F$2:$O347)+1,"")</f>
        <v>#REF!</v>
      </c>
    </row>
    <row r="349" spans="1:6" x14ac:dyDescent="0.2">
      <c r="A349" s="471">
        <f t="shared" si="17"/>
        <v>52536</v>
      </c>
      <c r="B349" s="30">
        <v>52536</v>
      </c>
      <c r="C349" s="16">
        <f t="shared" si="15"/>
        <v>0</v>
      </c>
      <c r="D349" s="16">
        <f t="shared" si="16"/>
        <v>0</v>
      </c>
      <c r="E349" s="16" t="e">
        <f>+IF(AND(B349&gt;=#REF!,B349&lt;=#REF!),"OUI","NON")</f>
        <v>#REF!</v>
      </c>
      <c r="F349" s="16" t="e">
        <f t="array" ref="F349">IF(E349="OUI",MAX(F$2:$O348)+1,"")</f>
        <v>#REF!</v>
      </c>
    </row>
    <row r="350" spans="1:6" x14ac:dyDescent="0.2">
      <c r="A350" s="471">
        <f t="shared" si="17"/>
        <v>52566</v>
      </c>
      <c r="B350" s="30">
        <v>52566</v>
      </c>
      <c r="C350" s="16">
        <f t="shared" si="15"/>
        <v>0</v>
      </c>
      <c r="D350" s="16">
        <f t="shared" si="16"/>
        <v>0</v>
      </c>
      <c r="E350" s="16" t="e">
        <f>+IF(AND(B350&gt;=#REF!,B350&lt;=#REF!),"OUI","NON")</f>
        <v>#REF!</v>
      </c>
      <c r="F350" s="16" t="e">
        <f t="array" ref="F350">IF(E350="OUI",MAX(F$2:$O349)+1,"")</f>
        <v>#REF!</v>
      </c>
    </row>
    <row r="351" spans="1:6" x14ac:dyDescent="0.2">
      <c r="A351" s="471">
        <f t="shared" si="17"/>
        <v>52597</v>
      </c>
      <c r="B351" s="30">
        <v>52597</v>
      </c>
      <c r="C351" s="16">
        <f t="shared" si="15"/>
        <v>0</v>
      </c>
      <c r="D351" s="16">
        <f t="shared" si="16"/>
        <v>0</v>
      </c>
      <c r="E351" s="16" t="e">
        <f>+IF(AND(B351&gt;=#REF!,B351&lt;=#REF!),"OUI","NON")</f>
        <v>#REF!</v>
      </c>
      <c r="F351" s="16" t="e">
        <f t="array" ref="F351">IF(E351="OUI",MAX(F$2:$O350)+1,"")</f>
        <v>#REF!</v>
      </c>
    </row>
    <row r="352" spans="1:6" x14ac:dyDescent="0.2">
      <c r="A352" s="471">
        <f t="shared" si="17"/>
        <v>52628</v>
      </c>
      <c r="B352" s="30">
        <v>52628</v>
      </c>
      <c r="C352" s="16">
        <f t="shared" si="15"/>
        <v>0</v>
      </c>
      <c r="D352" s="16">
        <f t="shared" si="16"/>
        <v>0</v>
      </c>
      <c r="E352" s="16" t="e">
        <f>+IF(AND(B352&gt;=#REF!,B352&lt;=#REF!),"OUI","NON")</f>
        <v>#REF!</v>
      </c>
      <c r="F352" s="16" t="e">
        <f t="array" ref="F352">IF(E352="OUI",MAX(F$2:$O351)+1,"")</f>
        <v>#REF!</v>
      </c>
    </row>
    <row r="353" spans="1:6" x14ac:dyDescent="0.2">
      <c r="A353" s="471">
        <f t="shared" si="17"/>
        <v>52657</v>
      </c>
      <c r="B353" s="30">
        <v>52657</v>
      </c>
      <c r="C353" s="16">
        <f t="shared" si="15"/>
        <v>0</v>
      </c>
      <c r="D353" s="16">
        <f t="shared" si="16"/>
        <v>0</v>
      </c>
      <c r="E353" s="16" t="e">
        <f>+IF(AND(B353&gt;=#REF!,B353&lt;=#REF!),"OUI","NON")</f>
        <v>#REF!</v>
      </c>
      <c r="F353" s="16" t="e">
        <f t="array" ref="F353">IF(E353="OUI",MAX(F$2:$O352)+1,"")</f>
        <v>#REF!</v>
      </c>
    </row>
    <row r="354" spans="1:6" x14ac:dyDescent="0.2">
      <c r="A354" s="471">
        <f t="shared" si="17"/>
        <v>52688</v>
      </c>
      <c r="B354" s="30">
        <v>52688</v>
      </c>
      <c r="C354" s="16">
        <f t="shared" si="15"/>
        <v>0</v>
      </c>
      <c r="D354" s="16">
        <f t="shared" si="16"/>
        <v>0</v>
      </c>
      <c r="E354" s="16" t="e">
        <f>+IF(AND(B354&gt;=#REF!,B354&lt;=#REF!),"OUI","NON")</f>
        <v>#REF!</v>
      </c>
      <c r="F354" s="16" t="e">
        <f t="array" ref="F354">IF(E354="OUI",MAX(F$2:$O353)+1,"")</f>
        <v>#REF!</v>
      </c>
    </row>
    <row r="355" spans="1:6" x14ac:dyDescent="0.2">
      <c r="A355" s="471">
        <f t="shared" si="17"/>
        <v>52718</v>
      </c>
      <c r="B355" s="30">
        <v>52718</v>
      </c>
      <c r="C355" s="16">
        <f t="shared" si="15"/>
        <v>0</v>
      </c>
      <c r="D355" s="16">
        <f t="shared" si="16"/>
        <v>0</v>
      </c>
      <c r="E355" s="16" t="e">
        <f>+IF(AND(B355&gt;=#REF!,B355&lt;=#REF!),"OUI","NON")</f>
        <v>#REF!</v>
      </c>
      <c r="F355" s="16" t="e">
        <f t="array" ref="F355">IF(E355="OUI",MAX(F$2:$O354)+1,"")</f>
        <v>#REF!</v>
      </c>
    </row>
    <row r="356" spans="1:6" x14ac:dyDescent="0.2">
      <c r="A356" s="471">
        <f t="shared" si="17"/>
        <v>52749</v>
      </c>
      <c r="B356" s="30">
        <v>52749</v>
      </c>
      <c r="C356" s="16">
        <f t="shared" si="15"/>
        <v>0</v>
      </c>
      <c r="D356" s="16">
        <f t="shared" si="16"/>
        <v>0</v>
      </c>
      <c r="E356" s="16" t="e">
        <f>+IF(AND(B356&gt;=#REF!,B356&lt;=#REF!),"OUI","NON")</f>
        <v>#REF!</v>
      </c>
      <c r="F356" s="16" t="e">
        <f t="array" ref="F356">IF(E356="OUI",MAX(F$2:$O355)+1,"")</f>
        <v>#REF!</v>
      </c>
    </row>
    <row r="357" spans="1:6" x14ac:dyDescent="0.2">
      <c r="A357" s="471">
        <f t="shared" si="17"/>
        <v>52779</v>
      </c>
      <c r="B357" s="30">
        <v>52779</v>
      </c>
      <c r="C357" s="16">
        <f t="shared" si="15"/>
        <v>0</v>
      </c>
      <c r="D357" s="16">
        <f t="shared" si="16"/>
        <v>0</v>
      </c>
      <c r="E357" s="16" t="e">
        <f>+IF(AND(B357&gt;=#REF!,B357&lt;=#REF!),"OUI","NON")</f>
        <v>#REF!</v>
      </c>
      <c r="F357" s="16" t="e">
        <f t="array" ref="F357">IF(E357="OUI",MAX(F$2:$O356)+1,"")</f>
        <v>#REF!</v>
      </c>
    </row>
    <row r="358" spans="1:6" x14ac:dyDescent="0.2">
      <c r="A358" s="471">
        <f t="shared" si="17"/>
        <v>52810</v>
      </c>
      <c r="B358" s="30">
        <v>52810</v>
      </c>
      <c r="C358" s="16">
        <f t="shared" si="15"/>
        <v>0</v>
      </c>
      <c r="D358" s="16">
        <f t="shared" si="16"/>
        <v>0</v>
      </c>
      <c r="E358" s="16" t="e">
        <f>+IF(AND(B358&gt;=#REF!,B358&lt;=#REF!),"OUI","NON")</f>
        <v>#REF!</v>
      </c>
      <c r="F358" s="16" t="e">
        <f t="array" ref="F358">IF(E358="OUI",MAX(F$2:$O357)+1,"")</f>
        <v>#REF!</v>
      </c>
    </row>
    <row r="359" spans="1:6" x14ac:dyDescent="0.2">
      <c r="A359" s="471">
        <f t="shared" si="17"/>
        <v>52841</v>
      </c>
      <c r="B359" s="30">
        <v>52841</v>
      </c>
      <c r="C359" s="16">
        <f t="shared" si="15"/>
        <v>0</v>
      </c>
      <c r="D359" s="16">
        <f t="shared" si="16"/>
        <v>0</v>
      </c>
      <c r="E359" s="16" t="e">
        <f>+IF(AND(B359&gt;=#REF!,B359&lt;=#REF!),"OUI","NON")</f>
        <v>#REF!</v>
      </c>
      <c r="F359" s="16" t="e">
        <f t="array" ref="F359">IF(E359="OUI",MAX(F$2:$O358)+1,"")</f>
        <v>#REF!</v>
      </c>
    </row>
    <row r="360" spans="1:6" x14ac:dyDescent="0.2">
      <c r="A360" s="471">
        <f t="shared" si="17"/>
        <v>52871</v>
      </c>
      <c r="B360" s="30">
        <v>52871</v>
      </c>
      <c r="C360" s="16">
        <f t="shared" si="15"/>
        <v>0</v>
      </c>
      <c r="D360" s="16">
        <f t="shared" si="16"/>
        <v>0</v>
      </c>
      <c r="E360" s="16" t="e">
        <f>+IF(AND(B360&gt;=#REF!,B360&lt;=#REF!),"OUI","NON")</f>
        <v>#REF!</v>
      </c>
      <c r="F360" s="16" t="e">
        <f t="array" ref="F360">IF(E360="OUI",MAX(F$2:$O359)+1,"")</f>
        <v>#REF!</v>
      </c>
    </row>
    <row r="361" spans="1:6" x14ac:dyDescent="0.2">
      <c r="A361" s="471">
        <f t="shared" si="17"/>
        <v>52902</v>
      </c>
      <c r="B361" s="30">
        <v>52902</v>
      </c>
      <c r="C361" s="16">
        <f t="shared" si="15"/>
        <v>0</v>
      </c>
      <c r="D361" s="16">
        <f t="shared" si="16"/>
        <v>0</v>
      </c>
      <c r="E361" s="16" t="e">
        <f>+IF(AND(B361&gt;=#REF!,B361&lt;=#REF!),"OUI","NON")</f>
        <v>#REF!</v>
      </c>
      <c r="F361" s="16" t="e">
        <f t="array" ref="F361">IF(E361="OUI",MAX(F$2:$O360)+1,"")</f>
        <v>#REF!</v>
      </c>
    </row>
    <row r="362" spans="1:6" x14ac:dyDescent="0.2">
      <c r="A362" s="471">
        <f t="shared" si="17"/>
        <v>52932</v>
      </c>
      <c r="B362" s="30">
        <v>52932</v>
      </c>
      <c r="C362" s="16">
        <f t="shared" si="15"/>
        <v>0</v>
      </c>
      <c r="D362" s="16">
        <f t="shared" si="16"/>
        <v>0</v>
      </c>
      <c r="E362" s="16" t="e">
        <f>+IF(AND(B362&gt;=#REF!,B362&lt;=#REF!),"OUI","NON")</f>
        <v>#REF!</v>
      </c>
      <c r="F362" s="16" t="e">
        <f t="array" ref="F362">IF(E362="OUI",MAX(F$2:$O361)+1,"")</f>
        <v>#REF!</v>
      </c>
    </row>
    <row r="363" spans="1:6" x14ac:dyDescent="0.2">
      <c r="A363" s="471">
        <f t="shared" si="17"/>
        <v>52963</v>
      </c>
      <c r="B363" s="30">
        <v>52963</v>
      </c>
      <c r="C363" s="16">
        <f t="shared" si="15"/>
        <v>0</v>
      </c>
      <c r="D363" s="16">
        <f t="shared" si="16"/>
        <v>0</v>
      </c>
      <c r="E363" s="16" t="e">
        <f>+IF(AND(B363&gt;=#REF!,B363&lt;=#REF!),"OUI","NON")</f>
        <v>#REF!</v>
      </c>
      <c r="F363" s="16" t="e">
        <f t="array" ref="F363">IF(E363="OUI",MAX(F$2:$O362)+1,"")</f>
        <v>#REF!</v>
      </c>
    </row>
    <row r="364" spans="1:6" x14ac:dyDescent="0.2">
      <c r="A364" s="471">
        <f t="shared" si="17"/>
        <v>52994</v>
      </c>
      <c r="B364" s="30">
        <v>52994</v>
      </c>
      <c r="C364" s="16">
        <f t="shared" si="15"/>
        <v>0</v>
      </c>
      <c r="D364" s="16">
        <f t="shared" si="16"/>
        <v>0</v>
      </c>
      <c r="E364" s="16" t="e">
        <f>+IF(AND(B364&gt;=#REF!,B364&lt;=#REF!),"OUI","NON")</f>
        <v>#REF!</v>
      </c>
      <c r="F364" s="16" t="e">
        <f t="array" ref="F364">IF(E364="OUI",MAX(F$2:$O363)+1,"")</f>
        <v>#REF!</v>
      </c>
    </row>
    <row r="365" spans="1:6" x14ac:dyDescent="0.2">
      <c r="A365" s="471">
        <f t="shared" si="17"/>
        <v>53022</v>
      </c>
      <c r="B365" s="30">
        <v>53022</v>
      </c>
      <c r="C365" s="16">
        <f t="shared" si="15"/>
        <v>0</v>
      </c>
      <c r="D365" s="16">
        <f t="shared" si="16"/>
        <v>0</v>
      </c>
      <c r="E365" s="16" t="e">
        <f>+IF(AND(B365&gt;=#REF!,B365&lt;=#REF!),"OUI","NON")</f>
        <v>#REF!</v>
      </c>
      <c r="F365" s="16" t="e">
        <f t="array" ref="F365">IF(E365="OUI",MAX(F$2:$O364)+1,"")</f>
        <v>#REF!</v>
      </c>
    </row>
    <row r="366" spans="1:6" x14ac:dyDescent="0.2">
      <c r="A366" s="471">
        <f t="shared" si="17"/>
        <v>53053</v>
      </c>
      <c r="B366" s="30">
        <v>53053</v>
      </c>
      <c r="C366" s="16">
        <f t="shared" si="15"/>
        <v>0</v>
      </c>
      <c r="D366" s="16">
        <f t="shared" si="16"/>
        <v>0</v>
      </c>
      <c r="E366" s="16" t="e">
        <f>+IF(AND(B366&gt;=#REF!,B366&lt;=#REF!),"OUI","NON")</f>
        <v>#REF!</v>
      </c>
      <c r="F366" s="16" t="e">
        <f t="array" ref="F366">IF(E366="OUI",MAX(F$2:$O365)+1,"")</f>
        <v>#REF!</v>
      </c>
    </row>
    <row r="367" spans="1:6" x14ac:dyDescent="0.2">
      <c r="A367" s="471">
        <f t="shared" si="17"/>
        <v>53083</v>
      </c>
      <c r="B367" s="30">
        <v>53083</v>
      </c>
      <c r="C367" s="16">
        <f t="shared" si="15"/>
        <v>0</v>
      </c>
      <c r="D367" s="16">
        <f t="shared" si="16"/>
        <v>0</v>
      </c>
      <c r="E367" s="16" t="e">
        <f>+IF(AND(B367&gt;=#REF!,B367&lt;=#REF!),"OUI","NON")</f>
        <v>#REF!</v>
      </c>
      <c r="F367" s="16" t="e">
        <f t="array" ref="F367">IF(E367="OUI",MAX(F$2:$O366)+1,"")</f>
        <v>#REF!</v>
      </c>
    </row>
    <row r="368" spans="1:6" x14ac:dyDescent="0.2">
      <c r="A368" s="471">
        <f t="shared" si="17"/>
        <v>53114</v>
      </c>
      <c r="B368" s="30">
        <v>53114</v>
      </c>
      <c r="C368" s="16">
        <f t="shared" si="15"/>
        <v>0</v>
      </c>
      <c r="D368" s="16">
        <f t="shared" si="16"/>
        <v>0</v>
      </c>
      <c r="E368" s="16" t="e">
        <f>+IF(AND(B368&gt;=#REF!,B368&lt;=#REF!),"OUI","NON")</f>
        <v>#REF!</v>
      </c>
      <c r="F368" s="16" t="e">
        <f t="array" ref="F368">IF(E368="OUI",MAX(F$2:$O367)+1,"")</f>
        <v>#REF!</v>
      </c>
    </row>
    <row r="369" spans="1:6" x14ac:dyDescent="0.2">
      <c r="A369" s="471">
        <f t="shared" si="17"/>
        <v>53144</v>
      </c>
      <c r="B369" s="30">
        <v>53144</v>
      </c>
      <c r="C369" s="16">
        <f t="shared" si="15"/>
        <v>0</v>
      </c>
      <c r="D369" s="16">
        <f t="shared" si="16"/>
        <v>0</v>
      </c>
      <c r="E369" s="16" t="e">
        <f>+IF(AND(B369&gt;=#REF!,B369&lt;=#REF!),"OUI","NON")</f>
        <v>#REF!</v>
      </c>
      <c r="F369" s="16" t="e">
        <f t="array" ref="F369">IF(E369="OUI",MAX(F$2:$O368)+1,"")</f>
        <v>#REF!</v>
      </c>
    </row>
    <row r="370" spans="1:6" x14ac:dyDescent="0.2">
      <c r="A370" s="471">
        <f t="shared" si="17"/>
        <v>53175</v>
      </c>
      <c r="B370" s="30">
        <v>53175</v>
      </c>
      <c r="C370" s="16">
        <f t="shared" si="15"/>
        <v>0</v>
      </c>
      <c r="D370" s="16">
        <f t="shared" si="16"/>
        <v>0</v>
      </c>
      <c r="E370" s="16" t="e">
        <f>+IF(AND(B370&gt;=#REF!,B370&lt;=#REF!),"OUI","NON")</f>
        <v>#REF!</v>
      </c>
      <c r="F370" s="16" t="e">
        <f t="array" ref="F370">IF(E370="OUI",MAX(F$2:$O369)+1,"")</f>
        <v>#REF!</v>
      </c>
    </row>
    <row r="371" spans="1:6" x14ac:dyDescent="0.2">
      <c r="A371" s="471">
        <f t="shared" si="17"/>
        <v>53206</v>
      </c>
      <c r="B371" s="30">
        <v>53206</v>
      </c>
      <c r="C371" s="16">
        <f t="shared" si="15"/>
        <v>0</v>
      </c>
      <c r="D371" s="16">
        <f t="shared" si="16"/>
        <v>0</v>
      </c>
      <c r="E371" s="16" t="e">
        <f>+IF(AND(B371&gt;=#REF!,B371&lt;=#REF!),"OUI","NON")</f>
        <v>#REF!</v>
      </c>
      <c r="F371" s="16" t="e">
        <f t="array" ref="F371">IF(E371="OUI",MAX(F$2:$O370)+1,"")</f>
        <v>#REF!</v>
      </c>
    </row>
    <row r="372" spans="1:6" x14ac:dyDescent="0.2">
      <c r="A372" s="471">
        <f t="shared" si="17"/>
        <v>53236</v>
      </c>
      <c r="B372" s="30">
        <v>53236</v>
      </c>
      <c r="C372" s="16">
        <f t="shared" si="15"/>
        <v>0</v>
      </c>
      <c r="D372" s="16">
        <f t="shared" si="16"/>
        <v>0</v>
      </c>
      <c r="E372" s="16" t="e">
        <f>+IF(AND(B372&gt;=#REF!,B372&lt;=#REF!),"OUI","NON")</f>
        <v>#REF!</v>
      </c>
      <c r="F372" s="16" t="e">
        <f t="array" ref="F372">IF(E372="OUI",MAX(F$2:$O371)+1,"")</f>
        <v>#REF!</v>
      </c>
    </row>
    <row r="373" spans="1:6" x14ac:dyDescent="0.2">
      <c r="A373" s="471">
        <f t="shared" si="17"/>
        <v>53267</v>
      </c>
      <c r="B373" s="30">
        <v>53267</v>
      </c>
      <c r="C373" s="16">
        <f t="shared" si="15"/>
        <v>0</v>
      </c>
      <c r="D373" s="16">
        <f t="shared" si="16"/>
        <v>0</v>
      </c>
      <c r="E373" s="16" t="e">
        <f>+IF(AND(B373&gt;=#REF!,B373&lt;=#REF!),"OUI","NON")</f>
        <v>#REF!</v>
      </c>
      <c r="F373" s="16" t="e">
        <f t="array" ref="F373">IF(E373="OUI",MAX(F$2:$O372)+1,"")</f>
        <v>#REF!</v>
      </c>
    </row>
    <row r="374" spans="1:6" x14ac:dyDescent="0.2">
      <c r="A374" s="471">
        <f t="shared" si="17"/>
        <v>53297</v>
      </c>
      <c r="B374" s="30">
        <v>53297</v>
      </c>
      <c r="C374" s="16">
        <f t="shared" si="15"/>
        <v>0</v>
      </c>
      <c r="D374" s="16">
        <f t="shared" si="16"/>
        <v>0</v>
      </c>
      <c r="E374" s="16" t="e">
        <f>+IF(AND(B374&gt;=#REF!,B374&lt;=#REF!),"OUI","NON")</f>
        <v>#REF!</v>
      </c>
      <c r="F374" s="16" t="e">
        <f t="array" ref="F374">IF(E374="OUI",MAX(F$2:$O373)+1,"")</f>
        <v>#REF!</v>
      </c>
    </row>
    <row r="375" spans="1:6" x14ac:dyDescent="0.2">
      <c r="A375" s="471">
        <f t="shared" si="17"/>
        <v>53328</v>
      </c>
      <c r="B375" s="30">
        <v>53328</v>
      </c>
      <c r="C375" s="16">
        <f t="shared" si="15"/>
        <v>0</v>
      </c>
      <c r="D375" s="16">
        <f t="shared" si="16"/>
        <v>0</v>
      </c>
      <c r="E375" s="16" t="e">
        <f>+IF(AND(B375&gt;=#REF!,B375&lt;=#REF!),"OUI","NON")</f>
        <v>#REF!</v>
      </c>
      <c r="F375" s="16" t="e">
        <f t="array" ref="F375">IF(E375="OUI",MAX(F$2:$O374)+1,"")</f>
        <v>#REF!</v>
      </c>
    </row>
    <row r="376" spans="1:6" x14ac:dyDescent="0.2">
      <c r="A376" s="471">
        <f t="shared" si="17"/>
        <v>53359</v>
      </c>
      <c r="B376" s="30">
        <v>53359</v>
      </c>
      <c r="C376" s="16">
        <f t="shared" si="15"/>
        <v>0</v>
      </c>
      <c r="D376" s="16">
        <f t="shared" si="16"/>
        <v>0</v>
      </c>
      <c r="E376" s="16" t="e">
        <f>+IF(AND(B376&gt;=#REF!,B376&lt;=#REF!),"OUI","NON")</f>
        <v>#REF!</v>
      </c>
      <c r="F376" s="16" t="e">
        <f t="array" ref="F376">IF(E376="OUI",MAX(F$2:$O375)+1,"")</f>
        <v>#REF!</v>
      </c>
    </row>
    <row r="377" spans="1:6" x14ac:dyDescent="0.2">
      <c r="A377" s="471">
        <f t="shared" si="17"/>
        <v>53387</v>
      </c>
      <c r="B377" s="30">
        <v>53387</v>
      </c>
      <c r="C377" s="16">
        <f t="shared" si="15"/>
        <v>0</v>
      </c>
      <c r="D377" s="16">
        <f t="shared" si="16"/>
        <v>0</v>
      </c>
      <c r="E377" s="16" t="e">
        <f>+IF(AND(B377&gt;=#REF!,B377&lt;=#REF!),"OUI","NON")</f>
        <v>#REF!</v>
      </c>
      <c r="F377" s="16" t="e">
        <f t="array" ref="F377">IF(E377="OUI",MAX(F$2:$O376)+1,"")</f>
        <v>#REF!</v>
      </c>
    </row>
    <row r="378" spans="1:6" x14ac:dyDescent="0.2">
      <c r="A378" s="471">
        <f t="shared" si="17"/>
        <v>53418</v>
      </c>
      <c r="B378" s="30">
        <v>53418</v>
      </c>
      <c r="C378" s="16">
        <f t="shared" si="15"/>
        <v>0</v>
      </c>
      <c r="D378" s="16">
        <f t="shared" si="16"/>
        <v>0</v>
      </c>
      <c r="E378" s="16" t="e">
        <f>+IF(AND(B378&gt;=#REF!,B378&lt;=#REF!),"OUI","NON")</f>
        <v>#REF!</v>
      </c>
      <c r="F378" s="16" t="e">
        <f t="array" ref="F378">IF(E378="OUI",MAX(F$2:$O377)+1,"")</f>
        <v>#REF!</v>
      </c>
    </row>
    <row r="379" spans="1:6" x14ac:dyDescent="0.2">
      <c r="A379" s="471">
        <f t="shared" si="17"/>
        <v>53448</v>
      </c>
      <c r="B379" s="30">
        <v>53448</v>
      </c>
      <c r="C379" s="16">
        <f t="shared" si="15"/>
        <v>0</v>
      </c>
      <c r="D379" s="16">
        <f t="shared" si="16"/>
        <v>0</v>
      </c>
      <c r="E379" s="16" t="e">
        <f>+IF(AND(B379&gt;=#REF!,B379&lt;=#REF!),"OUI","NON")</f>
        <v>#REF!</v>
      </c>
      <c r="F379" s="16" t="e">
        <f t="array" ref="F379">IF(E379="OUI",MAX(F$2:$O378)+1,"")</f>
        <v>#REF!</v>
      </c>
    </row>
    <row r="380" spans="1:6" x14ac:dyDescent="0.2">
      <c r="A380" s="471">
        <f t="shared" si="17"/>
        <v>53479</v>
      </c>
      <c r="B380" s="30">
        <v>53479</v>
      </c>
      <c r="C380" s="16">
        <f t="shared" si="15"/>
        <v>0</v>
      </c>
      <c r="D380" s="16">
        <f t="shared" si="16"/>
        <v>0</v>
      </c>
      <c r="E380" s="16" t="e">
        <f>+IF(AND(B380&gt;=#REF!,B380&lt;=#REF!),"OUI","NON")</f>
        <v>#REF!</v>
      </c>
      <c r="F380" s="16" t="e">
        <f t="array" ref="F380">IF(E380="OUI",MAX(F$2:$O379)+1,"")</f>
        <v>#REF!</v>
      </c>
    </row>
    <row r="381" spans="1:6" x14ac:dyDescent="0.2">
      <c r="A381" s="471">
        <f t="shared" si="17"/>
        <v>53509</v>
      </c>
      <c r="B381" s="30">
        <v>53509</v>
      </c>
      <c r="C381" s="16">
        <f t="shared" si="15"/>
        <v>0</v>
      </c>
      <c r="D381" s="16">
        <f t="shared" si="16"/>
        <v>0</v>
      </c>
      <c r="E381" s="16" t="e">
        <f>+IF(AND(B381&gt;=#REF!,B381&lt;=#REF!),"OUI","NON")</f>
        <v>#REF!</v>
      </c>
      <c r="F381" s="16" t="e">
        <f t="array" ref="F381">IF(E381="OUI",MAX(F$2:$O380)+1,"")</f>
        <v>#REF!</v>
      </c>
    </row>
    <row r="382" spans="1:6" x14ac:dyDescent="0.2">
      <c r="A382" s="471">
        <f t="shared" si="17"/>
        <v>53540</v>
      </c>
      <c r="B382" s="30">
        <v>53540</v>
      </c>
      <c r="C382" s="16">
        <f t="shared" si="15"/>
        <v>0</v>
      </c>
      <c r="D382" s="16">
        <f t="shared" si="16"/>
        <v>0</v>
      </c>
      <c r="E382" s="16" t="e">
        <f>+IF(AND(B382&gt;=#REF!,B382&lt;=#REF!),"OUI","NON")</f>
        <v>#REF!</v>
      </c>
      <c r="F382" s="16" t="e">
        <f t="array" ref="F382">IF(E382="OUI",MAX(F$2:$O381)+1,"")</f>
        <v>#REF!</v>
      </c>
    </row>
    <row r="383" spans="1:6" x14ac:dyDescent="0.2">
      <c r="A383" s="471">
        <f t="shared" si="17"/>
        <v>53571</v>
      </c>
      <c r="B383" s="30">
        <v>53571</v>
      </c>
      <c r="C383" s="16">
        <f t="shared" si="15"/>
        <v>0</v>
      </c>
      <c r="D383" s="16">
        <f t="shared" si="16"/>
        <v>0</v>
      </c>
      <c r="E383" s="16" t="e">
        <f>+IF(AND(B383&gt;=#REF!,B383&lt;=#REF!),"OUI","NON")</f>
        <v>#REF!</v>
      </c>
      <c r="F383" s="16" t="e">
        <f t="array" ref="F383">IF(E383="OUI",MAX(F$2:$O382)+1,"")</f>
        <v>#REF!</v>
      </c>
    </row>
    <row r="384" spans="1:6" x14ac:dyDescent="0.2">
      <c r="A384" s="471">
        <f t="shared" si="17"/>
        <v>53601</v>
      </c>
      <c r="B384" s="30">
        <v>53601</v>
      </c>
      <c r="C384" s="16">
        <f t="shared" si="15"/>
        <v>0</v>
      </c>
      <c r="D384" s="16">
        <f t="shared" si="16"/>
        <v>0</v>
      </c>
      <c r="E384" s="16" t="e">
        <f>+IF(AND(B384&gt;=#REF!,B384&lt;=#REF!),"OUI","NON")</f>
        <v>#REF!</v>
      </c>
      <c r="F384" s="16" t="e">
        <f t="array" ref="F384">IF(E384="OUI",MAX(F$2:$O383)+1,"")</f>
        <v>#REF!</v>
      </c>
    </row>
    <row r="385" spans="1:6" x14ac:dyDescent="0.2">
      <c r="A385" s="471">
        <f t="shared" si="17"/>
        <v>53632</v>
      </c>
      <c r="B385" s="30">
        <v>53632</v>
      </c>
      <c r="C385" s="16">
        <f t="shared" si="15"/>
        <v>0</v>
      </c>
      <c r="D385" s="16">
        <f t="shared" si="16"/>
        <v>0</v>
      </c>
      <c r="E385" s="16" t="e">
        <f>+IF(AND(B385&gt;=#REF!,B385&lt;=#REF!),"OUI","NON")</f>
        <v>#REF!</v>
      </c>
      <c r="F385" s="16" t="e">
        <f t="array" ref="F385">IF(E385="OUI",MAX(F$2:$O384)+1,"")</f>
        <v>#REF!</v>
      </c>
    </row>
    <row r="386" spans="1:6" x14ac:dyDescent="0.2">
      <c r="A386" s="471">
        <f t="shared" si="17"/>
        <v>53662</v>
      </c>
      <c r="B386" s="30">
        <v>53662</v>
      </c>
      <c r="C386" s="16">
        <f t="shared" si="15"/>
        <v>0</v>
      </c>
      <c r="D386" s="16">
        <f t="shared" si="16"/>
        <v>0</v>
      </c>
      <c r="E386" s="16" t="e">
        <f>+IF(AND(B386&gt;=#REF!,B386&lt;=#REF!),"OUI","NON")</f>
        <v>#REF!</v>
      </c>
      <c r="F386" s="16" t="e">
        <f t="array" ref="F386">IF(E386="OUI",MAX(F$2:$O385)+1,"")</f>
        <v>#REF!</v>
      </c>
    </row>
    <row r="387" spans="1:6" x14ac:dyDescent="0.2">
      <c r="A387" s="471">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71">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71">
        <f t="shared" si="20"/>
        <v>53752</v>
      </c>
      <c r="B389" s="30">
        <v>53752</v>
      </c>
      <c r="C389" s="16">
        <f t="shared" si="18"/>
        <v>0</v>
      </c>
      <c r="D389" s="16">
        <f t="shared" si="19"/>
        <v>0</v>
      </c>
      <c r="E389" s="16" t="e">
        <f>+IF(AND(B389&gt;=#REF!,B389&lt;=#REF!),"OUI","NON")</f>
        <v>#REF!</v>
      </c>
      <c r="F389" s="16" t="e">
        <f t="array" ref="F389">IF(E389="OUI",MAX(F$2:$O388)+1,"")</f>
        <v>#REF!</v>
      </c>
    </row>
    <row r="390" spans="1:6" x14ac:dyDescent="0.2">
      <c r="A390" s="471">
        <f t="shared" si="20"/>
        <v>53783</v>
      </c>
      <c r="B390" s="30">
        <v>53783</v>
      </c>
      <c r="C390" s="16">
        <f t="shared" si="18"/>
        <v>0</v>
      </c>
      <c r="D390" s="16">
        <f t="shared" si="19"/>
        <v>0</v>
      </c>
      <c r="E390" s="16" t="e">
        <f>+IF(AND(B390&gt;=#REF!,B390&lt;=#REF!),"OUI","NON")</f>
        <v>#REF!</v>
      </c>
      <c r="F390" s="16" t="e">
        <f t="array" ref="F390">IF(E390="OUI",MAX(F$2:$O389)+1,"")</f>
        <v>#REF!</v>
      </c>
    </row>
    <row r="391" spans="1:6" x14ac:dyDescent="0.2">
      <c r="A391" s="471">
        <f t="shared" si="20"/>
        <v>53813</v>
      </c>
      <c r="B391" s="30">
        <v>53813</v>
      </c>
      <c r="C391" s="16">
        <f t="shared" si="18"/>
        <v>0</v>
      </c>
      <c r="D391" s="16">
        <f t="shared" si="19"/>
        <v>0</v>
      </c>
      <c r="E391" s="16" t="e">
        <f>+IF(AND(B391&gt;=#REF!,B391&lt;=#REF!),"OUI","NON")</f>
        <v>#REF!</v>
      </c>
      <c r="F391" s="16" t="e">
        <f t="array" ref="F391">IF(E391="OUI",MAX(F$2:$O390)+1,"")</f>
        <v>#REF!</v>
      </c>
    </row>
    <row r="392" spans="1:6" x14ac:dyDescent="0.2">
      <c r="A392" s="471">
        <f t="shared" si="20"/>
        <v>53844</v>
      </c>
      <c r="B392" s="30">
        <v>53844</v>
      </c>
      <c r="C392" s="16">
        <f t="shared" si="18"/>
        <v>0</v>
      </c>
      <c r="D392" s="16">
        <f t="shared" si="19"/>
        <v>0</v>
      </c>
      <c r="E392" s="16" t="e">
        <f>+IF(AND(B392&gt;=#REF!,B392&lt;=#REF!),"OUI","NON")</f>
        <v>#REF!</v>
      </c>
      <c r="F392" s="16" t="e">
        <f t="array" ref="F392">IF(E392="OUI",MAX(F$2:$O391)+1,"")</f>
        <v>#REF!</v>
      </c>
    </row>
    <row r="393" spans="1:6" x14ac:dyDescent="0.2">
      <c r="A393" s="471">
        <f t="shared" si="20"/>
        <v>53874</v>
      </c>
      <c r="B393" s="30">
        <v>53874</v>
      </c>
      <c r="C393" s="16">
        <f t="shared" si="18"/>
        <v>0</v>
      </c>
      <c r="D393" s="16">
        <f t="shared" si="19"/>
        <v>0</v>
      </c>
      <c r="E393" s="16" t="e">
        <f>+IF(AND(B393&gt;=#REF!,B393&lt;=#REF!),"OUI","NON")</f>
        <v>#REF!</v>
      </c>
      <c r="F393" s="16" t="e">
        <f t="array" ref="F393">IF(E393="OUI",MAX(F$2:$O392)+1,"")</f>
        <v>#REF!</v>
      </c>
    </row>
    <row r="394" spans="1:6" x14ac:dyDescent="0.2">
      <c r="A394" s="471">
        <f t="shared" si="20"/>
        <v>53905</v>
      </c>
      <c r="B394" s="30">
        <v>53905</v>
      </c>
      <c r="C394" s="16">
        <f t="shared" si="18"/>
        <v>0</v>
      </c>
      <c r="D394" s="16">
        <f t="shared" si="19"/>
        <v>0</v>
      </c>
      <c r="E394" s="16" t="e">
        <f>+IF(AND(B394&gt;=#REF!,B394&lt;=#REF!),"OUI","NON")</f>
        <v>#REF!</v>
      </c>
      <c r="F394" s="16" t="e">
        <f t="array" ref="F394">IF(E394="OUI",MAX(F$2:$O393)+1,"")</f>
        <v>#REF!</v>
      </c>
    </row>
    <row r="395" spans="1:6" x14ac:dyDescent="0.2">
      <c r="A395" s="471">
        <f t="shared" si="20"/>
        <v>53936</v>
      </c>
      <c r="B395" s="30">
        <v>53936</v>
      </c>
      <c r="C395" s="16">
        <f t="shared" si="18"/>
        <v>0</v>
      </c>
      <c r="D395" s="16">
        <f t="shared" si="19"/>
        <v>0</v>
      </c>
      <c r="E395" s="16" t="e">
        <f>+IF(AND(B395&gt;=#REF!,B395&lt;=#REF!),"OUI","NON")</f>
        <v>#REF!</v>
      </c>
      <c r="F395" s="16" t="e">
        <f t="array" ref="F395">IF(E395="OUI",MAX(F$2:$O394)+1,"")</f>
        <v>#REF!</v>
      </c>
    </row>
    <row r="396" spans="1:6" x14ac:dyDescent="0.2">
      <c r="A396" s="471">
        <f t="shared" si="20"/>
        <v>53966</v>
      </c>
      <c r="B396" s="30">
        <v>53966</v>
      </c>
      <c r="C396" s="16">
        <f t="shared" si="18"/>
        <v>0</v>
      </c>
      <c r="D396" s="16">
        <f t="shared" si="19"/>
        <v>0</v>
      </c>
      <c r="E396" s="16" t="e">
        <f>+IF(AND(B396&gt;=#REF!,B396&lt;=#REF!),"OUI","NON")</f>
        <v>#REF!</v>
      </c>
      <c r="F396" s="16" t="e">
        <f t="array" ref="F396">IF(E396="OUI",MAX(F$2:$O395)+1,"")</f>
        <v>#REF!</v>
      </c>
    </row>
    <row r="397" spans="1:6" x14ac:dyDescent="0.2">
      <c r="A397" s="471">
        <f t="shared" si="20"/>
        <v>53997</v>
      </c>
      <c r="B397" s="30">
        <v>53997</v>
      </c>
      <c r="C397" s="16">
        <f t="shared" si="18"/>
        <v>0</v>
      </c>
      <c r="D397" s="16">
        <f t="shared" si="19"/>
        <v>0</v>
      </c>
      <c r="E397" s="16" t="e">
        <f>+IF(AND(B397&gt;=#REF!,B397&lt;=#REF!),"OUI","NON")</f>
        <v>#REF!</v>
      </c>
      <c r="F397" s="16" t="e">
        <f t="array" ref="F397">IF(E397="OUI",MAX(F$2:$O396)+1,"")</f>
        <v>#REF!</v>
      </c>
    </row>
    <row r="398" spans="1:6" x14ac:dyDescent="0.2">
      <c r="A398" s="471">
        <f t="shared" si="20"/>
        <v>54027</v>
      </c>
      <c r="B398" s="30">
        <v>54027</v>
      </c>
      <c r="C398" s="16">
        <f t="shared" si="18"/>
        <v>0</v>
      </c>
      <c r="D398" s="16">
        <f t="shared" si="19"/>
        <v>0</v>
      </c>
      <c r="E398" s="16" t="e">
        <f>+IF(AND(B398&gt;=#REF!,B398&lt;=#REF!),"OUI","NON")</f>
        <v>#REF!</v>
      </c>
      <c r="F398" s="16" t="e">
        <f t="array" ref="F398">IF(E398="OUI",MAX(F$2:$O397)+1,"")</f>
        <v>#REF!</v>
      </c>
    </row>
    <row r="399" spans="1:6" x14ac:dyDescent="0.2">
      <c r="A399" s="471">
        <f t="shared" si="20"/>
        <v>54058</v>
      </c>
      <c r="B399" s="30">
        <v>54058</v>
      </c>
      <c r="C399" s="16">
        <f t="shared" si="18"/>
        <v>0</v>
      </c>
      <c r="D399" s="16">
        <f t="shared" si="19"/>
        <v>0</v>
      </c>
      <c r="E399" s="16" t="e">
        <f>+IF(AND(B399&gt;=#REF!,B399&lt;=#REF!),"OUI","NON")</f>
        <v>#REF!</v>
      </c>
      <c r="F399" s="16" t="e">
        <f t="array" ref="F399">IF(E399="OUI",MAX(F$2:$O398)+1,"")</f>
        <v>#REF!</v>
      </c>
    </row>
    <row r="400" spans="1:6" x14ac:dyDescent="0.2">
      <c r="A400" s="471">
        <f t="shared" si="20"/>
        <v>54089</v>
      </c>
      <c r="B400" s="30">
        <v>54089</v>
      </c>
      <c r="C400" s="16">
        <f t="shared" si="18"/>
        <v>0</v>
      </c>
      <c r="D400" s="16">
        <f t="shared" si="19"/>
        <v>0</v>
      </c>
      <c r="E400" s="16" t="e">
        <f>+IF(AND(B400&gt;=#REF!,B400&lt;=#REF!),"OUI","NON")</f>
        <v>#REF!</v>
      </c>
      <c r="F400" s="16" t="e">
        <f t="array" ref="F400">IF(E400="OUI",MAX(F$2:$O399)+1,"")</f>
        <v>#REF!</v>
      </c>
    </row>
    <row r="401" spans="1:6" x14ac:dyDescent="0.2">
      <c r="A401" s="471">
        <f t="shared" si="20"/>
        <v>54118</v>
      </c>
      <c r="B401" s="30">
        <v>54118</v>
      </c>
      <c r="C401" s="16">
        <f t="shared" si="18"/>
        <v>0</v>
      </c>
      <c r="D401" s="16">
        <f t="shared" si="19"/>
        <v>0</v>
      </c>
      <c r="E401" s="16" t="e">
        <f>+IF(AND(B401&gt;=#REF!,B401&lt;=#REF!),"OUI","NON")</f>
        <v>#REF!</v>
      </c>
      <c r="F401" s="16" t="e">
        <f t="array" ref="F401">IF(E401="OUI",MAX(F$2:$O400)+1,"")</f>
        <v>#REF!</v>
      </c>
    </row>
    <row r="402" spans="1:6" x14ac:dyDescent="0.2">
      <c r="A402" s="471">
        <f t="shared" si="20"/>
        <v>54149</v>
      </c>
      <c r="B402" s="30">
        <v>54149</v>
      </c>
      <c r="C402" s="16">
        <f t="shared" si="18"/>
        <v>0</v>
      </c>
      <c r="D402" s="16">
        <f t="shared" si="19"/>
        <v>0</v>
      </c>
      <c r="E402" s="16" t="e">
        <f>+IF(AND(B402&gt;=#REF!,B402&lt;=#REF!),"OUI","NON")</f>
        <v>#REF!</v>
      </c>
      <c r="F402" s="16" t="e">
        <f t="array" ref="F402">IF(E402="OUI",MAX(F$2:$O401)+1,"")</f>
        <v>#REF!</v>
      </c>
    </row>
    <row r="403" spans="1:6" x14ac:dyDescent="0.2">
      <c r="A403" s="471">
        <f t="shared" si="20"/>
        <v>54179</v>
      </c>
      <c r="B403" s="30">
        <v>54179</v>
      </c>
      <c r="C403" s="16">
        <f t="shared" si="18"/>
        <v>0</v>
      </c>
      <c r="D403" s="16">
        <f t="shared" si="19"/>
        <v>0</v>
      </c>
      <c r="E403" s="16" t="e">
        <f>+IF(AND(B403&gt;=#REF!,B403&lt;=#REF!),"OUI","NON")</f>
        <v>#REF!</v>
      </c>
      <c r="F403" s="16" t="e">
        <f t="array" ref="F403">IF(E403="OUI",MAX(F$2:$O402)+1,"")</f>
        <v>#REF!</v>
      </c>
    </row>
    <row r="404" spans="1:6" x14ac:dyDescent="0.2">
      <c r="A404" s="471">
        <f t="shared" si="20"/>
        <v>54210</v>
      </c>
      <c r="B404" s="30">
        <v>54210</v>
      </c>
      <c r="C404" s="16">
        <f t="shared" si="18"/>
        <v>0</v>
      </c>
      <c r="D404" s="16">
        <f t="shared" si="19"/>
        <v>0</v>
      </c>
      <c r="E404" s="16" t="e">
        <f>+IF(AND(B404&gt;=#REF!,B404&lt;=#REF!),"OUI","NON")</f>
        <v>#REF!</v>
      </c>
      <c r="F404" s="16" t="e">
        <f t="array" ref="F404">IF(E404="OUI",MAX(F$2:$O403)+1,"")</f>
        <v>#REF!</v>
      </c>
    </row>
    <row r="405" spans="1:6" x14ac:dyDescent="0.2">
      <c r="A405" s="471">
        <f t="shared" si="20"/>
        <v>54240</v>
      </c>
      <c r="B405" s="30">
        <v>54240</v>
      </c>
      <c r="C405" s="16">
        <f t="shared" si="18"/>
        <v>0</v>
      </c>
      <c r="D405" s="16">
        <f t="shared" si="19"/>
        <v>0</v>
      </c>
      <c r="E405" s="16" t="e">
        <f>+IF(AND(B405&gt;=#REF!,B405&lt;=#REF!),"OUI","NON")</f>
        <v>#REF!</v>
      </c>
      <c r="F405" s="16" t="e">
        <f t="array" ref="F405">IF(E405="OUI",MAX(F$2:$O404)+1,"")</f>
        <v>#REF!</v>
      </c>
    </row>
    <row r="406" spans="1:6" x14ac:dyDescent="0.2">
      <c r="A406" s="471">
        <f t="shared" si="20"/>
        <v>54271</v>
      </c>
      <c r="B406" s="30">
        <v>54271</v>
      </c>
      <c r="C406" s="16">
        <f t="shared" si="18"/>
        <v>0</v>
      </c>
      <c r="D406" s="16">
        <f t="shared" si="19"/>
        <v>0</v>
      </c>
      <c r="E406" s="16" t="e">
        <f>+IF(AND(B406&gt;=#REF!,B406&lt;=#REF!),"OUI","NON")</f>
        <v>#REF!</v>
      </c>
      <c r="F406" s="16" t="e">
        <f t="array" ref="F406">IF(E406="OUI",MAX(F$2:$O405)+1,"")</f>
        <v>#REF!</v>
      </c>
    </row>
    <row r="407" spans="1:6" x14ac:dyDescent="0.2">
      <c r="A407" s="471">
        <f t="shared" si="20"/>
        <v>54302</v>
      </c>
      <c r="B407" s="30">
        <v>54302</v>
      </c>
      <c r="C407" s="16">
        <f t="shared" si="18"/>
        <v>0</v>
      </c>
      <c r="D407" s="16">
        <f t="shared" si="19"/>
        <v>0</v>
      </c>
      <c r="E407" s="16" t="e">
        <f>+IF(AND(B407&gt;=#REF!,B407&lt;=#REF!),"OUI","NON")</f>
        <v>#REF!</v>
      </c>
      <c r="F407" s="16" t="e">
        <f t="array" ref="F407">IF(E407="OUI",MAX(F$2:$O406)+1,"")</f>
        <v>#REF!</v>
      </c>
    </row>
    <row r="408" spans="1:6" x14ac:dyDescent="0.2">
      <c r="A408" s="471">
        <f t="shared" si="20"/>
        <v>54332</v>
      </c>
      <c r="B408" s="30">
        <v>54332</v>
      </c>
      <c r="C408" s="16">
        <f t="shared" si="18"/>
        <v>0</v>
      </c>
      <c r="D408" s="16">
        <f t="shared" si="19"/>
        <v>0</v>
      </c>
      <c r="E408" s="16" t="e">
        <f>+IF(AND(B408&gt;=#REF!,B408&lt;=#REF!),"OUI","NON")</f>
        <v>#REF!</v>
      </c>
      <c r="F408" s="16" t="e">
        <f t="array" ref="F408">IF(E408="OUI",MAX(F$2:$O407)+1,"")</f>
        <v>#REF!</v>
      </c>
    </row>
    <row r="409" spans="1:6" x14ac:dyDescent="0.2">
      <c r="A409" s="471">
        <f t="shared" si="20"/>
        <v>54363</v>
      </c>
      <c r="B409" s="30">
        <v>54363</v>
      </c>
      <c r="C409" s="16">
        <f t="shared" si="18"/>
        <v>0</v>
      </c>
      <c r="D409" s="16">
        <f t="shared" si="19"/>
        <v>0</v>
      </c>
      <c r="E409" s="16" t="e">
        <f>+IF(AND(B409&gt;=#REF!,B409&lt;=#REF!),"OUI","NON")</f>
        <v>#REF!</v>
      </c>
      <c r="F409" s="16" t="e">
        <f t="array" ref="F409">IF(E409="OUI",MAX(F$2:$O408)+1,"")</f>
        <v>#REF!</v>
      </c>
    </row>
    <row r="410" spans="1:6" x14ac:dyDescent="0.2">
      <c r="A410" s="471">
        <f t="shared" si="20"/>
        <v>54393</v>
      </c>
      <c r="B410" s="30">
        <v>54393</v>
      </c>
      <c r="C410" s="16">
        <f t="shared" si="18"/>
        <v>0</v>
      </c>
      <c r="D410" s="16">
        <f t="shared" si="19"/>
        <v>0</v>
      </c>
      <c r="E410" s="16" t="e">
        <f>+IF(AND(B410&gt;=#REF!,B410&lt;=#REF!),"OUI","NON")</f>
        <v>#REF!</v>
      </c>
      <c r="F410" s="16" t="e">
        <f t="array" ref="F410">IF(E410="OUI",MAX(F$2:$O409)+1,"")</f>
        <v>#REF!</v>
      </c>
    </row>
    <row r="411" spans="1:6" x14ac:dyDescent="0.2">
      <c r="A411" s="471">
        <f t="shared" si="20"/>
        <v>54424</v>
      </c>
      <c r="B411" s="30">
        <v>54424</v>
      </c>
      <c r="C411" s="16">
        <f t="shared" si="18"/>
        <v>0</v>
      </c>
      <c r="D411" s="16">
        <f t="shared" si="19"/>
        <v>0</v>
      </c>
      <c r="E411" s="16" t="e">
        <f>+IF(AND(B411&gt;=#REF!,B411&lt;=#REF!),"OUI","NON")</f>
        <v>#REF!</v>
      </c>
      <c r="F411" s="16" t="e">
        <f t="array" ref="F411">IF(E411="OUI",MAX(F$2:$O410)+1,"")</f>
        <v>#REF!</v>
      </c>
    </row>
    <row r="412" spans="1:6" x14ac:dyDescent="0.2">
      <c r="A412" s="471">
        <f t="shared" si="20"/>
        <v>54455</v>
      </c>
      <c r="B412" s="30">
        <v>54455</v>
      </c>
      <c r="C412" s="16">
        <f t="shared" si="18"/>
        <v>0</v>
      </c>
      <c r="D412" s="16">
        <f t="shared" si="19"/>
        <v>0</v>
      </c>
      <c r="E412" s="16" t="e">
        <f>+IF(AND(B412&gt;=#REF!,B412&lt;=#REF!),"OUI","NON")</f>
        <v>#REF!</v>
      </c>
      <c r="F412" s="16" t="e">
        <f t="array" ref="F412">IF(E412="OUI",MAX(F$2:$O411)+1,"")</f>
        <v>#REF!</v>
      </c>
    </row>
    <row r="413" spans="1:6" x14ac:dyDescent="0.2">
      <c r="A413" s="471">
        <f t="shared" si="20"/>
        <v>54483</v>
      </c>
      <c r="B413" s="30">
        <v>54483</v>
      </c>
      <c r="C413" s="16">
        <f t="shared" si="18"/>
        <v>0</v>
      </c>
      <c r="D413" s="16">
        <f t="shared" si="19"/>
        <v>0</v>
      </c>
      <c r="E413" s="16" t="e">
        <f>+IF(AND(B413&gt;=#REF!,B413&lt;=#REF!),"OUI","NON")</f>
        <v>#REF!</v>
      </c>
      <c r="F413" s="16" t="e">
        <f t="array" ref="F413">IF(E413="OUI",MAX(F$2:$O412)+1,"")</f>
        <v>#REF!</v>
      </c>
    </row>
    <row r="414" spans="1:6" x14ac:dyDescent="0.2">
      <c r="A414" s="471">
        <f t="shared" si="20"/>
        <v>54514</v>
      </c>
      <c r="B414" s="30">
        <v>54514</v>
      </c>
      <c r="C414" s="16">
        <f t="shared" si="18"/>
        <v>0</v>
      </c>
      <c r="D414" s="16">
        <f t="shared" si="19"/>
        <v>0</v>
      </c>
      <c r="E414" s="16" t="e">
        <f>+IF(AND(B414&gt;=#REF!,B414&lt;=#REF!),"OUI","NON")</f>
        <v>#REF!</v>
      </c>
      <c r="F414" s="16" t="e">
        <f t="array" ref="F414">IF(E414="OUI",MAX(F$2:$O413)+1,"")</f>
        <v>#REF!</v>
      </c>
    </row>
    <row r="415" spans="1:6" x14ac:dyDescent="0.2">
      <c r="A415" s="471">
        <f t="shared" si="20"/>
        <v>54544</v>
      </c>
      <c r="B415" s="30">
        <v>54544</v>
      </c>
      <c r="C415" s="16">
        <f t="shared" si="18"/>
        <v>0</v>
      </c>
      <c r="D415" s="16">
        <f t="shared" si="19"/>
        <v>0</v>
      </c>
      <c r="E415" s="16" t="e">
        <f>+IF(AND(B415&gt;=#REF!,B415&lt;=#REF!),"OUI","NON")</f>
        <v>#REF!</v>
      </c>
      <c r="F415" s="16" t="e">
        <f t="array" ref="F415">IF(E415="OUI",MAX(F$2:$O414)+1,"")</f>
        <v>#REF!</v>
      </c>
    </row>
    <row r="416" spans="1:6" x14ac:dyDescent="0.2">
      <c r="A416" s="471">
        <f t="shared" si="20"/>
        <v>54575</v>
      </c>
      <c r="B416" s="30">
        <v>54575</v>
      </c>
      <c r="C416" s="16">
        <f t="shared" si="18"/>
        <v>0</v>
      </c>
      <c r="D416" s="16">
        <f t="shared" si="19"/>
        <v>0</v>
      </c>
      <c r="E416" s="16" t="e">
        <f>+IF(AND(B416&gt;=#REF!,B416&lt;=#REF!),"OUI","NON")</f>
        <v>#REF!</v>
      </c>
      <c r="F416" s="16" t="e">
        <f t="array" ref="F416">IF(E416="OUI",MAX(F$2:$O415)+1,"")</f>
        <v>#REF!</v>
      </c>
    </row>
    <row r="417" spans="1:6" x14ac:dyDescent="0.2">
      <c r="A417" s="471">
        <f t="shared" si="20"/>
        <v>54605</v>
      </c>
      <c r="B417" s="30">
        <v>54605</v>
      </c>
      <c r="C417" s="16">
        <f t="shared" si="18"/>
        <v>0</v>
      </c>
      <c r="D417" s="16">
        <f t="shared" si="19"/>
        <v>0</v>
      </c>
      <c r="E417" s="16" t="e">
        <f>+IF(AND(B417&gt;=#REF!,B417&lt;=#REF!),"OUI","NON")</f>
        <v>#REF!</v>
      </c>
      <c r="F417" s="16" t="e">
        <f t="array" ref="F417">IF(E417="OUI",MAX(F$2:$O416)+1,"")</f>
        <v>#REF!</v>
      </c>
    </row>
    <row r="418" spans="1:6" x14ac:dyDescent="0.2">
      <c r="A418" s="471">
        <f t="shared" si="20"/>
        <v>54636</v>
      </c>
      <c r="B418" s="30">
        <v>54636</v>
      </c>
      <c r="C418" s="16">
        <f t="shared" si="18"/>
        <v>0</v>
      </c>
      <c r="D418" s="16">
        <f t="shared" si="19"/>
        <v>0</v>
      </c>
      <c r="E418" s="16" t="e">
        <f>+IF(AND(B418&gt;=#REF!,B418&lt;=#REF!),"OUI","NON")</f>
        <v>#REF!</v>
      </c>
      <c r="F418" s="16" t="e">
        <f t="array" ref="F418">IF(E418="OUI",MAX(F$2:$O417)+1,"")</f>
        <v>#REF!</v>
      </c>
    </row>
    <row r="419" spans="1:6" x14ac:dyDescent="0.2">
      <c r="A419" s="471">
        <f t="shared" si="20"/>
        <v>54667</v>
      </c>
      <c r="B419" s="30">
        <v>54667</v>
      </c>
      <c r="C419" s="16">
        <f t="shared" si="18"/>
        <v>0</v>
      </c>
      <c r="D419" s="16">
        <f t="shared" si="19"/>
        <v>0</v>
      </c>
      <c r="E419" s="16" t="e">
        <f>+IF(AND(B419&gt;=#REF!,B419&lt;=#REF!),"OUI","NON")</f>
        <v>#REF!</v>
      </c>
      <c r="F419" s="16" t="e">
        <f t="array" ref="F419">IF(E419="OUI",MAX(F$2:$O418)+1,"")</f>
        <v>#REF!</v>
      </c>
    </row>
    <row r="420" spans="1:6" x14ac:dyDescent="0.2">
      <c r="A420" s="471">
        <f t="shared" si="20"/>
        <v>54697</v>
      </c>
      <c r="B420" s="30">
        <v>54697</v>
      </c>
      <c r="C420" s="16">
        <f t="shared" si="18"/>
        <v>0</v>
      </c>
      <c r="D420" s="16">
        <f t="shared" si="19"/>
        <v>0</v>
      </c>
      <c r="E420" s="16" t="e">
        <f>+IF(AND(B420&gt;=#REF!,B420&lt;=#REF!),"OUI","NON")</f>
        <v>#REF!</v>
      </c>
      <c r="F420" s="16" t="e">
        <f t="array" ref="F420">IF(E420="OUI",MAX(F$2:$O419)+1,"")</f>
        <v>#REF!</v>
      </c>
    </row>
    <row r="421" spans="1:6" x14ac:dyDescent="0.2">
      <c r="A421" s="471">
        <f t="shared" si="20"/>
        <v>54728</v>
      </c>
      <c r="B421" s="30">
        <v>54728</v>
      </c>
      <c r="C421" s="16">
        <f t="shared" si="18"/>
        <v>0</v>
      </c>
      <c r="D421" s="16">
        <f t="shared" si="19"/>
        <v>0</v>
      </c>
      <c r="E421" s="16" t="e">
        <f>+IF(AND(B421&gt;=#REF!,B421&lt;=#REF!),"OUI","NON")</f>
        <v>#REF!</v>
      </c>
      <c r="F421" s="16" t="e">
        <f t="array" ref="F421">IF(E421="OUI",MAX(F$2:$O420)+1,"")</f>
        <v>#REF!</v>
      </c>
    </row>
    <row r="422" spans="1:6" x14ac:dyDescent="0.2">
      <c r="A422" s="471">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nclvSLozyj3oTYgNF/KCawMpbnkIr63c98OuWauP55oV8i2G0HYQnQ/CmEZRKP6Wa+VIn+URAJIAITOUo4mNfQ==" saltValue="Gi4MM0HaqK9fBX91IXp+MQ==" spinCount="100000" sheet="1" objects="1" scenarios="1" formatCells="0" formatColumns="0" formatRows="0" insertColumns="0" insertRows="0" insertHyperlink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FV1" sqref="FV1"/>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10" t="str">
        <f>+"ENFANT : "&amp;Identification!B25</f>
        <v>ENFANT : 0</v>
      </c>
      <c r="B1" s="2510"/>
      <c r="C1" s="2510"/>
      <c r="D1" s="2510"/>
      <c r="E1" s="2510"/>
    </row>
    <row r="3" spans="1:5" ht="44.25" customHeight="1" x14ac:dyDescent="0.2">
      <c r="A3" s="117" t="str">
        <f>Impôts!A5</f>
        <v>Mois</v>
      </c>
      <c r="B3" s="118" t="str">
        <f>Impôts!I5</f>
        <v xml:space="preserve">Calcul Abattement </v>
      </c>
      <c r="C3" s="119" t="str">
        <f>Impôts!J5</f>
        <v>Salaire déclarable (mensuel)</v>
      </c>
      <c r="D3" s="120" t="s">
        <v>94</v>
      </c>
      <c r="E3" s="121" t="s">
        <v>466</v>
      </c>
    </row>
    <row r="4" spans="1:5" ht="15.75" customHeight="1" x14ac:dyDescent="0.2">
      <c r="A4" s="122">
        <f>Impôts!A6</f>
        <v>45658</v>
      </c>
      <c r="B4" s="123">
        <f>Impôts!I6</f>
        <v>0</v>
      </c>
      <c r="C4" s="124">
        <f ca="1">Impôts!J6</f>
        <v>0</v>
      </c>
      <c r="D4" s="125">
        <f ca="1">+Impôts!G6</f>
        <v>0</v>
      </c>
      <c r="E4" s="38">
        <f>+Identification!$B$25</f>
        <v>0</v>
      </c>
    </row>
    <row r="5" spans="1:5" ht="15.75" customHeight="1" x14ac:dyDescent="0.2">
      <c r="A5" s="122">
        <f>Impôts!A7</f>
        <v>45689</v>
      </c>
      <c r="B5" s="123">
        <f>Impôts!I7</f>
        <v>0</v>
      </c>
      <c r="C5" s="124">
        <f>Impôts!J7</f>
        <v>0</v>
      </c>
      <c r="D5" s="125">
        <f>+Impôts!G7</f>
        <v>0</v>
      </c>
      <c r="E5" s="38">
        <f>+Identification!$B$25</f>
        <v>0</v>
      </c>
    </row>
    <row r="6" spans="1:5" ht="15.75" customHeight="1" x14ac:dyDescent="0.2">
      <c r="A6" s="122">
        <f>Impôts!A8</f>
        <v>45717</v>
      </c>
      <c r="B6" s="123">
        <f>Impôts!I8</f>
        <v>0</v>
      </c>
      <c r="C6" s="124">
        <f>Impôts!J8</f>
        <v>0</v>
      </c>
      <c r="D6" s="125">
        <f>+Impôts!G8</f>
        <v>0</v>
      </c>
      <c r="E6" s="38">
        <f>+Identification!$B$25</f>
        <v>0</v>
      </c>
    </row>
    <row r="7" spans="1:5" ht="15.75" customHeight="1" x14ac:dyDescent="0.2">
      <c r="A7" s="122">
        <f>Impôts!A9</f>
        <v>45748</v>
      </c>
      <c r="B7" s="123">
        <f>Impôts!I9</f>
        <v>0</v>
      </c>
      <c r="C7" s="124">
        <f>Impôts!J9</f>
        <v>0</v>
      </c>
      <c r="D7" s="125">
        <f>+Impôts!G9</f>
        <v>0</v>
      </c>
      <c r="E7" s="38">
        <f>+Identification!$B$25</f>
        <v>0</v>
      </c>
    </row>
    <row r="8" spans="1:5" ht="15.75" customHeight="1" x14ac:dyDescent="0.2">
      <c r="A8" s="122">
        <f>Impôts!A10</f>
        <v>45778</v>
      </c>
      <c r="B8" s="123">
        <f>Impôts!I10</f>
        <v>0</v>
      </c>
      <c r="C8" s="124">
        <f>Impôts!J10</f>
        <v>0</v>
      </c>
      <c r="D8" s="125">
        <f>+Impôts!G10</f>
        <v>0</v>
      </c>
      <c r="E8" s="38">
        <f>+Identification!$B$25</f>
        <v>0</v>
      </c>
    </row>
    <row r="9" spans="1:5" ht="15.75" customHeight="1" x14ac:dyDescent="0.2">
      <c r="A9" s="122">
        <f>Impôts!A11</f>
        <v>45809</v>
      </c>
      <c r="B9" s="123">
        <f>Impôts!I11</f>
        <v>0</v>
      </c>
      <c r="C9" s="124">
        <f ca="1">Impôts!J11</f>
        <v>0</v>
      </c>
      <c r="D9" s="125">
        <f>+Impôts!G11</f>
        <v>0</v>
      </c>
      <c r="E9" s="38">
        <f>+Identification!$B$25</f>
        <v>0</v>
      </c>
    </row>
    <row r="10" spans="1:5" ht="15.75" customHeight="1" x14ac:dyDescent="0.2">
      <c r="A10" s="122">
        <f>Impôts!A12</f>
        <v>45839</v>
      </c>
      <c r="B10" s="123">
        <f>Impôts!I12</f>
        <v>0</v>
      </c>
      <c r="C10" s="124">
        <f>Impôts!J12</f>
        <v>0</v>
      </c>
      <c r="D10" s="125">
        <f>+Impôts!G12</f>
        <v>0</v>
      </c>
      <c r="E10" s="38">
        <f>+Identification!$B$25</f>
        <v>0</v>
      </c>
    </row>
    <row r="11" spans="1:5" ht="15.75" customHeight="1" x14ac:dyDescent="0.2">
      <c r="A11" s="122">
        <f>Impôts!A13</f>
        <v>45870</v>
      </c>
      <c r="B11" s="123">
        <f>Impôts!I13</f>
        <v>0</v>
      </c>
      <c r="C11" s="124">
        <f>Impôts!J13</f>
        <v>0</v>
      </c>
      <c r="D11" s="125">
        <f>+Impôts!G13</f>
        <v>0</v>
      </c>
      <c r="E11" s="38">
        <f>+Identification!$B$25</f>
        <v>0</v>
      </c>
    </row>
    <row r="12" spans="1:5" ht="15.75" customHeight="1" x14ac:dyDescent="0.2">
      <c r="A12" s="122">
        <f>Impôts!A14</f>
        <v>45901</v>
      </c>
      <c r="B12" s="123">
        <f>Impôts!I14</f>
        <v>0</v>
      </c>
      <c r="C12" s="124">
        <f>Impôts!J14</f>
        <v>0</v>
      </c>
      <c r="D12" s="125">
        <f>+Impôts!G14</f>
        <v>0</v>
      </c>
      <c r="E12" s="38">
        <f>+Identification!$B$25</f>
        <v>0</v>
      </c>
    </row>
    <row r="13" spans="1:5" ht="15.75" customHeight="1" x14ac:dyDescent="0.2">
      <c r="A13" s="122">
        <f>Impôts!A15</f>
        <v>45931</v>
      </c>
      <c r="B13" s="123">
        <f>Impôts!I15</f>
        <v>0</v>
      </c>
      <c r="C13" s="124">
        <f>Impôts!J15</f>
        <v>0</v>
      </c>
      <c r="D13" s="125">
        <f>+Impôts!G15</f>
        <v>0</v>
      </c>
      <c r="E13" s="38">
        <f>+Identification!$B$25</f>
        <v>0</v>
      </c>
    </row>
    <row r="14" spans="1:5" ht="15.75" customHeight="1" x14ac:dyDescent="0.2">
      <c r="A14" s="122">
        <f>Impôts!A16</f>
        <v>45962</v>
      </c>
      <c r="B14" s="123">
        <f>Impôts!I16</f>
        <v>0</v>
      </c>
      <c r="C14" s="124">
        <f>Impôts!J16</f>
        <v>0</v>
      </c>
      <c r="D14" s="125">
        <f>+Impôts!G16</f>
        <v>0</v>
      </c>
      <c r="E14" s="38">
        <f>+Identification!$B$25</f>
        <v>0</v>
      </c>
    </row>
    <row r="15" spans="1:5" ht="15.75" customHeight="1" x14ac:dyDescent="0.2">
      <c r="A15" s="122">
        <f>Impôts!A17</f>
        <v>45992</v>
      </c>
      <c r="B15" s="123">
        <f>Impôts!I17</f>
        <v>0</v>
      </c>
      <c r="C15" s="124">
        <f>Impôts!J17</f>
        <v>0</v>
      </c>
      <c r="D15" s="125">
        <f>+Impôts!G17</f>
        <v>0</v>
      </c>
      <c r="E15" s="38">
        <f>+Identification!$B$25</f>
        <v>0</v>
      </c>
    </row>
    <row r="16" spans="1:5" x14ac:dyDescent="0.2">
      <c r="A16" s="126"/>
    </row>
  </sheetData>
  <sheetProtection algorithmName="SHA-512" hashValue="NL3iGbPivvruLsgw4OiFQwJSszB07CEF0N55LwJaWLmd3J1ByaR0WZQHyMwTG1uTJTIRiMgz6QIySs9hWv8+/g==" saltValue="Hwttn14r3Fgs+FyNp54noQ==" spinCount="100000" sheet="1" objects="1" scenarios="1" formatCells="0" formatColumns="0" formatRows="0" insertColumns="0" insertRows="0" insertHyperlink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FV1" sqref="FV1"/>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30</v>
      </c>
      <c r="B2" s="16" t="s">
        <v>947</v>
      </c>
      <c r="C2" s="16" t="s">
        <v>940</v>
      </c>
      <c r="D2" s="16" t="s">
        <v>941</v>
      </c>
      <c r="E2" s="16" t="s">
        <v>942</v>
      </c>
      <c r="F2" s="16" t="s">
        <v>943</v>
      </c>
      <c r="G2" s="16" t="s">
        <v>1577</v>
      </c>
    </row>
    <row r="3" spans="1:7" x14ac:dyDescent="0.2">
      <c r="A3" s="30">
        <f>+Janvier!X3</f>
        <v>45658</v>
      </c>
      <c r="B3" s="30" t="s">
        <v>882</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45689</v>
      </c>
      <c r="B4" s="30" t="s">
        <v>883</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45717</v>
      </c>
      <c r="B5" s="30" t="s">
        <v>884</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45748</v>
      </c>
      <c r="B6" s="30" t="s">
        <v>885</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45778</v>
      </c>
      <c r="B7" s="30" t="s">
        <v>886</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45809</v>
      </c>
      <c r="B8" s="30" t="s">
        <v>887</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45839</v>
      </c>
      <c r="B9" s="30" t="s">
        <v>888</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45870</v>
      </c>
      <c r="B10" s="30" t="s">
        <v>889</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45901</v>
      </c>
      <c r="B11" s="30" t="s">
        <v>890</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45931</v>
      </c>
      <c r="B12" s="30" t="s">
        <v>891</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45962</v>
      </c>
      <c r="B13" s="30" t="s">
        <v>892</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45992</v>
      </c>
      <c r="B14" s="30" t="s">
        <v>893</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zlFo5LMI1D2RuLtNA5xAtSxQ40gQKZVBbAtYS/EttdiPCpkeXEKIAVW2IpNzHqnfaL5uUNbNLJoAeOckisE9ww==" saltValue="aRdHOf2fSbtPackgITJO4g==" spinCount="100000" sheet="1" objects="1" scenarios="1" formatCells="0" formatColumns="0" formatRows="0" insertColumns="0" insertRows="0" insertHyperlink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511</v>
      </c>
      <c r="B1" s="1692"/>
      <c r="C1" s="1692"/>
      <c r="D1" s="1692"/>
      <c r="E1" s="289"/>
      <c r="F1" s="289"/>
      <c r="G1" s="289"/>
      <c r="H1" s="289"/>
      <c r="I1" s="289"/>
      <c r="J1" s="1236" t="s">
        <v>208</v>
      </c>
      <c r="K1" s="1693">
        <f>+IF(Identification!B28&lt;=Identification!B61,Identification!B61,DATE(YEAR(Identification!B28),MONTH(Identification!B28),1))</f>
        <v>45658</v>
      </c>
      <c r="L1" s="1693"/>
      <c r="M1" s="1693"/>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16"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f>+IF(Identification!B66="NON",VLOOKUP(O29,Identification!A71:B74,2,TRUE),VLOOKUP(O29,Identification!A78:B81,2,TRUE))</f>
        <v>0.78120000000000001</v>
      </c>
      <c r="O29" s="30">
        <f>+K1</f>
        <v>45658</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f>+E35*N29</f>
        <v>0</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J38" s="24"/>
      <c r="K38" s="24"/>
      <c r="L38" s="24"/>
      <c r="M38" s="183"/>
      <c r="N38" s="742"/>
      <c r="O38" s="24"/>
      <c r="P38" s="24"/>
      <c r="Q38" s="24"/>
      <c r="R38" s="24"/>
      <c r="S38" s="24"/>
      <c r="T38" s="24"/>
      <c r="U38" s="24"/>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J39" s="24"/>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95"/>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J40" s="24"/>
      <c r="K40" s="894"/>
      <c r="L40" s="894"/>
      <c r="M40" s="895"/>
      <c r="N40" s="896"/>
      <c r="O40" s="894"/>
      <c r="P40" s="1055" t="s">
        <v>1239</v>
      </c>
      <c r="Q40" s="898"/>
      <c r="R40" s="898"/>
      <c r="S40" s="898"/>
      <c r="T40" s="898"/>
      <c r="U40" s="1056" t="s">
        <v>362</v>
      </c>
      <c r="V40" s="1191" t="s">
        <v>1492</v>
      </c>
      <c r="W40" s="894"/>
      <c r="X40" s="1192"/>
      <c r="Y40" s="894"/>
      <c r="Z40" s="894"/>
      <c r="AA40" s="24"/>
      <c r="AB40" s="24"/>
      <c r="AC40" s="24"/>
      <c r="AD40" s="24"/>
      <c r="AE40" s="24"/>
      <c r="AF40" s="24"/>
      <c r="AG40" s="24"/>
      <c r="AH40" s="24"/>
      <c r="AI40" s="24"/>
      <c r="AJ40" s="24"/>
    </row>
    <row r="41" spans="1:36" s="16" customFormat="1" x14ac:dyDescent="0.2">
      <c r="D41" s="29"/>
      <c r="E41" s="151"/>
      <c r="F41" s="151"/>
      <c r="G41" s="151"/>
      <c r="H41" s="151"/>
      <c r="I41" s="151"/>
      <c r="J41" s="24"/>
      <c r="K41" s="894"/>
      <c r="L41" s="894"/>
      <c r="M41" s="894"/>
      <c r="N41" s="894"/>
      <c r="O41" s="894"/>
      <c r="P41" s="1055" t="s">
        <v>1390</v>
      </c>
      <c r="Q41" s="898"/>
      <c r="R41" s="898"/>
      <c r="S41" s="898"/>
      <c r="T41" s="898"/>
      <c r="U41" s="898"/>
      <c r="V41" s="1191" t="s">
        <v>1493</v>
      </c>
      <c r="W41" s="894"/>
      <c r="X41" s="1192"/>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J42" s="24"/>
      <c r="K42" s="894"/>
      <c r="L42" s="894"/>
      <c r="M42" s="895"/>
      <c r="N42" s="896"/>
      <c r="O42" s="894"/>
      <c r="P42" s="898"/>
      <c r="Q42" s="898"/>
      <c r="R42" s="898"/>
      <c r="S42" s="898"/>
      <c r="T42" s="898"/>
      <c r="U42" s="898"/>
      <c r="V42" s="898"/>
      <c r="W42" s="894"/>
      <c r="X42" s="1192"/>
      <c r="Y42" s="894"/>
      <c r="Z42" s="894"/>
      <c r="AA42" s="24"/>
      <c r="AB42" s="24"/>
      <c r="AC42" s="24"/>
      <c r="AD42" s="24"/>
      <c r="AE42" s="24"/>
      <c r="AF42" s="24"/>
      <c r="AG42" s="24"/>
      <c r="AH42" s="24"/>
      <c r="AI42" s="24"/>
      <c r="AJ42" s="24"/>
    </row>
    <row r="43" spans="1:36" s="16" customFormat="1" x14ac:dyDescent="0.2">
      <c r="D43" s="29"/>
      <c r="E43" s="297"/>
      <c r="F43" s="297"/>
      <c r="G43" s="297"/>
      <c r="H43" s="297"/>
      <c r="I43" s="297"/>
      <c r="J43" s="24"/>
      <c r="K43" s="894"/>
      <c r="L43" s="894"/>
      <c r="M43" s="894"/>
      <c r="N43" s="894"/>
      <c r="O43" s="894"/>
      <c r="P43" s="1055" t="s">
        <v>1239</v>
      </c>
      <c r="Q43" s="898"/>
      <c r="R43" s="898"/>
      <c r="S43" s="898"/>
      <c r="T43" s="898"/>
      <c r="U43" s="1056" t="s">
        <v>1238</v>
      </c>
      <c r="V43" s="1191" t="s">
        <v>1492</v>
      </c>
      <c r="W43" s="894"/>
      <c r="X43" s="1192"/>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J44" s="24"/>
      <c r="K44" s="894"/>
      <c r="L44" s="894"/>
      <c r="M44" s="894"/>
      <c r="N44" s="894"/>
      <c r="O44" s="894"/>
      <c r="P44" s="1055" t="s">
        <v>1391</v>
      </c>
      <c r="Q44" s="898"/>
      <c r="R44" s="898"/>
      <c r="S44" s="898"/>
      <c r="T44" s="898"/>
      <c r="U44" s="898"/>
      <c r="V44" s="1191" t="s">
        <v>1494</v>
      </c>
      <c r="W44" s="894"/>
      <c r="X44" s="1192"/>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J45" s="24"/>
      <c r="K45" s="894"/>
      <c r="L45" s="894"/>
      <c r="M45" s="894"/>
      <c r="N45" s="894"/>
      <c r="O45" s="894"/>
      <c r="P45" s="898"/>
      <c r="Q45" s="898"/>
      <c r="R45" s="898"/>
      <c r="S45" s="898"/>
      <c r="T45" s="898"/>
      <c r="U45" s="898"/>
      <c r="V45" s="1191" t="s">
        <v>1495</v>
      </c>
      <c r="W45" s="894"/>
      <c r="X45" s="1192"/>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J46" s="24"/>
      <c r="K46" s="894"/>
      <c r="L46" s="894"/>
      <c r="M46" s="894"/>
      <c r="N46" s="894"/>
      <c r="O46" s="894"/>
      <c r="P46" s="1055" t="s">
        <v>1359</v>
      </c>
      <c r="Q46" s="898"/>
      <c r="R46" s="898"/>
      <c r="S46" s="898"/>
      <c r="T46" s="898"/>
      <c r="U46" s="1056" t="s">
        <v>452</v>
      </c>
      <c r="V46" s="1191"/>
      <c r="W46" s="894"/>
      <c r="X46" s="1192"/>
      <c r="Y46" s="894"/>
      <c r="Z46" s="894"/>
      <c r="AA46" s="24"/>
      <c r="AB46" s="24"/>
      <c r="AC46" s="24"/>
      <c r="AD46" s="24"/>
      <c r="AE46" s="24"/>
      <c r="AF46" s="24"/>
      <c r="AG46" s="24"/>
      <c r="AH46" s="24"/>
      <c r="AI46" s="24"/>
      <c r="AJ46" s="24"/>
    </row>
    <row r="47" spans="1:36" s="16" customFormat="1" x14ac:dyDescent="0.2">
      <c r="J47" s="24"/>
      <c r="K47" s="894"/>
      <c r="L47" s="894"/>
      <c r="M47" s="894"/>
      <c r="N47" s="894"/>
      <c r="O47" s="894"/>
      <c r="P47" s="1055" t="s">
        <v>1360</v>
      </c>
      <c r="Q47" s="898"/>
      <c r="R47" s="898"/>
      <c r="S47" s="898"/>
      <c r="T47" s="898"/>
      <c r="U47" s="24"/>
      <c r="V47" s="1191"/>
      <c r="W47" s="894"/>
      <c r="X47" s="1192"/>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1192"/>
      <c r="L48" s="1192"/>
      <c r="M48" s="1192"/>
      <c r="N48" s="1192"/>
      <c r="O48" s="1192"/>
      <c r="P48" s="1193"/>
      <c r="Q48" s="1193"/>
      <c r="R48" s="1193"/>
      <c r="S48" s="1193"/>
      <c r="T48" s="1193"/>
      <c r="U48" s="1193"/>
      <c r="V48" s="1194"/>
      <c r="W48" s="1192"/>
      <c r="X48" s="1192"/>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294"/>
      <c r="D52" s="295" t="s">
        <v>203</v>
      </c>
      <c r="E52" s="301">
        <f>+ROUND(ROUND((E48*E35),2)+ROUND((E49*N36),2),2)</f>
        <v>0</v>
      </c>
      <c r="F52" s="301"/>
      <c r="G52" s="301"/>
      <c r="H52" s="301"/>
      <c r="I52" s="301"/>
    </row>
    <row r="53" spans="1:114" s="16" customFormat="1" x14ac:dyDescent="0.2"/>
    <row r="54" spans="1:114" s="16" customFormat="1" hidden="1" x14ac:dyDescent="0.2">
      <c r="D54" s="29" t="s">
        <v>204</v>
      </c>
      <c r="E54" s="302">
        <f>ROUND(+E52*N29,2)</f>
        <v>0</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7" t="s">
        <v>24</v>
      </c>
      <c r="D66" s="308" t="s">
        <v>25</v>
      </c>
      <c r="J66" s="1011"/>
      <c r="K66" s="1011"/>
      <c r="L66" s="1011"/>
    </row>
    <row r="67" spans="1:12" x14ac:dyDescent="0.2">
      <c r="B67" s="131" t="s">
        <v>26</v>
      </c>
      <c r="C67" s="38">
        <f>IFERROR(+VLOOKUP(K1,base_smic,2,TRUE),0)</f>
        <v>11.88</v>
      </c>
      <c r="D67" s="309">
        <f>+C67*N29</f>
        <v>9.2806560000000005</v>
      </c>
    </row>
    <row r="68" spans="1:12" x14ac:dyDescent="0.2">
      <c r="J68" s="306"/>
    </row>
    <row r="69" spans="1:12" ht="24.75" customHeight="1" x14ac:dyDescent="0.2">
      <c r="A69" s="1664" t="s">
        <v>27</v>
      </c>
      <c r="B69" s="1664"/>
      <c r="C69" s="1012">
        <f>+C67*5*C64</f>
        <v>0</v>
      </c>
      <c r="D69" s="1012">
        <f>+C64*5*D67</f>
        <v>0</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5UzlLrCPLLNJY3pymtgP2miHDjPks6esVY9iZQCXwrkr4b/s1VSfGQ2hQWOfCcFY/pdyaXP6VB1Qr6FxCBRFIA==" saltValue="fupaajk3bSolNzeraPMJ7Q==" spinCount="100000" sheet="1" objects="1" scenarios="1" formatCells="0" formatColumns="0" formatRows="0" insertColumns="0" insertRows="0" insertHyperlinks="0" sort="0" autoFilter="0" pivotTables="0"/>
  <mergeCells count="70">
    <mergeCell ref="A1:D1"/>
    <mergeCell ref="K1:M1"/>
    <mergeCell ref="X16:AF16"/>
    <mergeCell ref="M16:U16"/>
    <mergeCell ref="M17:U17"/>
    <mergeCell ref="X17:AF17"/>
    <mergeCell ref="M14:U14"/>
    <mergeCell ref="J3:P3"/>
    <mergeCell ref="M19:U19"/>
    <mergeCell ref="M21:U21"/>
    <mergeCell ref="X24:AF24"/>
    <mergeCell ref="X22:AF22"/>
    <mergeCell ref="X21:AF21"/>
    <mergeCell ref="X19:AF19"/>
    <mergeCell ref="M22:U22"/>
    <mergeCell ref="M24:U24"/>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BZ5:CJ5"/>
    <mergeCell ref="BO5:BY5"/>
    <mergeCell ref="A5:K5"/>
    <mergeCell ref="L5:V5"/>
    <mergeCell ref="W5:AG5"/>
    <mergeCell ref="AH5:AR5"/>
    <mergeCell ref="AS5:BC5"/>
    <mergeCell ref="BD5:BN5"/>
    <mergeCell ref="A27:E27"/>
    <mergeCell ref="A44:E44"/>
    <mergeCell ref="A69:B69"/>
    <mergeCell ref="B14:J14"/>
    <mergeCell ref="B24:J24"/>
    <mergeCell ref="B22:J22"/>
    <mergeCell ref="B21:J21"/>
    <mergeCell ref="B19:J19"/>
    <mergeCell ref="B17:J17"/>
    <mergeCell ref="B16:J16"/>
  </mergeCells>
  <conditionalFormatting sqref="B7:I13">
    <cfRule type="cellIs" dxfId="1684" priority="20" operator="greaterThan">
      <formula>0</formula>
    </cfRule>
  </conditionalFormatting>
  <conditionalFormatting sqref="B17:J17">
    <cfRule type="expression" dxfId="1683" priority="89">
      <formula>K17=0</formula>
    </cfRule>
  </conditionalFormatting>
  <conditionalFormatting sqref="B22:J22">
    <cfRule type="expression" dxfId="1682" priority="74">
      <formula>K22=0</formula>
    </cfRule>
  </conditionalFormatting>
  <conditionalFormatting sqref="D40">
    <cfRule type="expression" dxfId="1681" priority="57">
      <formula>$E$40=0</formula>
    </cfRule>
  </conditionalFormatting>
  <conditionalFormatting sqref="D49">
    <cfRule type="expression" dxfId="1680" priority="56">
      <formula>$E$49=0</formula>
    </cfRule>
  </conditionalFormatting>
  <conditionalFormatting sqref="D58:E58">
    <cfRule type="expression" dxfId="1679" priority="30">
      <formula>$E$49&gt;0</formula>
    </cfRule>
  </conditionalFormatting>
  <conditionalFormatting sqref="E35">
    <cfRule type="cellIs" dxfId="1677" priority="4" operator="greaterThan">
      <formula>0</formula>
    </cfRule>
  </conditionalFormatting>
  <conditionalFormatting sqref="E40">
    <cfRule type="cellIs" dxfId="1676" priority="58" operator="equal">
      <formula>0</formula>
    </cfRule>
  </conditionalFormatting>
  <conditionalFormatting sqref="E49">
    <cfRule type="cellIs" dxfId="1675" priority="55" operator="equal">
      <formula>0</formula>
    </cfRule>
  </conditionalFormatting>
  <conditionalFormatting sqref="E50">
    <cfRule type="expression" dxfId="1674" priority="54">
      <formula>$E$49=0</formula>
    </cfRule>
  </conditionalFormatting>
  <conditionalFormatting sqref="E29:I29">
    <cfRule type="cellIs" dxfId="1673" priority="110" operator="between">
      <formula>46.9999999999</formula>
      <formula>51.99999</formula>
    </cfRule>
    <cfRule type="cellIs" dxfId="1672" priority="109" operator="greaterThanOrEqual">
      <formula>52.0000001</formula>
    </cfRule>
  </conditionalFormatting>
  <conditionalFormatting sqref="K17">
    <cfRule type="cellIs" dxfId="1671" priority="90" operator="equal">
      <formula>0</formula>
    </cfRule>
  </conditionalFormatting>
  <conditionalFormatting sqref="K19">
    <cfRule type="expression" dxfId="1670" priority="38">
      <formula>OR(AND($E$29&gt;=47,$E$29&lt;=51,K14&gt;0),K19&gt;52,AND($E$29&gt;52,K14&gt;0),AND(K19&gt;=1,K14=0))</formula>
    </cfRule>
    <cfRule type="cellIs" dxfId="1669" priority="18" operator="greaterThan">
      <formula>0</formula>
    </cfRule>
  </conditionalFormatting>
  <conditionalFormatting sqref="K22">
    <cfRule type="cellIs" dxfId="1668" priority="73" operator="equal">
      <formula>0</formula>
    </cfRule>
  </conditionalFormatting>
  <conditionalFormatting sqref="M7:T13">
    <cfRule type="cellIs" dxfId="1667" priority="19" operator="greaterThan">
      <formula>0</formula>
    </cfRule>
  </conditionalFormatting>
  <conditionalFormatting sqref="M17:U17">
    <cfRule type="expression" dxfId="1666" priority="53">
      <formula>V17=0</formula>
    </cfRule>
  </conditionalFormatting>
  <conditionalFormatting sqref="M22:U22">
    <cfRule type="expression" dxfId="1665" priority="46">
      <formula>V22=0</formula>
    </cfRule>
  </conditionalFormatting>
  <conditionalFormatting sqref="N31">
    <cfRule type="expression" dxfId="1664" priority="102">
      <formula>$EB$2="ROUGE"</formula>
    </cfRule>
  </conditionalFormatting>
  <conditionalFormatting sqref="N34">
    <cfRule type="cellIs" dxfId="1663" priority="3" operator="greaterThan">
      <formula>0</formula>
    </cfRule>
  </conditionalFormatting>
  <conditionalFormatting sqref="P39">
    <cfRule type="expression" dxfId="1662" priority="93">
      <formula>EB2="faux"</formula>
    </cfRule>
  </conditionalFormatting>
  <conditionalFormatting sqref="V17">
    <cfRule type="cellIs" dxfId="1661" priority="88" operator="equal">
      <formula>0</formula>
    </cfRule>
  </conditionalFormatting>
  <conditionalFormatting sqref="V19">
    <cfRule type="cellIs" dxfId="1660" priority="17" operator="greaterThan">
      <formula>0</formula>
    </cfRule>
    <cfRule type="expression" dxfId="1659" priority="37">
      <formula>OR(AND($E$29&gt;=47,$E$29&lt;=51,V14&gt;0),V19&gt;52,AND($E$29&gt;52,V14&gt;0),AND(V19&gt;=1,V14=0))</formula>
    </cfRule>
  </conditionalFormatting>
  <conditionalFormatting sqref="V22">
    <cfRule type="cellIs" dxfId="1658" priority="71" operator="equal">
      <formula>0</formula>
    </cfRule>
  </conditionalFormatting>
  <conditionalFormatting sqref="W31">
    <cfRule type="expression" dxfId="1657" priority="101">
      <formula>$EB$3="ROUGE"</formula>
    </cfRule>
  </conditionalFormatting>
  <conditionalFormatting sqref="W34">
    <cfRule type="cellIs" dxfId="1656" priority="1" operator="greaterThan">
      <formula>0</formula>
    </cfRule>
  </conditionalFormatting>
  <conditionalFormatting sqref="X7:AE13">
    <cfRule type="cellIs" dxfId="1655" priority="16" operator="greaterThan">
      <formula>0</formula>
    </cfRule>
  </conditionalFormatting>
  <conditionalFormatting sqref="X17:AF17">
    <cfRule type="expression" dxfId="1654" priority="52">
      <formula>AG17=0</formula>
    </cfRule>
  </conditionalFormatting>
  <conditionalFormatting sqref="X22:AF22">
    <cfRule type="expression" dxfId="1653" priority="45">
      <formula>AG22=0</formula>
    </cfRule>
  </conditionalFormatting>
  <conditionalFormatting sqref="AG17">
    <cfRule type="cellIs" dxfId="1652" priority="86" operator="equal">
      <formula>0</formula>
    </cfRule>
  </conditionalFormatting>
  <conditionalFormatting sqref="AG19">
    <cfRule type="expression" dxfId="1651" priority="36">
      <formula>OR(AND($E$29&gt;=47,$E$29&lt;=51,AG14&gt;0),AG19&gt;52,AND($E$29&gt;52,AG14&gt;0),AND(AG19&gt;=1,AG14=0))</formula>
    </cfRule>
    <cfRule type="cellIs" dxfId="1650" priority="15" operator="greaterThan">
      <formula>0</formula>
    </cfRule>
  </conditionalFormatting>
  <conditionalFormatting sqref="AG22">
    <cfRule type="cellIs" dxfId="1649" priority="69" operator="equal">
      <formula>0</formula>
    </cfRule>
  </conditionalFormatting>
  <conditionalFormatting sqref="AI7:AP13">
    <cfRule type="cellIs" dxfId="1648" priority="14" operator="greaterThan">
      <formula>0</formula>
    </cfRule>
  </conditionalFormatting>
  <conditionalFormatting sqref="AI17:AQ17">
    <cfRule type="expression" dxfId="1647" priority="51">
      <formula>AR17=0</formula>
    </cfRule>
  </conditionalFormatting>
  <conditionalFormatting sqref="AI22:AQ22">
    <cfRule type="expression" dxfId="1646" priority="44">
      <formula>AR22=0</formula>
    </cfRule>
  </conditionalFormatting>
  <conditionalFormatting sqref="AR17">
    <cfRule type="cellIs" dxfId="1645" priority="84" operator="equal">
      <formula>0</formula>
    </cfRule>
  </conditionalFormatting>
  <conditionalFormatting sqref="AR19">
    <cfRule type="expression" dxfId="1644" priority="35">
      <formula>OR(AND($E$29&gt;=47,$E$29&lt;=51,AR14&gt;0),AR19&gt;52,AND($E$29&gt;52,AR14&gt;0),AND(AR19&gt;=1,AR14=0))</formula>
    </cfRule>
    <cfRule type="cellIs" dxfId="1643" priority="13" operator="greaterThan">
      <formula>0</formula>
    </cfRule>
  </conditionalFormatting>
  <conditionalFormatting sqref="AR22">
    <cfRule type="cellIs" dxfId="1642" priority="67" operator="equal">
      <formula>0</formula>
    </cfRule>
  </conditionalFormatting>
  <conditionalFormatting sqref="AT7:BA13">
    <cfRule type="cellIs" dxfId="1641" priority="12" operator="greaterThan">
      <formula>0</formula>
    </cfRule>
  </conditionalFormatting>
  <conditionalFormatting sqref="AT17:BB17">
    <cfRule type="expression" dxfId="1640" priority="50">
      <formula>BC17=0</formula>
    </cfRule>
  </conditionalFormatting>
  <conditionalFormatting sqref="AT22:BB22">
    <cfRule type="expression" dxfId="1639" priority="43">
      <formula>BC22=0</formula>
    </cfRule>
  </conditionalFormatting>
  <conditionalFormatting sqref="BC17">
    <cfRule type="cellIs" dxfId="1638" priority="82" operator="equal">
      <formula>0</formula>
    </cfRule>
  </conditionalFormatting>
  <conditionalFormatting sqref="BC19">
    <cfRule type="expression" dxfId="1637" priority="34">
      <formula>OR(AND($E$29&gt;=47,$E$29&lt;=51,BC14&gt;0),BC19&gt;52,AND($E$29&gt;52,BC14&gt;0),AND(BC19&gt;=1,BC14=0))</formula>
    </cfRule>
    <cfRule type="cellIs" dxfId="1636" priority="11" operator="greaterThan">
      <formula>0</formula>
    </cfRule>
  </conditionalFormatting>
  <conditionalFormatting sqref="BC22">
    <cfRule type="cellIs" dxfId="1635" priority="65" operator="equal">
      <formula>0</formula>
    </cfRule>
  </conditionalFormatting>
  <conditionalFormatting sqref="BE7:BL13">
    <cfRule type="cellIs" dxfId="1634" priority="10" operator="greaterThan">
      <formula>0</formula>
    </cfRule>
  </conditionalFormatting>
  <conditionalFormatting sqref="BE17:BM17">
    <cfRule type="expression" dxfId="1633" priority="49">
      <formula>BN17=0</formula>
    </cfRule>
  </conditionalFormatting>
  <conditionalFormatting sqref="BE22:BM22">
    <cfRule type="expression" dxfId="1632" priority="42">
      <formula>BN22=0</formula>
    </cfRule>
  </conditionalFormatting>
  <conditionalFormatting sqref="BN17">
    <cfRule type="cellIs" dxfId="1631" priority="80" operator="equal">
      <formula>0</formula>
    </cfRule>
  </conditionalFormatting>
  <conditionalFormatting sqref="BN19">
    <cfRule type="cellIs" dxfId="1630" priority="9" operator="greaterThan">
      <formula>0</formula>
    </cfRule>
    <cfRule type="expression" dxfId="1629" priority="33">
      <formula>OR(AND($E$29&gt;=47,$E$29&lt;=51,BN14&gt;0),BN19&gt;52,AND($E$29&gt;52,BN14&gt;0),AND(BN19&gt;=1,BN14=0))</formula>
    </cfRule>
  </conditionalFormatting>
  <conditionalFormatting sqref="BN22">
    <cfRule type="cellIs" dxfId="1628" priority="63" operator="equal">
      <formula>0</formula>
    </cfRule>
  </conditionalFormatting>
  <conditionalFormatting sqref="BP7:BW13">
    <cfRule type="cellIs" dxfId="1627" priority="8" operator="greaterThan">
      <formula>0</formula>
    </cfRule>
  </conditionalFormatting>
  <conditionalFormatting sqref="BP17:BX17">
    <cfRule type="expression" dxfId="1626" priority="48">
      <formula>BY17=0</formula>
    </cfRule>
  </conditionalFormatting>
  <conditionalFormatting sqref="BP22:BX22">
    <cfRule type="expression" dxfId="1625" priority="41">
      <formula>BY22=0</formula>
    </cfRule>
  </conditionalFormatting>
  <conditionalFormatting sqref="BY17">
    <cfRule type="cellIs" dxfId="1624" priority="78" operator="equal">
      <formula>0</formula>
    </cfRule>
  </conditionalFormatting>
  <conditionalFormatting sqref="BY19">
    <cfRule type="cellIs" dxfId="1623" priority="7" operator="greaterThan">
      <formula>0</formula>
    </cfRule>
    <cfRule type="expression" dxfId="1622" priority="32">
      <formula>OR(AND($E$29&gt;=47,$E$29&lt;=51,BY14&gt;0),BY19&gt;52,AND($E$29&gt;52,BY14&gt;0),AND(BY19&gt;=1,BY14=0))</formula>
    </cfRule>
  </conditionalFormatting>
  <conditionalFormatting sqref="BY22">
    <cfRule type="cellIs" dxfId="1621" priority="61" operator="equal">
      <formula>0</formula>
    </cfRule>
  </conditionalFormatting>
  <conditionalFormatting sqref="CA7:CH13">
    <cfRule type="cellIs" dxfId="1620" priority="6" operator="greaterThan">
      <formula>0</formula>
    </cfRule>
  </conditionalFormatting>
  <conditionalFormatting sqref="CA17:CI17">
    <cfRule type="expression" dxfId="1619" priority="47">
      <formula>CJ17=0</formula>
    </cfRule>
  </conditionalFormatting>
  <conditionalFormatting sqref="CA22:CI22">
    <cfRule type="expression" dxfId="1618" priority="40">
      <formula>CJ22=0</formula>
    </cfRule>
  </conditionalFormatting>
  <conditionalFormatting sqref="CJ17">
    <cfRule type="cellIs" dxfId="1617" priority="76" operator="equal">
      <formula>0</formula>
    </cfRule>
  </conditionalFormatting>
  <conditionalFormatting sqref="CJ19">
    <cfRule type="cellIs" dxfId="1616" priority="5" operator="greaterThan">
      <formula>0</formula>
    </cfRule>
    <cfRule type="expression" dxfId="1615" priority="31">
      <formula>OR(AND($E$29&gt;=47,$E$29&lt;=51,CJ14&gt;0),CJ19&gt;52,AND($E$29&gt;52,CJ14&gt;0),AND(CJ19&gt;=1,CJ14=0))</formula>
    </cfRule>
  </conditionalFormatting>
  <conditionalFormatting sqref="CJ22">
    <cfRule type="cellIs" dxfId="1614"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topLeftCell="A3" zoomScale="90" zoomScaleNormal="9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512</v>
      </c>
      <c r="B1" s="1692"/>
      <c r="C1" s="1692"/>
      <c r="D1" s="1692"/>
      <c r="E1" s="289"/>
      <c r="F1" s="289"/>
      <c r="G1" s="289"/>
      <c r="H1" s="289"/>
      <c r="I1" s="289"/>
      <c r="J1" s="1236" t="s">
        <v>208</v>
      </c>
      <c r="K1" s="1695"/>
      <c r="L1" s="1695"/>
      <c r="M1" s="1695"/>
      <c r="N1" s="864"/>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1390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1391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A54" s="24"/>
      <c r="D54" s="29" t="s">
        <v>204</v>
      </c>
      <c r="E54" s="302" t="e">
        <f>ROUND(+E52*N29,2)</f>
        <v>#N/A</v>
      </c>
      <c r="F54" s="302"/>
      <c r="G54" s="302"/>
      <c r="H54" s="302"/>
      <c r="I54" s="302"/>
    </row>
    <row r="55" spans="1:114" s="16" customFormat="1" hidden="1" x14ac:dyDescent="0.2">
      <c r="A55" s="24"/>
    </row>
    <row r="56" spans="1:114" s="16" customFormat="1" hidden="1" x14ac:dyDescent="0.2">
      <c r="A56" s="24"/>
      <c r="D56" s="29" t="s">
        <v>205</v>
      </c>
      <c r="E56" s="302">
        <f>ROUND(+(E49*N36*0.1131),2)</f>
        <v>0</v>
      </c>
      <c r="F56" s="302"/>
      <c r="G56" s="302"/>
      <c r="H56" s="302"/>
      <c r="I56" s="302"/>
    </row>
    <row r="57" spans="1:114" s="16" customFormat="1" hidden="1" x14ac:dyDescent="0.2">
      <c r="A57" s="24"/>
    </row>
    <row r="58" spans="1:114" s="16" customFormat="1" ht="15" x14ac:dyDescent="0.25">
      <c r="A58" s="24"/>
      <c r="D58" s="303" t="s">
        <v>59</v>
      </c>
      <c r="E58" s="304" t="e">
        <f>ROUND(+E56+E54,2)</f>
        <v>#N/A</v>
      </c>
      <c r="F58" s="304"/>
      <c r="G58" s="304"/>
      <c r="H58" s="304"/>
      <c r="I58" s="304"/>
    </row>
    <row r="59" spans="1:114" x14ac:dyDescent="0.2">
      <c r="A59" s="198"/>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ugMOmF9orT3E4Oj5oz3I7uzIxUDsRiMcqT4fxEjEhAS9znbXBGEhSWTeVuwFf0fax7yQphCfct3ymlG6Cs2nQA==" saltValue="ohLd/vA0O/wiYNBS4If+0g==" spinCount="100000" sheet="1" objects="1" scenarios="1" formatCells="0" formatColumns="0" formatRows="0" insertColumns="0" insertRows="0" insertHyperlinks="0" sort="0" autoFilter="0" pivotTables="0"/>
  <mergeCells count="70">
    <mergeCell ref="X24:AF24"/>
    <mergeCell ref="X22:AF22"/>
    <mergeCell ref="X21:AF21"/>
    <mergeCell ref="X19:AF19"/>
    <mergeCell ref="B16:J16"/>
    <mergeCell ref="X16:AF16"/>
    <mergeCell ref="M16:U16"/>
    <mergeCell ref="M17:U17"/>
    <mergeCell ref="M19:U19"/>
    <mergeCell ref="X17:AF17"/>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AS5:BC5"/>
    <mergeCell ref="BZ5:CJ5"/>
    <mergeCell ref="BO5:BY5"/>
    <mergeCell ref="A5:K5"/>
    <mergeCell ref="L5:V5"/>
    <mergeCell ref="W5:AG5"/>
    <mergeCell ref="AH5:AR5"/>
    <mergeCell ref="BD5:BN5"/>
  </mergeCells>
  <conditionalFormatting sqref="B7:I13">
    <cfRule type="cellIs" dxfId="1613" priority="21" operator="greaterThan">
      <formula>0</formula>
    </cfRule>
  </conditionalFormatting>
  <conditionalFormatting sqref="B17:J17">
    <cfRule type="expression" dxfId="1612" priority="60">
      <formula>K17=0</formula>
    </cfRule>
  </conditionalFormatting>
  <conditionalFormatting sqref="B22:J22">
    <cfRule type="expression" dxfId="1611" priority="52">
      <formula>K22=0</formula>
    </cfRule>
  </conditionalFormatting>
  <conditionalFormatting sqref="D40">
    <cfRule type="expression" dxfId="1610" priority="137">
      <formula>$E$40=0</formula>
    </cfRule>
  </conditionalFormatting>
  <conditionalFormatting sqref="D49">
    <cfRule type="expression" dxfId="1609" priority="136">
      <formula>$E$49=0</formula>
    </cfRule>
  </conditionalFormatting>
  <conditionalFormatting sqref="D58:E58">
    <cfRule type="expression" dxfId="1608" priority="74">
      <formula>$E$49&gt;0</formula>
    </cfRule>
  </conditionalFormatting>
  <conditionalFormatting sqref="E35">
    <cfRule type="cellIs" dxfId="1606" priority="5" operator="greaterThan">
      <formula>0</formula>
    </cfRule>
  </conditionalFormatting>
  <conditionalFormatting sqref="E40">
    <cfRule type="cellIs" dxfId="1605" priority="138" operator="equal">
      <formula>0</formula>
    </cfRule>
  </conditionalFormatting>
  <conditionalFormatting sqref="E49">
    <cfRule type="cellIs" dxfId="1604" priority="135" operator="equal">
      <formula>0</formula>
    </cfRule>
  </conditionalFormatting>
  <conditionalFormatting sqref="E50">
    <cfRule type="expression" dxfId="1603" priority="134">
      <formula>$E$49=0</formula>
    </cfRule>
  </conditionalFormatting>
  <conditionalFormatting sqref="E29:I29">
    <cfRule type="cellIs" dxfId="1602" priority="65" operator="between">
      <formula>46.9999999999</formula>
      <formula>51.99999</formula>
    </cfRule>
    <cfRule type="cellIs" dxfId="1601" priority="64" operator="greaterThanOrEqual">
      <formula>52.0000001</formula>
    </cfRule>
  </conditionalFormatting>
  <conditionalFormatting sqref="K17">
    <cfRule type="cellIs" dxfId="1600" priority="61" operator="equal">
      <formula>0</formula>
    </cfRule>
  </conditionalFormatting>
  <conditionalFormatting sqref="K19">
    <cfRule type="cellIs" dxfId="1599" priority="19" operator="greaterThan">
      <formula>0</formula>
    </cfRule>
    <cfRule type="expression" dxfId="1598" priority="29">
      <formula>OR(AND($E$29&gt;=47,$E$29&lt;=51,K14&gt;0),K19&gt;52,AND($E$29&gt;52,K14&gt;0),AND(K19&gt;=1,K14=0))</formula>
    </cfRule>
  </conditionalFormatting>
  <conditionalFormatting sqref="K22">
    <cfRule type="cellIs" dxfId="1597" priority="51" operator="equal">
      <formula>0</formula>
    </cfRule>
  </conditionalFormatting>
  <conditionalFormatting sqref="M7:T13">
    <cfRule type="cellIs" dxfId="1596" priority="20" operator="greaterThan">
      <formula>0</formula>
    </cfRule>
  </conditionalFormatting>
  <conditionalFormatting sqref="M17:U17">
    <cfRule type="expression" dxfId="1595" priority="43">
      <formula>V17=0</formula>
    </cfRule>
  </conditionalFormatting>
  <conditionalFormatting sqref="M22:U22">
    <cfRule type="expression" dxfId="1594" priority="36">
      <formula>V22=0</formula>
    </cfRule>
  </conditionalFormatting>
  <conditionalFormatting sqref="N31">
    <cfRule type="expression" dxfId="1593" priority="63">
      <formula>$EB$2="ROUGE"</formula>
    </cfRule>
  </conditionalFormatting>
  <conditionalFormatting sqref="N34">
    <cfRule type="cellIs" dxfId="1592" priority="4" operator="greaterThan">
      <formula>0</formula>
    </cfRule>
  </conditionalFormatting>
  <conditionalFormatting sqref="P39">
    <cfRule type="expression" dxfId="1591" priority="173">
      <formula>EB2="faux"</formula>
    </cfRule>
  </conditionalFormatting>
  <conditionalFormatting sqref="V17">
    <cfRule type="cellIs" dxfId="1590" priority="59" operator="equal">
      <formula>0</formula>
    </cfRule>
  </conditionalFormatting>
  <conditionalFormatting sqref="V19">
    <cfRule type="cellIs" dxfId="1589" priority="18" operator="greaterThan">
      <formula>0</formula>
    </cfRule>
    <cfRule type="expression" dxfId="1588" priority="28">
      <formula>OR(AND($E$29&gt;=47,$E$29&lt;=51,V14&gt;0),V19&gt;52,AND($E$29&gt;52,V14&gt;0),AND(V19&gt;=1,V14=0))</formula>
    </cfRule>
  </conditionalFormatting>
  <conditionalFormatting sqref="V22">
    <cfRule type="cellIs" dxfId="1587" priority="50" operator="equal">
      <formula>0</formula>
    </cfRule>
  </conditionalFormatting>
  <conditionalFormatting sqref="W31">
    <cfRule type="expression" dxfId="1586" priority="62">
      <formula>$EB$3="ROUGE"</formula>
    </cfRule>
  </conditionalFormatting>
  <conditionalFormatting sqref="W34">
    <cfRule type="cellIs" dxfId="1585" priority="1" operator="greaterThan">
      <formula>0</formula>
    </cfRule>
  </conditionalFormatting>
  <conditionalFormatting sqref="X7:AE13">
    <cfRule type="cellIs" dxfId="1584" priority="17" operator="greaterThan">
      <formula>0</formula>
    </cfRule>
  </conditionalFormatting>
  <conditionalFormatting sqref="X17:AF17">
    <cfRule type="expression" dxfId="1583" priority="42">
      <formula>AG17=0</formula>
    </cfRule>
  </conditionalFormatting>
  <conditionalFormatting sqref="X22:AF22">
    <cfRule type="expression" dxfId="1582" priority="35">
      <formula>AG22=0</formula>
    </cfRule>
  </conditionalFormatting>
  <conditionalFormatting sqref="AG17">
    <cfRule type="cellIs" dxfId="1581" priority="58" operator="equal">
      <formula>0</formula>
    </cfRule>
  </conditionalFormatting>
  <conditionalFormatting sqref="AG19">
    <cfRule type="cellIs" dxfId="1580" priority="16" operator="greaterThan">
      <formula>0</formula>
    </cfRule>
    <cfRule type="expression" dxfId="1579" priority="27">
      <formula>OR(AND($E$29&gt;=47,$E$29&lt;=51,AG14&gt;0),AG19&gt;52,AND($E$29&gt;52,AG14&gt;0),AND(AG19&gt;=1,AG14=0))</formula>
    </cfRule>
  </conditionalFormatting>
  <conditionalFormatting sqref="AG22">
    <cfRule type="cellIs" dxfId="1578" priority="49" operator="equal">
      <formula>0</formula>
    </cfRule>
  </conditionalFormatting>
  <conditionalFormatting sqref="AI7:AP13">
    <cfRule type="cellIs" dxfId="1577" priority="15" operator="greaterThan">
      <formula>0</formula>
    </cfRule>
  </conditionalFormatting>
  <conditionalFormatting sqref="AI17:AQ17">
    <cfRule type="expression" dxfId="1576" priority="41">
      <formula>AR17=0</formula>
    </cfRule>
  </conditionalFormatting>
  <conditionalFormatting sqref="AI22:AQ22">
    <cfRule type="expression" dxfId="1575" priority="34">
      <formula>AR22=0</formula>
    </cfRule>
  </conditionalFormatting>
  <conditionalFormatting sqref="AR17">
    <cfRule type="cellIs" dxfId="1574" priority="57" operator="equal">
      <formula>0</formula>
    </cfRule>
  </conditionalFormatting>
  <conditionalFormatting sqref="AR19">
    <cfRule type="cellIs" dxfId="1573" priority="14" operator="greaterThan">
      <formula>0</formula>
    </cfRule>
    <cfRule type="expression" dxfId="1572" priority="26">
      <formula>OR(AND($E$29&gt;=47,$E$29&lt;=51,AR14&gt;0),AR19&gt;52,AND($E$29&gt;52,AR14&gt;0),AND(AR19&gt;=1,AR14=0))</formula>
    </cfRule>
  </conditionalFormatting>
  <conditionalFormatting sqref="AR22">
    <cfRule type="cellIs" dxfId="1571" priority="48" operator="equal">
      <formula>0</formula>
    </cfRule>
  </conditionalFormatting>
  <conditionalFormatting sqref="AT7:BA13">
    <cfRule type="cellIs" dxfId="1570" priority="13" operator="greaterThan">
      <formula>0</formula>
    </cfRule>
  </conditionalFormatting>
  <conditionalFormatting sqref="AT17:BB17">
    <cfRule type="expression" dxfId="1569" priority="40">
      <formula>BC17=0</formula>
    </cfRule>
  </conditionalFormatting>
  <conditionalFormatting sqref="AT22:BB22">
    <cfRule type="expression" dxfId="1568" priority="33">
      <formula>BC22=0</formula>
    </cfRule>
  </conditionalFormatting>
  <conditionalFormatting sqref="BC17">
    <cfRule type="cellIs" dxfId="1567" priority="56" operator="equal">
      <formula>0</formula>
    </cfRule>
  </conditionalFormatting>
  <conditionalFormatting sqref="BC19">
    <cfRule type="expression" dxfId="1566" priority="25">
      <formula>OR(AND($E$29&gt;=47,$E$29&lt;=51,BC14&gt;0),BC19&gt;52,AND($E$29&gt;52,BC14&gt;0),AND(BC19&gt;=1,BC14=0))</formula>
    </cfRule>
    <cfRule type="cellIs" dxfId="1565" priority="12" operator="greaterThan">
      <formula>0</formula>
    </cfRule>
  </conditionalFormatting>
  <conditionalFormatting sqref="BC22">
    <cfRule type="cellIs" dxfId="1564" priority="47" operator="equal">
      <formula>0</formula>
    </cfRule>
  </conditionalFormatting>
  <conditionalFormatting sqref="BE7:BL13">
    <cfRule type="cellIs" dxfId="1563" priority="11" operator="greaterThan">
      <formula>0</formula>
    </cfRule>
  </conditionalFormatting>
  <conditionalFormatting sqref="BE17:BM17">
    <cfRule type="expression" dxfId="1562" priority="39">
      <formula>BN17=0</formula>
    </cfRule>
  </conditionalFormatting>
  <conditionalFormatting sqref="BE22:BM22">
    <cfRule type="expression" dxfId="1561" priority="32">
      <formula>BN22=0</formula>
    </cfRule>
  </conditionalFormatting>
  <conditionalFormatting sqref="BN17">
    <cfRule type="cellIs" dxfId="1560" priority="55" operator="equal">
      <formula>0</formula>
    </cfRule>
  </conditionalFormatting>
  <conditionalFormatting sqref="BN19">
    <cfRule type="expression" dxfId="1559" priority="24">
      <formula>OR(AND($E$29&gt;=47,$E$29&lt;=51,BN14&gt;0),BN19&gt;52,AND($E$29&gt;52,BN14&gt;0),AND(BN19&gt;=1,BN14=0))</formula>
    </cfRule>
    <cfRule type="cellIs" dxfId="1558" priority="10" operator="greaterThan">
      <formula>0</formula>
    </cfRule>
  </conditionalFormatting>
  <conditionalFormatting sqref="BN22">
    <cfRule type="cellIs" dxfId="1557" priority="46" operator="equal">
      <formula>0</formula>
    </cfRule>
  </conditionalFormatting>
  <conditionalFormatting sqref="BP7:BW13">
    <cfRule type="cellIs" dxfId="1556" priority="9" operator="greaterThan">
      <formula>0</formula>
    </cfRule>
  </conditionalFormatting>
  <conditionalFormatting sqref="BP17:BX17">
    <cfRule type="expression" dxfId="1555" priority="38">
      <formula>BY17=0</formula>
    </cfRule>
  </conditionalFormatting>
  <conditionalFormatting sqref="BP22:BX22">
    <cfRule type="expression" dxfId="1554" priority="31">
      <formula>BY22=0</formula>
    </cfRule>
  </conditionalFormatting>
  <conditionalFormatting sqref="BY17">
    <cfRule type="cellIs" dxfId="1553" priority="54" operator="equal">
      <formula>0</formula>
    </cfRule>
  </conditionalFormatting>
  <conditionalFormatting sqref="BY19">
    <cfRule type="cellIs" dxfId="1552" priority="8" operator="greaterThan">
      <formula>0</formula>
    </cfRule>
    <cfRule type="expression" dxfId="1551" priority="23">
      <formula>OR(AND($E$29&gt;=47,$E$29&lt;=51,BY14&gt;0),BY19&gt;52,AND($E$29&gt;52,BY14&gt;0),AND(BY19&gt;=1,BY14=0))</formula>
    </cfRule>
  </conditionalFormatting>
  <conditionalFormatting sqref="BY22">
    <cfRule type="cellIs" dxfId="1550" priority="45" operator="equal">
      <formula>0</formula>
    </cfRule>
  </conditionalFormatting>
  <conditionalFormatting sqref="CA7:CH13">
    <cfRule type="cellIs" dxfId="1549" priority="7" operator="greaterThan">
      <formula>0</formula>
    </cfRule>
  </conditionalFormatting>
  <conditionalFormatting sqref="CA17:CI17">
    <cfRule type="expression" dxfId="1548" priority="37">
      <formula>CJ17=0</formula>
    </cfRule>
  </conditionalFormatting>
  <conditionalFormatting sqref="CA22:CI22">
    <cfRule type="expression" dxfId="1547" priority="30">
      <formula>CJ22=0</formula>
    </cfRule>
  </conditionalFormatting>
  <conditionalFormatting sqref="CJ17">
    <cfRule type="cellIs" dxfId="1546" priority="53" operator="equal">
      <formula>0</formula>
    </cfRule>
  </conditionalFormatting>
  <conditionalFormatting sqref="CJ19">
    <cfRule type="expression" dxfId="1545" priority="22">
      <formula>OR(AND($E$29&gt;=47,$E$29&lt;=51,CJ14&gt;0),CJ19&gt;52,AND($E$29&gt;52,CJ14&gt;0),AND(CJ19&gt;=1,CJ14=0))</formula>
    </cfRule>
    <cfRule type="cellIs" dxfId="1544" priority="6" operator="greaterThan">
      <formula>0</formula>
    </cfRule>
  </conditionalFormatting>
  <conditionalFormatting sqref="CJ22">
    <cfRule type="cellIs" dxfId="1543"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A3" sqref="A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92" t="s">
        <v>513</v>
      </c>
      <c r="B1" s="1692"/>
      <c r="C1" s="1692"/>
      <c r="D1" s="1692"/>
      <c r="E1" s="289"/>
      <c r="F1" s="289"/>
      <c r="G1" s="289"/>
      <c r="H1" s="289"/>
      <c r="I1" s="289"/>
      <c r="J1" s="1236" t="s">
        <v>208</v>
      </c>
      <c r="K1" s="1695"/>
      <c r="L1" s="1695"/>
      <c r="M1" s="1695"/>
      <c r="N1" s="289"/>
      <c r="P1" s="1237"/>
      <c r="EA1" s="29" t="s">
        <v>1074</v>
      </c>
    </row>
    <row r="2" spans="1:132" s="16" customFormat="1" x14ac:dyDescent="0.2">
      <c r="EA2" s="29" t="s">
        <v>1075</v>
      </c>
      <c r="EB2" s="16">
        <f>+IF(AND(E29=52,N31="OUI"),"ROUGE",0)</f>
        <v>0</v>
      </c>
    </row>
    <row r="3" spans="1:132" s="16" customFormat="1" ht="18.75" x14ac:dyDescent="0.3">
      <c r="A3" s="1233" t="s">
        <v>190</v>
      </c>
      <c r="D3" s="1059"/>
      <c r="E3" s="1059"/>
      <c r="F3" s="1059"/>
      <c r="G3" s="1059"/>
      <c r="H3" s="1059"/>
      <c r="I3" s="1059"/>
      <c r="J3" s="1694" t="s">
        <v>1457</v>
      </c>
      <c r="K3" s="1694"/>
      <c r="L3" s="1694"/>
      <c r="M3" s="1694"/>
      <c r="N3" s="1694"/>
      <c r="O3" s="1694"/>
      <c r="P3" s="1694"/>
      <c r="EA3" s="29" t="s">
        <v>921</v>
      </c>
      <c r="EB3" s="16">
        <f>+IF(AND(E29=52,W31="OUI"),"ROUGE",0)</f>
        <v>0</v>
      </c>
    </row>
    <row r="4" spans="1:132" s="16" customFormat="1" x14ac:dyDescent="0.2">
      <c r="EB4" s="16" t="str">
        <f>+IF(AND(Identification!B3="Méthode 2",P39="Méthode 1"),"faux","")</f>
        <v>faux</v>
      </c>
    </row>
    <row r="5" spans="1:132" s="310" customFormat="1" ht="18.75" x14ac:dyDescent="0.3">
      <c r="A5" s="1674" t="s">
        <v>168</v>
      </c>
      <c r="B5" s="1675"/>
      <c r="C5" s="1675"/>
      <c r="D5" s="1675"/>
      <c r="E5" s="1675"/>
      <c r="F5" s="1675"/>
      <c r="G5" s="1675"/>
      <c r="H5" s="1675"/>
      <c r="I5" s="1675"/>
      <c r="J5" s="1675"/>
      <c r="K5" s="1676"/>
      <c r="L5" s="1677" t="s">
        <v>169</v>
      </c>
      <c r="M5" s="1678"/>
      <c r="N5" s="1678"/>
      <c r="O5" s="1678"/>
      <c r="P5" s="1678"/>
      <c r="Q5" s="1678"/>
      <c r="R5" s="1678"/>
      <c r="S5" s="1678"/>
      <c r="T5" s="1678"/>
      <c r="U5" s="1678"/>
      <c r="V5" s="1679"/>
      <c r="W5" s="1680" t="s">
        <v>170</v>
      </c>
      <c r="X5" s="1681"/>
      <c r="Y5" s="1681"/>
      <c r="Z5" s="1681"/>
      <c r="AA5" s="1681"/>
      <c r="AB5" s="1681"/>
      <c r="AC5" s="1681"/>
      <c r="AD5" s="1681"/>
      <c r="AE5" s="1681"/>
      <c r="AF5" s="1681"/>
      <c r="AG5" s="1682"/>
      <c r="AH5" s="1683" t="s">
        <v>171</v>
      </c>
      <c r="AI5" s="1684"/>
      <c r="AJ5" s="1684"/>
      <c r="AK5" s="1684"/>
      <c r="AL5" s="1684"/>
      <c r="AM5" s="1684"/>
      <c r="AN5" s="1684"/>
      <c r="AO5" s="1684"/>
      <c r="AP5" s="1684"/>
      <c r="AQ5" s="1684"/>
      <c r="AR5" s="1685"/>
      <c r="AS5" s="1686" t="s">
        <v>172</v>
      </c>
      <c r="AT5" s="1687"/>
      <c r="AU5" s="1687"/>
      <c r="AV5" s="1687"/>
      <c r="AW5" s="1687"/>
      <c r="AX5" s="1687"/>
      <c r="AY5" s="1687"/>
      <c r="AZ5" s="1687"/>
      <c r="BA5" s="1687"/>
      <c r="BB5" s="1687"/>
      <c r="BC5" s="1688"/>
      <c r="BD5" s="1689" t="s">
        <v>173</v>
      </c>
      <c r="BE5" s="1690"/>
      <c r="BF5" s="1690"/>
      <c r="BG5" s="1690"/>
      <c r="BH5" s="1690"/>
      <c r="BI5" s="1690"/>
      <c r="BJ5" s="1690"/>
      <c r="BK5" s="1690"/>
      <c r="BL5" s="1690"/>
      <c r="BM5" s="1690"/>
      <c r="BN5" s="1691"/>
      <c r="BO5" s="1671" t="s">
        <v>174</v>
      </c>
      <c r="BP5" s="1672"/>
      <c r="BQ5" s="1672"/>
      <c r="BR5" s="1672"/>
      <c r="BS5" s="1672"/>
      <c r="BT5" s="1672"/>
      <c r="BU5" s="1672"/>
      <c r="BV5" s="1672"/>
      <c r="BW5" s="1672"/>
      <c r="BX5" s="1672"/>
      <c r="BY5" s="1673"/>
      <c r="BZ5" s="1668" t="s">
        <v>175</v>
      </c>
      <c r="CA5" s="1669"/>
      <c r="CB5" s="1669"/>
      <c r="CC5" s="1669"/>
      <c r="CD5" s="1669"/>
      <c r="CE5" s="1669"/>
      <c r="CF5" s="1669"/>
      <c r="CG5" s="1669"/>
      <c r="CH5" s="1669"/>
      <c r="CI5" s="1669"/>
      <c r="CJ5" s="1670"/>
    </row>
    <row r="6" spans="1:132" s="16" customFormat="1" ht="45" x14ac:dyDescent="0.2">
      <c r="A6" s="1234" t="s">
        <v>16</v>
      </c>
      <c r="B6" s="1234" t="s">
        <v>228</v>
      </c>
      <c r="C6" s="1234" t="s">
        <v>229</v>
      </c>
      <c r="D6" s="1234" t="s">
        <v>230</v>
      </c>
      <c r="E6" s="1234" t="s">
        <v>231</v>
      </c>
      <c r="F6" s="1234" t="s">
        <v>533</v>
      </c>
      <c r="G6" s="1234" t="s">
        <v>534</v>
      </c>
      <c r="H6" s="1234" t="s">
        <v>535</v>
      </c>
      <c r="I6" s="1234" t="s">
        <v>536</v>
      </c>
      <c r="J6" s="1234" t="s">
        <v>191</v>
      </c>
      <c r="K6" s="1234" t="s">
        <v>192</v>
      </c>
      <c r="L6" s="1234" t="s">
        <v>16</v>
      </c>
      <c r="M6" s="1234" t="s">
        <v>228</v>
      </c>
      <c r="N6" s="1234" t="s">
        <v>229</v>
      </c>
      <c r="O6" s="1234" t="s">
        <v>230</v>
      </c>
      <c r="P6" s="1234" t="s">
        <v>231</v>
      </c>
      <c r="Q6" s="1234" t="s">
        <v>533</v>
      </c>
      <c r="R6" s="1234" t="s">
        <v>534</v>
      </c>
      <c r="S6" s="1234" t="s">
        <v>535</v>
      </c>
      <c r="T6" s="1234" t="s">
        <v>536</v>
      </c>
      <c r="U6" s="1234" t="s">
        <v>191</v>
      </c>
      <c r="V6" s="1234" t="s">
        <v>192</v>
      </c>
      <c r="W6" s="1234" t="s">
        <v>16</v>
      </c>
      <c r="X6" s="1234" t="s">
        <v>228</v>
      </c>
      <c r="Y6" s="1234" t="s">
        <v>229</v>
      </c>
      <c r="Z6" s="1234" t="s">
        <v>230</v>
      </c>
      <c r="AA6" s="1234" t="s">
        <v>231</v>
      </c>
      <c r="AB6" s="1234" t="s">
        <v>533</v>
      </c>
      <c r="AC6" s="1234" t="s">
        <v>534</v>
      </c>
      <c r="AD6" s="1234" t="s">
        <v>535</v>
      </c>
      <c r="AE6" s="1234" t="s">
        <v>536</v>
      </c>
      <c r="AF6" s="1234" t="s">
        <v>191</v>
      </c>
      <c r="AG6" s="1234" t="s">
        <v>192</v>
      </c>
      <c r="AH6" s="1234" t="s">
        <v>16</v>
      </c>
      <c r="AI6" s="1234" t="s">
        <v>228</v>
      </c>
      <c r="AJ6" s="1234" t="s">
        <v>229</v>
      </c>
      <c r="AK6" s="1234" t="s">
        <v>230</v>
      </c>
      <c r="AL6" s="1234" t="s">
        <v>231</v>
      </c>
      <c r="AM6" s="1234" t="s">
        <v>533</v>
      </c>
      <c r="AN6" s="1234" t="s">
        <v>534</v>
      </c>
      <c r="AO6" s="1234" t="s">
        <v>535</v>
      </c>
      <c r="AP6" s="1234" t="s">
        <v>536</v>
      </c>
      <c r="AQ6" s="1234" t="s">
        <v>191</v>
      </c>
      <c r="AR6" s="1234" t="s">
        <v>192</v>
      </c>
      <c r="AS6" s="1234" t="s">
        <v>16</v>
      </c>
      <c r="AT6" s="1234" t="s">
        <v>228</v>
      </c>
      <c r="AU6" s="1234" t="s">
        <v>229</v>
      </c>
      <c r="AV6" s="1234" t="s">
        <v>230</v>
      </c>
      <c r="AW6" s="1234" t="s">
        <v>231</v>
      </c>
      <c r="AX6" s="1234" t="s">
        <v>533</v>
      </c>
      <c r="AY6" s="1234" t="s">
        <v>534</v>
      </c>
      <c r="AZ6" s="1234" t="s">
        <v>535</v>
      </c>
      <c r="BA6" s="1234" t="s">
        <v>536</v>
      </c>
      <c r="BB6" s="1234" t="s">
        <v>191</v>
      </c>
      <c r="BC6" s="1234" t="s">
        <v>192</v>
      </c>
      <c r="BD6" s="1234" t="s">
        <v>16</v>
      </c>
      <c r="BE6" s="1234" t="s">
        <v>228</v>
      </c>
      <c r="BF6" s="1234" t="s">
        <v>229</v>
      </c>
      <c r="BG6" s="1234" t="s">
        <v>230</v>
      </c>
      <c r="BH6" s="1234" t="s">
        <v>231</v>
      </c>
      <c r="BI6" s="1234" t="s">
        <v>533</v>
      </c>
      <c r="BJ6" s="1234" t="s">
        <v>534</v>
      </c>
      <c r="BK6" s="1234" t="s">
        <v>535</v>
      </c>
      <c r="BL6" s="1234" t="s">
        <v>536</v>
      </c>
      <c r="BM6" s="1234" t="s">
        <v>191</v>
      </c>
      <c r="BN6" s="1234" t="s">
        <v>192</v>
      </c>
      <c r="BO6" s="1234" t="s">
        <v>16</v>
      </c>
      <c r="BP6" s="1234" t="s">
        <v>228</v>
      </c>
      <c r="BQ6" s="1234" t="s">
        <v>229</v>
      </c>
      <c r="BR6" s="1234" t="s">
        <v>230</v>
      </c>
      <c r="BS6" s="1234" t="s">
        <v>231</v>
      </c>
      <c r="BT6" s="1234" t="s">
        <v>533</v>
      </c>
      <c r="BU6" s="1234" t="s">
        <v>534</v>
      </c>
      <c r="BV6" s="1234" t="s">
        <v>535</v>
      </c>
      <c r="BW6" s="1234" t="s">
        <v>536</v>
      </c>
      <c r="BX6" s="1234" t="s">
        <v>191</v>
      </c>
      <c r="BY6" s="1234" t="s">
        <v>192</v>
      </c>
      <c r="BZ6" s="1234" t="s">
        <v>16</v>
      </c>
      <c r="CA6" s="1234" t="s">
        <v>228</v>
      </c>
      <c r="CB6" s="1234" t="s">
        <v>229</v>
      </c>
      <c r="CC6" s="1234" t="s">
        <v>230</v>
      </c>
      <c r="CD6" s="1234" t="s">
        <v>231</v>
      </c>
      <c r="CE6" s="1234" t="s">
        <v>533</v>
      </c>
      <c r="CF6" s="1234" t="s">
        <v>534</v>
      </c>
      <c r="CG6" s="1234" t="s">
        <v>535</v>
      </c>
      <c r="CH6" s="1234" t="s">
        <v>536</v>
      </c>
      <c r="CI6" s="1234" t="s">
        <v>191</v>
      </c>
      <c r="CJ6" s="1234" t="s">
        <v>192</v>
      </c>
    </row>
    <row r="7" spans="1:132" s="16" customFormat="1" x14ac:dyDescent="0.2">
      <c r="A7" s="91" t="s">
        <v>17</v>
      </c>
      <c r="B7" s="1092"/>
      <c r="C7" s="1092"/>
      <c r="D7" s="1092"/>
      <c r="E7" s="1092"/>
      <c r="F7" s="1093"/>
      <c r="G7" s="1093"/>
      <c r="H7" s="1093"/>
      <c r="I7" s="1093"/>
      <c r="J7" s="291">
        <f>+C7-B7+E7-D7+G7-F7+I7-H7</f>
        <v>0</v>
      </c>
      <c r="K7" s="427">
        <f>ROUND(+J7*24,C77)</f>
        <v>0</v>
      </c>
      <c r="L7" s="91" t="s">
        <v>17</v>
      </c>
      <c r="M7" s="1092"/>
      <c r="N7" s="1092"/>
      <c r="O7" s="1092"/>
      <c r="P7" s="1092"/>
      <c r="Q7" s="1093"/>
      <c r="R7" s="1093"/>
      <c r="S7" s="1093"/>
      <c r="T7" s="1093"/>
      <c r="U7" s="291">
        <f>+N7-M7+P7-O7+R7-Q7+T7-S7</f>
        <v>0</v>
      </c>
      <c r="V7" s="427">
        <f>ROUND(+U7*24,C77)</f>
        <v>0</v>
      </c>
      <c r="W7" s="91" t="s">
        <v>17</v>
      </c>
      <c r="X7" s="1092"/>
      <c r="Y7" s="1092"/>
      <c r="Z7" s="1092"/>
      <c r="AA7" s="1092"/>
      <c r="AB7" s="1093"/>
      <c r="AC7" s="1093"/>
      <c r="AD7" s="1093"/>
      <c r="AE7" s="1093"/>
      <c r="AF7" s="291">
        <f>+Y7-X7+AA7-Z7+AC7-AB7+AE7-AD7</f>
        <v>0</v>
      </c>
      <c r="AG7" s="427">
        <f>ROUND(+AF7*24,C77)</f>
        <v>0</v>
      </c>
      <c r="AH7" s="91" t="s">
        <v>17</v>
      </c>
      <c r="AI7" s="1092"/>
      <c r="AJ7" s="1092"/>
      <c r="AK7" s="1092"/>
      <c r="AL7" s="1092"/>
      <c r="AM7" s="1093"/>
      <c r="AN7" s="1093"/>
      <c r="AO7" s="1093"/>
      <c r="AP7" s="1093"/>
      <c r="AQ7" s="291">
        <f>+AJ7-AI7+AL7-AK7+AN7-AM7+AP7-AO7</f>
        <v>0</v>
      </c>
      <c r="AR7" s="427">
        <f>ROUND(+AQ7*24,C77)</f>
        <v>0</v>
      </c>
      <c r="AS7" s="91" t="s">
        <v>17</v>
      </c>
      <c r="AT7" s="1092"/>
      <c r="AU7" s="1092"/>
      <c r="AV7" s="1092"/>
      <c r="AW7" s="1092"/>
      <c r="AX7" s="1093"/>
      <c r="AY7" s="1093"/>
      <c r="AZ7" s="1093"/>
      <c r="BA7" s="1093"/>
      <c r="BB7" s="291">
        <f>+AU7-AT7+AW7-AV7+AY7-AX7+BA7-AZ7</f>
        <v>0</v>
      </c>
      <c r="BC7" s="427">
        <f>ROUND(+BB7*24,C77)</f>
        <v>0</v>
      </c>
      <c r="BD7" s="91" t="s">
        <v>17</v>
      </c>
      <c r="BE7" s="1092"/>
      <c r="BF7" s="1092"/>
      <c r="BG7" s="1092"/>
      <c r="BH7" s="1092"/>
      <c r="BI7" s="1093"/>
      <c r="BJ7" s="1093"/>
      <c r="BK7" s="1093"/>
      <c r="BL7" s="1093"/>
      <c r="BM7" s="291">
        <f>+BF7-BE7+BH7-BG7+BJ7-BI7+BL7-BK7</f>
        <v>0</v>
      </c>
      <c r="BN7" s="427">
        <f>ROUND(+BM7*24,C77)</f>
        <v>0</v>
      </c>
      <c r="BO7" s="91" t="s">
        <v>17</v>
      </c>
      <c r="BP7" s="1092"/>
      <c r="BQ7" s="1092"/>
      <c r="BR7" s="1092"/>
      <c r="BS7" s="1092"/>
      <c r="BT7" s="1093"/>
      <c r="BU7" s="1093"/>
      <c r="BV7" s="1093"/>
      <c r="BW7" s="1093"/>
      <c r="BX7" s="291">
        <f>+BQ7-BP7+BS7-BR7+BU7-BT7+BW7-BV7</f>
        <v>0</v>
      </c>
      <c r="BY7" s="427">
        <f>ROUND(+BX7*24,C77)</f>
        <v>0</v>
      </c>
      <c r="BZ7" s="91" t="s">
        <v>17</v>
      </c>
      <c r="CA7" s="1092"/>
      <c r="CB7" s="1092"/>
      <c r="CC7" s="1092"/>
      <c r="CD7" s="1092"/>
      <c r="CE7" s="1093"/>
      <c r="CF7" s="1093"/>
      <c r="CG7" s="1093"/>
      <c r="CH7" s="1093"/>
      <c r="CI7" s="291">
        <f>+CB7-CA7+CD7-CC7+CF7-CE7+CH7-CG7</f>
        <v>0</v>
      </c>
      <c r="CJ7" s="427">
        <f>ROUND(+CI7*24,C77)</f>
        <v>0</v>
      </c>
    </row>
    <row r="8" spans="1:132" s="16" customFormat="1" x14ac:dyDescent="0.2">
      <c r="A8" s="91" t="s">
        <v>18</v>
      </c>
      <c r="B8" s="1092"/>
      <c r="C8" s="1092"/>
      <c r="D8" s="1092"/>
      <c r="E8" s="1092"/>
      <c r="F8" s="1093"/>
      <c r="G8" s="1093"/>
      <c r="H8" s="1093"/>
      <c r="I8" s="1093"/>
      <c r="J8" s="291">
        <f t="shared" ref="J8:J13" si="0">+C8-B8+E8-D8+G8-F8+I8-H8</f>
        <v>0</v>
      </c>
      <c r="K8" s="428">
        <f>ROUND(+J8*24,C77)</f>
        <v>0</v>
      </c>
      <c r="L8" s="91" t="s">
        <v>18</v>
      </c>
      <c r="M8" s="1092"/>
      <c r="N8" s="1092"/>
      <c r="O8" s="1092"/>
      <c r="P8" s="1092"/>
      <c r="Q8" s="1093"/>
      <c r="R8" s="1093"/>
      <c r="S8" s="1093"/>
      <c r="T8" s="1093"/>
      <c r="U8" s="291">
        <f t="shared" ref="U8:U13" si="1">+N8-M8+P8-O8+R8-Q8+T8-S8</f>
        <v>0</v>
      </c>
      <c r="V8" s="427">
        <f>ROUND(+U8*24,C77)</f>
        <v>0</v>
      </c>
      <c r="W8" s="91" t="s">
        <v>18</v>
      </c>
      <c r="X8" s="1092"/>
      <c r="Y8" s="1092"/>
      <c r="Z8" s="1092"/>
      <c r="AA8" s="1092"/>
      <c r="AB8" s="1093"/>
      <c r="AC8" s="1093"/>
      <c r="AD8" s="1093"/>
      <c r="AE8" s="1093"/>
      <c r="AF8" s="291">
        <f t="shared" ref="AF8:AF13" si="2">+Y8-X8+AA8-Z8+AC8-AB8+AE8-AD8</f>
        <v>0</v>
      </c>
      <c r="AG8" s="427">
        <f>ROUND(+AF8*24,C77)</f>
        <v>0</v>
      </c>
      <c r="AH8" s="91" t="s">
        <v>18</v>
      </c>
      <c r="AI8" s="1092"/>
      <c r="AJ8" s="1092"/>
      <c r="AK8" s="1092"/>
      <c r="AL8" s="1092"/>
      <c r="AM8" s="1093"/>
      <c r="AN8" s="1093"/>
      <c r="AO8" s="1093"/>
      <c r="AP8" s="1093"/>
      <c r="AQ8" s="291">
        <f t="shared" ref="AQ8:AQ13" si="3">+AJ8-AI8+AL8-AK8+AN8-AM8+AP8-AO8</f>
        <v>0</v>
      </c>
      <c r="AR8" s="427">
        <f>ROUND(+AQ8*24,C77)</f>
        <v>0</v>
      </c>
      <c r="AS8" s="91" t="s">
        <v>18</v>
      </c>
      <c r="AT8" s="1092"/>
      <c r="AU8" s="1092"/>
      <c r="AV8" s="1092"/>
      <c r="AW8" s="1092"/>
      <c r="AX8" s="1093"/>
      <c r="AY8" s="1093"/>
      <c r="AZ8" s="1093"/>
      <c r="BA8" s="1093"/>
      <c r="BB8" s="291">
        <f t="shared" ref="BB8:BB13" si="4">+AU8-AT8+AW8-AV8+AY8-AX8+BA8-AZ8</f>
        <v>0</v>
      </c>
      <c r="BC8" s="427">
        <f>ROUND(+BB8*24,C77)</f>
        <v>0</v>
      </c>
      <c r="BD8" s="91" t="s">
        <v>18</v>
      </c>
      <c r="BE8" s="1092"/>
      <c r="BF8" s="1092"/>
      <c r="BG8" s="1092"/>
      <c r="BH8" s="1092"/>
      <c r="BI8" s="1093"/>
      <c r="BJ8" s="1093"/>
      <c r="BK8" s="1093"/>
      <c r="BL8" s="1093"/>
      <c r="BM8" s="291">
        <f t="shared" ref="BM8:BM13" si="5">+BF8-BE8+BH8-BG8+BJ8-BI8+BL8-BK8</f>
        <v>0</v>
      </c>
      <c r="BN8" s="427">
        <f>ROUND(+BM8*24,C77)</f>
        <v>0</v>
      </c>
      <c r="BO8" s="91" t="s">
        <v>18</v>
      </c>
      <c r="BP8" s="1092"/>
      <c r="BQ8" s="1092"/>
      <c r="BR8" s="1092"/>
      <c r="BS8" s="1092"/>
      <c r="BT8" s="1093"/>
      <c r="BU8" s="1093"/>
      <c r="BV8" s="1093"/>
      <c r="BW8" s="1093"/>
      <c r="BX8" s="291">
        <f t="shared" ref="BX8:BX13" si="6">+BQ8-BP8+BS8-BR8+BU8-BT8+BW8-BV8</f>
        <v>0</v>
      </c>
      <c r="BY8" s="427">
        <f>ROUND(+BX8*24,C77)</f>
        <v>0</v>
      </c>
      <c r="BZ8" s="91" t="s">
        <v>18</v>
      </c>
      <c r="CA8" s="1092"/>
      <c r="CB8" s="1092"/>
      <c r="CC8" s="1092"/>
      <c r="CD8" s="1092"/>
      <c r="CE8" s="1093"/>
      <c r="CF8" s="1093"/>
      <c r="CG8" s="1093"/>
      <c r="CH8" s="1093"/>
      <c r="CI8" s="291">
        <f t="shared" ref="CI8:CI13" si="7">+CB8-CA8+CD8-CC8+CF8-CE8+CH8-CG8</f>
        <v>0</v>
      </c>
      <c r="CJ8" s="427">
        <f>ROUND(+CI8*24,C77)</f>
        <v>0</v>
      </c>
    </row>
    <row r="9" spans="1:132" s="16" customFormat="1" x14ac:dyDescent="0.2">
      <c r="A9" s="91" t="s">
        <v>19</v>
      </c>
      <c r="B9" s="1092"/>
      <c r="C9" s="1092"/>
      <c r="D9" s="1092"/>
      <c r="E9" s="1092"/>
      <c r="F9" s="1093"/>
      <c r="G9" s="1093"/>
      <c r="H9" s="1093"/>
      <c r="I9" s="1093"/>
      <c r="J9" s="291">
        <f t="shared" si="0"/>
        <v>0</v>
      </c>
      <c r="K9" s="427">
        <f>ROUND(+J9*24,C77)</f>
        <v>0</v>
      </c>
      <c r="L9" s="91" t="s">
        <v>19</v>
      </c>
      <c r="M9" s="1092"/>
      <c r="N9" s="1092"/>
      <c r="O9" s="1092"/>
      <c r="P9" s="1092"/>
      <c r="Q9" s="1093"/>
      <c r="R9" s="1093"/>
      <c r="S9" s="1093"/>
      <c r="T9" s="1093"/>
      <c r="U9" s="291">
        <f t="shared" si="1"/>
        <v>0</v>
      </c>
      <c r="V9" s="427">
        <f>ROUND(+U9*24,C77)</f>
        <v>0</v>
      </c>
      <c r="W9" s="91" t="s">
        <v>19</v>
      </c>
      <c r="X9" s="1092"/>
      <c r="Y9" s="1092"/>
      <c r="Z9" s="1092"/>
      <c r="AA9" s="1092"/>
      <c r="AB9" s="1093"/>
      <c r="AC9" s="1093"/>
      <c r="AD9" s="1093"/>
      <c r="AE9" s="1093"/>
      <c r="AF9" s="291">
        <f t="shared" si="2"/>
        <v>0</v>
      </c>
      <c r="AG9" s="427">
        <f>ROUND(+AF9*24,C77)</f>
        <v>0</v>
      </c>
      <c r="AH9" s="91" t="s">
        <v>19</v>
      </c>
      <c r="AI9" s="1092"/>
      <c r="AJ9" s="1092"/>
      <c r="AK9" s="1092"/>
      <c r="AL9" s="1092"/>
      <c r="AM9" s="1093"/>
      <c r="AN9" s="1093"/>
      <c r="AO9" s="1093"/>
      <c r="AP9" s="1093"/>
      <c r="AQ9" s="291">
        <f t="shared" si="3"/>
        <v>0</v>
      </c>
      <c r="AR9" s="427">
        <f>ROUND(+AQ9*24,C77)</f>
        <v>0</v>
      </c>
      <c r="AS9" s="91" t="s">
        <v>19</v>
      </c>
      <c r="AT9" s="1092"/>
      <c r="AU9" s="1092"/>
      <c r="AV9" s="1092"/>
      <c r="AW9" s="1092"/>
      <c r="AX9" s="1093"/>
      <c r="AY9" s="1093"/>
      <c r="AZ9" s="1093"/>
      <c r="BA9" s="1093"/>
      <c r="BB9" s="291">
        <f t="shared" si="4"/>
        <v>0</v>
      </c>
      <c r="BC9" s="427">
        <f>ROUND(+BB9*24,C77)</f>
        <v>0</v>
      </c>
      <c r="BD9" s="91" t="s">
        <v>19</v>
      </c>
      <c r="BE9" s="1092"/>
      <c r="BF9" s="1092"/>
      <c r="BG9" s="1092"/>
      <c r="BH9" s="1092"/>
      <c r="BI9" s="1093"/>
      <c r="BJ9" s="1093"/>
      <c r="BK9" s="1093"/>
      <c r="BL9" s="1093"/>
      <c r="BM9" s="291">
        <f t="shared" si="5"/>
        <v>0</v>
      </c>
      <c r="BN9" s="427">
        <f>ROUND(+BM9*24,C77)</f>
        <v>0</v>
      </c>
      <c r="BO9" s="91" t="s">
        <v>19</v>
      </c>
      <c r="BP9" s="1092"/>
      <c r="BQ9" s="1092"/>
      <c r="BR9" s="1092"/>
      <c r="BS9" s="1092"/>
      <c r="BT9" s="1093"/>
      <c r="BU9" s="1093"/>
      <c r="BV9" s="1093"/>
      <c r="BW9" s="1093"/>
      <c r="BX9" s="291">
        <f t="shared" si="6"/>
        <v>0</v>
      </c>
      <c r="BY9" s="427">
        <f>ROUND(+BX9*24,C77)</f>
        <v>0</v>
      </c>
      <c r="BZ9" s="91" t="s">
        <v>19</v>
      </c>
      <c r="CA9" s="1092"/>
      <c r="CB9" s="1092"/>
      <c r="CC9" s="1092"/>
      <c r="CD9" s="1092"/>
      <c r="CE9" s="1093"/>
      <c r="CF9" s="1093"/>
      <c r="CG9" s="1093"/>
      <c r="CH9" s="1093"/>
      <c r="CI9" s="291">
        <f t="shared" si="7"/>
        <v>0</v>
      </c>
      <c r="CJ9" s="427">
        <f>ROUND(+CI9*24,C77)</f>
        <v>0</v>
      </c>
    </row>
    <row r="10" spans="1:132" s="16" customFormat="1" x14ac:dyDescent="0.2">
      <c r="A10" s="91" t="s">
        <v>20</v>
      </c>
      <c r="B10" s="1092"/>
      <c r="C10" s="1092"/>
      <c r="D10" s="1092"/>
      <c r="E10" s="1092"/>
      <c r="F10" s="1093"/>
      <c r="G10" s="1093"/>
      <c r="H10" s="1093"/>
      <c r="I10" s="1093"/>
      <c r="J10" s="291">
        <f t="shared" si="0"/>
        <v>0</v>
      </c>
      <c r="K10" s="427">
        <f>ROUND(+J10*24,C77)</f>
        <v>0</v>
      </c>
      <c r="L10" s="91" t="s">
        <v>20</v>
      </c>
      <c r="M10" s="1092"/>
      <c r="N10" s="1092"/>
      <c r="O10" s="1092"/>
      <c r="P10" s="1092"/>
      <c r="Q10" s="1093"/>
      <c r="R10" s="1093"/>
      <c r="S10" s="1093"/>
      <c r="T10" s="1093"/>
      <c r="U10" s="291">
        <f t="shared" si="1"/>
        <v>0</v>
      </c>
      <c r="V10" s="427">
        <f>ROUND(+U10*24,C77)</f>
        <v>0</v>
      </c>
      <c r="W10" s="91" t="s">
        <v>20</v>
      </c>
      <c r="X10" s="1092"/>
      <c r="Y10" s="1092"/>
      <c r="Z10" s="1092"/>
      <c r="AA10" s="1092"/>
      <c r="AB10" s="1093"/>
      <c r="AC10" s="1093"/>
      <c r="AD10" s="1093"/>
      <c r="AE10" s="1093"/>
      <c r="AF10" s="291">
        <f t="shared" si="2"/>
        <v>0</v>
      </c>
      <c r="AG10" s="427">
        <f>ROUND(+AF10*24,C77)</f>
        <v>0</v>
      </c>
      <c r="AH10" s="91" t="s">
        <v>20</v>
      </c>
      <c r="AI10" s="1092"/>
      <c r="AJ10" s="1092"/>
      <c r="AK10" s="1092"/>
      <c r="AL10" s="1092"/>
      <c r="AM10" s="1093"/>
      <c r="AN10" s="1093"/>
      <c r="AO10" s="1093"/>
      <c r="AP10" s="1093"/>
      <c r="AQ10" s="291">
        <f t="shared" si="3"/>
        <v>0</v>
      </c>
      <c r="AR10" s="427">
        <f>ROUND(+AQ10*24,C77)</f>
        <v>0</v>
      </c>
      <c r="AS10" s="91" t="s">
        <v>20</v>
      </c>
      <c r="AT10" s="1092"/>
      <c r="AU10" s="1092"/>
      <c r="AV10" s="1092"/>
      <c r="AW10" s="1092"/>
      <c r="AX10" s="1093"/>
      <c r="AY10" s="1093"/>
      <c r="AZ10" s="1093"/>
      <c r="BA10" s="1093"/>
      <c r="BB10" s="291">
        <f t="shared" si="4"/>
        <v>0</v>
      </c>
      <c r="BC10" s="427">
        <f>ROUND(+BB10*24,C77)</f>
        <v>0</v>
      </c>
      <c r="BD10" s="91" t="s">
        <v>20</v>
      </c>
      <c r="BE10" s="1092"/>
      <c r="BF10" s="1092"/>
      <c r="BG10" s="1092"/>
      <c r="BH10" s="1092"/>
      <c r="BI10" s="1093"/>
      <c r="BJ10" s="1093"/>
      <c r="BK10" s="1093"/>
      <c r="BL10" s="1093"/>
      <c r="BM10" s="291">
        <f t="shared" si="5"/>
        <v>0</v>
      </c>
      <c r="BN10" s="427">
        <f>ROUND(+BM10*24,C77)</f>
        <v>0</v>
      </c>
      <c r="BO10" s="91" t="s">
        <v>20</v>
      </c>
      <c r="BP10" s="1092"/>
      <c r="BQ10" s="1092"/>
      <c r="BR10" s="1092"/>
      <c r="BS10" s="1092"/>
      <c r="BT10" s="1093"/>
      <c r="BU10" s="1093"/>
      <c r="BV10" s="1093"/>
      <c r="BW10" s="1093"/>
      <c r="BX10" s="291">
        <f t="shared" si="6"/>
        <v>0</v>
      </c>
      <c r="BY10" s="427">
        <f>ROUND(+BX10*24,C77)</f>
        <v>0</v>
      </c>
      <c r="BZ10" s="91" t="s">
        <v>20</v>
      </c>
      <c r="CA10" s="1092"/>
      <c r="CB10" s="1092"/>
      <c r="CC10" s="1092"/>
      <c r="CD10" s="1092"/>
      <c r="CE10" s="1093"/>
      <c r="CF10" s="1093"/>
      <c r="CG10" s="1093"/>
      <c r="CH10" s="1093"/>
      <c r="CI10" s="291">
        <f t="shared" si="7"/>
        <v>0</v>
      </c>
      <c r="CJ10" s="427">
        <f>ROUND(+CI10*24,C77)</f>
        <v>0</v>
      </c>
    </row>
    <row r="11" spans="1:132" s="16" customFormat="1" x14ac:dyDescent="0.2">
      <c r="A11" s="91" t="s">
        <v>21</v>
      </c>
      <c r="B11" s="1092"/>
      <c r="C11" s="1092"/>
      <c r="D11" s="1092"/>
      <c r="E11" s="1092"/>
      <c r="F11" s="1093"/>
      <c r="G11" s="1093"/>
      <c r="H11" s="1093"/>
      <c r="I11" s="1093"/>
      <c r="J11" s="291">
        <f t="shared" si="0"/>
        <v>0</v>
      </c>
      <c r="K11" s="427">
        <f>ROUND(+J11*24,C77)</f>
        <v>0</v>
      </c>
      <c r="L11" s="91" t="s">
        <v>21</v>
      </c>
      <c r="M11" s="1092"/>
      <c r="N11" s="1092"/>
      <c r="O11" s="1092"/>
      <c r="P11" s="1092"/>
      <c r="Q11" s="1093"/>
      <c r="R11" s="1093"/>
      <c r="S11" s="1093"/>
      <c r="T11" s="1093"/>
      <c r="U11" s="291">
        <f t="shared" si="1"/>
        <v>0</v>
      </c>
      <c r="V11" s="427">
        <f>ROUND(+U11*24,C77)</f>
        <v>0</v>
      </c>
      <c r="W11" s="91" t="s">
        <v>21</v>
      </c>
      <c r="X11" s="1092"/>
      <c r="Y11" s="1092"/>
      <c r="Z11" s="1092"/>
      <c r="AA11" s="1092"/>
      <c r="AB11" s="1093"/>
      <c r="AC11" s="1093"/>
      <c r="AD11" s="1093"/>
      <c r="AE11" s="1093"/>
      <c r="AF11" s="291">
        <f t="shared" si="2"/>
        <v>0</v>
      </c>
      <c r="AG11" s="427">
        <f>ROUND(+AF11*24,C77)</f>
        <v>0</v>
      </c>
      <c r="AH11" s="91" t="s">
        <v>21</v>
      </c>
      <c r="AI11" s="1092"/>
      <c r="AJ11" s="1092"/>
      <c r="AK11" s="1092"/>
      <c r="AL11" s="1092"/>
      <c r="AM11" s="1093"/>
      <c r="AN11" s="1093"/>
      <c r="AO11" s="1093"/>
      <c r="AP11" s="1093"/>
      <c r="AQ11" s="291">
        <f t="shared" si="3"/>
        <v>0</v>
      </c>
      <c r="AR11" s="427">
        <f>ROUND(+AQ11*24,C77)</f>
        <v>0</v>
      </c>
      <c r="AS11" s="91" t="s">
        <v>21</v>
      </c>
      <c r="AT11" s="1092"/>
      <c r="AU11" s="1092"/>
      <c r="AV11" s="1092"/>
      <c r="AW11" s="1092"/>
      <c r="AX11" s="1093"/>
      <c r="AY11" s="1093"/>
      <c r="AZ11" s="1093"/>
      <c r="BA11" s="1093"/>
      <c r="BB11" s="291">
        <f t="shared" si="4"/>
        <v>0</v>
      </c>
      <c r="BC11" s="427">
        <f>ROUND(+BB11*24,C77)</f>
        <v>0</v>
      </c>
      <c r="BD11" s="91" t="s">
        <v>21</v>
      </c>
      <c r="BE11" s="1092"/>
      <c r="BF11" s="1092"/>
      <c r="BG11" s="1092"/>
      <c r="BH11" s="1092"/>
      <c r="BI11" s="1093"/>
      <c r="BJ11" s="1093"/>
      <c r="BK11" s="1093"/>
      <c r="BL11" s="1093"/>
      <c r="BM11" s="291">
        <f t="shared" si="5"/>
        <v>0</v>
      </c>
      <c r="BN11" s="427">
        <f>ROUND(+BM11*24,C77)</f>
        <v>0</v>
      </c>
      <c r="BO11" s="91" t="s">
        <v>21</v>
      </c>
      <c r="BP11" s="1092"/>
      <c r="BQ11" s="1092"/>
      <c r="BR11" s="1092"/>
      <c r="BS11" s="1092"/>
      <c r="BT11" s="1093"/>
      <c r="BU11" s="1093"/>
      <c r="BV11" s="1093"/>
      <c r="BW11" s="1093"/>
      <c r="BX11" s="291">
        <f t="shared" si="6"/>
        <v>0</v>
      </c>
      <c r="BY11" s="427">
        <f>ROUND(+BX11*24,C77)</f>
        <v>0</v>
      </c>
      <c r="BZ11" s="91" t="s">
        <v>21</v>
      </c>
      <c r="CA11" s="1092"/>
      <c r="CB11" s="1092"/>
      <c r="CC11" s="1092"/>
      <c r="CD11" s="1092"/>
      <c r="CE11" s="1093"/>
      <c r="CF11" s="1093"/>
      <c r="CG11" s="1093"/>
      <c r="CH11" s="1093"/>
      <c r="CI11" s="291">
        <f t="shared" si="7"/>
        <v>0</v>
      </c>
      <c r="CJ11" s="427">
        <f>ROUND(+CI11*24,C77)</f>
        <v>0</v>
      </c>
    </row>
    <row r="12" spans="1:132" s="16" customFormat="1" x14ac:dyDescent="0.2">
      <c r="A12" s="91" t="s">
        <v>193</v>
      </c>
      <c r="B12" s="1092"/>
      <c r="C12" s="1092"/>
      <c r="D12" s="1092"/>
      <c r="E12" s="1092"/>
      <c r="F12" s="1093"/>
      <c r="G12" s="1093"/>
      <c r="H12" s="1093"/>
      <c r="I12" s="1093"/>
      <c r="J12" s="291">
        <f t="shared" si="0"/>
        <v>0</v>
      </c>
      <c r="K12" s="427">
        <f>ROUND(+J12*24,C77)</f>
        <v>0</v>
      </c>
      <c r="L12" s="91" t="s">
        <v>193</v>
      </c>
      <c r="M12" s="1092"/>
      <c r="N12" s="1092"/>
      <c r="O12" s="1092"/>
      <c r="P12" s="1092"/>
      <c r="Q12" s="1093"/>
      <c r="R12" s="1093"/>
      <c r="S12" s="1093"/>
      <c r="T12" s="1093"/>
      <c r="U12" s="291">
        <f t="shared" si="1"/>
        <v>0</v>
      </c>
      <c r="V12" s="427">
        <f>ROUND(+U12*24,C77)</f>
        <v>0</v>
      </c>
      <c r="W12" s="91" t="s">
        <v>193</v>
      </c>
      <c r="X12" s="1092"/>
      <c r="Y12" s="1092"/>
      <c r="Z12" s="1092"/>
      <c r="AA12" s="1092"/>
      <c r="AB12" s="1093"/>
      <c r="AC12" s="1093"/>
      <c r="AD12" s="1093"/>
      <c r="AE12" s="1093"/>
      <c r="AF12" s="291">
        <f t="shared" si="2"/>
        <v>0</v>
      </c>
      <c r="AG12" s="427">
        <f>ROUND(+AF12*24,C77)</f>
        <v>0</v>
      </c>
      <c r="AH12" s="91" t="s">
        <v>193</v>
      </c>
      <c r="AI12" s="1092"/>
      <c r="AJ12" s="1092"/>
      <c r="AK12" s="1092"/>
      <c r="AL12" s="1092"/>
      <c r="AM12" s="1093"/>
      <c r="AN12" s="1093"/>
      <c r="AO12" s="1093"/>
      <c r="AP12" s="1093"/>
      <c r="AQ12" s="291">
        <f t="shared" si="3"/>
        <v>0</v>
      </c>
      <c r="AR12" s="427">
        <f>ROUND(+AQ12*24,C77)</f>
        <v>0</v>
      </c>
      <c r="AS12" s="91" t="s">
        <v>193</v>
      </c>
      <c r="AT12" s="1092"/>
      <c r="AU12" s="1092"/>
      <c r="AV12" s="1092"/>
      <c r="AW12" s="1092"/>
      <c r="AX12" s="1093"/>
      <c r="AY12" s="1093"/>
      <c r="AZ12" s="1093"/>
      <c r="BA12" s="1093"/>
      <c r="BB12" s="291">
        <f t="shared" si="4"/>
        <v>0</v>
      </c>
      <c r="BC12" s="427">
        <f>ROUND(+BB12*24,C77)</f>
        <v>0</v>
      </c>
      <c r="BD12" s="91" t="s">
        <v>193</v>
      </c>
      <c r="BE12" s="1092"/>
      <c r="BF12" s="1092"/>
      <c r="BG12" s="1092"/>
      <c r="BH12" s="1092"/>
      <c r="BI12" s="1093"/>
      <c r="BJ12" s="1093"/>
      <c r="BK12" s="1093"/>
      <c r="BL12" s="1093"/>
      <c r="BM12" s="291">
        <f t="shared" si="5"/>
        <v>0</v>
      </c>
      <c r="BN12" s="427">
        <f>ROUND(+BM12*24,C77)</f>
        <v>0</v>
      </c>
      <c r="BO12" s="91" t="s">
        <v>193</v>
      </c>
      <c r="BP12" s="1092"/>
      <c r="BQ12" s="1092"/>
      <c r="BR12" s="1092"/>
      <c r="BS12" s="1092"/>
      <c r="BT12" s="1093"/>
      <c r="BU12" s="1093"/>
      <c r="BV12" s="1093"/>
      <c r="BW12" s="1093"/>
      <c r="BX12" s="291">
        <f t="shared" si="6"/>
        <v>0</v>
      </c>
      <c r="BY12" s="427">
        <f>ROUND(+BX12*24,C77)</f>
        <v>0</v>
      </c>
      <c r="BZ12" s="91" t="s">
        <v>193</v>
      </c>
      <c r="CA12" s="1092"/>
      <c r="CB12" s="1092"/>
      <c r="CC12" s="1092"/>
      <c r="CD12" s="1092"/>
      <c r="CE12" s="1093"/>
      <c r="CF12" s="1093"/>
      <c r="CG12" s="1093"/>
      <c r="CH12" s="1093"/>
      <c r="CI12" s="291">
        <f t="shared" si="7"/>
        <v>0</v>
      </c>
      <c r="CJ12" s="427">
        <f>ROUND(+CI12*24,C77)</f>
        <v>0</v>
      </c>
    </row>
    <row r="13" spans="1:132" s="16" customFormat="1" x14ac:dyDescent="0.2">
      <c r="A13" s="91" t="s">
        <v>194</v>
      </c>
      <c r="B13" s="1092"/>
      <c r="C13" s="1092"/>
      <c r="D13" s="1092"/>
      <c r="E13" s="1092"/>
      <c r="F13" s="1093"/>
      <c r="G13" s="1093"/>
      <c r="H13" s="1093"/>
      <c r="I13" s="1093"/>
      <c r="J13" s="291">
        <f t="shared" si="0"/>
        <v>0</v>
      </c>
      <c r="K13" s="427">
        <f>ROUND(+J13*24,C77)</f>
        <v>0</v>
      </c>
      <c r="L13" s="91" t="s">
        <v>194</v>
      </c>
      <c r="M13" s="1092"/>
      <c r="N13" s="1092"/>
      <c r="O13" s="1092"/>
      <c r="P13" s="1092"/>
      <c r="Q13" s="1093"/>
      <c r="R13" s="1093"/>
      <c r="S13" s="1093"/>
      <c r="T13" s="1093"/>
      <c r="U13" s="291">
        <f t="shared" si="1"/>
        <v>0</v>
      </c>
      <c r="V13" s="427">
        <f>ROUND(+U13*24,C77)</f>
        <v>0</v>
      </c>
      <c r="W13" s="91" t="s">
        <v>194</v>
      </c>
      <c r="X13" s="1092"/>
      <c r="Y13" s="1092"/>
      <c r="Z13" s="1092"/>
      <c r="AA13" s="1092"/>
      <c r="AB13" s="1093"/>
      <c r="AC13" s="1093"/>
      <c r="AD13" s="1093"/>
      <c r="AE13" s="1093"/>
      <c r="AF13" s="291">
        <f t="shared" si="2"/>
        <v>0</v>
      </c>
      <c r="AG13" s="427">
        <f>ROUND(+AF13*24,C77)</f>
        <v>0</v>
      </c>
      <c r="AH13" s="91" t="s">
        <v>194</v>
      </c>
      <c r="AI13" s="1092"/>
      <c r="AJ13" s="1092"/>
      <c r="AK13" s="1092"/>
      <c r="AL13" s="1092"/>
      <c r="AM13" s="1093"/>
      <c r="AN13" s="1093"/>
      <c r="AO13" s="1093"/>
      <c r="AP13" s="1093"/>
      <c r="AQ13" s="291">
        <f t="shared" si="3"/>
        <v>0</v>
      </c>
      <c r="AR13" s="427">
        <f>ROUND(+AQ13*24,C77)</f>
        <v>0</v>
      </c>
      <c r="AS13" s="91" t="s">
        <v>194</v>
      </c>
      <c r="AT13" s="1092"/>
      <c r="AU13" s="1092"/>
      <c r="AV13" s="1092"/>
      <c r="AW13" s="1092"/>
      <c r="AX13" s="1093"/>
      <c r="AY13" s="1093"/>
      <c r="AZ13" s="1093"/>
      <c r="BA13" s="1093"/>
      <c r="BB13" s="291">
        <f t="shared" si="4"/>
        <v>0</v>
      </c>
      <c r="BC13" s="427">
        <f>ROUND(+BB13*24,C77)</f>
        <v>0</v>
      </c>
      <c r="BD13" s="91" t="s">
        <v>194</v>
      </c>
      <c r="BE13" s="1092"/>
      <c r="BF13" s="1092"/>
      <c r="BG13" s="1092"/>
      <c r="BH13" s="1092"/>
      <c r="BI13" s="1093"/>
      <c r="BJ13" s="1093"/>
      <c r="BK13" s="1093"/>
      <c r="BL13" s="1093"/>
      <c r="BM13" s="291">
        <f t="shared" si="5"/>
        <v>0</v>
      </c>
      <c r="BN13" s="427">
        <f>ROUND(+BM13*24,C77)</f>
        <v>0</v>
      </c>
      <c r="BO13" s="91" t="s">
        <v>194</v>
      </c>
      <c r="BP13" s="1092"/>
      <c r="BQ13" s="1092"/>
      <c r="BR13" s="1092"/>
      <c r="BS13" s="1092"/>
      <c r="BT13" s="1093"/>
      <c r="BU13" s="1093"/>
      <c r="BV13" s="1093"/>
      <c r="BW13" s="1093"/>
      <c r="BX13" s="291">
        <f t="shared" si="6"/>
        <v>0</v>
      </c>
      <c r="BY13" s="427">
        <f>ROUND(+BX13*24,C77)</f>
        <v>0</v>
      </c>
      <c r="BZ13" s="91" t="s">
        <v>194</v>
      </c>
      <c r="CA13" s="1092"/>
      <c r="CB13" s="1092"/>
      <c r="CC13" s="1092"/>
      <c r="CD13" s="1092"/>
      <c r="CE13" s="1093"/>
      <c r="CF13" s="1093"/>
      <c r="CG13" s="1093"/>
      <c r="CH13" s="1093"/>
      <c r="CI13" s="291">
        <f t="shared" si="7"/>
        <v>0</v>
      </c>
      <c r="CJ13" s="427">
        <f>ROUND(+CI13*24,C77)</f>
        <v>0</v>
      </c>
    </row>
    <row r="14" spans="1:132" s="16" customFormat="1" x14ac:dyDescent="0.2">
      <c r="B14" s="1665" t="s">
        <v>518</v>
      </c>
      <c r="C14" s="1666"/>
      <c r="D14" s="1666"/>
      <c r="E14" s="1666"/>
      <c r="F14" s="1666"/>
      <c r="G14" s="1666"/>
      <c r="H14" s="1666"/>
      <c r="I14" s="1666"/>
      <c r="J14" s="1667"/>
      <c r="K14" s="427">
        <f>SUM(K7:K13)</f>
        <v>0</v>
      </c>
      <c r="M14" s="1665" t="s">
        <v>518</v>
      </c>
      <c r="N14" s="1666"/>
      <c r="O14" s="1666"/>
      <c r="P14" s="1666"/>
      <c r="Q14" s="1666"/>
      <c r="R14" s="1666"/>
      <c r="S14" s="1666"/>
      <c r="T14" s="1666"/>
      <c r="U14" s="1667"/>
      <c r="V14" s="427">
        <f>SUM(V7:V13)</f>
        <v>0</v>
      </c>
      <c r="X14" s="1665" t="s">
        <v>518</v>
      </c>
      <c r="Y14" s="1666"/>
      <c r="Z14" s="1666"/>
      <c r="AA14" s="1666"/>
      <c r="AB14" s="1666"/>
      <c r="AC14" s="1666"/>
      <c r="AD14" s="1666"/>
      <c r="AE14" s="1666"/>
      <c r="AF14" s="1667"/>
      <c r="AG14" s="427">
        <f>SUM(AG7:AG13)</f>
        <v>0</v>
      </c>
      <c r="AI14" s="1665" t="s">
        <v>518</v>
      </c>
      <c r="AJ14" s="1666"/>
      <c r="AK14" s="1666"/>
      <c r="AL14" s="1666"/>
      <c r="AM14" s="1666"/>
      <c r="AN14" s="1666"/>
      <c r="AO14" s="1666"/>
      <c r="AP14" s="1666"/>
      <c r="AQ14" s="1667"/>
      <c r="AR14" s="427">
        <f>SUM(AR7:AR13)</f>
        <v>0</v>
      </c>
      <c r="AT14" s="1665" t="s">
        <v>518</v>
      </c>
      <c r="AU14" s="1666"/>
      <c r="AV14" s="1666"/>
      <c r="AW14" s="1666"/>
      <c r="AX14" s="1666"/>
      <c r="AY14" s="1666"/>
      <c r="AZ14" s="1666"/>
      <c r="BA14" s="1666"/>
      <c r="BB14" s="1667"/>
      <c r="BC14" s="427">
        <f>SUM(BC7:BC13)</f>
        <v>0</v>
      </c>
      <c r="BE14" s="1665" t="s">
        <v>518</v>
      </c>
      <c r="BF14" s="1666"/>
      <c r="BG14" s="1666"/>
      <c r="BH14" s="1666"/>
      <c r="BI14" s="1666"/>
      <c r="BJ14" s="1666"/>
      <c r="BK14" s="1666"/>
      <c r="BL14" s="1666"/>
      <c r="BM14" s="1667"/>
      <c r="BN14" s="427">
        <f>SUM(BN7:BN13)</f>
        <v>0</v>
      </c>
      <c r="BP14" s="1665" t="s">
        <v>518</v>
      </c>
      <c r="BQ14" s="1666"/>
      <c r="BR14" s="1666"/>
      <c r="BS14" s="1666"/>
      <c r="BT14" s="1666"/>
      <c r="BU14" s="1666"/>
      <c r="BV14" s="1666"/>
      <c r="BW14" s="1666"/>
      <c r="BX14" s="1667"/>
      <c r="BY14" s="427">
        <f>SUM(BY7:BY13)</f>
        <v>0</v>
      </c>
      <c r="CA14" s="1665" t="s">
        <v>518</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848</v>
      </c>
      <c r="C17" s="1666"/>
      <c r="D17" s="1666"/>
      <c r="E17" s="1666"/>
      <c r="F17" s="1666"/>
      <c r="G17" s="1666"/>
      <c r="H17" s="1666"/>
      <c r="I17" s="1666"/>
      <c r="J17" s="1667"/>
      <c r="K17" s="159">
        <f>+IF(K14&gt;45,K14-45,0)</f>
        <v>0</v>
      </c>
      <c r="M17" s="1665" t="s">
        <v>848</v>
      </c>
      <c r="N17" s="1666"/>
      <c r="O17" s="1666"/>
      <c r="P17" s="1666"/>
      <c r="Q17" s="1666"/>
      <c r="R17" s="1666"/>
      <c r="S17" s="1666"/>
      <c r="T17" s="1666"/>
      <c r="U17" s="1667"/>
      <c r="V17" s="159">
        <f>+IF(V14&gt;45,V14-45,0)</f>
        <v>0</v>
      </c>
      <c r="X17" s="1665" t="s">
        <v>848</v>
      </c>
      <c r="Y17" s="1666"/>
      <c r="Z17" s="1666"/>
      <c r="AA17" s="1666"/>
      <c r="AB17" s="1666"/>
      <c r="AC17" s="1666"/>
      <c r="AD17" s="1666"/>
      <c r="AE17" s="1666"/>
      <c r="AF17" s="1667"/>
      <c r="AG17" s="159">
        <f>+IF(AG14&gt;45,AG14-45,0)</f>
        <v>0</v>
      </c>
      <c r="AI17" s="1665" t="s">
        <v>848</v>
      </c>
      <c r="AJ17" s="1666"/>
      <c r="AK17" s="1666"/>
      <c r="AL17" s="1666"/>
      <c r="AM17" s="1666"/>
      <c r="AN17" s="1666"/>
      <c r="AO17" s="1666"/>
      <c r="AP17" s="1666"/>
      <c r="AQ17" s="1667"/>
      <c r="AR17" s="159">
        <f>+IF(AR14&gt;45,AR14-45,0)</f>
        <v>0</v>
      </c>
      <c r="AT17" s="1665" t="s">
        <v>848</v>
      </c>
      <c r="AU17" s="1666"/>
      <c r="AV17" s="1666"/>
      <c r="AW17" s="1666"/>
      <c r="AX17" s="1666"/>
      <c r="AY17" s="1666"/>
      <c r="AZ17" s="1666"/>
      <c r="BA17" s="1666"/>
      <c r="BB17" s="1667"/>
      <c r="BC17" s="159">
        <f>+IF(BC14&gt;45,BC14-45,0)</f>
        <v>0</v>
      </c>
      <c r="BE17" s="1665" t="s">
        <v>848</v>
      </c>
      <c r="BF17" s="1666"/>
      <c r="BG17" s="1666"/>
      <c r="BH17" s="1666"/>
      <c r="BI17" s="1666"/>
      <c r="BJ17" s="1666"/>
      <c r="BK17" s="1666"/>
      <c r="BL17" s="1666"/>
      <c r="BM17" s="1667"/>
      <c r="BN17" s="159">
        <f>+IF(BN14&gt;45,BN14-45,0)</f>
        <v>0</v>
      </c>
      <c r="BP17" s="1665" t="s">
        <v>848</v>
      </c>
      <c r="BQ17" s="1666"/>
      <c r="BR17" s="1666"/>
      <c r="BS17" s="1666"/>
      <c r="BT17" s="1666"/>
      <c r="BU17" s="1666"/>
      <c r="BV17" s="1666"/>
      <c r="BW17" s="1666"/>
      <c r="BX17" s="1667"/>
      <c r="BY17" s="159">
        <f>+IF(BY14&gt;45,BY14-45,0)</f>
        <v>0</v>
      </c>
      <c r="CA17" s="1665" t="s">
        <v>848</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195</v>
      </c>
      <c r="C19" s="1666"/>
      <c r="D19" s="1666"/>
      <c r="E19" s="1666"/>
      <c r="F19" s="1666"/>
      <c r="G19" s="1666"/>
      <c r="H19" s="1666"/>
      <c r="I19" s="1666"/>
      <c r="J19" s="1667"/>
      <c r="K19" s="1094"/>
      <c r="M19" s="1665" t="s">
        <v>195</v>
      </c>
      <c r="N19" s="1666"/>
      <c r="O19" s="1666"/>
      <c r="P19" s="1666"/>
      <c r="Q19" s="1666"/>
      <c r="R19" s="1666"/>
      <c r="S19" s="1666"/>
      <c r="T19" s="1666"/>
      <c r="U19" s="1667"/>
      <c r="V19" s="1094"/>
      <c r="X19" s="1665" t="s">
        <v>195</v>
      </c>
      <c r="Y19" s="1666"/>
      <c r="Z19" s="1666"/>
      <c r="AA19" s="1666"/>
      <c r="AB19" s="1666"/>
      <c r="AC19" s="1666"/>
      <c r="AD19" s="1666"/>
      <c r="AE19" s="1666"/>
      <c r="AF19" s="1667"/>
      <c r="AG19" s="1094"/>
      <c r="AI19" s="1665" t="s">
        <v>195</v>
      </c>
      <c r="AJ19" s="1666"/>
      <c r="AK19" s="1666"/>
      <c r="AL19" s="1666"/>
      <c r="AM19" s="1666"/>
      <c r="AN19" s="1666"/>
      <c r="AO19" s="1666"/>
      <c r="AP19" s="1666"/>
      <c r="AQ19" s="1667"/>
      <c r="AR19" s="1094"/>
      <c r="AT19" s="1665" t="s">
        <v>195</v>
      </c>
      <c r="AU19" s="1666"/>
      <c r="AV19" s="1666"/>
      <c r="AW19" s="1666"/>
      <c r="AX19" s="1666"/>
      <c r="AY19" s="1666"/>
      <c r="AZ19" s="1666"/>
      <c r="BA19" s="1666"/>
      <c r="BB19" s="1667"/>
      <c r="BC19" s="1094"/>
      <c r="BE19" s="1665" t="s">
        <v>195</v>
      </c>
      <c r="BF19" s="1666"/>
      <c r="BG19" s="1666"/>
      <c r="BH19" s="1666"/>
      <c r="BI19" s="1666"/>
      <c r="BJ19" s="1666"/>
      <c r="BK19" s="1666"/>
      <c r="BL19" s="1666"/>
      <c r="BM19" s="1667"/>
      <c r="BN19" s="1094"/>
      <c r="BP19" s="1665" t="s">
        <v>195</v>
      </c>
      <c r="BQ19" s="1666"/>
      <c r="BR19" s="1666"/>
      <c r="BS19" s="1666"/>
      <c r="BT19" s="1666"/>
      <c r="BU19" s="1666"/>
      <c r="BV19" s="1666"/>
      <c r="BW19" s="1666"/>
      <c r="BX19" s="1667"/>
      <c r="BY19" s="1094"/>
      <c r="CA19" s="1665" t="s">
        <v>195</v>
      </c>
      <c r="CB19" s="1666"/>
      <c r="CC19" s="1666"/>
      <c r="CD19" s="1666"/>
      <c r="CE19" s="1666"/>
      <c r="CF19" s="1666"/>
      <c r="CG19" s="1666"/>
      <c r="CH19" s="1666"/>
      <c r="CI19" s="1667"/>
      <c r="CJ19" s="1094"/>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849</v>
      </c>
      <c r="C22" s="1666"/>
      <c r="D22" s="1666"/>
      <c r="E22" s="1666"/>
      <c r="F22" s="1666"/>
      <c r="G22" s="1666"/>
      <c r="H22" s="1666"/>
      <c r="I22" s="1666"/>
      <c r="J22" s="1667"/>
      <c r="K22" s="159">
        <f>+K17*K19</f>
        <v>0</v>
      </c>
      <c r="M22" s="1665" t="s">
        <v>849</v>
      </c>
      <c r="N22" s="1666"/>
      <c r="O22" s="1666"/>
      <c r="P22" s="1666"/>
      <c r="Q22" s="1666"/>
      <c r="R22" s="1666"/>
      <c r="S22" s="1666"/>
      <c r="T22" s="1666"/>
      <c r="U22" s="1667"/>
      <c r="V22" s="159">
        <f>+V17*V19</f>
        <v>0</v>
      </c>
      <c r="X22" s="1665" t="s">
        <v>849</v>
      </c>
      <c r="Y22" s="1666"/>
      <c r="Z22" s="1666"/>
      <c r="AA22" s="1666"/>
      <c r="AB22" s="1666"/>
      <c r="AC22" s="1666"/>
      <c r="AD22" s="1666"/>
      <c r="AE22" s="1666"/>
      <c r="AF22" s="1667"/>
      <c r="AG22" s="159">
        <f>+AG17*AG19</f>
        <v>0</v>
      </c>
      <c r="AI22" s="1665" t="s">
        <v>849</v>
      </c>
      <c r="AJ22" s="1666"/>
      <c r="AK22" s="1666"/>
      <c r="AL22" s="1666"/>
      <c r="AM22" s="1666"/>
      <c r="AN22" s="1666"/>
      <c r="AO22" s="1666"/>
      <c r="AP22" s="1666"/>
      <c r="AQ22" s="1667"/>
      <c r="AR22" s="159">
        <f>+AR17*AR19</f>
        <v>0</v>
      </c>
      <c r="AT22" s="1665" t="s">
        <v>849</v>
      </c>
      <c r="AU22" s="1666"/>
      <c r="AV22" s="1666"/>
      <c r="AW22" s="1666"/>
      <c r="AX22" s="1666"/>
      <c r="AY22" s="1666"/>
      <c r="AZ22" s="1666"/>
      <c r="BA22" s="1666"/>
      <c r="BB22" s="1667"/>
      <c r="BC22" s="159">
        <f>+BC17*BC19</f>
        <v>0</v>
      </c>
      <c r="BE22" s="1665" t="s">
        <v>849</v>
      </c>
      <c r="BF22" s="1666"/>
      <c r="BG22" s="1666"/>
      <c r="BH22" s="1666"/>
      <c r="BI22" s="1666"/>
      <c r="BJ22" s="1666"/>
      <c r="BK22" s="1666"/>
      <c r="BL22" s="1666"/>
      <c r="BM22" s="1667"/>
      <c r="BN22" s="159">
        <f>+BN17*BN19</f>
        <v>0</v>
      </c>
      <c r="BP22" s="1665" t="s">
        <v>849</v>
      </c>
      <c r="BQ22" s="1666"/>
      <c r="BR22" s="1666"/>
      <c r="BS22" s="1666"/>
      <c r="BT22" s="1666"/>
      <c r="BU22" s="1666"/>
      <c r="BV22" s="1666"/>
      <c r="BW22" s="1666"/>
      <c r="BX22" s="1667"/>
      <c r="BY22" s="159">
        <f>+BY17*BY19</f>
        <v>0</v>
      </c>
      <c r="CA22" s="1665" t="s">
        <v>849</v>
      </c>
      <c r="CB22" s="1666"/>
      <c r="CC22" s="1666"/>
      <c r="CD22" s="1666"/>
      <c r="CE22" s="1666"/>
      <c r="CF22" s="1666"/>
      <c r="CG22" s="1666"/>
      <c r="CH22" s="1666"/>
      <c r="CI22" s="1667"/>
      <c r="CJ22" s="159">
        <f>+CJ17*CJ19</f>
        <v>0</v>
      </c>
    </row>
    <row r="23" spans="1:88" s="16" customFormat="1" x14ac:dyDescent="0.2"/>
    <row r="24" spans="1:88" s="16" customFormat="1" x14ac:dyDescent="0.2">
      <c r="B24" s="1665" t="s">
        <v>196</v>
      </c>
      <c r="C24" s="1666"/>
      <c r="D24" s="1666"/>
      <c r="E24" s="1666"/>
      <c r="F24" s="1666"/>
      <c r="G24" s="1666"/>
      <c r="H24" s="1666"/>
      <c r="I24" s="1666"/>
      <c r="J24" s="1667"/>
      <c r="K24" s="292">
        <f>+COUNTIF(K7:K13,"&gt;0,001")*K19</f>
        <v>0</v>
      </c>
      <c r="M24" s="1665" t="s">
        <v>196</v>
      </c>
      <c r="N24" s="1666"/>
      <c r="O24" s="1666"/>
      <c r="P24" s="1666"/>
      <c r="Q24" s="1666"/>
      <c r="R24" s="1666"/>
      <c r="S24" s="1666"/>
      <c r="T24" s="1666"/>
      <c r="U24" s="1667"/>
      <c r="V24" s="292">
        <f>+COUNTIF(V7:V13,"&gt;0,001")*V19</f>
        <v>0</v>
      </c>
      <c r="X24" s="1665" t="s">
        <v>196</v>
      </c>
      <c r="Y24" s="1666"/>
      <c r="Z24" s="1666"/>
      <c r="AA24" s="1666"/>
      <c r="AB24" s="1666"/>
      <c r="AC24" s="1666"/>
      <c r="AD24" s="1666"/>
      <c r="AE24" s="1666"/>
      <c r="AF24" s="1667"/>
      <c r="AG24" s="292">
        <f>+COUNTIF(AG7:AG13,"&gt;0,001")*AG19</f>
        <v>0</v>
      </c>
      <c r="AI24" s="1665" t="s">
        <v>196</v>
      </c>
      <c r="AJ24" s="1666"/>
      <c r="AK24" s="1666"/>
      <c r="AL24" s="1666"/>
      <c r="AM24" s="1666"/>
      <c r="AN24" s="1666"/>
      <c r="AO24" s="1666"/>
      <c r="AP24" s="1666"/>
      <c r="AQ24" s="1667"/>
      <c r="AR24" s="292">
        <f>+COUNTIF(AR7:AR13,"&gt;0,001")*AR19</f>
        <v>0</v>
      </c>
      <c r="AT24" s="1665" t="s">
        <v>196</v>
      </c>
      <c r="AU24" s="1666"/>
      <c r="AV24" s="1666"/>
      <c r="AW24" s="1666"/>
      <c r="AX24" s="1666"/>
      <c r="AY24" s="1666"/>
      <c r="AZ24" s="1666"/>
      <c r="BA24" s="1666"/>
      <c r="BB24" s="1667"/>
      <c r="BC24" s="292">
        <f>+COUNTIF(BC7:BC13,"&gt;0,001")*BC19</f>
        <v>0</v>
      </c>
      <c r="BE24" s="1665" t="s">
        <v>196</v>
      </c>
      <c r="BF24" s="1666"/>
      <c r="BG24" s="1666"/>
      <c r="BH24" s="1666"/>
      <c r="BI24" s="1666"/>
      <c r="BJ24" s="1666"/>
      <c r="BK24" s="1666"/>
      <c r="BL24" s="1666"/>
      <c r="BM24" s="1667"/>
      <c r="BN24" s="292">
        <f>+COUNTIF(BN7:BN13,"&gt;0,001")*BN19</f>
        <v>0</v>
      </c>
      <c r="BP24" s="1665" t="s">
        <v>196</v>
      </c>
      <c r="BQ24" s="1666"/>
      <c r="BR24" s="1666"/>
      <c r="BS24" s="1666"/>
      <c r="BT24" s="1666"/>
      <c r="BU24" s="1666"/>
      <c r="BV24" s="1666"/>
      <c r="BW24" s="1666"/>
      <c r="BX24" s="1667"/>
      <c r="BY24" s="292">
        <f>+COUNTIF(BY7:BY13,"&gt;0,001")*BY19</f>
        <v>0</v>
      </c>
      <c r="CA24" s="1665" t="s">
        <v>196</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61" t="s">
        <v>197</v>
      </c>
      <c r="B27" s="1662"/>
      <c r="C27" s="1662"/>
      <c r="D27" s="1662"/>
      <c r="E27" s="1663"/>
      <c r="F27" s="293"/>
      <c r="G27" s="293"/>
      <c r="H27" s="293"/>
      <c r="I27" s="293"/>
    </row>
    <row r="28" spans="1:88" s="16" customFormat="1" x14ac:dyDescent="0.2"/>
    <row r="29" spans="1:88" s="16" customFormat="1" x14ac:dyDescent="0.2">
      <c r="D29" s="29" t="s">
        <v>195</v>
      </c>
      <c r="E29" s="167">
        <f>+K19+V19+AG19+AR19+BC19+BN19+BY19+CJ19</f>
        <v>0</v>
      </c>
      <c r="F29" s="167"/>
      <c r="G29" s="167"/>
      <c r="H29" s="167"/>
      <c r="I29" s="167"/>
      <c r="M29" s="29" t="s">
        <v>198</v>
      </c>
      <c r="N29" s="66" t="e">
        <f>+IF(Identification!B66="NON",VLOOKUP(O29,Identification!A71:B74,2,TRUE),VLOOKUP(O29,Identification!A78:B81,2,TRUE))</f>
        <v>#N/A</v>
      </c>
      <c r="O29" s="30">
        <f>+K1</f>
        <v>0</v>
      </c>
    </row>
    <row r="30" spans="1:88" s="16" customFormat="1" x14ac:dyDescent="0.2">
      <c r="W30" s="493" t="str">
        <f>+IF(AND(N31="OUI",W31="OUI"),"ERREUR, on ne doit pas avoir OUI dans les deux cases concernant les Avances","")</f>
        <v/>
      </c>
    </row>
    <row r="31" spans="1:88" s="16" customFormat="1" ht="15" x14ac:dyDescent="0.25">
      <c r="D31" s="29" t="s">
        <v>199</v>
      </c>
      <c r="E31" s="1197" t="str">
        <f>+IF(E29=52,"COMPLETE", IF(AND(0&lt;E29,E29&lt;47),"INCOMPLETE",IF(E29=0,"","ERREUR")))</f>
        <v/>
      </c>
      <c r="F31" s="294"/>
      <c r="G31" s="294"/>
      <c r="H31" s="294"/>
      <c r="I31" s="294"/>
      <c r="K31" s="24"/>
      <c r="L31" s="24"/>
      <c r="M31" s="183" t="s">
        <v>1452</v>
      </c>
      <c r="N31" s="1049" t="s">
        <v>146</v>
      </c>
      <c r="O31" s="24"/>
      <c r="P31" s="24"/>
      <c r="Q31" s="24"/>
      <c r="R31" s="24"/>
      <c r="S31" s="24"/>
      <c r="T31" s="24"/>
      <c r="U31" s="24"/>
      <c r="V31" s="183" t="s">
        <v>1453</v>
      </c>
      <c r="W31" s="1049" t="s">
        <v>146</v>
      </c>
      <c r="X31" s="24"/>
    </row>
    <row r="32" spans="1:88" s="16" customFormat="1" x14ac:dyDescent="0.2">
      <c r="K32" s="1050"/>
      <c r="L32" s="1050"/>
      <c r="M32" s="1051" t="s">
        <v>927</v>
      </c>
      <c r="N32" s="24"/>
      <c r="O32" s="24"/>
      <c r="P32" s="24"/>
      <c r="Q32" s="24"/>
      <c r="R32" s="24"/>
      <c r="S32" s="24"/>
      <c r="T32" s="24"/>
      <c r="U32" s="24"/>
      <c r="V32" s="1052" t="s">
        <v>917</v>
      </c>
      <c r="W32" s="24"/>
      <c r="X32" s="24"/>
    </row>
    <row r="33" spans="1:36" s="16" customFormat="1" ht="15.75" thickBot="1" x14ac:dyDescent="0.3">
      <c r="D33" s="295" t="s">
        <v>517</v>
      </c>
      <c r="E33" s="294">
        <f>+IF(E29=52,52, IF(E29&lt;47,E29,"ERREUR"))</f>
        <v>0</v>
      </c>
      <c r="F33" s="294"/>
      <c r="G33" s="294"/>
      <c r="H33" s="294"/>
      <c r="I33" s="294"/>
      <c r="K33" s="486"/>
      <c r="L33" s="486"/>
      <c r="M33" s="487"/>
      <c r="V33" s="488"/>
    </row>
    <row r="34" spans="1:36" s="16" customFormat="1" ht="13.5" thickBot="1" x14ac:dyDescent="0.25">
      <c r="M34" s="29" t="s">
        <v>850</v>
      </c>
      <c r="N34" s="1630">
        <v>0.1</v>
      </c>
      <c r="V34" s="29" t="s">
        <v>916</v>
      </c>
      <c r="W34" s="1630">
        <v>0</v>
      </c>
    </row>
    <row r="35" spans="1:36" s="16" customFormat="1" ht="15" x14ac:dyDescent="0.25">
      <c r="D35" s="29" t="s">
        <v>1466</v>
      </c>
      <c r="E35" s="1095"/>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200</v>
      </c>
      <c r="N36" s="296">
        <f>+IF(Identification!B3=S.CAL!AY2,E35*(1+N34),E35)</f>
        <v>0</v>
      </c>
      <c r="O36" s="24"/>
      <c r="P36" s="24"/>
      <c r="Q36" s="24"/>
      <c r="R36" s="24"/>
      <c r="S36" s="24"/>
      <c r="T36" s="24"/>
      <c r="U36" s="24"/>
      <c r="V36" s="24"/>
      <c r="W36" s="24"/>
      <c r="X36" s="395"/>
    </row>
    <row r="37" spans="1:36" s="16" customFormat="1" x14ac:dyDescent="0.2">
      <c r="D37" s="29" t="s">
        <v>1467</v>
      </c>
      <c r="E37" s="297" t="e">
        <f>+E35*N29</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1726</v>
      </c>
      <c r="W38" s="1610" t="str">
        <f>+IF(Y38&lt;&gt;"",Y38,IF(E31="INCOMPLETE","OUI","NON"))</f>
        <v>NON</v>
      </c>
      <c r="X38" s="1611" t="s">
        <v>1724</v>
      </c>
      <c r="Y38" s="1612"/>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1454</v>
      </c>
      <c r="P39" s="24" t="s">
        <v>362</v>
      </c>
      <c r="Q39" s="24"/>
      <c r="R39" s="24"/>
      <c r="S39" s="24"/>
      <c r="T39" s="24"/>
      <c r="U39" s="119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849</v>
      </c>
      <c r="E40" s="151">
        <f>IF(E29,(K22+V22+AG22+AR22+BC22+BN22+BY22+CJ22)*E33/E29,0)</f>
        <v>0</v>
      </c>
      <c r="F40" s="151"/>
      <c r="G40" s="151"/>
      <c r="H40" s="151"/>
      <c r="I40" s="151"/>
      <c r="K40" s="894"/>
      <c r="L40" s="894"/>
      <c r="M40" s="895"/>
      <c r="N40" s="896"/>
      <c r="O40" s="894"/>
      <c r="P40" s="1055" t="s">
        <v>1239</v>
      </c>
      <c r="Q40" s="898"/>
      <c r="R40" s="898"/>
      <c r="S40" s="898"/>
      <c r="T40" s="898"/>
      <c r="U40" s="1056" t="s">
        <v>362</v>
      </c>
      <c r="V40" s="1191" t="s">
        <v>1492</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5" t="s">
        <v>1240</v>
      </c>
      <c r="Q41" s="898"/>
      <c r="R41" s="898"/>
      <c r="S41" s="898"/>
      <c r="T41" s="898"/>
      <c r="U41" s="898"/>
      <c r="V41" s="1191" t="s">
        <v>1493</v>
      </c>
      <c r="W41" s="894"/>
      <c r="X41" s="894"/>
      <c r="Y41" s="894"/>
      <c r="Z41" s="894"/>
      <c r="AA41" s="24"/>
      <c r="AB41" s="24"/>
      <c r="AC41" s="24"/>
      <c r="AD41" s="24"/>
      <c r="AE41" s="24"/>
      <c r="AF41" s="24"/>
      <c r="AG41" s="24"/>
      <c r="AH41" s="24"/>
      <c r="AI41" s="24"/>
      <c r="AJ41" s="24"/>
    </row>
    <row r="42" spans="1:36" s="16" customFormat="1" x14ac:dyDescent="0.2">
      <c r="D42" s="29" t="s">
        <v>196</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5" t="s">
        <v>1239</v>
      </c>
      <c r="Q43" s="898"/>
      <c r="R43" s="898"/>
      <c r="S43" s="898"/>
      <c r="T43" s="898"/>
      <c r="U43" s="1056" t="s">
        <v>1238</v>
      </c>
      <c r="V43" s="1191" t="s">
        <v>1492</v>
      </c>
      <c r="W43" s="894"/>
      <c r="X43" s="894"/>
      <c r="Y43" s="894"/>
      <c r="Z43" s="894"/>
      <c r="AA43" s="24"/>
      <c r="AB43" s="24"/>
      <c r="AC43" s="24"/>
      <c r="AD43" s="24"/>
      <c r="AE43" s="24"/>
      <c r="AF43" s="24"/>
      <c r="AG43" s="24"/>
      <c r="AH43" s="24"/>
      <c r="AI43" s="24"/>
      <c r="AJ43" s="24"/>
    </row>
    <row r="44" spans="1:36" s="16" customFormat="1" ht="18.75" x14ac:dyDescent="0.3">
      <c r="A44" s="1661" t="s">
        <v>201</v>
      </c>
      <c r="B44" s="1662"/>
      <c r="C44" s="1662"/>
      <c r="D44" s="1662"/>
      <c r="E44" s="1663"/>
      <c r="F44" s="293"/>
      <c r="G44" s="293"/>
      <c r="H44" s="293"/>
      <c r="I44" s="293"/>
      <c r="K44" s="894"/>
      <c r="L44" s="894"/>
      <c r="M44" s="894"/>
      <c r="N44" s="894"/>
      <c r="O44" s="894"/>
      <c r="P44" s="1055" t="s">
        <v>1241</v>
      </c>
      <c r="Q44" s="898"/>
      <c r="R44" s="898"/>
      <c r="S44" s="898"/>
      <c r="T44" s="898"/>
      <c r="U44" s="898"/>
      <c r="V44" s="1191" t="s">
        <v>1494</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91" t="s">
        <v>1495</v>
      </c>
      <c r="W45" s="894"/>
      <c r="X45" s="894"/>
      <c r="Y45" s="894"/>
      <c r="Z45" s="894"/>
      <c r="AA45" s="24"/>
      <c r="AB45" s="24"/>
      <c r="AC45" s="24"/>
      <c r="AD45" s="24"/>
      <c r="AE45" s="24"/>
      <c r="AF45" s="24"/>
      <c r="AG45" s="24"/>
      <c r="AH45" s="24"/>
      <c r="AI45" s="24"/>
      <c r="AJ45" s="24"/>
    </row>
    <row r="46" spans="1:36" s="16" customFormat="1" ht="15.75" customHeight="1" x14ac:dyDescent="0.3">
      <c r="A46" s="293"/>
      <c r="D46" s="29" t="s">
        <v>202</v>
      </c>
      <c r="E46" s="299">
        <f>+E42/12</f>
        <v>0</v>
      </c>
      <c r="F46" s="299"/>
      <c r="G46" s="299"/>
      <c r="H46" s="299"/>
      <c r="I46" s="299"/>
      <c r="K46" s="894"/>
      <c r="L46" s="894"/>
      <c r="M46" s="894"/>
      <c r="N46" s="894"/>
      <c r="O46" s="894"/>
      <c r="P46" s="1055" t="s">
        <v>1359</v>
      </c>
      <c r="Q46" s="898"/>
      <c r="R46" s="898"/>
      <c r="S46" s="898"/>
      <c r="T46" s="898"/>
      <c r="U46" s="1056" t="s">
        <v>452</v>
      </c>
      <c r="V46" s="1191"/>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5" t="s">
        <v>1360</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851</v>
      </c>
      <c r="E49" s="425">
        <f>ROUND(E40/12,C77)</f>
        <v>0</v>
      </c>
      <c r="F49" s="300"/>
      <c r="G49" s="300"/>
      <c r="H49" s="300"/>
      <c r="I49" s="300"/>
      <c r="M49" s="581"/>
      <c r="N49" s="581"/>
      <c r="O49" s="1211" t="s">
        <v>727</v>
      </c>
      <c r="P49" s="581" t="s">
        <v>362</v>
      </c>
      <c r="Q49" s="581"/>
      <c r="R49" s="581"/>
      <c r="S49" s="581"/>
      <c r="T49" s="581"/>
      <c r="U49" s="581"/>
    </row>
    <row r="50" spans="1:114" s="16" customFormat="1" x14ac:dyDescent="0.2">
      <c r="D50" s="29"/>
      <c r="E50" s="426">
        <f>+E49+E48</f>
        <v>0</v>
      </c>
      <c r="F50" s="151"/>
      <c r="G50" s="151"/>
      <c r="H50" s="151"/>
      <c r="I50" s="151"/>
      <c r="K50" s="366"/>
      <c r="L50" s="366"/>
      <c r="M50" s="1211"/>
      <c r="N50" s="1315"/>
      <c r="O50" s="581"/>
      <c r="P50" s="581"/>
      <c r="Q50" s="581"/>
      <c r="R50" s="581"/>
      <c r="S50" s="581"/>
      <c r="T50" s="581"/>
      <c r="U50" s="1211" t="s">
        <v>1525</v>
      </c>
    </row>
    <row r="51" spans="1:114" s="16" customFormat="1" x14ac:dyDescent="0.2">
      <c r="M51" s="581"/>
      <c r="N51" s="581"/>
      <c r="O51" s="581"/>
      <c r="P51" s="581"/>
      <c r="Q51" s="581"/>
      <c r="R51" s="581"/>
      <c r="S51" s="581"/>
      <c r="T51" s="581"/>
      <c r="U51" s="1211" t="s">
        <v>1526</v>
      </c>
    </row>
    <row r="52" spans="1:114" s="16" customFormat="1" ht="15" x14ac:dyDescent="0.25">
      <c r="C52" s="311"/>
      <c r="D52" s="303" t="s">
        <v>203</v>
      </c>
      <c r="E52" s="304">
        <f>+ROUND(ROUND((E48*E35),2)+ROUND((E49*N36),2),2)</f>
        <v>0</v>
      </c>
      <c r="F52" s="304"/>
      <c r="G52" s="304"/>
      <c r="H52" s="304"/>
      <c r="I52" s="304"/>
    </row>
    <row r="53" spans="1:114" s="16" customFormat="1" x14ac:dyDescent="0.2"/>
    <row r="54" spans="1:114" s="16" customFormat="1" hidden="1" x14ac:dyDescent="0.2">
      <c r="D54" s="29" t="s">
        <v>204</v>
      </c>
      <c r="E54" s="302" t="e">
        <f>ROUND(+E52*N29,2)</f>
        <v>#N/A</v>
      </c>
      <c r="F54" s="302"/>
      <c r="G54" s="302"/>
      <c r="H54" s="302"/>
      <c r="I54" s="302"/>
    </row>
    <row r="55" spans="1:114" s="16" customFormat="1" hidden="1" x14ac:dyDescent="0.2"/>
    <row r="56" spans="1:114" s="16" customFormat="1" hidden="1" x14ac:dyDescent="0.2">
      <c r="D56" s="29" t="s">
        <v>205</v>
      </c>
      <c r="E56" s="302">
        <f>ROUND(+(E49*N36*0.1131),2)</f>
        <v>0</v>
      </c>
      <c r="F56" s="302"/>
      <c r="G56" s="302"/>
      <c r="H56" s="302"/>
      <c r="I56" s="302"/>
    </row>
    <row r="57" spans="1:114" s="16" customFormat="1" hidden="1" x14ac:dyDescent="0.2"/>
    <row r="58" spans="1:114" s="16" customFormat="1" ht="15" x14ac:dyDescent="0.25">
      <c r="D58" s="303" t="s">
        <v>59</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11" t="s">
        <v>22</v>
      </c>
      <c r="B62" s="1011"/>
      <c r="C62" s="1011"/>
      <c r="D62" s="1011"/>
      <c r="E62" s="1011"/>
      <c r="F62" s="1011"/>
      <c r="G62" s="1011"/>
      <c r="H62" s="1011"/>
      <c r="I62" s="101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305">
        <f>IF(E29,ROUNDUP(E42/E29*E33/12,0),0)</f>
        <v>0</v>
      </c>
      <c r="E64" s="131"/>
      <c r="F64" s="131"/>
      <c r="G64" s="131"/>
      <c r="H64" s="131"/>
      <c r="I64" s="131"/>
    </row>
    <row r="65" spans="1:12" x14ac:dyDescent="0.2">
      <c r="B65" s="131"/>
    </row>
    <row r="66" spans="1:12" ht="15.75" x14ac:dyDescent="0.25">
      <c r="C66" s="308" t="s">
        <v>24</v>
      </c>
      <c r="D66" s="308" t="s">
        <v>25</v>
      </c>
      <c r="J66" s="1011"/>
      <c r="K66" s="1011"/>
      <c r="L66" s="1011"/>
    </row>
    <row r="67" spans="1:12" x14ac:dyDescent="0.2">
      <c r="B67" s="131" t="s">
        <v>26</v>
      </c>
      <c r="C67" s="38">
        <f>IFERROR(+VLOOKUP(K1,base_smic,2,TRUE),0)</f>
        <v>0</v>
      </c>
      <c r="D67" s="312" t="e">
        <f>+C67*N29</f>
        <v>#N/A</v>
      </c>
    </row>
    <row r="68" spans="1:12" x14ac:dyDescent="0.2">
      <c r="J68" s="306"/>
    </row>
    <row r="69" spans="1:12" ht="24.75" customHeight="1" x14ac:dyDescent="0.2">
      <c r="A69" s="1664" t="s">
        <v>27</v>
      </c>
      <c r="B69" s="1664"/>
      <c r="C69" s="1012">
        <f>+C67*5*C64</f>
        <v>0</v>
      </c>
      <c r="D69" s="1012" t="e">
        <f>+C64*5*D67</f>
        <v>#N/A</v>
      </c>
    </row>
    <row r="74" spans="1:12" ht="13.5" thickBot="1" x14ac:dyDescent="0.25"/>
    <row r="75" spans="1:12" x14ac:dyDescent="0.2">
      <c r="A75" s="269" t="s">
        <v>754</v>
      </c>
      <c r="B75" s="267"/>
      <c r="C75" s="267"/>
      <c r="D75" s="267"/>
      <c r="E75" s="267"/>
      <c r="F75" s="267"/>
      <c r="G75" s="267"/>
      <c r="H75" s="267"/>
      <c r="I75" s="267"/>
      <c r="J75" s="268"/>
    </row>
    <row r="76" spans="1:12" x14ac:dyDescent="0.2">
      <c r="A76" s="272"/>
      <c r="J76" s="273"/>
    </row>
    <row r="77" spans="1:12" x14ac:dyDescent="0.2">
      <c r="A77" s="272"/>
      <c r="B77" s="131" t="s">
        <v>755</v>
      </c>
      <c r="C77" s="1539">
        <v>2</v>
      </c>
      <c r="D77" s="129" t="s">
        <v>756</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l7LtWvzCWBgva6HLjqP1GIUXH/3F/IPjs6MpFUms3N82jYFKuBbzXvHydTl7QTC6khSMeLPDVuRP+W6d1zalwA==" saltValue="4ppayC2GuRlVqGVcqIfKJw==" spinCount="100000" sheet="1" objects="1" scenarios="1" formatCells="0" formatColumns="0" formatRows="0" insertColumns="0" insertRows="0" insertHyperlinks="0" sort="0" autoFilter="0" pivotTables="0"/>
  <mergeCells count="70">
    <mergeCell ref="X24:AF24"/>
    <mergeCell ref="X22:AF22"/>
    <mergeCell ref="X21:AF21"/>
    <mergeCell ref="X19:AF19"/>
    <mergeCell ref="B16:J16"/>
    <mergeCell ref="X16:AF16"/>
    <mergeCell ref="M16:U16"/>
    <mergeCell ref="M17:U17"/>
    <mergeCell ref="M19:U19"/>
    <mergeCell ref="X17:AF17"/>
    <mergeCell ref="AT16:BB16"/>
    <mergeCell ref="AI24:AQ24"/>
    <mergeCell ref="AI22:AQ22"/>
    <mergeCell ref="AI21:AQ21"/>
    <mergeCell ref="AI19:AQ19"/>
    <mergeCell ref="AI17:AQ17"/>
    <mergeCell ref="AI16:AQ16"/>
    <mergeCell ref="AT24:BB24"/>
    <mergeCell ref="AT22:BB22"/>
    <mergeCell ref="AT21:BB21"/>
    <mergeCell ref="AT19:BB19"/>
    <mergeCell ref="AT17:BB17"/>
    <mergeCell ref="BP17:BX17"/>
    <mergeCell ref="BP16:BX16"/>
    <mergeCell ref="BE24:BM24"/>
    <mergeCell ref="BE22:BM22"/>
    <mergeCell ref="BE21:BM21"/>
    <mergeCell ref="BE19:BM19"/>
    <mergeCell ref="BE17:BM17"/>
    <mergeCell ref="BE16:BM16"/>
    <mergeCell ref="CA24:CI24"/>
    <mergeCell ref="BP24:BX24"/>
    <mergeCell ref="BP22:BX22"/>
    <mergeCell ref="BP21:BX21"/>
    <mergeCell ref="BP19:BX19"/>
    <mergeCell ref="CA16:CI16"/>
    <mergeCell ref="CA17:CI17"/>
    <mergeCell ref="CA19:CI19"/>
    <mergeCell ref="CA21:CI21"/>
    <mergeCell ref="CA22:CI22"/>
    <mergeCell ref="CA14:CI14"/>
    <mergeCell ref="X14:AF14"/>
    <mergeCell ref="AI14:AQ14"/>
    <mergeCell ref="AT14:BB14"/>
    <mergeCell ref="BE14:BM14"/>
    <mergeCell ref="BP14:BX14"/>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AS5:BC5"/>
    <mergeCell ref="BZ5:CJ5"/>
    <mergeCell ref="BO5:BY5"/>
    <mergeCell ref="A5:K5"/>
    <mergeCell ref="L5:V5"/>
    <mergeCell ref="W5:AG5"/>
    <mergeCell ref="AH5:AR5"/>
    <mergeCell ref="BD5:BN5"/>
  </mergeCells>
  <conditionalFormatting sqref="B7:I13">
    <cfRule type="cellIs" dxfId="1542" priority="21" operator="greaterThan">
      <formula>0</formula>
    </cfRule>
  </conditionalFormatting>
  <conditionalFormatting sqref="B17:J17">
    <cfRule type="expression" dxfId="1541" priority="60">
      <formula>K17=0</formula>
    </cfRule>
  </conditionalFormatting>
  <conditionalFormatting sqref="B22:J22">
    <cfRule type="expression" dxfId="1540" priority="52">
      <formula>K22=0</formula>
    </cfRule>
  </conditionalFormatting>
  <conditionalFormatting sqref="D40">
    <cfRule type="expression" dxfId="1539" priority="184">
      <formula>$E$40=0</formula>
    </cfRule>
  </conditionalFormatting>
  <conditionalFormatting sqref="D49">
    <cfRule type="expression" dxfId="1538" priority="183">
      <formula>$E$49=0</formula>
    </cfRule>
  </conditionalFormatting>
  <conditionalFormatting sqref="D58:E58">
    <cfRule type="expression" dxfId="1537" priority="130">
      <formula>$E$49&gt;0</formula>
    </cfRule>
  </conditionalFormatting>
  <conditionalFormatting sqref="E35">
    <cfRule type="cellIs" dxfId="1535" priority="5" operator="greaterThan">
      <formula>0</formula>
    </cfRule>
  </conditionalFormatting>
  <conditionalFormatting sqref="E40">
    <cfRule type="cellIs" dxfId="1534" priority="185" operator="equal">
      <formula>0</formula>
    </cfRule>
  </conditionalFormatting>
  <conditionalFormatting sqref="E49">
    <cfRule type="cellIs" dxfId="1533" priority="182" operator="equal">
      <formula>0</formula>
    </cfRule>
  </conditionalFormatting>
  <conditionalFormatting sqref="E50">
    <cfRule type="expression" dxfId="1532" priority="181">
      <formula>$E$49=0</formula>
    </cfRule>
  </conditionalFormatting>
  <conditionalFormatting sqref="E29:I29">
    <cfRule type="cellIs" dxfId="1531" priority="65" operator="between">
      <formula>46.9999999999</formula>
      <formula>51.99999</formula>
    </cfRule>
    <cfRule type="cellIs" dxfId="1530" priority="64" operator="greaterThanOrEqual">
      <formula>52.0000001</formula>
    </cfRule>
  </conditionalFormatting>
  <conditionalFormatting sqref="K17">
    <cfRule type="cellIs" dxfId="1529" priority="61" operator="equal">
      <formula>0</formula>
    </cfRule>
  </conditionalFormatting>
  <conditionalFormatting sqref="K19">
    <cfRule type="cellIs" dxfId="1528" priority="19" operator="greaterThan">
      <formula>0</formula>
    </cfRule>
    <cfRule type="expression" dxfId="1527" priority="29">
      <formula>OR(AND($E$29&gt;=47,$E$29&lt;=51,K14&gt;0),K19&gt;52,AND($E$29&gt;52,K14&gt;0),AND(K19&gt;=1,K14=0))</formula>
    </cfRule>
  </conditionalFormatting>
  <conditionalFormatting sqref="K22">
    <cfRule type="cellIs" dxfId="1526" priority="51" operator="equal">
      <formula>0</formula>
    </cfRule>
  </conditionalFormatting>
  <conditionalFormatting sqref="M7:T13">
    <cfRule type="cellIs" dxfId="1525" priority="20" operator="greaterThan">
      <formula>0</formula>
    </cfRule>
  </conditionalFormatting>
  <conditionalFormatting sqref="M17:U17">
    <cfRule type="expression" dxfId="1524" priority="43">
      <formula>V17=0</formula>
    </cfRule>
  </conditionalFormatting>
  <conditionalFormatting sqref="M22:U22">
    <cfRule type="expression" dxfId="1523" priority="36">
      <formula>V22=0</formula>
    </cfRule>
  </conditionalFormatting>
  <conditionalFormatting sqref="N31">
    <cfRule type="expression" dxfId="1522" priority="63">
      <formula>$EB$2="ROUGE"</formula>
    </cfRule>
  </conditionalFormatting>
  <conditionalFormatting sqref="N34">
    <cfRule type="cellIs" dxfId="1521" priority="4" operator="greaterThan">
      <formula>0</formula>
    </cfRule>
  </conditionalFormatting>
  <conditionalFormatting sqref="P39">
    <cfRule type="expression" dxfId="1520" priority="218">
      <formula>EB2="faux"</formula>
    </cfRule>
  </conditionalFormatting>
  <conditionalFormatting sqref="V17">
    <cfRule type="cellIs" dxfId="1519" priority="59" operator="equal">
      <formula>0</formula>
    </cfRule>
  </conditionalFormatting>
  <conditionalFormatting sqref="V19">
    <cfRule type="cellIs" dxfId="1518" priority="18" operator="greaterThan">
      <formula>0</formula>
    </cfRule>
    <cfRule type="expression" dxfId="1517" priority="28">
      <formula>OR(AND($E$29&gt;=47,$E$29&lt;=51,V14&gt;0),V19&gt;52,AND($E$29&gt;52,V14&gt;0),AND(V19&gt;=1,V14=0))</formula>
    </cfRule>
  </conditionalFormatting>
  <conditionalFormatting sqref="V22">
    <cfRule type="cellIs" dxfId="1516" priority="50" operator="equal">
      <formula>0</formula>
    </cfRule>
  </conditionalFormatting>
  <conditionalFormatting sqref="W31">
    <cfRule type="expression" dxfId="1515" priority="62">
      <formula>$EB$3="ROUGE"</formula>
    </cfRule>
  </conditionalFormatting>
  <conditionalFormatting sqref="W34">
    <cfRule type="cellIs" dxfId="1514" priority="1" operator="greaterThan">
      <formula>0</formula>
    </cfRule>
  </conditionalFormatting>
  <conditionalFormatting sqref="X7:AE13">
    <cfRule type="cellIs" dxfId="1513" priority="17" operator="greaterThan">
      <formula>0</formula>
    </cfRule>
  </conditionalFormatting>
  <conditionalFormatting sqref="X17:AF17">
    <cfRule type="expression" dxfId="1512" priority="42">
      <formula>AG17=0</formula>
    </cfRule>
  </conditionalFormatting>
  <conditionalFormatting sqref="X22:AF22">
    <cfRule type="expression" dxfId="1511" priority="35">
      <formula>AG22=0</formula>
    </cfRule>
  </conditionalFormatting>
  <conditionalFormatting sqref="AG17">
    <cfRule type="cellIs" dxfId="1510" priority="58" operator="equal">
      <formula>0</formula>
    </cfRule>
  </conditionalFormatting>
  <conditionalFormatting sqref="AG19">
    <cfRule type="cellIs" dxfId="1509" priority="16" operator="greaterThan">
      <formula>0</formula>
    </cfRule>
    <cfRule type="expression" dxfId="1508" priority="27">
      <formula>OR(AND($E$29&gt;=47,$E$29&lt;=51,AG14&gt;0),AG19&gt;52,AND($E$29&gt;52,AG14&gt;0),AND(AG19&gt;=1,AG14=0))</formula>
    </cfRule>
  </conditionalFormatting>
  <conditionalFormatting sqref="AG22">
    <cfRule type="cellIs" dxfId="1507" priority="49" operator="equal">
      <formula>0</formula>
    </cfRule>
  </conditionalFormatting>
  <conditionalFormatting sqref="AI7:AP13">
    <cfRule type="cellIs" dxfId="1506" priority="15" operator="greaterThan">
      <formula>0</formula>
    </cfRule>
  </conditionalFormatting>
  <conditionalFormatting sqref="AI17:AQ17">
    <cfRule type="expression" dxfId="1505" priority="41">
      <formula>AR17=0</formula>
    </cfRule>
  </conditionalFormatting>
  <conditionalFormatting sqref="AI22:AQ22">
    <cfRule type="expression" dxfId="1504" priority="34">
      <formula>AR22=0</formula>
    </cfRule>
  </conditionalFormatting>
  <conditionalFormatting sqref="AR17">
    <cfRule type="cellIs" dxfId="1503" priority="57" operator="equal">
      <formula>0</formula>
    </cfRule>
  </conditionalFormatting>
  <conditionalFormatting sqref="AR19">
    <cfRule type="cellIs" dxfId="1502" priority="14" operator="greaterThan">
      <formula>0</formula>
    </cfRule>
    <cfRule type="expression" dxfId="1501" priority="26">
      <formula>OR(AND($E$29&gt;=47,$E$29&lt;=51,AR14&gt;0),AR19&gt;52,AND($E$29&gt;52,AR14&gt;0),AND(AR19&gt;=1,AR14=0))</formula>
    </cfRule>
  </conditionalFormatting>
  <conditionalFormatting sqref="AR22">
    <cfRule type="cellIs" dxfId="1500" priority="48" operator="equal">
      <formula>0</formula>
    </cfRule>
  </conditionalFormatting>
  <conditionalFormatting sqref="AT7:BA13">
    <cfRule type="cellIs" dxfId="1499" priority="13" operator="greaterThan">
      <formula>0</formula>
    </cfRule>
  </conditionalFormatting>
  <conditionalFormatting sqref="AT17:BB17">
    <cfRule type="expression" dxfId="1498" priority="40">
      <formula>BC17=0</formula>
    </cfRule>
  </conditionalFormatting>
  <conditionalFormatting sqref="AT22:BB22">
    <cfRule type="expression" dxfId="1497" priority="33">
      <formula>BC22=0</formula>
    </cfRule>
  </conditionalFormatting>
  <conditionalFormatting sqref="BC17">
    <cfRule type="cellIs" dxfId="1496" priority="56" operator="equal">
      <formula>0</formula>
    </cfRule>
  </conditionalFormatting>
  <conditionalFormatting sqref="BC19">
    <cfRule type="expression" dxfId="1495" priority="25">
      <formula>OR(AND($E$29&gt;=47,$E$29&lt;=51,BC14&gt;0),BC19&gt;52,AND($E$29&gt;52,BC14&gt;0),AND(BC19&gt;=1,BC14=0))</formula>
    </cfRule>
    <cfRule type="cellIs" dxfId="1494" priority="12" operator="greaterThan">
      <formula>0</formula>
    </cfRule>
  </conditionalFormatting>
  <conditionalFormatting sqref="BC22">
    <cfRule type="cellIs" dxfId="1493" priority="47" operator="equal">
      <formula>0</formula>
    </cfRule>
  </conditionalFormatting>
  <conditionalFormatting sqref="BE7:BL13">
    <cfRule type="cellIs" dxfId="1492" priority="11" operator="greaterThan">
      <formula>0</formula>
    </cfRule>
  </conditionalFormatting>
  <conditionalFormatting sqref="BE17:BM17">
    <cfRule type="expression" dxfId="1491" priority="39">
      <formula>BN17=0</formula>
    </cfRule>
  </conditionalFormatting>
  <conditionalFormatting sqref="BE22:BM22">
    <cfRule type="expression" dxfId="1490" priority="32">
      <formula>BN22=0</formula>
    </cfRule>
  </conditionalFormatting>
  <conditionalFormatting sqref="BN17">
    <cfRule type="cellIs" dxfId="1489" priority="55" operator="equal">
      <formula>0</formula>
    </cfRule>
  </conditionalFormatting>
  <conditionalFormatting sqref="BN19">
    <cfRule type="expression" dxfId="1488" priority="24">
      <formula>OR(AND($E$29&gt;=47,$E$29&lt;=51,BN14&gt;0),BN19&gt;52,AND($E$29&gt;52,BN14&gt;0),AND(BN19&gt;=1,BN14=0))</formula>
    </cfRule>
    <cfRule type="cellIs" dxfId="1487" priority="10" operator="greaterThan">
      <formula>0</formula>
    </cfRule>
  </conditionalFormatting>
  <conditionalFormatting sqref="BN22">
    <cfRule type="cellIs" dxfId="1486" priority="46" operator="equal">
      <formula>0</formula>
    </cfRule>
  </conditionalFormatting>
  <conditionalFormatting sqref="BP7:BW13">
    <cfRule type="cellIs" dxfId="1485" priority="9" operator="greaterThan">
      <formula>0</formula>
    </cfRule>
  </conditionalFormatting>
  <conditionalFormatting sqref="BP17:BX17">
    <cfRule type="expression" dxfId="1484" priority="38">
      <formula>BY17=0</formula>
    </cfRule>
  </conditionalFormatting>
  <conditionalFormatting sqref="BP22:BX22">
    <cfRule type="expression" dxfId="1483" priority="31">
      <formula>BY22=0</formula>
    </cfRule>
  </conditionalFormatting>
  <conditionalFormatting sqref="BY17">
    <cfRule type="cellIs" dxfId="1482" priority="54" operator="equal">
      <formula>0</formula>
    </cfRule>
  </conditionalFormatting>
  <conditionalFormatting sqref="BY19">
    <cfRule type="cellIs" dxfId="1481" priority="8" operator="greaterThan">
      <formula>0</formula>
    </cfRule>
    <cfRule type="expression" dxfId="1480" priority="23">
      <formula>OR(AND($E$29&gt;=47,$E$29&lt;=51,BY14&gt;0),BY19&gt;52,AND($E$29&gt;52,BY14&gt;0),AND(BY19&gt;=1,BY14=0))</formula>
    </cfRule>
  </conditionalFormatting>
  <conditionalFormatting sqref="BY22">
    <cfRule type="cellIs" dxfId="1479" priority="45" operator="equal">
      <formula>0</formula>
    </cfRule>
  </conditionalFormatting>
  <conditionalFormatting sqref="CA7:CH13">
    <cfRule type="cellIs" dxfId="1478" priority="7" operator="greaterThan">
      <formula>0</formula>
    </cfRule>
  </conditionalFormatting>
  <conditionalFormatting sqref="CA17:CI17">
    <cfRule type="expression" dxfId="1477" priority="37">
      <formula>CJ17=0</formula>
    </cfRule>
  </conditionalFormatting>
  <conditionalFormatting sqref="CA22:CI22">
    <cfRule type="expression" dxfId="1476" priority="30">
      <formula>CJ22=0</formula>
    </cfRule>
  </conditionalFormatting>
  <conditionalFormatting sqref="CJ17">
    <cfRule type="cellIs" dxfId="1475" priority="53" operator="equal">
      <formula>0</formula>
    </cfRule>
  </conditionalFormatting>
  <conditionalFormatting sqref="CJ19">
    <cfRule type="expression" dxfId="1474" priority="22">
      <formula>OR(AND($E$29&gt;=47,$E$29&lt;=51,CJ14&gt;0),CJ19&gt;52,AND($E$29&gt;52,CJ14&gt;0),AND(CJ19&gt;=1,CJ14=0))</formula>
    </cfRule>
    <cfRule type="cellIs" dxfId="1473" priority="6" operator="greaterThan">
      <formula>0</formula>
    </cfRule>
  </conditionalFormatting>
  <conditionalFormatting sqref="CJ22">
    <cfRule type="cellIs" dxfId="1472"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pole emploi</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Taux_cotisations</vt:lpstr>
      <vt:lpstr>S.CAL</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pole emploi'!Zone_d_impression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2024-09-18T20:52:50Z</cp:lastPrinted>
  <dcterms:created xsi:type="dcterms:W3CDTF">2020-01-21T09:02:05Z</dcterms:created>
  <dcterms:modified xsi:type="dcterms:W3CDTF">2025-01-13T18:03:11Z</dcterms:modified>
</cp:coreProperties>
</file>